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alyse de données\Spotify\"/>
    </mc:Choice>
  </mc:AlternateContent>
  <xr:revisionPtr revIDLastSave="0" documentId="13_ncr:1_{49F04AA0-5C29-418F-BD38-8D3F04276880}" xr6:coauthVersionLast="47" xr6:coauthVersionMax="47" xr10:uidLastSave="{00000000-0000-0000-0000-000000000000}"/>
  <bookViews>
    <workbookView xWindow="-120" yWindow="-120" windowWidth="29040" windowHeight="15840" firstSheet="7" activeTab="7" xr2:uid="{772CBF33-5A4C-4D22-81BD-A608E0EE07EA}"/>
  </bookViews>
  <sheets>
    <sheet name="Yes" sheetId="55" state="hidden" r:id="rId1"/>
    <sheet name="Soirée" sheetId="56" state="hidden" r:id="rId2"/>
    <sheet name="Hard" sheetId="58" state="hidden" r:id="rId3"/>
    <sheet name="Summer" sheetId="60" state="hidden" r:id="rId4"/>
    <sheet name="Hardstyle" sheetId="61" state="hidden" r:id="rId5"/>
    <sheet name="Classico" sheetId="63" state="hidden" r:id="rId6"/>
    <sheet name="Liked" sheetId="65" state="hidden" r:id="rId7"/>
    <sheet name="Comparaison" sheetId="15" r:id="rId8"/>
    <sheet name="bangerz" sheetId="67" state="hidden" r:id="rId9"/>
    <sheet name="Calculs" sheetId="66" r:id="rId10"/>
    <sheet name="Analyse Likes" sheetId="21" state="hidden" r:id="rId11"/>
    <sheet name="Raw Genre Likes" sheetId="22" state="hidden" r:id="rId12"/>
    <sheet name="Raw Genre soirée" sheetId="9" state="hidden" r:id="rId13"/>
    <sheet name="Raw Genre Boom" sheetId="13" state="hidden" r:id="rId14"/>
    <sheet name="Genre Boom" sheetId="14" state="hidden" r:id="rId15"/>
    <sheet name="Genre Soirée" sheetId="10" state="hidden" r:id="rId16"/>
  </sheets>
  <definedNames>
    <definedName name="ExternalData_1" localSheetId="10" hidden="1">'Analyse Likes'!$I$1:$Y$3613</definedName>
    <definedName name="ExternalData_1" localSheetId="8" hidden="1">bangerz!$A$1:$W$36</definedName>
    <definedName name="ExternalData_1" localSheetId="5" hidden="1">'Classico'!$A$1:$W$127</definedName>
    <definedName name="ExternalData_1" localSheetId="2" hidden="1">Hard!$A$1:$W$198</definedName>
    <definedName name="ExternalData_1" localSheetId="4" hidden="1">Hardstyle!$A$1:$W$161</definedName>
    <definedName name="ExternalData_1" localSheetId="6" hidden="1">Liked!$A$1:$W$3614</definedName>
    <definedName name="ExternalData_1" localSheetId="11" hidden="1">'Raw Genre Likes'!$A$1:$Q$3613</definedName>
    <definedName name="ExternalData_1" localSheetId="1" hidden="1">Soirée!$A$1:$W$192</definedName>
    <definedName name="ExternalData_1" localSheetId="3" hidden="1">Summer!$A$1:$W$51</definedName>
    <definedName name="ExternalData_1" localSheetId="0" hidden="1">Yes!$A$1:$W$61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" i="15" l="1"/>
  <c r="O2" i="15"/>
  <c r="N2" i="15"/>
  <c r="M2" i="15"/>
  <c r="L2" i="15"/>
  <c r="K2" i="15"/>
  <c r="J2" i="15"/>
  <c r="I2" i="15"/>
  <c r="H2" i="15"/>
  <c r="G2" i="15"/>
  <c r="F2" i="15"/>
  <c r="E2" i="15"/>
  <c r="D2" i="15"/>
  <c r="C2" i="15"/>
  <c r="B2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B3" i="15"/>
  <c r="C3" i="15" s="1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U127" i="63"/>
  <c r="T127" i="63"/>
  <c r="S127" i="63"/>
  <c r="R127" i="63"/>
  <c r="Q127" i="63"/>
  <c r="P127" i="63"/>
  <c r="M127" i="63"/>
  <c r="L127" i="63"/>
  <c r="U126" i="63"/>
  <c r="T126" i="63"/>
  <c r="S126" i="63"/>
  <c r="R126" i="63"/>
  <c r="Q126" i="63"/>
  <c r="P126" i="63"/>
  <c r="M126" i="63"/>
  <c r="L126" i="63"/>
  <c r="U125" i="63"/>
  <c r="T125" i="63"/>
  <c r="S125" i="63"/>
  <c r="R125" i="63"/>
  <c r="Q125" i="63"/>
  <c r="P125" i="63"/>
  <c r="M125" i="63"/>
  <c r="L125" i="63"/>
  <c r="U124" i="63"/>
  <c r="T124" i="63"/>
  <c r="S124" i="63"/>
  <c r="R124" i="63"/>
  <c r="Q124" i="63"/>
  <c r="M124" i="63"/>
  <c r="L124" i="63"/>
  <c r="U123" i="63"/>
  <c r="T123" i="63"/>
  <c r="S123" i="63"/>
  <c r="R123" i="63"/>
  <c r="Q123" i="63"/>
  <c r="M123" i="63"/>
  <c r="L123" i="63"/>
  <c r="U122" i="63"/>
  <c r="T122" i="63"/>
  <c r="S122" i="63"/>
  <c r="R122" i="63"/>
  <c r="Q122" i="63"/>
  <c r="P122" i="63"/>
  <c r="M122" i="63"/>
  <c r="L122" i="63"/>
  <c r="U121" i="63"/>
  <c r="T121" i="63"/>
  <c r="S121" i="63"/>
  <c r="R121" i="63"/>
  <c r="Q121" i="63"/>
  <c r="M121" i="63"/>
  <c r="L121" i="63"/>
  <c r="U120" i="63"/>
  <c r="T120" i="63"/>
  <c r="S120" i="63"/>
  <c r="R120" i="63"/>
  <c r="Q120" i="63"/>
  <c r="M120" i="63"/>
  <c r="L120" i="63"/>
  <c r="U119" i="63"/>
  <c r="T119" i="63"/>
  <c r="S119" i="63"/>
  <c r="R119" i="63"/>
  <c r="Q119" i="63"/>
  <c r="N119" i="63"/>
  <c r="M119" i="63"/>
  <c r="L119" i="63"/>
  <c r="U118" i="63"/>
  <c r="T118" i="63"/>
  <c r="S118" i="63"/>
  <c r="R118" i="63"/>
  <c r="Q118" i="63"/>
  <c r="M118" i="63"/>
  <c r="L118" i="63"/>
  <c r="U117" i="63"/>
  <c r="T117" i="63"/>
  <c r="S117" i="63"/>
  <c r="R117" i="63"/>
  <c r="Q117" i="63"/>
  <c r="P117" i="63"/>
  <c r="M117" i="63"/>
  <c r="L117" i="63"/>
  <c r="U116" i="63"/>
  <c r="T116" i="63"/>
  <c r="S116" i="63"/>
  <c r="R116" i="63"/>
  <c r="Q116" i="63"/>
  <c r="M116" i="63"/>
  <c r="L116" i="63"/>
  <c r="U115" i="63"/>
  <c r="T115" i="63"/>
  <c r="S115" i="63"/>
  <c r="R115" i="63"/>
  <c r="Q115" i="63"/>
  <c r="M115" i="63"/>
  <c r="L115" i="63"/>
  <c r="U114" i="63"/>
  <c r="T114" i="63"/>
  <c r="S114" i="63"/>
  <c r="R114" i="63"/>
  <c r="Q114" i="63"/>
  <c r="P114" i="63"/>
  <c r="M114" i="63"/>
  <c r="L114" i="63"/>
  <c r="U113" i="63"/>
  <c r="T113" i="63"/>
  <c r="S113" i="63"/>
  <c r="R113" i="63"/>
  <c r="Q113" i="63"/>
  <c r="P113" i="63"/>
  <c r="M113" i="63"/>
  <c r="L113" i="63"/>
  <c r="U112" i="63"/>
  <c r="T112" i="63"/>
  <c r="S112" i="63"/>
  <c r="R112" i="63"/>
  <c r="Q112" i="63"/>
  <c r="P112" i="63"/>
  <c r="M112" i="63"/>
  <c r="L112" i="63"/>
  <c r="U111" i="63"/>
  <c r="T111" i="63"/>
  <c r="S111" i="63"/>
  <c r="R111" i="63"/>
  <c r="Q111" i="63"/>
  <c r="M111" i="63"/>
  <c r="L111" i="63"/>
  <c r="U110" i="63"/>
  <c r="T110" i="63"/>
  <c r="S110" i="63"/>
  <c r="R110" i="63"/>
  <c r="Q110" i="63"/>
  <c r="M110" i="63"/>
  <c r="L110" i="63"/>
  <c r="U109" i="63"/>
  <c r="T109" i="63"/>
  <c r="S109" i="63"/>
  <c r="R109" i="63"/>
  <c r="Q109" i="63"/>
  <c r="P109" i="63"/>
  <c r="M109" i="63"/>
  <c r="L109" i="63"/>
  <c r="U108" i="63"/>
  <c r="T108" i="63"/>
  <c r="S108" i="63"/>
  <c r="R108" i="63"/>
  <c r="Q108" i="63"/>
  <c r="P108" i="63"/>
  <c r="M108" i="63"/>
  <c r="L108" i="63"/>
  <c r="U107" i="63"/>
  <c r="T107" i="63"/>
  <c r="S107" i="63"/>
  <c r="R107" i="63"/>
  <c r="Q107" i="63"/>
  <c r="P107" i="63"/>
  <c r="M107" i="63"/>
  <c r="L107" i="63"/>
  <c r="U106" i="63"/>
  <c r="T106" i="63"/>
  <c r="S106" i="63"/>
  <c r="R106" i="63"/>
  <c r="Q106" i="63"/>
  <c r="N106" i="63"/>
  <c r="M106" i="63"/>
  <c r="L106" i="63"/>
  <c r="U105" i="63"/>
  <c r="T105" i="63"/>
  <c r="S105" i="63"/>
  <c r="R105" i="63"/>
  <c r="Q105" i="63"/>
  <c r="P105" i="63"/>
  <c r="M105" i="63"/>
  <c r="L105" i="63"/>
  <c r="U104" i="63"/>
  <c r="T104" i="63"/>
  <c r="S104" i="63"/>
  <c r="R104" i="63"/>
  <c r="Q104" i="63"/>
  <c r="M104" i="63"/>
  <c r="L104" i="63"/>
  <c r="U103" i="63"/>
  <c r="T103" i="63"/>
  <c r="S103" i="63"/>
  <c r="R103" i="63"/>
  <c r="Q103" i="63"/>
  <c r="P103" i="63"/>
  <c r="N103" i="63"/>
  <c r="M103" i="63"/>
  <c r="L103" i="63"/>
  <c r="U102" i="63"/>
  <c r="T102" i="63"/>
  <c r="S102" i="63"/>
  <c r="R102" i="63"/>
  <c r="Q102" i="63"/>
  <c r="M102" i="63"/>
  <c r="L102" i="63"/>
  <c r="U101" i="63"/>
  <c r="T101" i="63"/>
  <c r="S101" i="63"/>
  <c r="R101" i="63"/>
  <c r="Q101" i="63"/>
  <c r="P101" i="63"/>
  <c r="M101" i="63"/>
  <c r="L101" i="63"/>
  <c r="U100" i="63"/>
  <c r="T100" i="63"/>
  <c r="S100" i="63"/>
  <c r="R100" i="63"/>
  <c r="Q100" i="63"/>
  <c r="N100" i="63"/>
  <c r="M100" i="63"/>
  <c r="L100" i="63"/>
  <c r="U99" i="63"/>
  <c r="T99" i="63"/>
  <c r="S99" i="63"/>
  <c r="R99" i="63"/>
  <c r="Q99" i="63"/>
  <c r="M99" i="63"/>
  <c r="L99" i="63"/>
  <c r="U98" i="63"/>
  <c r="T98" i="63"/>
  <c r="S98" i="63"/>
  <c r="R98" i="63"/>
  <c r="Q98" i="63"/>
  <c r="P98" i="63"/>
  <c r="M98" i="63"/>
  <c r="L98" i="63"/>
  <c r="U97" i="63"/>
  <c r="T97" i="63"/>
  <c r="S97" i="63"/>
  <c r="R97" i="63"/>
  <c r="Q97" i="63"/>
  <c r="M97" i="63"/>
  <c r="L97" i="63"/>
  <c r="U96" i="63"/>
  <c r="T96" i="63"/>
  <c r="S96" i="63"/>
  <c r="R96" i="63"/>
  <c r="Q96" i="63"/>
  <c r="M96" i="63"/>
  <c r="L96" i="63"/>
  <c r="U95" i="63"/>
  <c r="T95" i="63"/>
  <c r="S95" i="63"/>
  <c r="R95" i="63"/>
  <c r="Q95" i="63"/>
  <c r="M95" i="63"/>
  <c r="L95" i="63"/>
  <c r="U94" i="63"/>
  <c r="T94" i="63"/>
  <c r="S94" i="63"/>
  <c r="R94" i="63"/>
  <c r="Q94" i="63"/>
  <c r="P94" i="63"/>
  <c r="M94" i="63"/>
  <c r="L94" i="63"/>
  <c r="U93" i="63"/>
  <c r="T93" i="63"/>
  <c r="S93" i="63"/>
  <c r="R93" i="63"/>
  <c r="Q93" i="63"/>
  <c r="M93" i="63"/>
  <c r="L93" i="63"/>
  <c r="U92" i="63"/>
  <c r="T92" i="63"/>
  <c r="S92" i="63"/>
  <c r="R92" i="63"/>
  <c r="Q92" i="63"/>
  <c r="M92" i="63"/>
  <c r="L92" i="63"/>
  <c r="U91" i="63"/>
  <c r="T91" i="63"/>
  <c r="S91" i="63"/>
  <c r="R91" i="63"/>
  <c r="Q91" i="63"/>
  <c r="P91" i="63"/>
  <c r="M91" i="63"/>
  <c r="L91" i="63"/>
  <c r="U90" i="63"/>
  <c r="T90" i="63"/>
  <c r="S90" i="63"/>
  <c r="R90" i="63"/>
  <c r="Q90" i="63"/>
  <c r="N90" i="63"/>
  <c r="M90" i="63"/>
  <c r="L90" i="63"/>
  <c r="U89" i="63"/>
  <c r="T89" i="63"/>
  <c r="S89" i="63"/>
  <c r="R89" i="63"/>
  <c r="Q89" i="63"/>
  <c r="P89" i="63"/>
  <c r="N89" i="63"/>
  <c r="M89" i="63"/>
  <c r="L89" i="63"/>
  <c r="U88" i="63"/>
  <c r="T88" i="63"/>
  <c r="S88" i="63"/>
  <c r="R88" i="63"/>
  <c r="Q88" i="63"/>
  <c r="M88" i="63"/>
  <c r="L88" i="63"/>
  <c r="U87" i="63"/>
  <c r="T87" i="63"/>
  <c r="S87" i="63"/>
  <c r="R87" i="63"/>
  <c r="Q87" i="63"/>
  <c r="M87" i="63"/>
  <c r="L87" i="63"/>
  <c r="U86" i="63"/>
  <c r="T86" i="63"/>
  <c r="S86" i="63"/>
  <c r="R86" i="63"/>
  <c r="Q86" i="63"/>
  <c r="M86" i="63"/>
  <c r="L86" i="63"/>
  <c r="U85" i="63"/>
  <c r="T85" i="63"/>
  <c r="S85" i="63"/>
  <c r="R85" i="63"/>
  <c r="Q85" i="63"/>
  <c r="M85" i="63"/>
  <c r="L85" i="63"/>
  <c r="U84" i="63"/>
  <c r="T84" i="63"/>
  <c r="S84" i="63"/>
  <c r="R84" i="63"/>
  <c r="Q84" i="63"/>
  <c r="P84" i="63"/>
  <c r="M84" i="63"/>
  <c r="L84" i="63"/>
  <c r="U83" i="63"/>
  <c r="T83" i="63"/>
  <c r="S83" i="63"/>
  <c r="R83" i="63"/>
  <c r="Q83" i="63"/>
  <c r="P83" i="63"/>
  <c r="M83" i="63"/>
  <c r="L83" i="63"/>
  <c r="U82" i="63"/>
  <c r="T82" i="63"/>
  <c r="S82" i="63"/>
  <c r="R82" i="63"/>
  <c r="Q82" i="63"/>
  <c r="M82" i="63"/>
  <c r="L82" i="63"/>
  <c r="U81" i="63"/>
  <c r="T81" i="63"/>
  <c r="S81" i="63"/>
  <c r="R81" i="63"/>
  <c r="Q81" i="63"/>
  <c r="P81" i="63"/>
  <c r="M81" i="63"/>
  <c r="L81" i="63"/>
  <c r="U80" i="63"/>
  <c r="T80" i="63"/>
  <c r="S80" i="63"/>
  <c r="R80" i="63"/>
  <c r="Q80" i="63"/>
  <c r="M80" i="63"/>
  <c r="L80" i="63"/>
  <c r="U79" i="63"/>
  <c r="T79" i="63"/>
  <c r="S79" i="63"/>
  <c r="R79" i="63"/>
  <c r="Q79" i="63"/>
  <c r="M79" i="63"/>
  <c r="L79" i="63"/>
  <c r="U78" i="63"/>
  <c r="T78" i="63"/>
  <c r="S78" i="63"/>
  <c r="R78" i="63"/>
  <c r="Q78" i="63"/>
  <c r="M78" i="63"/>
  <c r="L78" i="63"/>
  <c r="U77" i="63"/>
  <c r="T77" i="63"/>
  <c r="S77" i="63"/>
  <c r="R77" i="63"/>
  <c r="Q77" i="63"/>
  <c r="M77" i="63"/>
  <c r="L77" i="63"/>
  <c r="U76" i="63"/>
  <c r="T76" i="63"/>
  <c r="S76" i="63"/>
  <c r="R76" i="63"/>
  <c r="Q76" i="63"/>
  <c r="P76" i="63"/>
  <c r="M76" i="63"/>
  <c r="L76" i="63"/>
  <c r="U75" i="63"/>
  <c r="T75" i="63"/>
  <c r="S75" i="63"/>
  <c r="R75" i="63"/>
  <c r="Q75" i="63"/>
  <c r="M75" i="63"/>
  <c r="L75" i="63"/>
  <c r="U74" i="63"/>
  <c r="T74" i="63"/>
  <c r="S74" i="63"/>
  <c r="R74" i="63"/>
  <c r="Q74" i="63"/>
  <c r="P74" i="63"/>
  <c r="M74" i="63"/>
  <c r="L74" i="63"/>
  <c r="U73" i="63"/>
  <c r="T73" i="63"/>
  <c r="S73" i="63"/>
  <c r="R73" i="63"/>
  <c r="Q73" i="63"/>
  <c r="N73" i="63"/>
  <c r="M73" i="63"/>
  <c r="L73" i="63"/>
  <c r="U72" i="63"/>
  <c r="T72" i="63"/>
  <c r="S72" i="63"/>
  <c r="R72" i="63"/>
  <c r="Q72" i="63"/>
  <c r="N72" i="63"/>
  <c r="M72" i="63"/>
  <c r="L72" i="63"/>
  <c r="U71" i="63"/>
  <c r="T71" i="63"/>
  <c r="S71" i="63"/>
  <c r="R71" i="63"/>
  <c r="Q71" i="63"/>
  <c r="N71" i="63"/>
  <c r="M71" i="63"/>
  <c r="L71" i="63"/>
  <c r="U70" i="63"/>
  <c r="T70" i="63"/>
  <c r="S70" i="63"/>
  <c r="R70" i="63"/>
  <c r="Q70" i="63"/>
  <c r="M70" i="63"/>
  <c r="L70" i="63"/>
  <c r="U69" i="63"/>
  <c r="T69" i="63"/>
  <c r="S69" i="63"/>
  <c r="R69" i="63"/>
  <c r="Q69" i="63"/>
  <c r="M69" i="63"/>
  <c r="L69" i="63"/>
  <c r="U68" i="63"/>
  <c r="T68" i="63"/>
  <c r="S68" i="63"/>
  <c r="R68" i="63"/>
  <c r="Q68" i="63"/>
  <c r="P68" i="63"/>
  <c r="M68" i="63"/>
  <c r="L68" i="63"/>
  <c r="U67" i="63"/>
  <c r="T67" i="63"/>
  <c r="S67" i="63"/>
  <c r="R67" i="63"/>
  <c r="Q67" i="63"/>
  <c r="M67" i="63"/>
  <c r="L67" i="63"/>
  <c r="U66" i="63"/>
  <c r="T66" i="63"/>
  <c r="S66" i="63"/>
  <c r="R66" i="63"/>
  <c r="Q66" i="63"/>
  <c r="M66" i="63"/>
  <c r="L66" i="63"/>
  <c r="U65" i="63"/>
  <c r="T65" i="63"/>
  <c r="S65" i="63"/>
  <c r="R65" i="63"/>
  <c r="Q65" i="63"/>
  <c r="M65" i="63"/>
  <c r="L65" i="63"/>
  <c r="U64" i="63"/>
  <c r="T64" i="63"/>
  <c r="S64" i="63"/>
  <c r="R64" i="63"/>
  <c r="Q64" i="63"/>
  <c r="N64" i="63"/>
  <c r="M64" i="63"/>
  <c r="L64" i="63"/>
  <c r="U63" i="63"/>
  <c r="T63" i="63"/>
  <c r="S63" i="63"/>
  <c r="R63" i="63"/>
  <c r="Q63" i="63"/>
  <c r="M63" i="63"/>
  <c r="L63" i="63"/>
  <c r="U62" i="63"/>
  <c r="T62" i="63"/>
  <c r="S62" i="63"/>
  <c r="R62" i="63"/>
  <c r="Q62" i="63"/>
  <c r="P62" i="63"/>
  <c r="M62" i="63"/>
  <c r="L62" i="63"/>
  <c r="U61" i="63"/>
  <c r="T61" i="63"/>
  <c r="S61" i="63"/>
  <c r="R61" i="63"/>
  <c r="Q61" i="63"/>
  <c r="P61" i="63"/>
  <c r="M61" i="63"/>
  <c r="L61" i="63"/>
  <c r="U60" i="63"/>
  <c r="T60" i="63"/>
  <c r="S60" i="63"/>
  <c r="R60" i="63"/>
  <c r="Q60" i="63"/>
  <c r="M60" i="63"/>
  <c r="L60" i="63"/>
  <c r="U59" i="63"/>
  <c r="T59" i="63"/>
  <c r="S59" i="63"/>
  <c r="R59" i="63"/>
  <c r="Q59" i="63"/>
  <c r="M59" i="63"/>
  <c r="L59" i="63"/>
  <c r="U58" i="63"/>
  <c r="T58" i="63"/>
  <c r="S58" i="63"/>
  <c r="R58" i="63"/>
  <c r="Q58" i="63"/>
  <c r="P58" i="63"/>
  <c r="M58" i="63"/>
  <c r="L58" i="63"/>
  <c r="U57" i="63"/>
  <c r="T57" i="63"/>
  <c r="S57" i="63"/>
  <c r="R57" i="63"/>
  <c r="Q57" i="63"/>
  <c r="M57" i="63"/>
  <c r="L57" i="63"/>
  <c r="U56" i="63"/>
  <c r="T56" i="63"/>
  <c r="S56" i="63"/>
  <c r="R56" i="63"/>
  <c r="Q56" i="63"/>
  <c r="M56" i="63"/>
  <c r="L56" i="63"/>
  <c r="U55" i="63"/>
  <c r="T55" i="63"/>
  <c r="S55" i="63"/>
  <c r="R55" i="63"/>
  <c r="Q55" i="63"/>
  <c r="P55" i="63"/>
  <c r="M55" i="63"/>
  <c r="L55" i="63"/>
  <c r="U54" i="63"/>
  <c r="T54" i="63"/>
  <c r="S54" i="63"/>
  <c r="R54" i="63"/>
  <c r="Q54" i="63"/>
  <c r="M54" i="63"/>
  <c r="L54" i="63"/>
  <c r="U53" i="63"/>
  <c r="T53" i="63"/>
  <c r="S53" i="63"/>
  <c r="R53" i="63"/>
  <c r="Q53" i="63"/>
  <c r="M53" i="63"/>
  <c r="L53" i="63"/>
  <c r="U52" i="63"/>
  <c r="T52" i="63"/>
  <c r="S52" i="63"/>
  <c r="R52" i="63"/>
  <c r="Q52" i="63"/>
  <c r="M52" i="63"/>
  <c r="L52" i="63"/>
  <c r="U51" i="63"/>
  <c r="T51" i="63"/>
  <c r="S51" i="63"/>
  <c r="R51" i="63"/>
  <c r="Q51" i="63"/>
  <c r="M51" i="63"/>
  <c r="L51" i="63"/>
  <c r="U50" i="63"/>
  <c r="T50" i="63"/>
  <c r="S50" i="63"/>
  <c r="R50" i="63"/>
  <c r="Q50" i="63"/>
  <c r="M50" i="63"/>
  <c r="L50" i="63"/>
  <c r="U49" i="63"/>
  <c r="T49" i="63"/>
  <c r="S49" i="63"/>
  <c r="R49" i="63"/>
  <c r="Q49" i="63"/>
  <c r="M49" i="63"/>
  <c r="L49" i="63"/>
  <c r="U48" i="63"/>
  <c r="T48" i="63"/>
  <c r="S48" i="63"/>
  <c r="R48" i="63"/>
  <c r="Q48" i="63"/>
  <c r="M48" i="63"/>
  <c r="L48" i="63"/>
  <c r="U47" i="63"/>
  <c r="T47" i="63"/>
  <c r="S47" i="63"/>
  <c r="R47" i="63"/>
  <c r="Q47" i="63"/>
  <c r="P47" i="63"/>
  <c r="M47" i="63"/>
  <c r="L47" i="63"/>
  <c r="U46" i="63"/>
  <c r="T46" i="63"/>
  <c r="S46" i="63"/>
  <c r="R46" i="63"/>
  <c r="Q46" i="63"/>
  <c r="M46" i="63"/>
  <c r="L46" i="63"/>
  <c r="U45" i="63"/>
  <c r="T45" i="63"/>
  <c r="S45" i="63"/>
  <c r="R45" i="63"/>
  <c r="Q45" i="63"/>
  <c r="M45" i="63"/>
  <c r="L45" i="63"/>
  <c r="U44" i="63"/>
  <c r="T44" i="63"/>
  <c r="S44" i="63"/>
  <c r="R44" i="63"/>
  <c r="Q44" i="63"/>
  <c r="M44" i="63"/>
  <c r="L44" i="63"/>
  <c r="U43" i="63"/>
  <c r="T43" i="63"/>
  <c r="S43" i="63"/>
  <c r="R43" i="63"/>
  <c r="Q43" i="63"/>
  <c r="N43" i="63"/>
  <c r="M43" i="63"/>
  <c r="L43" i="63"/>
  <c r="U42" i="63"/>
  <c r="T42" i="63"/>
  <c r="S42" i="63"/>
  <c r="R42" i="63"/>
  <c r="Q42" i="63"/>
  <c r="P42" i="63"/>
  <c r="M42" i="63"/>
  <c r="L42" i="63"/>
  <c r="U41" i="63"/>
  <c r="T41" i="63"/>
  <c r="S41" i="63"/>
  <c r="R41" i="63"/>
  <c r="Q41" i="63"/>
  <c r="P41" i="63"/>
  <c r="M41" i="63"/>
  <c r="L41" i="63"/>
  <c r="U40" i="63"/>
  <c r="T40" i="63"/>
  <c r="S40" i="63"/>
  <c r="R40" i="63"/>
  <c r="Q40" i="63"/>
  <c r="P40" i="63"/>
  <c r="M40" i="63"/>
  <c r="L40" i="63"/>
  <c r="U39" i="63"/>
  <c r="T39" i="63"/>
  <c r="S39" i="63"/>
  <c r="R39" i="63"/>
  <c r="Q39" i="63"/>
  <c r="M39" i="63"/>
  <c r="L39" i="63"/>
  <c r="U38" i="63"/>
  <c r="T38" i="63"/>
  <c r="S38" i="63"/>
  <c r="R38" i="63"/>
  <c r="Q38" i="63"/>
  <c r="P38" i="63"/>
  <c r="N38" i="63"/>
  <c r="M38" i="63"/>
  <c r="L38" i="63"/>
  <c r="U37" i="63"/>
  <c r="T37" i="63"/>
  <c r="S37" i="63"/>
  <c r="R37" i="63"/>
  <c r="Q37" i="63"/>
  <c r="M37" i="63"/>
  <c r="L37" i="63"/>
  <c r="U36" i="63"/>
  <c r="T36" i="63"/>
  <c r="S36" i="63"/>
  <c r="R36" i="63"/>
  <c r="Q36" i="63"/>
  <c r="P36" i="63"/>
  <c r="N36" i="63"/>
  <c r="M36" i="63"/>
  <c r="L36" i="63"/>
  <c r="U35" i="63"/>
  <c r="T35" i="63"/>
  <c r="S35" i="63"/>
  <c r="R35" i="63"/>
  <c r="Q35" i="63"/>
  <c r="M35" i="63"/>
  <c r="L35" i="63"/>
  <c r="U34" i="63"/>
  <c r="T34" i="63"/>
  <c r="S34" i="63"/>
  <c r="R34" i="63"/>
  <c r="Q34" i="63"/>
  <c r="M34" i="63"/>
  <c r="L34" i="63"/>
  <c r="U33" i="63"/>
  <c r="T33" i="63"/>
  <c r="S33" i="63"/>
  <c r="R33" i="63"/>
  <c r="Q33" i="63"/>
  <c r="N33" i="63"/>
  <c r="M33" i="63"/>
  <c r="L33" i="63"/>
  <c r="U32" i="63"/>
  <c r="T32" i="63"/>
  <c r="S32" i="63"/>
  <c r="R32" i="63"/>
  <c r="Q32" i="63"/>
  <c r="P32" i="63"/>
  <c r="M32" i="63"/>
  <c r="L32" i="63"/>
  <c r="U31" i="63"/>
  <c r="T31" i="63"/>
  <c r="S31" i="63"/>
  <c r="R31" i="63"/>
  <c r="Q31" i="63"/>
  <c r="M31" i="63"/>
  <c r="L31" i="63"/>
  <c r="U30" i="63"/>
  <c r="T30" i="63"/>
  <c r="S30" i="63"/>
  <c r="R30" i="63"/>
  <c r="Q30" i="63"/>
  <c r="N30" i="63"/>
  <c r="M30" i="63"/>
  <c r="L30" i="63"/>
  <c r="U29" i="63"/>
  <c r="T29" i="63"/>
  <c r="S29" i="63"/>
  <c r="R29" i="63"/>
  <c r="Q29" i="63"/>
  <c r="M29" i="63"/>
  <c r="L29" i="63"/>
  <c r="U28" i="63"/>
  <c r="T28" i="63"/>
  <c r="S28" i="63"/>
  <c r="R28" i="63"/>
  <c r="Q28" i="63"/>
  <c r="M28" i="63"/>
  <c r="L28" i="63"/>
  <c r="U27" i="63"/>
  <c r="T27" i="63"/>
  <c r="S27" i="63"/>
  <c r="R27" i="63"/>
  <c r="Q27" i="63"/>
  <c r="P27" i="63"/>
  <c r="M27" i="63"/>
  <c r="L27" i="63"/>
  <c r="U26" i="63"/>
  <c r="T26" i="63"/>
  <c r="S26" i="63"/>
  <c r="R26" i="63"/>
  <c r="Q26" i="63"/>
  <c r="M26" i="63"/>
  <c r="L26" i="63"/>
  <c r="U25" i="63"/>
  <c r="T25" i="63"/>
  <c r="S25" i="63"/>
  <c r="R25" i="63"/>
  <c r="Q25" i="63"/>
  <c r="P25" i="63"/>
  <c r="M25" i="63"/>
  <c r="L25" i="63"/>
  <c r="U24" i="63"/>
  <c r="T24" i="63"/>
  <c r="S24" i="63"/>
  <c r="R24" i="63"/>
  <c r="Q24" i="63"/>
  <c r="M24" i="63"/>
  <c r="L24" i="63"/>
  <c r="U23" i="63"/>
  <c r="T23" i="63"/>
  <c r="S23" i="63"/>
  <c r="R23" i="63"/>
  <c r="Q23" i="63"/>
  <c r="P23" i="63"/>
  <c r="M23" i="63"/>
  <c r="L23" i="63"/>
  <c r="U22" i="63"/>
  <c r="T22" i="63"/>
  <c r="S22" i="63"/>
  <c r="R22" i="63"/>
  <c r="Q22" i="63"/>
  <c r="M22" i="63"/>
  <c r="L22" i="63"/>
  <c r="U21" i="63"/>
  <c r="T21" i="63"/>
  <c r="S21" i="63"/>
  <c r="R21" i="63"/>
  <c r="Q21" i="63"/>
  <c r="M21" i="63"/>
  <c r="L21" i="63"/>
  <c r="U20" i="63"/>
  <c r="T20" i="63"/>
  <c r="S20" i="63"/>
  <c r="R20" i="63"/>
  <c r="Q20" i="63"/>
  <c r="M20" i="63"/>
  <c r="L20" i="63"/>
  <c r="U19" i="63"/>
  <c r="T19" i="63"/>
  <c r="S19" i="63"/>
  <c r="R19" i="63"/>
  <c r="Q19" i="63"/>
  <c r="P19" i="63"/>
  <c r="M19" i="63"/>
  <c r="L19" i="63"/>
  <c r="U18" i="63"/>
  <c r="T18" i="63"/>
  <c r="S18" i="63"/>
  <c r="R18" i="63"/>
  <c r="Q18" i="63"/>
  <c r="P18" i="63"/>
  <c r="M18" i="63"/>
  <c r="L18" i="63"/>
  <c r="U17" i="63"/>
  <c r="T17" i="63"/>
  <c r="S17" i="63"/>
  <c r="R17" i="63"/>
  <c r="Q17" i="63"/>
  <c r="M17" i="63"/>
  <c r="L17" i="63"/>
  <c r="U16" i="63"/>
  <c r="T16" i="63"/>
  <c r="S16" i="63"/>
  <c r="R16" i="63"/>
  <c r="Q16" i="63"/>
  <c r="P16" i="63"/>
  <c r="M16" i="63"/>
  <c r="L16" i="63"/>
  <c r="U15" i="63"/>
  <c r="T15" i="63"/>
  <c r="S15" i="63"/>
  <c r="R15" i="63"/>
  <c r="Q15" i="63"/>
  <c r="M15" i="63"/>
  <c r="L15" i="63"/>
  <c r="U14" i="63"/>
  <c r="T14" i="63"/>
  <c r="S14" i="63"/>
  <c r="R14" i="63"/>
  <c r="Q14" i="63"/>
  <c r="M14" i="63"/>
  <c r="L14" i="63"/>
  <c r="U13" i="63"/>
  <c r="T13" i="63"/>
  <c r="S13" i="63"/>
  <c r="R13" i="63"/>
  <c r="Q13" i="63"/>
  <c r="M13" i="63"/>
  <c r="L13" i="63"/>
  <c r="U12" i="63"/>
  <c r="T12" i="63"/>
  <c r="S12" i="63"/>
  <c r="R12" i="63"/>
  <c r="Q12" i="63"/>
  <c r="N12" i="63"/>
  <c r="M12" i="63"/>
  <c r="L12" i="63"/>
  <c r="U11" i="63"/>
  <c r="T11" i="63"/>
  <c r="S11" i="63"/>
  <c r="R11" i="63"/>
  <c r="Q11" i="63"/>
  <c r="M11" i="63"/>
  <c r="L11" i="63"/>
  <c r="U10" i="63"/>
  <c r="T10" i="63"/>
  <c r="S10" i="63"/>
  <c r="R10" i="63"/>
  <c r="Q10" i="63"/>
  <c r="M10" i="63"/>
  <c r="L10" i="63"/>
  <c r="U9" i="63"/>
  <c r="T9" i="63"/>
  <c r="S9" i="63"/>
  <c r="R9" i="63"/>
  <c r="Q9" i="63"/>
  <c r="M9" i="63"/>
  <c r="L9" i="63"/>
  <c r="U8" i="63"/>
  <c r="T8" i="63"/>
  <c r="S8" i="63"/>
  <c r="R8" i="63"/>
  <c r="Q8" i="63"/>
  <c r="P8" i="63"/>
  <c r="M8" i="63"/>
  <c r="L8" i="63"/>
  <c r="U7" i="63"/>
  <c r="T7" i="63"/>
  <c r="S7" i="63"/>
  <c r="R7" i="63"/>
  <c r="Q7" i="63"/>
  <c r="P7" i="63"/>
  <c r="M7" i="63"/>
  <c r="L7" i="63"/>
  <c r="U6" i="63"/>
  <c r="T6" i="63"/>
  <c r="S6" i="63"/>
  <c r="R6" i="63"/>
  <c r="Q6" i="63"/>
  <c r="M6" i="63"/>
  <c r="L6" i="63"/>
  <c r="U5" i="63"/>
  <c r="T5" i="63"/>
  <c r="S5" i="63"/>
  <c r="R5" i="63"/>
  <c r="Q5" i="63"/>
  <c r="P5" i="63"/>
  <c r="M5" i="63"/>
  <c r="L5" i="63"/>
  <c r="U4" i="63"/>
  <c r="T4" i="63"/>
  <c r="S4" i="63"/>
  <c r="R4" i="63"/>
  <c r="Q4" i="63"/>
  <c r="P4" i="63"/>
  <c r="M4" i="63"/>
  <c r="L4" i="63"/>
  <c r="U3" i="63"/>
  <c r="T3" i="63"/>
  <c r="S3" i="63"/>
  <c r="R3" i="63"/>
  <c r="Q3" i="63"/>
  <c r="P3" i="63"/>
  <c r="M3" i="63"/>
  <c r="L3" i="63"/>
  <c r="U2" i="63"/>
  <c r="T2" i="63"/>
  <c r="S2" i="63"/>
  <c r="R2" i="63"/>
  <c r="Q2" i="63"/>
  <c r="M2" i="63"/>
  <c r="L2" i="63"/>
  <c r="B4" i="15"/>
  <c r="C4" i="15" s="1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U161" i="61"/>
  <c r="T161" i="61"/>
  <c r="S161" i="61"/>
  <c r="R161" i="61"/>
  <c r="Q161" i="61"/>
  <c r="M161" i="61"/>
  <c r="L161" i="61"/>
  <c r="U160" i="61"/>
  <c r="T160" i="61"/>
  <c r="S160" i="61"/>
  <c r="R160" i="61"/>
  <c r="Q160" i="61"/>
  <c r="P160" i="61"/>
  <c r="M160" i="61"/>
  <c r="L160" i="61"/>
  <c r="U159" i="61"/>
  <c r="T159" i="61"/>
  <c r="S159" i="61"/>
  <c r="R159" i="61"/>
  <c r="Q159" i="61"/>
  <c r="P159" i="61"/>
  <c r="M159" i="61"/>
  <c r="L159" i="61"/>
  <c r="U158" i="61"/>
  <c r="T158" i="61"/>
  <c r="S158" i="61"/>
  <c r="R158" i="61"/>
  <c r="Q158" i="61"/>
  <c r="M158" i="61"/>
  <c r="L158" i="61"/>
  <c r="U157" i="61"/>
  <c r="T157" i="61"/>
  <c r="S157" i="61"/>
  <c r="R157" i="61"/>
  <c r="Q157" i="61"/>
  <c r="P157" i="61"/>
  <c r="M157" i="61"/>
  <c r="L157" i="61"/>
  <c r="U156" i="61"/>
  <c r="T156" i="61"/>
  <c r="S156" i="61"/>
  <c r="R156" i="61"/>
  <c r="Q156" i="61"/>
  <c r="P156" i="61"/>
  <c r="N156" i="61"/>
  <c r="M156" i="61"/>
  <c r="L156" i="61"/>
  <c r="U155" i="61"/>
  <c r="T155" i="61"/>
  <c r="S155" i="61"/>
  <c r="R155" i="61"/>
  <c r="Q155" i="61"/>
  <c r="P155" i="61"/>
  <c r="M155" i="61"/>
  <c r="L155" i="61"/>
  <c r="U154" i="61"/>
  <c r="T154" i="61"/>
  <c r="S154" i="61"/>
  <c r="R154" i="61"/>
  <c r="Q154" i="61"/>
  <c r="M154" i="61"/>
  <c r="L154" i="61"/>
  <c r="U153" i="61"/>
  <c r="T153" i="61"/>
  <c r="S153" i="61"/>
  <c r="R153" i="61"/>
  <c r="Q153" i="61"/>
  <c r="P153" i="61"/>
  <c r="M153" i="61"/>
  <c r="L153" i="61"/>
  <c r="U152" i="61"/>
  <c r="T152" i="61"/>
  <c r="S152" i="61"/>
  <c r="R152" i="61"/>
  <c r="Q152" i="61"/>
  <c r="P152" i="61"/>
  <c r="M152" i="61"/>
  <c r="L152" i="61"/>
  <c r="U151" i="61"/>
  <c r="T151" i="61"/>
  <c r="S151" i="61"/>
  <c r="R151" i="61"/>
  <c r="Q151" i="61"/>
  <c r="P151" i="61"/>
  <c r="M151" i="61"/>
  <c r="L151" i="61"/>
  <c r="U150" i="61"/>
  <c r="T150" i="61"/>
  <c r="S150" i="61"/>
  <c r="R150" i="61"/>
  <c r="Q150" i="61"/>
  <c r="P150" i="61"/>
  <c r="M150" i="61"/>
  <c r="L150" i="61"/>
  <c r="U149" i="61"/>
  <c r="T149" i="61"/>
  <c r="S149" i="61"/>
  <c r="R149" i="61"/>
  <c r="Q149" i="61"/>
  <c r="P149" i="61"/>
  <c r="M149" i="61"/>
  <c r="L149" i="61"/>
  <c r="U148" i="61"/>
  <c r="T148" i="61"/>
  <c r="S148" i="61"/>
  <c r="R148" i="61"/>
  <c r="Q148" i="61"/>
  <c r="M148" i="61"/>
  <c r="L148" i="61"/>
  <c r="U147" i="61"/>
  <c r="T147" i="61"/>
  <c r="S147" i="61"/>
  <c r="R147" i="61"/>
  <c r="Q147" i="61"/>
  <c r="N147" i="61"/>
  <c r="M147" i="61"/>
  <c r="L147" i="61"/>
  <c r="U146" i="61"/>
  <c r="T146" i="61"/>
  <c r="S146" i="61"/>
  <c r="R146" i="61"/>
  <c r="Q146" i="61"/>
  <c r="P146" i="61"/>
  <c r="M146" i="61"/>
  <c r="L146" i="61"/>
  <c r="U145" i="61"/>
  <c r="T145" i="61"/>
  <c r="S145" i="61"/>
  <c r="R145" i="61"/>
  <c r="Q145" i="61"/>
  <c r="P145" i="61"/>
  <c r="M145" i="61"/>
  <c r="L145" i="61"/>
  <c r="U144" i="61"/>
  <c r="T144" i="61"/>
  <c r="S144" i="61"/>
  <c r="R144" i="61"/>
  <c r="Q144" i="61"/>
  <c r="P144" i="61"/>
  <c r="M144" i="61"/>
  <c r="L144" i="61"/>
  <c r="U143" i="61"/>
  <c r="T143" i="61"/>
  <c r="S143" i="61"/>
  <c r="R143" i="61"/>
  <c r="Q143" i="61"/>
  <c r="P143" i="61"/>
  <c r="M143" i="61"/>
  <c r="L143" i="61"/>
  <c r="U142" i="61"/>
  <c r="T142" i="61"/>
  <c r="S142" i="61"/>
  <c r="R142" i="61"/>
  <c r="Q142" i="61"/>
  <c r="M142" i="61"/>
  <c r="L142" i="61"/>
  <c r="U141" i="61"/>
  <c r="T141" i="61"/>
  <c r="S141" i="61"/>
  <c r="R141" i="61"/>
  <c r="Q141" i="61"/>
  <c r="M141" i="61"/>
  <c r="L141" i="61"/>
  <c r="U140" i="61"/>
  <c r="T140" i="61"/>
  <c r="S140" i="61"/>
  <c r="R140" i="61"/>
  <c r="Q140" i="61"/>
  <c r="M140" i="61"/>
  <c r="L140" i="61"/>
  <c r="U139" i="61"/>
  <c r="T139" i="61"/>
  <c r="S139" i="61"/>
  <c r="R139" i="61"/>
  <c r="Q139" i="61"/>
  <c r="M139" i="61"/>
  <c r="L139" i="61"/>
  <c r="U138" i="61"/>
  <c r="T138" i="61"/>
  <c r="S138" i="61"/>
  <c r="R138" i="61"/>
  <c r="Q138" i="61"/>
  <c r="M138" i="61"/>
  <c r="L138" i="61"/>
  <c r="U137" i="61"/>
  <c r="T137" i="61"/>
  <c r="S137" i="61"/>
  <c r="R137" i="61"/>
  <c r="Q137" i="61"/>
  <c r="P137" i="61"/>
  <c r="M137" i="61"/>
  <c r="L137" i="61"/>
  <c r="U136" i="61"/>
  <c r="T136" i="61"/>
  <c r="S136" i="61"/>
  <c r="R136" i="61"/>
  <c r="Q136" i="61"/>
  <c r="M136" i="61"/>
  <c r="L136" i="61"/>
  <c r="U135" i="61"/>
  <c r="T135" i="61"/>
  <c r="S135" i="61"/>
  <c r="R135" i="61"/>
  <c r="Q135" i="61"/>
  <c r="P135" i="61"/>
  <c r="M135" i="61"/>
  <c r="L135" i="61"/>
  <c r="U134" i="61"/>
  <c r="T134" i="61"/>
  <c r="S134" i="61"/>
  <c r="R134" i="61"/>
  <c r="Q134" i="61"/>
  <c r="P134" i="61"/>
  <c r="M134" i="61"/>
  <c r="L134" i="61"/>
  <c r="U133" i="61"/>
  <c r="T133" i="61"/>
  <c r="S133" i="61"/>
  <c r="R133" i="61"/>
  <c r="Q133" i="61"/>
  <c r="M133" i="61"/>
  <c r="L133" i="61"/>
  <c r="U132" i="61"/>
  <c r="T132" i="61"/>
  <c r="S132" i="61"/>
  <c r="R132" i="61"/>
  <c r="Q132" i="61"/>
  <c r="P132" i="61"/>
  <c r="M132" i="61"/>
  <c r="L132" i="61"/>
  <c r="U131" i="61"/>
  <c r="T131" i="61"/>
  <c r="S131" i="61"/>
  <c r="R131" i="61"/>
  <c r="Q131" i="61"/>
  <c r="P131" i="61"/>
  <c r="M131" i="61"/>
  <c r="L131" i="61"/>
  <c r="U130" i="61"/>
  <c r="T130" i="61"/>
  <c r="S130" i="61"/>
  <c r="R130" i="61"/>
  <c r="Q130" i="61"/>
  <c r="P130" i="61"/>
  <c r="M130" i="61"/>
  <c r="L130" i="61"/>
  <c r="U129" i="61"/>
  <c r="T129" i="61"/>
  <c r="S129" i="61"/>
  <c r="R129" i="61"/>
  <c r="Q129" i="61"/>
  <c r="P129" i="61"/>
  <c r="M129" i="61"/>
  <c r="L129" i="61"/>
  <c r="U128" i="61"/>
  <c r="T128" i="61"/>
  <c r="S128" i="61"/>
  <c r="R128" i="61"/>
  <c r="Q128" i="61"/>
  <c r="M128" i="61"/>
  <c r="L128" i="61"/>
  <c r="U127" i="61"/>
  <c r="T127" i="61"/>
  <c r="S127" i="61"/>
  <c r="R127" i="61"/>
  <c r="Q127" i="61"/>
  <c r="M127" i="61"/>
  <c r="L127" i="61"/>
  <c r="U126" i="61"/>
  <c r="T126" i="61"/>
  <c r="S126" i="61"/>
  <c r="R126" i="61"/>
  <c r="Q126" i="61"/>
  <c r="P126" i="61"/>
  <c r="M126" i="61"/>
  <c r="L126" i="61"/>
  <c r="U125" i="61"/>
  <c r="T125" i="61"/>
  <c r="S125" i="61"/>
  <c r="R125" i="61"/>
  <c r="Q125" i="61"/>
  <c r="P125" i="61"/>
  <c r="N125" i="61"/>
  <c r="M125" i="61"/>
  <c r="L125" i="61"/>
  <c r="U124" i="61"/>
  <c r="T124" i="61"/>
  <c r="S124" i="61"/>
  <c r="R124" i="61"/>
  <c r="Q124" i="61"/>
  <c r="P124" i="61"/>
  <c r="M124" i="61"/>
  <c r="L124" i="61"/>
  <c r="U123" i="61"/>
  <c r="T123" i="61"/>
  <c r="S123" i="61"/>
  <c r="R123" i="61"/>
  <c r="Q123" i="61"/>
  <c r="M123" i="61"/>
  <c r="L123" i="61"/>
  <c r="U122" i="61"/>
  <c r="T122" i="61"/>
  <c r="S122" i="61"/>
  <c r="R122" i="61"/>
  <c r="Q122" i="61"/>
  <c r="N122" i="61"/>
  <c r="M122" i="61"/>
  <c r="L122" i="61"/>
  <c r="U121" i="61"/>
  <c r="T121" i="61"/>
  <c r="S121" i="61"/>
  <c r="R121" i="61"/>
  <c r="Q121" i="61"/>
  <c r="M121" i="61"/>
  <c r="L121" i="61"/>
  <c r="U120" i="61"/>
  <c r="T120" i="61"/>
  <c r="S120" i="61"/>
  <c r="R120" i="61"/>
  <c r="Q120" i="61"/>
  <c r="P120" i="61"/>
  <c r="M120" i="61"/>
  <c r="L120" i="61"/>
  <c r="U119" i="61"/>
  <c r="T119" i="61"/>
  <c r="S119" i="61"/>
  <c r="R119" i="61"/>
  <c r="Q119" i="61"/>
  <c r="P119" i="61"/>
  <c r="M119" i="61"/>
  <c r="L119" i="61"/>
  <c r="U118" i="61"/>
  <c r="T118" i="61"/>
  <c r="S118" i="61"/>
  <c r="R118" i="61"/>
  <c r="Q118" i="61"/>
  <c r="P118" i="61"/>
  <c r="M118" i="61"/>
  <c r="L118" i="61"/>
  <c r="U117" i="61"/>
  <c r="T117" i="61"/>
  <c r="S117" i="61"/>
  <c r="R117" i="61"/>
  <c r="Q117" i="61"/>
  <c r="P117" i="61"/>
  <c r="N117" i="61"/>
  <c r="M117" i="61"/>
  <c r="L117" i="61"/>
  <c r="U116" i="61"/>
  <c r="T116" i="61"/>
  <c r="S116" i="61"/>
  <c r="R116" i="61"/>
  <c r="Q116" i="61"/>
  <c r="M116" i="61"/>
  <c r="L116" i="61"/>
  <c r="U115" i="61"/>
  <c r="T115" i="61"/>
  <c r="S115" i="61"/>
  <c r="R115" i="61"/>
  <c r="Q115" i="61"/>
  <c r="P115" i="61"/>
  <c r="M115" i="61"/>
  <c r="L115" i="61"/>
  <c r="U114" i="61"/>
  <c r="T114" i="61"/>
  <c r="S114" i="61"/>
  <c r="R114" i="61"/>
  <c r="Q114" i="61"/>
  <c r="M114" i="61"/>
  <c r="L114" i="61"/>
  <c r="U113" i="61"/>
  <c r="T113" i="61"/>
  <c r="S113" i="61"/>
  <c r="R113" i="61"/>
  <c r="Q113" i="61"/>
  <c r="N113" i="61"/>
  <c r="M113" i="61"/>
  <c r="L113" i="61"/>
  <c r="U112" i="61"/>
  <c r="T112" i="61"/>
  <c r="S112" i="61"/>
  <c r="R112" i="61"/>
  <c r="Q112" i="61"/>
  <c r="M112" i="61"/>
  <c r="L112" i="61"/>
  <c r="U111" i="61"/>
  <c r="T111" i="61"/>
  <c r="S111" i="61"/>
  <c r="R111" i="61"/>
  <c r="Q111" i="61"/>
  <c r="P111" i="61"/>
  <c r="M111" i="61"/>
  <c r="L111" i="61"/>
  <c r="U110" i="61"/>
  <c r="T110" i="61"/>
  <c r="S110" i="61"/>
  <c r="R110" i="61"/>
  <c r="Q110" i="61"/>
  <c r="M110" i="61"/>
  <c r="L110" i="61"/>
  <c r="U109" i="61"/>
  <c r="T109" i="61"/>
  <c r="S109" i="61"/>
  <c r="R109" i="61"/>
  <c r="Q109" i="61"/>
  <c r="P109" i="61"/>
  <c r="M109" i="61"/>
  <c r="L109" i="61"/>
  <c r="U108" i="61"/>
  <c r="T108" i="61"/>
  <c r="S108" i="61"/>
  <c r="R108" i="61"/>
  <c r="Q108" i="61"/>
  <c r="P108" i="61"/>
  <c r="M108" i="61"/>
  <c r="L108" i="61"/>
  <c r="U107" i="61"/>
  <c r="T107" i="61"/>
  <c r="S107" i="61"/>
  <c r="R107" i="61"/>
  <c r="Q107" i="61"/>
  <c r="P107" i="61"/>
  <c r="M107" i="61"/>
  <c r="L107" i="61"/>
  <c r="U106" i="61"/>
  <c r="T106" i="61"/>
  <c r="S106" i="61"/>
  <c r="R106" i="61"/>
  <c r="Q106" i="61"/>
  <c r="P106" i="61"/>
  <c r="M106" i="61"/>
  <c r="L106" i="61"/>
  <c r="U105" i="61"/>
  <c r="T105" i="61"/>
  <c r="S105" i="61"/>
  <c r="R105" i="61"/>
  <c r="Q105" i="61"/>
  <c r="M105" i="61"/>
  <c r="L105" i="61"/>
  <c r="U104" i="61"/>
  <c r="T104" i="61"/>
  <c r="S104" i="61"/>
  <c r="R104" i="61"/>
  <c r="Q104" i="61"/>
  <c r="P104" i="61"/>
  <c r="M104" i="61"/>
  <c r="L104" i="61"/>
  <c r="U103" i="61"/>
  <c r="T103" i="61"/>
  <c r="S103" i="61"/>
  <c r="R103" i="61"/>
  <c r="Q103" i="61"/>
  <c r="P103" i="61"/>
  <c r="M103" i="61"/>
  <c r="L103" i="61"/>
  <c r="U102" i="61"/>
  <c r="T102" i="61"/>
  <c r="S102" i="61"/>
  <c r="R102" i="61"/>
  <c r="Q102" i="61"/>
  <c r="P102" i="61"/>
  <c r="M102" i="61"/>
  <c r="L102" i="61"/>
  <c r="U101" i="61"/>
  <c r="T101" i="61"/>
  <c r="S101" i="61"/>
  <c r="R101" i="61"/>
  <c r="Q101" i="61"/>
  <c r="P101" i="61"/>
  <c r="M101" i="61"/>
  <c r="L101" i="61"/>
  <c r="U100" i="61"/>
  <c r="T100" i="61"/>
  <c r="S100" i="61"/>
  <c r="R100" i="61"/>
  <c r="Q100" i="61"/>
  <c r="M100" i="61"/>
  <c r="L100" i="61"/>
  <c r="U99" i="61"/>
  <c r="T99" i="61"/>
  <c r="S99" i="61"/>
  <c r="R99" i="61"/>
  <c r="Q99" i="61"/>
  <c r="M99" i="61"/>
  <c r="L99" i="61"/>
  <c r="U98" i="61"/>
  <c r="T98" i="61"/>
  <c r="S98" i="61"/>
  <c r="R98" i="61"/>
  <c r="Q98" i="61"/>
  <c r="N98" i="61"/>
  <c r="M98" i="61"/>
  <c r="L98" i="61"/>
  <c r="U97" i="61"/>
  <c r="T97" i="61"/>
  <c r="S97" i="61"/>
  <c r="R97" i="61"/>
  <c r="Q97" i="61"/>
  <c r="P97" i="61"/>
  <c r="M97" i="61"/>
  <c r="L97" i="61"/>
  <c r="U96" i="61"/>
  <c r="T96" i="61"/>
  <c r="S96" i="61"/>
  <c r="R96" i="61"/>
  <c r="Q96" i="61"/>
  <c r="P96" i="61"/>
  <c r="M96" i="61"/>
  <c r="L96" i="61"/>
  <c r="U95" i="61"/>
  <c r="T95" i="61"/>
  <c r="S95" i="61"/>
  <c r="R95" i="61"/>
  <c r="Q95" i="61"/>
  <c r="M95" i="61"/>
  <c r="L95" i="61"/>
  <c r="U94" i="61"/>
  <c r="T94" i="61"/>
  <c r="S94" i="61"/>
  <c r="R94" i="61"/>
  <c r="Q94" i="61"/>
  <c r="M94" i="61"/>
  <c r="L94" i="61"/>
  <c r="U93" i="61"/>
  <c r="T93" i="61"/>
  <c r="S93" i="61"/>
  <c r="R93" i="61"/>
  <c r="Q93" i="61"/>
  <c r="P93" i="61"/>
  <c r="M93" i="61"/>
  <c r="L93" i="61"/>
  <c r="U92" i="61"/>
  <c r="T92" i="61"/>
  <c r="S92" i="61"/>
  <c r="R92" i="61"/>
  <c r="Q92" i="61"/>
  <c r="P92" i="61"/>
  <c r="M92" i="61"/>
  <c r="L92" i="61"/>
  <c r="U91" i="61"/>
  <c r="T91" i="61"/>
  <c r="S91" i="61"/>
  <c r="R91" i="61"/>
  <c r="Q91" i="61"/>
  <c r="M91" i="61"/>
  <c r="L91" i="61"/>
  <c r="U90" i="61"/>
  <c r="T90" i="61"/>
  <c r="S90" i="61"/>
  <c r="R90" i="61"/>
  <c r="Q90" i="61"/>
  <c r="P90" i="61"/>
  <c r="N90" i="61"/>
  <c r="M90" i="61"/>
  <c r="L90" i="61"/>
  <c r="U89" i="61"/>
  <c r="T89" i="61"/>
  <c r="S89" i="61"/>
  <c r="R89" i="61"/>
  <c r="Q89" i="61"/>
  <c r="P89" i="61"/>
  <c r="M89" i="61"/>
  <c r="L89" i="61"/>
  <c r="U88" i="61"/>
  <c r="T88" i="61"/>
  <c r="S88" i="61"/>
  <c r="R88" i="61"/>
  <c r="Q88" i="61"/>
  <c r="M88" i="61"/>
  <c r="L88" i="61"/>
  <c r="U87" i="61"/>
  <c r="T87" i="61"/>
  <c r="S87" i="61"/>
  <c r="R87" i="61"/>
  <c r="Q87" i="61"/>
  <c r="M87" i="61"/>
  <c r="L87" i="61"/>
  <c r="U86" i="61"/>
  <c r="T86" i="61"/>
  <c r="S86" i="61"/>
  <c r="R86" i="61"/>
  <c r="Q86" i="61"/>
  <c r="P86" i="61"/>
  <c r="M86" i="61"/>
  <c r="L86" i="61"/>
  <c r="U85" i="61"/>
  <c r="T85" i="61"/>
  <c r="S85" i="61"/>
  <c r="R85" i="61"/>
  <c r="Q85" i="61"/>
  <c r="M85" i="61"/>
  <c r="L85" i="61"/>
  <c r="U84" i="61"/>
  <c r="T84" i="61"/>
  <c r="S84" i="61"/>
  <c r="R84" i="61"/>
  <c r="Q84" i="61"/>
  <c r="P84" i="61"/>
  <c r="M84" i="61"/>
  <c r="L84" i="61"/>
  <c r="U83" i="61"/>
  <c r="T83" i="61"/>
  <c r="S83" i="61"/>
  <c r="R83" i="61"/>
  <c r="Q83" i="61"/>
  <c r="P83" i="61"/>
  <c r="M83" i="61"/>
  <c r="L83" i="61"/>
  <c r="U82" i="61"/>
  <c r="T82" i="61"/>
  <c r="S82" i="61"/>
  <c r="R82" i="61"/>
  <c r="Q82" i="61"/>
  <c r="P82" i="61"/>
  <c r="N82" i="61"/>
  <c r="M82" i="61"/>
  <c r="L82" i="61"/>
  <c r="U81" i="61"/>
  <c r="T81" i="61"/>
  <c r="S81" i="61"/>
  <c r="R81" i="61"/>
  <c r="Q81" i="61"/>
  <c r="P81" i="61"/>
  <c r="M81" i="61"/>
  <c r="L81" i="61"/>
  <c r="U80" i="61"/>
  <c r="T80" i="61"/>
  <c r="S80" i="61"/>
  <c r="R80" i="61"/>
  <c r="Q80" i="61"/>
  <c r="P80" i="61"/>
  <c r="M80" i="61"/>
  <c r="L80" i="61"/>
  <c r="U79" i="61"/>
  <c r="T79" i="61"/>
  <c r="S79" i="61"/>
  <c r="R79" i="61"/>
  <c r="Q79" i="61"/>
  <c r="M79" i="61"/>
  <c r="L79" i="61"/>
  <c r="U78" i="61"/>
  <c r="T78" i="61"/>
  <c r="S78" i="61"/>
  <c r="R78" i="61"/>
  <c r="Q78" i="61"/>
  <c r="P78" i="61"/>
  <c r="M78" i="61"/>
  <c r="L78" i="61"/>
  <c r="U77" i="61"/>
  <c r="T77" i="61"/>
  <c r="S77" i="61"/>
  <c r="R77" i="61"/>
  <c r="Q77" i="61"/>
  <c r="N77" i="61"/>
  <c r="M77" i="61"/>
  <c r="L77" i="61"/>
  <c r="U76" i="61"/>
  <c r="T76" i="61"/>
  <c r="S76" i="61"/>
  <c r="R76" i="61"/>
  <c r="Q76" i="61"/>
  <c r="P76" i="61"/>
  <c r="M76" i="61"/>
  <c r="L76" i="61"/>
  <c r="U75" i="61"/>
  <c r="T75" i="61"/>
  <c r="S75" i="61"/>
  <c r="R75" i="61"/>
  <c r="Q75" i="61"/>
  <c r="P75" i="61"/>
  <c r="M75" i="61"/>
  <c r="L75" i="61"/>
  <c r="U74" i="61"/>
  <c r="T74" i="61"/>
  <c r="S74" i="61"/>
  <c r="R74" i="61"/>
  <c r="Q74" i="61"/>
  <c r="P74" i="61"/>
  <c r="M74" i="61"/>
  <c r="L74" i="61"/>
  <c r="U73" i="61"/>
  <c r="T73" i="61"/>
  <c r="S73" i="61"/>
  <c r="R73" i="61"/>
  <c r="Q73" i="61"/>
  <c r="P73" i="61"/>
  <c r="M73" i="61"/>
  <c r="L73" i="61"/>
  <c r="U72" i="61"/>
  <c r="T72" i="61"/>
  <c r="S72" i="61"/>
  <c r="R72" i="61"/>
  <c r="Q72" i="61"/>
  <c r="M72" i="61"/>
  <c r="L72" i="61"/>
  <c r="U71" i="61"/>
  <c r="T71" i="61"/>
  <c r="S71" i="61"/>
  <c r="R71" i="61"/>
  <c r="Q71" i="61"/>
  <c r="P71" i="61"/>
  <c r="M71" i="61"/>
  <c r="L71" i="61"/>
  <c r="U70" i="61"/>
  <c r="T70" i="61"/>
  <c r="S70" i="61"/>
  <c r="R70" i="61"/>
  <c r="Q70" i="61"/>
  <c r="P70" i="61"/>
  <c r="M70" i="61"/>
  <c r="L70" i="61"/>
  <c r="U69" i="61"/>
  <c r="T69" i="61"/>
  <c r="S69" i="61"/>
  <c r="R69" i="61"/>
  <c r="Q69" i="61"/>
  <c r="M69" i="61"/>
  <c r="L69" i="61"/>
  <c r="U68" i="61"/>
  <c r="T68" i="61"/>
  <c r="S68" i="61"/>
  <c r="R68" i="61"/>
  <c r="Q68" i="61"/>
  <c r="M68" i="61"/>
  <c r="L68" i="61"/>
  <c r="U67" i="61"/>
  <c r="T67" i="61"/>
  <c r="S67" i="61"/>
  <c r="R67" i="61"/>
  <c r="Q67" i="61"/>
  <c r="M67" i="61"/>
  <c r="L67" i="61"/>
  <c r="U66" i="61"/>
  <c r="T66" i="61"/>
  <c r="S66" i="61"/>
  <c r="R66" i="61"/>
  <c r="Q66" i="61"/>
  <c r="P66" i="61"/>
  <c r="M66" i="61"/>
  <c r="L66" i="61"/>
  <c r="U65" i="61"/>
  <c r="T65" i="61"/>
  <c r="S65" i="61"/>
  <c r="R65" i="61"/>
  <c r="Q65" i="61"/>
  <c r="N65" i="61"/>
  <c r="M65" i="61"/>
  <c r="L65" i="61"/>
  <c r="U64" i="61"/>
  <c r="T64" i="61"/>
  <c r="S64" i="61"/>
  <c r="R64" i="61"/>
  <c r="Q64" i="61"/>
  <c r="M64" i="61"/>
  <c r="L64" i="61"/>
  <c r="U63" i="61"/>
  <c r="T63" i="61"/>
  <c r="S63" i="61"/>
  <c r="R63" i="61"/>
  <c r="Q63" i="61"/>
  <c r="P63" i="61"/>
  <c r="M63" i="61"/>
  <c r="L63" i="61"/>
  <c r="U62" i="61"/>
  <c r="T62" i="61"/>
  <c r="S62" i="61"/>
  <c r="R62" i="61"/>
  <c r="Q62" i="61"/>
  <c r="P62" i="61"/>
  <c r="M62" i="61"/>
  <c r="L62" i="61"/>
  <c r="U61" i="61"/>
  <c r="T61" i="61"/>
  <c r="S61" i="61"/>
  <c r="R61" i="61"/>
  <c r="Q61" i="61"/>
  <c r="P61" i="61"/>
  <c r="M61" i="61"/>
  <c r="L61" i="61"/>
  <c r="U60" i="61"/>
  <c r="T60" i="61"/>
  <c r="S60" i="61"/>
  <c r="R60" i="61"/>
  <c r="Q60" i="61"/>
  <c r="P60" i="61"/>
  <c r="M60" i="61"/>
  <c r="L60" i="61"/>
  <c r="U59" i="61"/>
  <c r="T59" i="61"/>
  <c r="S59" i="61"/>
  <c r="R59" i="61"/>
  <c r="Q59" i="61"/>
  <c r="P59" i="61"/>
  <c r="M59" i="61"/>
  <c r="L59" i="61"/>
  <c r="U58" i="61"/>
  <c r="T58" i="61"/>
  <c r="S58" i="61"/>
  <c r="R58" i="61"/>
  <c r="Q58" i="61"/>
  <c r="P58" i="61"/>
  <c r="M58" i="61"/>
  <c r="L58" i="61"/>
  <c r="U57" i="61"/>
  <c r="T57" i="61"/>
  <c r="S57" i="61"/>
  <c r="R57" i="61"/>
  <c r="Q57" i="61"/>
  <c r="N57" i="61"/>
  <c r="M57" i="61"/>
  <c r="L57" i="61"/>
  <c r="U56" i="61"/>
  <c r="T56" i="61"/>
  <c r="S56" i="61"/>
  <c r="R56" i="61"/>
  <c r="Q56" i="61"/>
  <c r="P56" i="61"/>
  <c r="M56" i="61"/>
  <c r="L56" i="61"/>
  <c r="U55" i="61"/>
  <c r="T55" i="61"/>
  <c r="S55" i="61"/>
  <c r="R55" i="61"/>
  <c r="Q55" i="61"/>
  <c r="P55" i="61"/>
  <c r="M55" i="61"/>
  <c r="L55" i="61"/>
  <c r="U54" i="61"/>
  <c r="T54" i="61"/>
  <c r="S54" i="61"/>
  <c r="R54" i="61"/>
  <c r="Q54" i="61"/>
  <c r="M54" i="61"/>
  <c r="L54" i="61"/>
  <c r="U53" i="61"/>
  <c r="T53" i="61"/>
  <c r="S53" i="61"/>
  <c r="R53" i="61"/>
  <c r="Q53" i="61"/>
  <c r="P53" i="61"/>
  <c r="M53" i="61"/>
  <c r="L53" i="61"/>
  <c r="U52" i="61"/>
  <c r="T52" i="61"/>
  <c r="S52" i="61"/>
  <c r="R52" i="61"/>
  <c r="Q52" i="61"/>
  <c r="P52" i="61"/>
  <c r="M52" i="61"/>
  <c r="L52" i="61"/>
  <c r="U51" i="61"/>
  <c r="T51" i="61"/>
  <c r="S51" i="61"/>
  <c r="R51" i="61"/>
  <c r="Q51" i="61"/>
  <c r="P51" i="61"/>
  <c r="M51" i="61"/>
  <c r="L51" i="61"/>
  <c r="U50" i="61"/>
  <c r="T50" i="61"/>
  <c r="S50" i="61"/>
  <c r="R50" i="61"/>
  <c r="Q50" i="61"/>
  <c r="M50" i="61"/>
  <c r="L50" i="61"/>
  <c r="U49" i="61"/>
  <c r="T49" i="61"/>
  <c r="S49" i="61"/>
  <c r="R49" i="61"/>
  <c r="Q49" i="61"/>
  <c r="P49" i="61"/>
  <c r="M49" i="61"/>
  <c r="L49" i="61"/>
  <c r="U48" i="61"/>
  <c r="T48" i="61"/>
  <c r="S48" i="61"/>
  <c r="R48" i="61"/>
  <c r="Q48" i="61"/>
  <c r="P48" i="61"/>
  <c r="M48" i="61"/>
  <c r="L48" i="61"/>
  <c r="U47" i="61"/>
  <c r="T47" i="61"/>
  <c r="S47" i="61"/>
  <c r="R47" i="61"/>
  <c r="Q47" i="61"/>
  <c r="N47" i="61"/>
  <c r="M47" i="61"/>
  <c r="L47" i="61"/>
  <c r="U46" i="61"/>
  <c r="T46" i="61"/>
  <c r="S46" i="61"/>
  <c r="R46" i="61"/>
  <c r="Q46" i="61"/>
  <c r="P46" i="61"/>
  <c r="M46" i="61"/>
  <c r="L46" i="61"/>
  <c r="U45" i="61"/>
  <c r="T45" i="61"/>
  <c r="S45" i="61"/>
  <c r="R45" i="61"/>
  <c r="Q45" i="61"/>
  <c r="P45" i="61"/>
  <c r="M45" i="61"/>
  <c r="L45" i="61"/>
  <c r="U44" i="61"/>
  <c r="T44" i="61"/>
  <c r="S44" i="61"/>
  <c r="R44" i="61"/>
  <c r="Q44" i="61"/>
  <c r="M44" i="61"/>
  <c r="L44" i="61"/>
  <c r="U43" i="61"/>
  <c r="T43" i="61"/>
  <c r="S43" i="61"/>
  <c r="R43" i="61"/>
  <c r="Q43" i="61"/>
  <c r="P43" i="61"/>
  <c r="M43" i="61"/>
  <c r="L43" i="61"/>
  <c r="U42" i="61"/>
  <c r="T42" i="61"/>
  <c r="S42" i="61"/>
  <c r="R42" i="61"/>
  <c r="Q42" i="61"/>
  <c r="P42" i="61"/>
  <c r="M42" i="61"/>
  <c r="L42" i="61"/>
  <c r="U41" i="61"/>
  <c r="T41" i="61"/>
  <c r="S41" i="61"/>
  <c r="R41" i="61"/>
  <c r="Q41" i="61"/>
  <c r="P41" i="61"/>
  <c r="M41" i="61"/>
  <c r="L41" i="61"/>
  <c r="U40" i="61"/>
  <c r="T40" i="61"/>
  <c r="S40" i="61"/>
  <c r="R40" i="61"/>
  <c r="Q40" i="61"/>
  <c r="P40" i="61"/>
  <c r="M40" i="61"/>
  <c r="L40" i="61"/>
  <c r="U39" i="61"/>
  <c r="T39" i="61"/>
  <c r="S39" i="61"/>
  <c r="R39" i="61"/>
  <c r="Q39" i="61"/>
  <c r="P39" i="61"/>
  <c r="N39" i="61"/>
  <c r="M39" i="61"/>
  <c r="L39" i="61"/>
  <c r="U38" i="61"/>
  <c r="T38" i="61"/>
  <c r="S38" i="61"/>
  <c r="R38" i="61"/>
  <c r="Q38" i="61"/>
  <c r="P38" i="61"/>
  <c r="M38" i="61"/>
  <c r="L38" i="61"/>
  <c r="U37" i="61"/>
  <c r="T37" i="61"/>
  <c r="S37" i="61"/>
  <c r="R37" i="61"/>
  <c r="Q37" i="61"/>
  <c r="P37" i="61"/>
  <c r="M37" i="61"/>
  <c r="L37" i="61"/>
  <c r="U36" i="61"/>
  <c r="T36" i="61"/>
  <c r="S36" i="61"/>
  <c r="R36" i="61"/>
  <c r="Q36" i="61"/>
  <c r="P36" i="61"/>
  <c r="M36" i="61"/>
  <c r="L36" i="61"/>
  <c r="U35" i="61"/>
  <c r="T35" i="61"/>
  <c r="S35" i="61"/>
  <c r="R35" i="61"/>
  <c r="Q35" i="61"/>
  <c r="N35" i="61"/>
  <c r="M35" i="61"/>
  <c r="L35" i="61"/>
  <c r="U34" i="61"/>
  <c r="T34" i="61"/>
  <c r="S34" i="61"/>
  <c r="R34" i="61"/>
  <c r="Q34" i="61"/>
  <c r="P34" i="61"/>
  <c r="M34" i="61"/>
  <c r="L34" i="61"/>
  <c r="U33" i="61"/>
  <c r="T33" i="61"/>
  <c r="S33" i="61"/>
  <c r="R33" i="61"/>
  <c r="Q33" i="61"/>
  <c r="M33" i="61"/>
  <c r="L33" i="61"/>
  <c r="U32" i="61"/>
  <c r="T32" i="61"/>
  <c r="S32" i="61"/>
  <c r="R32" i="61"/>
  <c r="Q32" i="61"/>
  <c r="P32" i="61"/>
  <c r="M32" i="61"/>
  <c r="L32" i="61"/>
  <c r="U31" i="61"/>
  <c r="T31" i="61"/>
  <c r="S31" i="61"/>
  <c r="R31" i="61"/>
  <c r="Q31" i="61"/>
  <c r="P31" i="61"/>
  <c r="M31" i="61"/>
  <c r="L31" i="61"/>
  <c r="U30" i="61"/>
  <c r="T30" i="61"/>
  <c r="S30" i="61"/>
  <c r="R30" i="61"/>
  <c r="Q30" i="61"/>
  <c r="M30" i="61"/>
  <c r="L30" i="61"/>
  <c r="U29" i="61"/>
  <c r="T29" i="61"/>
  <c r="S29" i="61"/>
  <c r="R29" i="61"/>
  <c r="Q29" i="61"/>
  <c r="P29" i="61"/>
  <c r="M29" i="61"/>
  <c r="L29" i="61"/>
  <c r="U28" i="61"/>
  <c r="T28" i="61"/>
  <c r="S28" i="61"/>
  <c r="R28" i="61"/>
  <c r="Q28" i="61"/>
  <c r="P28" i="61"/>
  <c r="M28" i="61"/>
  <c r="L28" i="61"/>
  <c r="U27" i="61"/>
  <c r="T27" i="61"/>
  <c r="S27" i="61"/>
  <c r="R27" i="61"/>
  <c r="Q27" i="61"/>
  <c r="P27" i="61"/>
  <c r="M27" i="61"/>
  <c r="L27" i="61"/>
  <c r="U26" i="61"/>
  <c r="T26" i="61"/>
  <c r="S26" i="61"/>
  <c r="R26" i="61"/>
  <c r="Q26" i="61"/>
  <c r="M26" i="61"/>
  <c r="L26" i="61"/>
  <c r="U25" i="61"/>
  <c r="T25" i="61"/>
  <c r="S25" i="61"/>
  <c r="R25" i="61"/>
  <c r="Q25" i="61"/>
  <c r="P25" i="61"/>
  <c r="M25" i="61"/>
  <c r="L25" i="61"/>
  <c r="U24" i="61"/>
  <c r="T24" i="61"/>
  <c r="S24" i="61"/>
  <c r="R24" i="61"/>
  <c r="Q24" i="61"/>
  <c r="P24" i="61"/>
  <c r="M24" i="61"/>
  <c r="L24" i="61"/>
  <c r="U23" i="61"/>
  <c r="T23" i="61"/>
  <c r="S23" i="61"/>
  <c r="R23" i="61"/>
  <c r="Q23" i="61"/>
  <c r="P23" i="61"/>
  <c r="M23" i="61"/>
  <c r="L23" i="61"/>
  <c r="U22" i="61"/>
  <c r="T22" i="61"/>
  <c r="S22" i="61"/>
  <c r="R22" i="61"/>
  <c r="Q22" i="61"/>
  <c r="P22" i="61"/>
  <c r="M22" i="61"/>
  <c r="L22" i="61"/>
  <c r="U21" i="61"/>
  <c r="T21" i="61"/>
  <c r="S21" i="61"/>
  <c r="R21" i="61"/>
  <c r="Q21" i="61"/>
  <c r="P21" i="61"/>
  <c r="M21" i="61"/>
  <c r="L21" i="61"/>
  <c r="U20" i="61"/>
  <c r="T20" i="61"/>
  <c r="S20" i="61"/>
  <c r="R20" i="61"/>
  <c r="Q20" i="61"/>
  <c r="P20" i="61"/>
  <c r="M20" i="61"/>
  <c r="L20" i="61"/>
  <c r="U19" i="61"/>
  <c r="T19" i="61"/>
  <c r="S19" i="61"/>
  <c r="R19" i="61"/>
  <c r="Q19" i="61"/>
  <c r="P19" i="61"/>
  <c r="M19" i="61"/>
  <c r="L19" i="61"/>
  <c r="U18" i="61"/>
  <c r="T18" i="61"/>
  <c r="S18" i="61"/>
  <c r="R18" i="61"/>
  <c r="Q18" i="61"/>
  <c r="P18" i="61"/>
  <c r="M18" i="61"/>
  <c r="L18" i="61"/>
  <c r="U17" i="61"/>
  <c r="T17" i="61"/>
  <c r="S17" i="61"/>
  <c r="R17" i="61"/>
  <c r="Q17" i="61"/>
  <c r="P17" i="61"/>
  <c r="M17" i="61"/>
  <c r="L17" i="61"/>
  <c r="U16" i="61"/>
  <c r="T16" i="61"/>
  <c r="S16" i="61"/>
  <c r="R16" i="61"/>
  <c r="Q16" i="61"/>
  <c r="M16" i="61"/>
  <c r="L16" i="61"/>
  <c r="U15" i="61"/>
  <c r="T15" i="61"/>
  <c r="S15" i="61"/>
  <c r="R15" i="61"/>
  <c r="Q15" i="61"/>
  <c r="M15" i="61"/>
  <c r="L15" i="61"/>
  <c r="U14" i="61"/>
  <c r="T14" i="61"/>
  <c r="S14" i="61"/>
  <c r="R14" i="61"/>
  <c r="Q14" i="61"/>
  <c r="P14" i="61"/>
  <c r="M14" i="61"/>
  <c r="L14" i="61"/>
  <c r="U13" i="61"/>
  <c r="T13" i="61"/>
  <c r="S13" i="61"/>
  <c r="R13" i="61"/>
  <c r="Q13" i="61"/>
  <c r="M13" i="61"/>
  <c r="L13" i="61"/>
  <c r="U12" i="61"/>
  <c r="T12" i="61"/>
  <c r="S12" i="61"/>
  <c r="R12" i="61"/>
  <c r="Q12" i="61"/>
  <c r="P12" i="61"/>
  <c r="O12" i="61"/>
  <c r="M12" i="61"/>
  <c r="L12" i="61"/>
  <c r="U11" i="61"/>
  <c r="T11" i="61"/>
  <c r="S11" i="61"/>
  <c r="R11" i="61"/>
  <c r="Q11" i="61"/>
  <c r="M11" i="61"/>
  <c r="L11" i="61"/>
  <c r="U10" i="61"/>
  <c r="T10" i="61"/>
  <c r="S10" i="61"/>
  <c r="R10" i="61"/>
  <c r="Q10" i="61"/>
  <c r="P10" i="61"/>
  <c r="M10" i="61"/>
  <c r="L10" i="61"/>
  <c r="U9" i="61"/>
  <c r="T9" i="61"/>
  <c r="S9" i="61"/>
  <c r="R9" i="61"/>
  <c r="Q9" i="61"/>
  <c r="P9" i="61"/>
  <c r="M9" i="61"/>
  <c r="L9" i="61"/>
  <c r="U8" i="61"/>
  <c r="T8" i="61"/>
  <c r="S8" i="61"/>
  <c r="R8" i="61"/>
  <c r="Q8" i="61"/>
  <c r="M8" i="61"/>
  <c r="L8" i="61"/>
  <c r="U7" i="61"/>
  <c r="T7" i="61"/>
  <c r="S7" i="61"/>
  <c r="R7" i="61"/>
  <c r="Q7" i="61"/>
  <c r="P7" i="61"/>
  <c r="M7" i="61"/>
  <c r="L7" i="61"/>
  <c r="U6" i="61"/>
  <c r="T6" i="61"/>
  <c r="S6" i="61"/>
  <c r="R6" i="61"/>
  <c r="Q6" i="61"/>
  <c r="P6" i="61"/>
  <c r="M6" i="61"/>
  <c r="L6" i="61"/>
  <c r="U5" i="61"/>
  <c r="T5" i="61"/>
  <c r="S5" i="61"/>
  <c r="R5" i="61"/>
  <c r="Q5" i="61"/>
  <c r="P5" i="61"/>
  <c r="M5" i="61"/>
  <c r="L5" i="61"/>
  <c r="U4" i="61"/>
  <c r="T4" i="61"/>
  <c r="S4" i="61"/>
  <c r="R4" i="61"/>
  <c r="Q4" i="61"/>
  <c r="P4" i="61"/>
  <c r="M4" i="61"/>
  <c r="L4" i="61"/>
  <c r="U3" i="61"/>
  <c r="T3" i="61"/>
  <c r="S3" i="61"/>
  <c r="R3" i="61"/>
  <c r="Q3" i="61"/>
  <c r="P3" i="61"/>
  <c r="M3" i="61"/>
  <c r="L3" i="61"/>
  <c r="U2" i="61"/>
  <c r="T2" i="61"/>
  <c r="S2" i="61"/>
  <c r="R2" i="61"/>
  <c r="Q2" i="61"/>
  <c r="M2" i="61"/>
  <c r="L2" i="61"/>
  <c r="B5" i="15"/>
  <c r="C5" i="15" s="1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U51" i="60"/>
  <c r="T51" i="60"/>
  <c r="S51" i="60"/>
  <c r="R51" i="60"/>
  <c r="Q51" i="60"/>
  <c r="P51" i="60"/>
  <c r="M51" i="60"/>
  <c r="L51" i="60"/>
  <c r="U50" i="60"/>
  <c r="T50" i="60"/>
  <c r="S50" i="60"/>
  <c r="R50" i="60"/>
  <c r="Q50" i="60"/>
  <c r="P50" i="60"/>
  <c r="M50" i="60"/>
  <c r="L50" i="60"/>
  <c r="U49" i="60"/>
  <c r="T49" i="60"/>
  <c r="S49" i="60"/>
  <c r="R49" i="60"/>
  <c r="Q49" i="60"/>
  <c r="P49" i="60"/>
  <c r="M49" i="60"/>
  <c r="L49" i="60"/>
  <c r="U48" i="60"/>
  <c r="T48" i="60"/>
  <c r="S48" i="60"/>
  <c r="R48" i="60"/>
  <c r="Q48" i="60"/>
  <c r="P48" i="60"/>
  <c r="M48" i="60"/>
  <c r="L48" i="60"/>
  <c r="U47" i="60"/>
  <c r="T47" i="60"/>
  <c r="S47" i="60"/>
  <c r="R47" i="60"/>
  <c r="Q47" i="60"/>
  <c r="M47" i="60"/>
  <c r="L47" i="60"/>
  <c r="U46" i="60"/>
  <c r="T46" i="60"/>
  <c r="S46" i="60"/>
  <c r="R46" i="60"/>
  <c r="Q46" i="60"/>
  <c r="P46" i="60"/>
  <c r="M46" i="60"/>
  <c r="L46" i="60"/>
  <c r="U45" i="60"/>
  <c r="T45" i="60"/>
  <c r="S45" i="60"/>
  <c r="R45" i="60"/>
  <c r="Q45" i="60"/>
  <c r="M45" i="60"/>
  <c r="L45" i="60"/>
  <c r="U44" i="60"/>
  <c r="T44" i="60"/>
  <c r="S44" i="60"/>
  <c r="R44" i="60"/>
  <c r="Q44" i="60"/>
  <c r="P44" i="60"/>
  <c r="M44" i="60"/>
  <c r="L44" i="60"/>
  <c r="U43" i="60"/>
  <c r="T43" i="60"/>
  <c r="S43" i="60"/>
  <c r="R43" i="60"/>
  <c r="Q43" i="60"/>
  <c r="P43" i="60"/>
  <c r="M43" i="60"/>
  <c r="L43" i="60"/>
  <c r="U42" i="60"/>
  <c r="T42" i="60"/>
  <c r="S42" i="60"/>
  <c r="R42" i="60"/>
  <c r="Q42" i="60"/>
  <c r="P42" i="60"/>
  <c r="N42" i="60"/>
  <c r="M42" i="60"/>
  <c r="L42" i="60"/>
  <c r="U41" i="60"/>
  <c r="T41" i="60"/>
  <c r="S41" i="60"/>
  <c r="R41" i="60"/>
  <c r="Q41" i="60"/>
  <c r="N41" i="60"/>
  <c r="M41" i="60"/>
  <c r="L41" i="60"/>
  <c r="U40" i="60"/>
  <c r="T40" i="60"/>
  <c r="S40" i="60"/>
  <c r="R40" i="60"/>
  <c r="Q40" i="60"/>
  <c r="M40" i="60"/>
  <c r="L40" i="60"/>
  <c r="U39" i="60"/>
  <c r="T39" i="60"/>
  <c r="S39" i="60"/>
  <c r="R39" i="60"/>
  <c r="Q39" i="60"/>
  <c r="P39" i="60"/>
  <c r="M39" i="60"/>
  <c r="L39" i="60"/>
  <c r="U38" i="60"/>
  <c r="T38" i="60"/>
  <c r="S38" i="60"/>
  <c r="R38" i="60"/>
  <c r="Q38" i="60"/>
  <c r="P38" i="60"/>
  <c r="M38" i="60"/>
  <c r="L38" i="60"/>
  <c r="U37" i="60"/>
  <c r="T37" i="60"/>
  <c r="S37" i="60"/>
  <c r="R37" i="60"/>
  <c r="Q37" i="60"/>
  <c r="P37" i="60"/>
  <c r="M37" i="60"/>
  <c r="L37" i="60"/>
  <c r="U36" i="60"/>
  <c r="T36" i="60"/>
  <c r="S36" i="60"/>
  <c r="R36" i="60"/>
  <c r="Q36" i="60"/>
  <c r="M36" i="60"/>
  <c r="L36" i="60"/>
  <c r="U35" i="60"/>
  <c r="T35" i="60"/>
  <c r="S35" i="60"/>
  <c r="R35" i="60"/>
  <c r="Q35" i="60"/>
  <c r="P35" i="60"/>
  <c r="N35" i="60"/>
  <c r="M35" i="60"/>
  <c r="L35" i="60"/>
  <c r="U34" i="60"/>
  <c r="T34" i="60"/>
  <c r="S34" i="60"/>
  <c r="R34" i="60"/>
  <c r="Q34" i="60"/>
  <c r="M34" i="60"/>
  <c r="L34" i="60"/>
  <c r="U33" i="60"/>
  <c r="T33" i="60"/>
  <c r="S33" i="60"/>
  <c r="R33" i="60"/>
  <c r="Q33" i="60"/>
  <c r="P33" i="60"/>
  <c r="M33" i="60"/>
  <c r="L33" i="60"/>
  <c r="U32" i="60"/>
  <c r="T32" i="60"/>
  <c r="S32" i="60"/>
  <c r="R32" i="60"/>
  <c r="Q32" i="60"/>
  <c r="P32" i="60"/>
  <c r="M32" i="60"/>
  <c r="L32" i="60"/>
  <c r="U31" i="60"/>
  <c r="T31" i="60"/>
  <c r="S31" i="60"/>
  <c r="R31" i="60"/>
  <c r="Q31" i="60"/>
  <c r="P31" i="60"/>
  <c r="M31" i="60"/>
  <c r="L31" i="60"/>
  <c r="U30" i="60"/>
  <c r="T30" i="60"/>
  <c r="S30" i="60"/>
  <c r="R30" i="60"/>
  <c r="Q30" i="60"/>
  <c r="P30" i="60"/>
  <c r="N30" i="60"/>
  <c r="M30" i="60"/>
  <c r="L30" i="60"/>
  <c r="U29" i="60"/>
  <c r="T29" i="60"/>
  <c r="S29" i="60"/>
  <c r="R29" i="60"/>
  <c r="Q29" i="60"/>
  <c r="P29" i="60"/>
  <c r="M29" i="60"/>
  <c r="L29" i="60"/>
  <c r="U28" i="60"/>
  <c r="T28" i="60"/>
  <c r="S28" i="60"/>
  <c r="R28" i="60"/>
  <c r="Q28" i="60"/>
  <c r="M28" i="60"/>
  <c r="L28" i="60"/>
  <c r="U27" i="60"/>
  <c r="T27" i="60"/>
  <c r="S27" i="60"/>
  <c r="R27" i="60"/>
  <c r="Q27" i="60"/>
  <c r="P27" i="60"/>
  <c r="M27" i="60"/>
  <c r="L27" i="60"/>
  <c r="U26" i="60"/>
  <c r="T26" i="60"/>
  <c r="S26" i="60"/>
  <c r="R26" i="60"/>
  <c r="Q26" i="60"/>
  <c r="M26" i="60"/>
  <c r="L26" i="60"/>
  <c r="U25" i="60"/>
  <c r="T25" i="60"/>
  <c r="S25" i="60"/>
  <c r="R25" i="60"/>
  <c r="Q25" i="60"/>
  <c r="M25" i="60"/>
  <c r="L25" i="60"/>
  <c r="U24" i="60"/>
  <c r="T24" i="60"/>
  <c r="S24" i="60"/>
  <c r="R24" i="60"/>
  <c r="Q24" i="60"/>
  <c r="M24" i="60"/>
  <c r="L24" i="60"/>
  <c r="U23" i="60"/>
  <c r="T23" i="60"/>
  <c r="S23" i="60"/>
  <c r="R23" i="60"/>
  <c r="Q23" i="60"/>
  <c r="M23" i="60"/>
  <c r="L23" i="60"/>
  <c r="U22" i="60"/>
  <c r="T22" i="60"/>
  <c r="S22" i="60"/>
  <c r="R22" i="60"/>
  <c r="Q22" i="60"/>
  <c r="P22" i="60"/>
  <c r="M22" i="60"/>
  <c r="L22" i="60"/>
  <c r="U21" i="60"/>
  <c r="T21" i="60"/>
  <c r="S21" i="60"/>
  <c r="R21" i="60"/>
  <c r="Q21" i="60"/>
  <c r="M21" i="60"/>
  <c r="L21" i="60"/>
  <c r="U20" i="60"/>
  <c r="T20" i="60"/>
  <c r="S20" i="60"/>
  <c r="R20" i="60"/>
  <c r="Q20" i="60"/>
  <c r="M20" i="60"/>
  <c r="L20" i="60"/>
  <c r="U19" i="60"/>
  <c r="T19" i="60"/>
  <c r="S19" i="60"/>
  <c r="R19" i="60"/>
  <c r="Q19" i="60"/>
  <c r="P19" i="60"/>
  <c r="M19" i="60"/>
  <c r="L19" i="60"/>
  <c r="U18" i="60"/>
  <c r="T18" i="60"/>
  <c r="S18" i="60"/>
  <c r="R18" i="60"/>
  <c r="Q18" i="60"/>
  <c r="M18" i="60"/>
  <c r="L18" i="60"/>
  <c r="U17" i="60"/>
  <c r="T17" i="60"/>
  <c r="S17" i="60"/>
  <c r="R17" i="60"/>
  <c r="Q17" i="60"/>
  <c r="P17" i="60"/>
  <c r="M17" i="60"/>
  <c r="L17" i="60"/>
  <c r="U16" i="60"/>
  <c r="T16" i="60"/>
  <c r="S16" i="60"/>
  <c r="R16" i="60"/>
  <c r="Q16" i="60"/>
  <c r="P16" i="60"/>
  <c r="M16" i="60"/>
  <c r="L16" i="60"/>
  <c r="U15" i="60"/>
  <c r="T15" i="60"/>
  <c r="S15" i="60"/>
  <c r="R15" i="60"/>
  <c r="Q15" i="60"/>
  <c r="M15" i="60"/>
  <c r="L15" i="60"/>
  <c r="U14" i="60"/>
  <c r="T14" i="60"/>
  <c r="S14" i="60"/>
  <c r="R14" i="60"/>
  <c r="Q14" i="60"/>
  <c r="P14" i="60"/>
  <c r="N14" i="60"/>
  <c r="M14" i="60"/>
  <c r="L14" i="60"/>
  <c r="U13" i="60"/>
  <c r="T13" i="60"/>
  <c r="S13" i="60"/>
  <c r="R13" i="60"/>
  <c r="Q13" i="60"/>
  <c r="N13" i="60"/>
  <c r="M13" i="60"/>
  <c r="L13" i="60"/>
  <c r="U12" i="60"/>
  <c r="T12" i="60"/>
  <c r="S12" i="60"/>
  <c r="R12" i="60"/>
  <c r="Q12" i="60"/>
  <c r="P12" i="60"/>
  <c r="M12" i="60"/>
  <c r="L12" i="60"/>
  <c r="U11" i="60"/>
  <c r="T11" i="60"/>
  <c r="S11" i="60"/>
  <c r="R11" i="60"/>
  <c r="Q11" i="60"/>
  <c r="M11" i="60"/>
  <c r="L11" i="60"/>
  <c r="U10" i="60"/>
  <c r="T10" i="60"/>
  <c r="S10" i="60"/>
  <c r="R10" i="60"/>
  <c r="Q10" i="60"/>
  <c r="M10" i="60"/>
  <c r="L10" i="60"/>
  <c r="U9" i="60"/>
  <c r="T9" i="60"/>
  <c r="S9" i="60"/>
  <c r="R9" i="60"/>
  <c r="Q9" i="60"/>
  <c r="M9" i="60"/>
  <c r="L9" i="60"/>
  <c r="U8" i="60"/>
  <c r="T8" i="60"/>
  <c r="S8" i="60"/>
  <c r="R8" i="60"/>
  <c r="Q8" i="60"/>
  <c r="P8" i="60"/>
  <c r="M8" i="60"/>
  <c r="L8" i="60"/>
  <c r="U7" i="60"/>
  <c r="T7" i="60"/>
  <c r="S7" i="60"/>
  <c r="R7" i="60"/>
  <c r="Q7" i="60"/>
  <c r="M7" i="60"/>
  <c r="L7" i="60"/>
  <c r="U6" i="60"/>
  <c r="T6" i="60"/>
  <c r="S6" i="60"/>
  <c r="R6" i="60"/>
  <c r="Q6" i="60"/>
  <c r="P6" i="60"/>
  <c r="M6" i="60"/>
  <c r="L6" i="60"/>
  <c r="U5" i="60"/>
  <c r="T5" i="60"/>
  <c r="S5" i="60"/>
  <c r="R5" i="60"/>
  <c r="Q5" i="60"/>
  <c r="M5" i="60"/>
  <c r="L5" i="60"/>
  <c r="U4" i="60"/>
  <c r="T4" i="60"/>
  <c r="S4" i="60"/>
  <c r="R4" i="60"/>
  <c r="Q4" i="60"/>
  <c r="M4" i="60"/>
  <c r="L4" i="60"/>
  <c r="U3" i="60"/>
  <c r="T3" i="60"/>
  <c r="S3" i="60"/>
  <c r="R3" i="60"/>
  <c r="Q3" i="60"/>
  <c r="P3" i="60"/>
  <c r="M3" i="60"/>
  <c r="L3" i="60"/>
  <c r="U2" i="60"/>
  <c r="T2" i="60"/>
  <c r="S2" i="60"/>
  <c r="R2" i="60"/>
  <c r="Q2" i="60"/>
  <c r="P2" i="60"/>
  <c r="M2" i="60"/>
  <c r="L2" i="60"/>
  <c r="B6" i="15"/>
  <c r="C6" i="15" s="1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U198" i="58"/>
  <c r="T198" i="58"/>
  <c r="S198" i="58"/>
  <c r="R198" i="58"/>
  <c r="Q198" i="58"/>
  <c r="M198" i="58"/>
  <c r="L198" i="58"/>
  <c r="U197" i="58"/>
  <c r="T197" i="58"/>
  <c r="S197" i="58"/>
  <c r="R197" i="58"/>
  <c r="Q197" i="58"/>
  <c r="M197" i="58"/>
  <c r="L197" i="58"/>
  <c r="U196" i="58"/>
  <c r="T196" i="58"/>
  <c r="S196" i="58"/>
  <c r="R196" i="58"/>
  <c r="Q196" i="58"/>
  <c r="P196" i="58"/>
  <c r="M196" i="58"/>
  <c r="L196" i="58"/>
  <c r="U195" i="58"/>
  <c r="T195" i="58"/>
  <c r="S195" i="58"/>
  <c r="R195" i="58"/>
  <c r="Q195" i="58"/>
  <c r="M195" i="58"/>
  <c r="L195" i="58"/>
  <c r="U194" i="58"/>
  <c r="T194" i="58"/>
  <c r="S194" i="58"/>
  <c r="R194" i="58"/>
  <c r="Q194" i="58"/>
  <c r="P194" i="58"/>
  <c r="M194" i="58"/>
  <c r="L194" i="58"/>
  <c r="U193" i="58"/>
  <c r="T193" i="58"/>
  <c r="S193" i="58"/>
  <c r="R193" i="58"/>
  <c r="Q193" i="58"/>
  <c r="M193" i="58"/>
  <c r="L193" i="58"/>
  <c r="U192" i="58"/>
  <c r="T192" i="58"/>
  <c r="S192" i="58"/>
  <c r="R192" i="58"/>
  <c r="Q192" i="58"/>
  <c r="P192" i="58"/>
  <c r="M192" i="58"/>
  <c r="L192" i="58"/>
  <c r="U191" i="58"/>
  <c r="T191" i="58"/>
  <c r="S191" i="58"/>
  <c r="R191" i="58"/>
  <c r="Q191" i="58"/>
  <c r="P191" i="58"/>
  <c r="M191" i="58"/>
  <c r="L191" i="58"/>
  <c r="U190" i="58"/>
  <c r="T190" i="58"/>
  <c r="S190" i="58"/>
  <c r="R190" i="58"/>
  <c r="Q190" i="58"/>
  <c r="M190" i="58"/>
  <c r="L190" i="58"/>
  <c r="U189" i="58"/>
  <c r="T189" i="58"/>
  <c r="S189" i="58"/>
  <c r="R189" i="58"/>
  <c r="Q189" i="58"/>
  <c r="P189" i="58"/>
  <c r="M189" i="58"/>
  <c r="L189" i="58"/>
  <c r="U188" i="58"/>
  <c r="T188" i="58"/>
  <c r="S188" i="58"/>
  <c r="R188" i="58"/>
  <c r="Q188" i="58"/>
  <c r="P188" i="58"/>
  <c r="M188" i="58"/>
  <c r="L188" i="58"/>
  <c r="U187" i="58"/>
  <c r="T187" i="58"/>
  <c r="S187" i="58"/>
  <c r="R187" i="58"/>
  <c r="Q187" i="58"/>
  <c r="P187" i="58"/>
  <c r="M187" i="58"/>
  <c r="L187" i="58"/>
  <c r="U186" i="58"/>
  <c r="T186" i="58"/>
  <c r="S186" i="58"/>
  <c r="R186" i="58"/>
  <c r="Q186" i="58"/>
  <c r="M186" i="58"/>
  <c r="L186" i="58"/>
  <c r="U185" i="58"/>
  <c r="T185" i="58"/>
  <c r="S185" i="58"/>
  <c r="R185" i="58"/>
  <c r="Q185" i="58"/>
  <c r="M185" i="58"/>
  <c r="L185" i="58"/>
  <c r="U184" i="58"/>
  <c r="T184" i="58"/>
  <c r="S184" i="58"/>
  <c r="R184" i="58"/>
  <c r="Q184" i="58"/>
  <c r="M184" i="58"/>
  <c r="L184" i="58"/>
  <c r="U183" i="58"/>
  <c r="T183" i="58"/>
  <c r="S183" i="58"/>
  <c r="R183" i="58"/>
  <c r="Q183" i="58"/>
  <c r="P183" i="58"/>
  <c r="M183" i="58"/>
  <c r="L183" i="58"/>
  <c r="U182" i="58"/>
  <c r="T182" i="58"/>
  <c r="S182" i="58"/>
  <c r="R182" i="58"/>
  <c r="Q182" i="58"/>
  <c r="P182" i="58"/>
  <c r="M182" i="58"/>
  <c r="L182" i="58"/>
  <c r="U181" i="58"/>
  <c r="T181" i="58"/>
  <c r="S181" i="58"/>
  <c r="R181" i="58"/>
  <c r="Q181" i="58"/>
  <c r="P181" i="58"/>
  <c r="M181" i="58"/>
  <c r="L181" i="58"/>
  <c r="U180" i="58"/>
  <c r="T180" i="58"/>
  <c r="S180" i="58"/>
  <c r="R180" i="58"/>
  <c r="Q180" i="58"/>
  <c r="P180" i="58"/>
  <c r="M180" i="58"/>
  <c r="L180" i="58"/>
  <c r="U179" i="58"/>
  <c r="T179" i="58"/>
  <c r="S179" i="58"/>
  <c r="R179" i="58"/>
  <c r="Q179" i="58"/>
  <c r="P179" i="58"/>
  <c r="M179" i="58"/>
  <c r="L179" i="58"/>
  <c r="U178" i="58"/>
  <c r="T178" i="58"/>
  <c r="S178" i="58"/>
  <c r="R178" i="58"/>
  <c r="Q178" i="58"/>
  <c r="P178" i="58"/>
  <c r="M178" i="58"/>
  <c r="L178" i="58"/>
  <c r="U177" i="58"/>
  <c r="T177" i="58"/>
  <c r="S177" i="58"/>
  <c r="R177" i="58"/>
  <c r="Q177" i="58"/>
  <c r="P177" i="58"/>
  <c r="M177" i="58"/>
  <c r="L177" i="58"/>
  <c r="U176" i="58"/>
  <c r="T176" i="58"/>
  <c r="S176" i="58"/>
  <c r="R176" i="58"/>
  <c r="Q176" i="58"/>
  <c r="M176" i="58"/>
  <c r="L176" i="58"/>
  <c r="U175" i="58"/>
  <c r="T175" i="58"/>
  <c r="S175" i="58"/>
  <c r="R175" i="58"/>
  <c r="Q175" i="58"/>
  <c r="M175" i="58"/>
  <c r="L175" i="58"/>
  <c r="U174" i="58"/>
  <c r="T174" i="58"/>
  <c r="S174" i="58"/>
  <c r="R174" i="58"/>
  <c r="Q174" i="58"/>
  <c r="P174" i="58"/>
  <c r="N174" i="58"/>
  <c r="M174" i="58"/>
  <c r="L174" i="58"/>
  <c r="U173" i="58"/>
  <c r="T173" i="58"/>
  <c r="S173" i="58"/>
  <c r="R173" i="58"/>
  <c r="Q173" i="58"/>
  <c r="P173" i="58"/>
  <c r="M173" i="58"/>
  <c r="L173" i="58"/>
  <c r="U172" i="58"/>
  <c r="T172" i="58"/>
  <c r="S172" i="58"/>
  <c r="R172" i="58"/>
  <c r="Q172" i="58"/>
  <c r="M172" i="58"/>
  <c r="L172" i="58"/>
  <c r="U171" i="58"/>
  <c r="T171" i="58"/>
  <c r="S171" i="58"/>
  <c r="R171" i="58"/>
  <c r="Q171" i="58"/>
  <c r="M171" i="58"/>
  <c r="L171" i="58"/>
  <c r="U170" i="58"/>
  <c r="T170" i="58"/>
  <c r="S170" i="58"/>
  <c r="R170" i="58"/>
  <c r="Q170" i="58"/>
  <c r="P170" i="58"/>
  <c r="M170" i="58"/>
  <c r="L170" i="58"/>
  <c r="U169" i="58"/>
  <c r="T169" i="58"/>
  <c r="S169" i="58"/>
  <c r="R169" i="58"/>
  <c r="Q169" i="58"/>
  <c r="M169" i="58"/>
  <c r="L169" i="58"/>
  <c r="U168" i="58"/>
  <c r="T168" i="58"/>
  <c r="S168" i="58"/>
  <c r="R168" i="58"/>
  <c r="Q168" i="58"/>
  <c r="N168" i="58"/>
  <c r="M168" i="58"/>
  <c r="L168" i="58"/>
  <c r="U167" i="58"/>
  <c r="T167" i="58"/>
  <c r="S167" i="58"/>
  <c r="R167" i="58"/>
  <c r="Q167" i="58"/>
  <c r="P167" i="58"/>
  <c r="M167" i="58"/>
  <c r="L167" i="58"/>
  <c r="U166" i="58"/>
  <c r="T166" i="58"/>
  <c r="S166" i="58"/>
  <c r="R166" i="58"/>
  <c r="Q166" i="58"/>
  <c r="P166" i="58"/>
  <c r="M166" i="58"/>
  <c r="L166" i="58"/>
  <c r="U165" i="58"/>
  <c r="T165" i="58"/>
  <c r="S165" i="58"/>
  <c r="R165" i="58"/>
  <c r="Q165" i="58"/>
  <c r="P165" i="58"/>
  <c r="M165" i="58"/>
  <c r="L165" i="58"/>
  <c r="U164" i="58"/>
  <c r="T164" i="58"/>
  <c r="S164" i="58"/>
  <c r="R164" i="58"/>
  <c r="Q164" i="58"/>
  <c r="P164" i="58"/>
  <c r="M164" i="58"/>
  <c r="L164" i="58"/>
  <c r="U163" i="58"/>
  <c r="T163" i="58"/>
  <c r="S163" i="58"/>
  <c r="R163" i="58"/>
  <c r="Q163" i="58"/>
  <c r="P163" i="58"/>
  <c r="M163" i="58"/>
  <c r="L163" i="58"/>
  <c r="U162" i="58"/>
  <c r="T162" i="58"/>
  <c r="S162" i="58"/>
  <c r="R162" i="58"/>
  <c r="Q162" i="58"/>
  <c r="M162" i="58"/>
  <c r="L162" i="58"/>
  <c r="U161" i="58"/>
  <c r="T161" i="58"/>
  <c r="S161" i="58"/>
  <c r="R161" i="58"/>
  <c r="Q161" i="58"/>
  <c r="P161" i="58"/>
  <c r="M161" i="58"/>
  <c r="L161" i="58"/>
  <c r="U160" i="58"/>
  <c r="T160" i="58"/>
  <c r="S160" i="58"/>
  <c r="R160" i="58"/>
  <c r="Q160" i="58"/>
  <c r="M160" i="58"/>
  <c r="L160" i="58"/>
  <c r="U159" i="58"/>
  <c r="T159" i="58"/>
  <c r="S159" i="58"/>
  <c r="R159" i="58"/>
  <c r="Q159" i="58"/>
  <c r="P159" i="58"/>
  <c r="M159" i="58"/>
  <c r="L159" i="58"/>
  <c r="U158" i="58"/>
  <c r="T158" i="58"/>
  <c r="S158" i="58"/>
  <c r="R158" i="58"/>
  <c r="Q158" i="58"/>
  <c r="P158" i="58"/>
  <c r="M158" i="58"/>
  <c r="L158" i="58"/>
  <c r="U157" i="58"/>
  <c r="T157" i="58"/>
  <c r="S157" i="58"/>
  <c r="R157" i="58"/>
  <c r="Q157" i="58"/>
  <c r="M157" i="58"/>
  <c r="L157" i="58"/>
  <c r="U156" i="58"/>
  <c r="T156" i="58"/>
  <c r="S156" i="58"/>
  <c r="R156" i="58"/>
  <c r="Q156" i="58"/>
  <c r="P156" i="58"/>
  <c r="M156" i="58"/>
  <c r="L156" i="58"/>
  <c r="U155" i="58"/>
  <c r="T155" i="58"/>
  <c r="S155" i="58"/>
  <c r="R155" i="58"/>
  <c r="Q155" i="58"/>
  <c r="P155" i="58"/>
  <c r="M155" i="58"/>
  <c r="L155" i="58"/>
  <c r="U154" i="58"/>
  <c r="T154" i="58"/>
  <c r="S154" i="58"/>
  <c r="R154" i="58"/>
  <c r="Q154" i="58"/>
  <c r="P154" i="58"/>
  <c r="M154" i="58"/>
  <c r="L154" i="58"/>
  <c r="U152" i="58"/>
  <c r="T152" i="58"/>
  <c r="S152" i="58"/>
  <c r="R152" i="58"/>
  <c r="Q152" i="58"/>
  <c r="P152" i="58"/>
  <c r="M152" i="58"/>
  <c r="L152" i="58"/>
  <c r="U151" i="58"/>
  <c r="T151" i="58"/>
  <c r="S151" i="58"/>
  <c r="R151" i="58"/>
  <c r="Q151" i="58"/>
  <c r="M151" i="58"/>
  <c r="L151" i="58"/>
  <c r="U150" i="58"/>
  <c r="T150" i="58"/>
  <c r="S150" i="58"/>
  <c r="R150" i="58"/>
  <c r="Q150" i="58"/>
  <c r="M150" i="58"/>
  <c r="L150" i="58"/>
  <c r="U149" i="58"/>
  <c r="T149" i="58"/>
  <c r="S149" i="58"/>
  <c r="R149" i="58"/>
  <c r="Q149" i="58"/>
  <c r="P149" i="58"/>
  <c r="M149" i="58"/>
  <c r="L149" i="58"/>
  <c r="U148" i="58"/>
  <c r="T148" i="58"/>
  <c r="S148" i="58"/>
  <c r="R148" i="58"/>
  <c r="Q148" i="58"/>
  <c r="M148" i="58"/>
  <c r="L148" i="58"/>
  <c r="U147" i="58"/>
  <c r="T147" i="58"/>
  <c r="S147" i="58"/>
  <c r="R147" i="58"/>
  <c r="Q147" i="58"/>
  <c r="M147" i="58"/>
  <c r="L147" i="58"/>
  <c r="U146" i="58"/>
  <c r="T146" i="58"/>
  <c r="S146" i="58"/>
  <c r="R146" i="58"/>
  <c r="Q146" i="58"/>
  <c r="M146" i="58"/>
  <c r="L146" i="58"/>
  <c r="U145" i="58"/>
  <c r="T145" i="58"/>
  <c r="S145" i="58"/>
  <c r="R145" i="58"/>
  <c r="Q145" i="58"/>
  <c r="M145" i="58"/>
  <c r="L145" i="58"/>
  <c r="U144" i="58"/>
  <c r="T144" i="58"/>
  <c r="S144" i="58"/>
  <c r="R144" i="58"/>
  <c r="Q144" i="58"/>
  <c r="P144" i="58"/>
  <c r="M144" i="58"/>
  <c r="L144" i="58"/>
  <c r="U143" i="58"/>
  <c r="T143" i="58"/>
  <c r="S143" i="58"/>
  <c r="R143" i="58"/>
  <c r="Q143" i="58"/>
  <c r="P143" i="58"/>
  <c r="M143" i="58"/>
  <c r="L143" i="58"/>
  <c r="U142" i="58"/>
  <c r="T142" i="58"/>
  <c r="S142" i="58"/>
  <c r="R142" i="58"/>
  <c r="Q142" i="58"/>
  <c r="P142" i="58"/>
  <c r="M142" i="58"/>
  <c r="L142" i="58"/>
  <c r="U141" i="58"/>
  <c r="T141" i="58"/>
  <c r="S141" i="58"/>
  <c r="R141" i="58"/>
  <c r="Q141" i="58"/>
  <c r="M141" i="58"/>
  <c r="L141" i="58"/>
  <c r="U140" i="58"/>
  <c r="T140" i="58"/>
  <c r="S140" i="58"/>
  <c r="R140" i="58"/>
  <c r="Q140" i="58"/>
  <c r="P140" i="58"/>
  <c r="M140" i="58"/>
  <c r="L140" i="58"/>
  <c r="U139" i="58"/>
  <c r="T139" i="58"/>
  <c r="S139" i="58"/>
  <c r="R139" i="58"/>
  <c r="Q139" i="58"/>
  <c r="M139" i="58"/>
  <c r="L139" i="58"/>
  <c r="U138" i="58"/>
  <c r="T138" i="58"/>
  <c r="S138" i="58"/>
  <c r="R138" i="58"/>
  <c r="Q138" i="58"/>
  <c r="P138" i="58"/>
  <c r="M138" i="58"/>
  <c r="L138" i="58"/>
  <c r="U137" i="58"/>
  <c r="T137" i="58"/>
  <c r="S137" i="58"/>
  <c r="R137" i="58"/>
  <c r="Q137" i="58"/>
  <c r="P137" i="58"/>
  <c r="M137" i="58"/>
  <c r="L137" i="58"/>
  <c r="U136" i="58"/>
  <c r="T136" i="58"/>
  <c r="S136" i="58"/>
  <c r="R136" i="58"/>
  <c r="Q136" i="58"/>
  <c r="P136" i="58"/>
  <c r="M136" i="58"/>
  <c r="L136" i="58"/>
  <c r="U135" i="58"/>
  <c r="T135" i="58"/>
  <c r="S135" i="58"/>
  <c r="R135" i="58"/>
  <c r="Q135" i="58"/>
  <c r="P135" i="58"/>
  <c r="M135" i="58"/>
  <c r="L135" i="58"/>
  <c r="U134" i="58"/>
  <c r="T134" i="58"/>
  <c r="S134" i="58"/>
  <c r="R134" i="58"/>
  <c r="Q134" i="58"/>
  <c r="P134" i="58"/>
  <c r="M134" i="58"/>
  <c r="L134" i="58"/>
  <c r="U133" i="58"/>
  <c r="T133" i="58"/>
  <c r="S133" i="58"/>
  <c r="R133" i="58"/>
  <c r="Q133" i="58"/>
  <c r="M133" i="58"/>
  <c r="L133" i="58"/>
  <c r="U132" i="58"/>
  <c r="T132" i="58"/>
  <c r="S132" i="58"/>
  <c r="R132" i="58"/>
  <c r="Q132" i="58"/>
  <c r="M132" i="58"/>
  <c r="L132" i="58"/>
  <c r="U131" i="58"/>
  <c r="T131" i="58"/>
  <c r="S131" i="58"/>
  <c r="R131" i="58"/>
  <c r="Q131" i="58"/>
  <c r="P131" i="58"/>
  <c r="N131" i="58"/>
  <c r="M131" i="58"/>
  <c r="L131" i="58"/>
  <c r="U130" i="58"/>
  <c r="T130" i="58"/>
  <c r="S130" i="58"/>
  <c r="R130" i="58"/>
  <c r="Q130" i="58"/>
  <c r="O130" i="58"/>
  <c r="M130" i="58"/>
  <c r="L130" i="58"/>
  <c r="U129" i="58"/>
  <c r="T129" i="58"/>
  <c r="S129" i="58"/>
  <c r="R129" i="58"/>
  <c r="Q129" i="58"/>
  <c r="M129" i="58"/>
  <c r="L129" i="58"/>
  <c r="U128" i="58"/>
  <c r="T128" i="58"/>
  <c r="S128" i="58"/>
  <c r="R128" i="58"/>
  <c r="Q128" i="58"/>
  <c r="N128" i="58"/>
  <c r="M128" i="58"/>
  <c r="L128" i="58"/>
  <c r="U127" i="58"/>
  <c r="T127" i="58"/>
  <c r="S127" i="58"/>
  <c r="R127" i="58"/>
  <c r="Q127" i="58"/>
  <c r="P127" i="58"/>
  <c r="M127" i="58"/>
  <c r="L127" i="58"/>
  <c r="U126" i="58"/>
  <c r="T126" i="58"/>
  <c r="S126" i="58"/>
  <c r="R126" i="58"/>
  <c r="Q126" i="58"/>
  <c r="M126" i="58"/>
  <c r="L126" i="58"/>
  <c r="U125" i="58"/>
  <c r="T125" i="58"/>
  <c r="S125" i="58"/>
  <c r="R125" i="58"/>
  <c r="Q125" i="58"/>
  <c r="P125" i="58"/>
  <c r="M125" i="58"/>
  <c r="L125" i="58"/>
  <c r="U124" i="58"/>
  <c r="T124" i="58"/>
  <c r="S124" i="58"/>
  <c r="R124" i="58"/>
  <c r="Q124" i="58"/>
  <c r="P124" i="58"/>
  <c r="M124" i="58"/>
  <c r="L124" i="58"/>
  <c r="U123" i="58"/>
  <c r="T123" i="58"/>
  <c r="S123" i="58"/>
  <c r="R123" i="58"/>
  <c r="Q123" i="58"/>
  <c r="P123" i="58"/>
  <c r="M123" i="58"/>
  <c r="L123" i="58"/>
  <c r="U122" i="58"/>
  <c r="T122" i="58"/>
  <c r="S122" i="58"/>
  <c r="R122" i="58"/>
  <c r="Q122" i="58"/>
  <c r="P122" i="58"/>
  <c r="M122" i="58"/>
  <c r="L122" i="58"/>
  <c r="U121" i="58"/>
  <c r="T121" i="58"/>
  <c r="S121" i="58"/>
  <c r="R121" i="58"/>
  <c r="Q121" i="58"/>
  <c r="M121" i="58"/>
  <c r="L121" i="58"/>
  <c r="U120" i="58"/>
  <c r="T120" i="58"/>
  <c r="S120" i="58"/>
  <c r="R120" i="58"/>
  <c r="Q120" i="58"/>
  <c r="N120" i="58"/>
  <c r="M120" i="58"/>
  <c r="L120" i="58"/>
  <c r="U119" i="58"/>
  <c r="T119" i="58"/>
  <c r="S119" i="58"/>
  <c r="R119" i="58"/>
  <c r="Q119" i="58"/>
  <c r="M119" i="58"/>
  <c r="L119" i="58"/>
  <c r="U118" i="58"/>
  <c r="T118" i="58"/>
  <c r="S118" i="58"/>
  <c r="R118" i="58"/>
  <c r="Q118" i="58"/>
  <c r="P118" i="58"/>
  <c r="M118" i="58"/>
  <c r="L118" i="58"/>
  <c r="U117" i="58"/>
  <c r="T117" i="58"/>
  <c r="S117" i="58"/>
  <c r="R117" i="58"/>
  <c r="Q117" i="58"/>
  <c r="P117" i="58"/>
  <c r="M117" i="58"/>
  <c r="L117" i="58"/>
  <c r="U116" i="58"/>
  <c r="T116" i="58"/>
  <c r="S116" i="58"/>
  <c r="R116" i="58"/>
  <c r="Q116" i="58"/>
  <c r="M116" i="58"/>
  <c r="L116" i="58"/>
  <c r="U115" i="58"/>
  <c r="T115" i="58"/>
  <c r="S115" i="58"/>
  <c r="R115" i="58"/>
  <c r="Q115" i="58"/>
  <c r="M115" i="58"/>
  <c r="L115" i="58"/>
  <c r="U114" i="58"/>
  <c r="T114" i="58"/>
  <c r="S114" i="58"/>
  <c r="R114" i="58"/>
  <c r="Q114" i="58"/>
  <c r="M114" i="58"/>
  <c r="L114" i="58"/>
  <c r="U113" i="58"/>
  <c r="T113" i="58"/>
  <c r="S113" i="58"/>
  <c r="R113" i="58"/>
  <c r="Q113" i="58"/>
  <c r="M113" i="58"/>
  <c r="L113" i="58"/>
  <c r="U112" i="58"/>
  <c r="T112" i="58"/>
  <c r="S112" i="58"/>
  <c r="R112" i="58"/>
  <c r="Q112" i="58"/>
  <c r="P112" i="58"/>
  <c r="M112" i="58"/>
  <c r="L112" i="58"/>
  <c r="U111" i="58"/>
  <c r="T111" i="58"/>
  <c r="S111" i="58"/>
  <c r="R111" i="58"/>
  <c r="Q111" i="58"/>
  <c r="M111" i="58"/>
  <c r="L111" i="58"/>
  <c r="U110" i="58"/>
  <c r="T110" i="58"/>
  <c r="S110" i="58"/>
  <c r="R110" i="58"/>
  <c r="Q110" i="58"/>
  <c r="M110" i="58"/>
  <c r="L110" i="58"/>
  <c r="U109" i="58"/>
  <c r="T109" i="58"/>
  <c r="S109" i="58"/>
  <c r="R109" i="58"/>
  <c r="Q109" i="58"/>
  <c r="P109" i="58"/>
  <c r="M109" i="58"/>
  <c r="L109" i="58"/>
  <c r="U108" i="58"/>
  <c r="T108" i="58"/>
  <c r="S108" i="58"/>
  <c r="R108" i="58"/>
  <c r="Q108" i="58"/>
  <c r="M108" i="58"/>
  <c r="L108" i="58"/>
  <c r="U107" i="58"/>
  <c r="T107" i="58"/>
  <c r="S107" i="58"/>
  <c r="R107" i="58"/>
  <c r="Q107" i="58"/>
  <c r="P107" i="58"/>
  <c r="M107" i="58"/>
  <c r="L107" i="58"/>
  <c r="U106" i="58"/>
  <c r="T106" i="58"/>
  <c r="S106" i="58"/>
  <c r="R106" i="58"/>
  <c r="Q106" i="58"/>
  <c r="P106" i="58"/>
  <c r="M106" i="58"/>
  <c r="L106" i="58"/>
  <c r="U105" i="58"/>
  <c r="T105" i="58"/>
  <c r="S105" i="58"/>
  <c r="R105" i="58"/>
  <c r="Q105" i="58"/>
  <c r="M105" i="58"/>
  <c r="L105" i="58"/>
  <c r="U104" i="58"/>
  <c r="T104" i="58"/>
  <c r="S104" i="58"/>
  <c r="R104" i="58"/>
  <c r="Q104" i="58"/>
  <c r="P104" i="58"/>
  <c r="M104" i="58"/>
  <c r="L104" i="58"/>
  <c r="U103" i="58"/>
  <c r="T103" i="58"/>
  <c r="S103" i="58"/>
  <c r="R103" i="58"/>
  <c r="Q103" i="58"/>
  <c r="P103" i="58"/>
  <c r="M103" i="58"/>
  <c r="L103" i="58"/>
  <c r="U102" i="58"/>
  <c r="T102" i="58"/>
  <c r="S102" i="58"/>
  <c r="R102" i="58"/>
  <c r="Q102" i="58"/>
  <c r="N102" i="58"/>
  <c r="M102" i="58"/>
  <c r="L102" i="58"/>
  <c r="U101" i="58"/>
  <c r="T101" i="58"/>
  <c r="S101" i="58"/>
  <c r="R101" i="58"/>
  <c r="Q101" i="58"/>
  <c r="M101" i="58"/>
  <c r="L101" i="58"/>
  <c r="U100" i="58"/>
  <c r="T100" i="58"/>
  <c r="S100" i="58"/>
  <c r="R100" i="58"/>
  <c r="Q100" i="58"/>
  <c r="M100" i="58"/>
  <c r="L100" i="58"/>
  <c r="U99" i="58"/>
  <c r="T99" i="58"/>
  <c r="S99" i="58"/>
  <c r="R99" i="58"/>
  <c r="Q99" i="58"/>
  <c r="P99" i="58"/>
  <c r="M99" i="58"/>
  <c r="L99" i="58"/>
  <c r="U98" i="58"/>
  <c r="T98" i="58"/>
  <c r="S98" i="58"/>
  <c r="R98" i="58"/>
  <c r="Q98" i="58"/>
  <c r="M98" i="58"/>
  <c r="L98" i="58"/>
  <c r="U97" i="58"/>
  <c r="T97" i="58"/>
  <c r="S97" i="58"/>
  <c r="R97" i="58"/>
  <c r="Q97" i="58"/>
  <c r="P97" i="58"/>
  <c r="M97" i="58"/>
  <c r="L97" i="58"/>
  <c r="U96" i="58"/>
  <c r="T96" i="58"/>
  <c r="S96" i="58"/>
  <c r="R96" i="58"/>
  <c r="Q96" i="58"/>
  <c r="P96" i="58"/>
  <c r="M96" i="58"/>
  <c r="L96" i="58"/>
  <c r="U95" i="58"/>
  <c r="T95" i="58"/>
  <c r="S95" i="58"/>
  <c r="R95" i="58"/>
  <c r="Q95" i="58"/>
  <c r="M95" i="58"/>
  <c r="L95" i="58"/>
  <c r="U94" i="58"/>
  <c r="T94" i="58"/>
  <c r="S94" i="58"/>
  <c r="R94" i="58"/>
  <c r="Q94" i="58"/>
  <c r="P94" i="58"/>
  <c r="M94" i="58"/>
  <c r="L94" i="58"/>
  <c r="U93" i="58"/>
  <c r="T93" i="58"/>
  <c r="S93" i="58"/>
  <c r="R93" i="58"/>
  <c r="Q93" i="58"/>
  <c r="M93" i="58"/>
  <c r="L93" i="58"/>
  <c r="U92" i="58"/>
  <c r="T92" i="58"/>
  <c r="S92" i="58"/>
  <c r="R92" i="58"/>
  <c r="Q92" i="58"/>
  <c r="P92" i="58"/>
  <c r="M92" i="58"/>
  <c r="L92" i="58"/>
  <c r="U91" i="58"/>
  <c r="T91" i="58"/>
  <c r="S91" i="58"/>
  <c r="R91" i="58"/>
  <c r="Q91" i="58"/>
  <c r="M91" i="58"/>
  <c r="L91" i="58"/>
  <c r="U90" i="58"/>
  <c r="T90" i="58"/>
  <c r="S90" i="58"/>
  <c r="R90" i="58"/>
  <c r="Q90" i="58"/>
  <c r="P90" i="58"/>
  <c r="M90" i="58"/>
  <c r="L90" i="58"/>
  <c r="U89" i="58"/>
  <c r="T89" i="58"/>
  <c r="S89" i="58"/>
  <c r="R89" i="58"/>
  <c r="Q89" i="58"/>
  <c r="N89" i="58"/>
  <c r="M89" i="58"/>
  <c r="L89" i="58"/>
  <c r="U88" i="58"/>
  <c r="T88" i="58"/>
  <c r="S88" i="58"/>
  <c r="R88" i="58"/>
  <c r="Q88" i="58"/>
  <c r="M88" i="58"/>
  <c r="L88" i="58"/>
  <c r="U87" i="58"/>
  <c r="T87" i="58"/>
  <c r="S87" i="58"/>
  <c r="R87" i="58"/>
  <c r="Q87" i="58"/>
  <c r="P87" i="58"/>
  <c r="M87" i="58"/>
  <c r="L87" i="58"/>
  <c r="U86" i="58"/>
  <c r="T86" i="58"/>
  <c r="S86" i="58"/>
  <c r="R86" i="58"/>
  <c r="Q86" i="58"/>
  <c r="P86" i="58"/>
  <c r="M86" i="58"/>
  <c r="L86" i="58"/>
  <c r="U85" i="58"/>
  <c r="T85" i="58"/>
  <c r="S85" i="58"/>
  <c r="R85" i="58"/>
  <c r="Q85" i="58"/>
  <c r="M85" i="58"/>
  <c r="L85" i="58"/>
  <c r="U84" i="58"/>
  <c r="T84" i="58"/>
  <c r="S84" i="58"/>
  <c r="R84" i="58"/>
  <c r="Q84" i="58"/>
  <c r="P84" i="58"/>
  <c r="M84" i="58"/>
  <c r="L84" i="58"/>
  <c r="U83" i="58"/>
  <c r="T83" i="58"/>
  <c r="S83" i="58"/>
  <c r="R83" i="58"/>
  <c r="Q83" i="58"/>
  <c r="M83" i="58"/>
  <c r="L83" i="58"/>
  <c r="U82" i="58"/>
  <c r="T82" i="58"/>
  <c r="S82" i="58"/>
  <c r="R82" i="58"/>
  <c r="Q82" i="58"/>
  <c r="P82" i="58"/>
  <c r="M82" i="58"/>
  <c r="L82" i="58"/>
  <c r="U81" i="58"/>
  <c r="T81" i="58"/>
  <c r="S81" i="58"/>
  <c r="R81" i="58"/>
  <c r="Q81" i="58"/>
  <c r="P81" i="58"/>
  <c r="M81" i="58"/>
  <c r="L81" i="58"/>
  <c r="U80" i="58"/>
  <c r="T80" i="58"/>
  <c r="S80" i="58"/>
  <c r="R80" i="58"/>
  <c r="Q80" i="58"/>
  <c r="M80" i="58"/>
  <c r="L80" i="58"/>
  <c r="U79" i="58"/>
  <c r="T79" i="58"/>
  <c r="S79" i="58"/>
  <c r="R79" i="58"/>
  <c r="Q79" i="58"/>
  <c r="P79" i="58"/>
  <c r="N79" i="58"/>
  <c r="M79" i="58"/>
  <c r="L79" i="58"/>
  <c r="U78" i="58"/>
  <c r="T78" i="58"/>
  <c r="S78" i="58"/>
  <c r="R78" i="58"/>
  <c r="Q78" i="58"/>
  <c r="P78" i="58"/>
  <c r="M78" i="58"/>
  <c r="L78" i="58"/>
  <c r="U77" i="58"/>
  <c r="T77" i="58"/>
  <c r="S77" i="58"/>
  <c r="R77" i="58"/>
  <c r="Q77" i="58"/>
  <c r="M77" i="58"/>
  <c r="L77" i="58"/>
  <c r="U76" i="58"/>
  <c r="T76" i="58"/>
  <c r="S76" i="58"/>
  <c r="R76" i="58"/>
  <c r="Q76" i="58"/>
  <c r="N76" i="58"/>
  <c r="M76" i="58"/>
  <c r="L76" i="58"/>
  <c r="U75" i="58"/>
  <c r="T75" i="58"/>
  <c r="S75" i="58"/>
  <c r="R75" i="58"/>
  <c r="Q75" i="58"/>
  <c r="P75" i="58"/>
  <c r="M75" i="58"/>
  <c r="L75" i="58"/>
  <c r="U74" i="58"/>
  <c r="T74" i="58"/>
  <c r="S74" i="58"/>
  <c r="R74" i="58"/>
  <c r="Q74" i="58"/>
  <c r="P74" i="58"/>
  <c r="M74" i="58"/>
  <c r="L74" i="58"/>
  <c r="U73" i="58"/>
  <c r="T73" i="58"/>
  <c r="S73" i="58"/>
  <c r="R73" i="58"/>
  <c r="Q73" i="58"/>
  <c r="M73" i="58"/>
  <c r="L73" i="58"/>
  <c r="U72" i="58"/>
  <c r="T72" i="58"/>
  <c r="S72" i="58"/>
  <c r="R72" i="58"/>
  <c r="Q72" i="58"/>
  <c r="M72" i="58"/>
  <c r="L72" i="58"/>
  <c r="U71" i="58"/>
  <c r="T71" i="58"/>
  <c r="S71" i="58"/>
  <c r="R71" i="58"/>
  <c r="Q71" i="58"/>
  <c r="P71" i="58"/>
  <c r="M71" i="58"/>
  <c r="L71" i="58"/>
  <c r="U70" i="58"/>
  <c r="T70" i="58"/>
  <c r="S70" i="58"/>
  <c r="R70" i="58"/>
  <c r="Q70" i="58"/>
  <c r="M70" i="58"/>
  <c r="L70" i="58"/>
  <c r="U69" i="58"/>
  <c r="T69" i="58"/>
  <c r="S69" i="58"/>
  <c r="R69" i="58"/>
  <c r="Q69" i="58"/>
  <c r="P69" i="58"/>
  <c r="M69" i="58"/>
  <c r="L69" i="58"/>
  <c r="U68" i="58"/>
  <c r="T68" i="58"/>
  <c r="S68" i="58"/>
  <c r="R68" i="58"/>
  <c r="Q68" i="58"/>
  <c r="M68" i="58"/>
  <c r="L68" i="58"/>
  <c r="U66" i="58"/>
  <c r="T66" i="58"/>
  <c r="S66" i="58"/>
  <c r="R66" i="58"/>
  <c r="Q66" i="58"/>
  <c r="P66" i="58"/>
  <c r="M66" i="58"/>
  <c r="L66" i="58"/>
  <c r="U65" i="58"/>
  <c r="T65" i="58"/>
  <c r="S65" i="58"/>
  <c r="R65" i="58"/>
  <c r="Q65" i="58"/>
  <c r="P65" i="58"/>
  <c r="M65" i="58"/>
  <c r="L65" i="58"/>
  <c r="U64" i="58"/>
  <c r="T64" i="58"/>
  <c r="S64" i="58"/>
  <c r="R64" i="58"/>
  <c r="Q64" i="58"/>
  <c r="M64" i="58"/>
  <c r="L64" i="58"/>
  <c r="U63" i="58"/>
  <c r="T63" i="58"/>
  <c r="S63" i="58"/>
  <c r="R63" i="58"/>
  <c r="Q63" i="58"/>
  <c r="P63" i="58"/>
  <c r="M63" i="58"/>
  <c r="L63" i="58"/>
  <c r="U62" i="58"/>
  <c r="T62" i="58"/>
  <c r="S62" i="58"/>
  <c r="R62" i="58"/>
  <c r="Q62" i="58"/>
  <c r="M62" i="58"/>
  <c r="L62" i="58"/>
  <c r="U61" i="58"/>
  <c r="T61" i="58"/>
  <c r="S61" i="58"/>
  <c r="R61" i="58"/>
  <c r="Q61" i="58"/>
  <c r="P61" i="58"/>
  <c r="M61" i="58"/>
  <c r="L61" i="58"/>
  <c r="U60" i="58"/>
  <c r="T60" i="58"/>
  <c r="S60" i="58"/>
  <c r="R60" i="58"/>
  <c r="Q60" i="58"/>
  <c r="M60" i="58"/>
  <c r="L60" i="58"/>
  <c r="U59" i="58"/>
  <c r="T59" i="58"/>
  <c r="S59" i="58"/>
  <c r="R59" i="58"/>
  <c r="Q59" i="58"/>
  <c r="P59" i="58"/>
  <c r="M59" i="58"/>
  <c r="L59" i="58"/>
  <c r="U58" i="58"/>
  <c r="T58" i="58"/>
  <c r="S58" i="58"/>
  <c r="R58" i="58"/>
  <c r="Q58" i="58"/>
  <c r="N58" i="58"/>
  <c r="M58" i="58"/>
  <c r="L58" i="58"/>
  <c r="U57" i="58"/>
  <c r="T57" i="58"/>
  <c r="S57" i="58"/>
  <c r="R57" i="58"/>
  <c r="Q57" i="58"/>
  <c r="M57" i="58"/>
  <c r="L57" i="58"/>
  <c r="U56" i="58"/>
  <c r="T56" i="58"/>
  <c r="S56" i="58"/>
  <c r="R56" i="58"/>
  <c r="Q56" i="58"/>
  <c r="P56" i="58"/>
  <c r="M56" i="58"/>
  <c r="L56" i="58"/>
  <c r="U55" i="58"/>
  <c r="T55" i="58"/>
  <c r="S55" i="58"/>
  <c r="R55" i="58"/>
  <c r="Q55" i="58"/>
  <c r="M55" i="58"/>
  <c r="L55" i="58"/>
  <c r="U54" i="58"/>
  <c r="T54" i="58"/>
  <c r="S54" i="58"/>
  <c r="R54" i="58"/>
  <c r="Q54" i="58"/>
  <c r="M54" i="58"/>
  <c r="L54" i="58"/>
  <c r="U53" i="58"/>
  <c r="T53" i="58"/>
  <c r="S53" i="58"/>
  <c r="R53" i="58"/>
  <c r="Q53" i="58"/>
  <c r="P53" i="58"/>
  <c r="M53" i="58"/>
  <c r="L53" i="58"/>
  <c r="U52" i="58"/>
  <c r="T52" i="58"/>
  <c r="S52" i="58"/>
  <c r="R52" i="58"/>
  <c r="Q52" i="58"/>
  <c r="P52" i="58"/>
  <c r="M52" i="58"/>
  <c r="L52" i="58"/>
  <c r="U51" i="58"/>
  <c r="T51" i="58"/>
  <c r="S51" i="58"/>
  <c r="R51" i="58"/>
  <c r="Q51" i="58"/>
  <c r="P51" i="58"/>
  <c r="M51" i="58"/>
  <c r="L51" i="58"/>
  <c r="U50" i="58"/>
  <c r="T50" i="58"/>
  <c r="S50" i="58"/>
  <c r="R50" i="58"/>
  <c r="Q50" i="58"/>
  <c r="P50" i="58"/>
  <c r="M50" i="58"/>
  <c r="L50" i="58"/>
  <c r="U49" i="58"/>
  <c r="T49" i="58"/>
  <c r="S49" i="58"/>
  <c r="R49" i="58"/>
  <c r="Q49" i="58"/>
  <c r="P49" i="58"/>
  <c r="M49" i="58"/>
  <c r="L49" i="58"/>
  <c r="U48" i="58"/>
  <c r="T48" i="58"/>
  <c r="S48" i="58"/>
  <c r="R48" i="58"/>
  <c r="Q48" i="58"/>
  <c r="P48" i="58"/>
  <c r="M48" i="58"/>
  <c r="L48" i="58"/>
  <c r="U47" i="58"/>
  <c r="T47" i="58"/>
  <c r="S47" i="58"/>
  <c r="R47" i="58"/>
  <c r="Q47" i="58"/>
  <c r="P47" i="58"/>
  <c r="M47" i="58"/>
  <c r="L47" i="58"/>
  <c r="U46" i="58"/>
  <c r="T46" i="58"/>
  <c r="S46" i="58"/>
  <c r="R46" i="58"/>
  <c r="Q46" i="58"/>
  <c r="P46" i="58"/>
  <c r="M46" i="58"/>
  <c r="L46" i="58"/>
  <c r="U45" i="58"/>
  <c r="T45" i="58"/>
  <c r="S45" i="58"/>
  <c r="R45" i="58"/>
  <c r="Q45" i="58"/>
  <c r="P45" i="58"/>
  <c r="M45" i="58"/>
  <c r="L45" i="58"/>
  <c r="U44" i="58"/>
  <c r="T44" i="58"/>
  <c r="S44" i="58"/>
  <c r="R44" i="58"/>
  <c r="Q44" i="58"/>
  <c r="P44" i="58"/>
  <c r="N44" i="58"/>
  <c r="M44" i="58"/>
  <c r="L44" i="58"/>
  <c r="U43" i="58"/>
  <c r="T43" i="58"/>
  <c r="S43" i="58"/>
  <c r="R43" i="58"/>
  <c r="Q43" i="58"/>
  <c r="P43" i="58"/>
  <c r="M43" i="58"/>
  <c r="L43" i="58"/>
  <c r="U42" i="58"/>
  <c r="T42" i="58"/>
  <c r="S42" i="58"/>
  <c r="R42" i="58"/>
  <c r="Q42" i="58"/>
  <c r="N42" i="58"/>
  <c r="M42" i="58"/>
  <c r="L42" i="58"/>
  <c r="U41" i="58"/>
  <c r="T41" i="58"/>
  <c r="S41" i="58"/>
  <c r="R41" i="58"/>
  <c r="Q41" i="58"/>
  <c r="P41" i="58"/>
  <c r="N41" i="58"/>
  <c r="M41" i="58"/>
  <c r="L41" i="58"/>
  <c r="U40" i="58"/>
  <c r="T40" i="58"/>
  <c r="S40" i="58"/>
  <c r="R40" i="58"/>
  <c r="Q40" i="58"/>
  <c r="M40" i="58"/>
  <c r="L40" i="58"/>
  <c r="U39" i="58"/>
  <c r="T39" i="58"/>
  <c r="S39" i="58"/>
  <c r="R39" i="58"/>
  <c r="Q39" i="58"/>
  <c r="M39" i="58"/>
  <c r="L39" i="58"/>
  <c r="U38" i="58"/>
  <c r="T38" i="58"/>
  <c r="S38" i="58"/>
  <c r="R38" i="58"/>
  <c r="Q38" i="58"/>
  <c r="M38" i="58"/>
  <c r="L38" i="58"/>
  <c r="U37" i="58"/>
  <c r="T37" i="58"/>
  <c r="S37" i="58"/>
  <c r="R37" i="58"/>
  <c r="Q37" i="58"/>
  <c r="P37" i="58"/>
  <c r="M37" i="58"/>
  <c r="L37" i="58"/>
  <c r="U36" i="58"/>
  <c r="T36" i="58"/>
  <c r="S36" i="58"/>
  <c r="R36" i="58"/>
  <c r="Q36" i="58"/>
  <c r="P36" i="58"/>
  <c r="M36" i="58"/>
  <c r="L36" i="58"/>
  <c r="U35" i="58"/>
  <c r="T35" i="58"/>
  <c r="S35" i="58"/>
  <c r="R35" i="58"/>
  <c r="Q35" i="58"/>
  <c r="P35" i="58"/>
  <c r="M35" i="58"/>
  <c r="L35" i="58"/>
  <c r="U34" i="58"/>
  <c r="T34" i="58"/>
  <c r="S34" i="58"/>
  <c r="R34" i="58"/>
  <c r="Q34" i="58"/>
  <c r="P34" i="58"/>
  <c r="M34" i="58"/>
  <c r="L34" i="58"/>
  <c r="U33" i="58"/>
  <c r="T33" i="58"/>
  <c r="S33" i="58"/>
  <c r="R33" i="58"/>
  <c r="Q33" i="58"/>
  <c r="M33" i="58"/>
  <c r="L33" i="58"/>
  <c r="U32" i="58"/>
  <c r="T32" i="58"/>
  <c r="S32" i="58"/>
  <c r="R32" i="58"/>
  <c r="Q32" i="58"/>
  <c r="N32" i="58"/>
  <c r="M32" i="58"/>
  <c r="L32" i="58"/>
  <c r="U31" i="58"/>
  <c r="T31" i="58"/>
  <c r="S31" i="58"/>
  <c r="R31" i="58"/>
  <c r="Q31" i="58"/>
  <c r="M31" i="58"/>
  <c r="L31" i="58"/>
  <c r="U30" i="58"/>
  <c r="T30" i="58"/>
  <c r="S30" i="58"/>
  <c r="R30" i="58"/>
  <c r="Q30" i="58"/>
  <c r="M30" i="58"/>
  <c r="L30" i="58"/>
  <c r="U29" i="58"/>
  <c r="T29" i="58"/>
  <c r="S29" i="58"/>
  <c r="R29" i="58"/>
  <c r="Q29" i="58"/>
  <c r="M29" i="58"/>
  <c r="L29" i="58"/>
  <c r="U28" i="58"/>
  <c r="T28" i="58"/>
  <c r="S28" i="58"/>
  <c r="R28" i="58"/>
  <c r="Q28" i="58"/>
  <c r="P28" i="58"/>
  <c r="M28" i="58"/>
  <c r="L28" i="58"/>
  <c r="U27" i="58"/>
  <c r="T27" i="58"/>
  <c r="S27" i="58"/>
  <c r="R27" i="58"/>
  <c r="Q27" i="58"/>
  <c r="M27" i="58"/>
  <c r="L27" i="58"/>
  <c r="U26" i="58"/>
  <c r="T26" i="58"/>
  <c r="S26" i="58"/>
  <c r="R26" i="58"/>
  <c r="Q26" i="58"/>
  <c r="M26" i="58"/>
  <c r="L26" i="58"/>
  <c r="U25" i="58"/>
  <c r="T25" i="58"/>
  <c r="S25" i="58"/>
  <c r="R25" i="58"/>
  <c r="Q25" i="58"/>
  <c r="M25" i="58"/>
  <c r="L25" i="58"/>
  <c r="U24" i="58"/>
  <c r="T24" i="58"/>
  <c r="S24" i="58"/>
  <c r="R24" i="58"/>
  <c r="Q24" i="58"/>
  <c r="M24" i="58"/>
  <c r="L24" i="58"/>
  <c r="U23" i="58"/>
  <c r="T23" i="58"/>
  <c r="S23" i="58"/>
  <c r="R23" i="58"/>
  <c r="Q23" i="58"/>
  <c r="M23" i="58"/>
  <c r="L23" i="58"/>
  <c r="U22" i="58"/>
  <c r="T22" i="58"/>
  <c r="S22" i="58"/>
  <c r="R22" i="58"/>
  <c r="Q22" i="58"/>
  <c r="M22" i="58"/>
  <c r="L22" i="58"/>
  <c r="U21" i="58"/>
  <c r="T21" i="58"/>
  <c r="S21" i="58"/>
  <c r="R21" i="58"/>
  <c r="Q21" i="58"/>
  <c r="M21" i="58"/>
  <c r="L21" i="58"/>
  <c r="U20" i="58"/>
  <c r="T20" i="58"/>
  <c r="S20" i="58"/>
  <c r="R20" i="58"/>
  <c r="Q20" i="58"/>
  <c r="M20" i="58"/>
  <c r="L20" i="58"/>
  <c r="U19" i="58"/>
  <c r="T19" i="58"/>
  <c r="S19" i="58"/>
  <c r="R19" i="58"/>
  <c r="Q19" i="58"/>
  <c r="P19" i="58"/>
  <c r="M19" i="58"/>
  <c r="L19" i="58"/>
  <c r="U18" i="58"/>
  <c r="T18" i="58"/>
  <c r="S18" i="58"/>
  <c r="R18" i="58"/>
  <c r="Q18" i="58"/>
  <c r="P18" i="58"/>
  <c r="N18" i="58"/>
  <c r="M18" i="58"/>
  <c r="L18" i="58"/>
  <c r="U17" i="58"/>
  <c r="T17" i="58"/>
  <c r="S17" i="58"/>
  <c r="R17" i="58"/>
  <c r="Q17" i="58"/>
  <c r="M17" i="58"/>
  <c r="L17" i="58"/>
  <c r="U16" i="58"/>
  <c r="T16" i="58"/>
  <c r="S16" i="58"/>
  <c r="R16" i="58"/>
  <c r="Q16" i="58"/>
  <c r="P16" i="58"/>
  <c r="M16" i="58"/>
  <c r="L16" i="58"/>
  <c r="U15" i="58"/>
  <c r="T15" i="58"/>
  <c r="S15" i="58"/>
  <c r="R15" i="58"/>
  <c r="Q15" i="58"/>
  <c r="M15" i="58"/>
  <c r="L15" i="58"/>
  <c r="U14" i="58"/>
  <c r="T14" i="58"/>
  <c r="S14" i="58"/>
  <c r="R14" i="58"/>
  <c r="Q14" i="58"/>
  <c r="M14" i="58"/>
  <c r="L14" i="58"/>
  <c r="U13" i="58"/>
  <c r="T13" i="58"/>
  <c r="S13" i="58"/>
  <c r="R13" i="58"/>
  <c r="Q13" i="58"/>
  <c r="P13" i="58"/>
  <c r="M13" i="58"/>
  <c r="L13" i="58"/>
  <c r="U12" i="58"/>
  <c r="T12" i="58"/>
  <c r="S12" i="58"/>
  <c r="R12" i="58"/>
  <c r="Q12" i="58"/>
  <c r="P12" i="58"/>
  <c r="M12" i="58"/>
  <c r="L12" i="58"/>
  <c r="U11" i="58"/>
  <c r="T11" i="58"/>
  <c r="S11" i="58"/>
  <c r="R11" i="58"/>
  <c r="Q11" i="58"/>
  <c r="M11" i="58"/>
  <c r="L11" i="58"/>
  <c r="U10" i="58"/>
  <c r="T10" i="58"/>
  <c r="S10" i="58"/>
  <c r="R10" i="58"/>
  <c r="Q10" i="58"/>
  <c r="P10" i="58"/>
  <c r="M10" i="58"/>
  <c r="L10" i="58"/>
  <c r="U9" i="58"/>
  <c r="T9" i="58"/>
  <c r="S9" i="58"/>
  <c r="R9" i="58"/>
  <c r="Q9" i="58"/>
  <c r="M9" i="58"/>
  <c r="L9" i="58"/>
  <c r="U8" i="58"/>
  <c r="T8" i="58"/>
  <c r="S8" i="58"/>
  <c r="R8" i="58"/>
  <c r="Q8" i="58"/>
  <c r="M8" i="58"/>
  <c r="L8" i="58"/>
  <c r="U7" i="58"/>
  <c r="T7" i="58"/>
  <c r="S7" i="58"/>
  <c r="R7" i="58"/>
  <c r="Q7" i="58"/>
  <c r="P7" i="58"/>
  <c r="M7" i="58"/>
  <c r="L7" i="58"/>
  <c r="U6" i="58"/>
  <c r="T6" i="58"/>
  <c r="S6" i="58"/>
  <c r="R6" i="58"/>
  <c r="Q6" i="58"/>
  <c r="P6" i="58"/>
  <c r="M6" i="58"/>
  <c r="L6" i="58"/>
  <c r="U5" i="58"/>
  <c r="T5" i="58"/>
  <c r="S5" i="58"/>
  <c r="R5" i="58"/>
  <c r="Q5" i="58"/>
  <c r="P5" i="58"/>
  <c r="N5" i="58"/>
  <c r="M5" i="58"/>
  <c r="L5" i="58"/>
  <c r="U4" i="58"/>
  <c r="T4" i="58"/>
  <c r="S4" i="58"/>
  <c r="R4" i="58"/>
  <c r="Q4" i="58"/>
  <c r="P4" i="58"/>
  <c r="M4" i="58"/>
  <c r="L4" i="58"/>
  <c r="U3" i="58"/>
  <c r="T3" i="58"/>
  <c r="S3" i="58"/>
  <c r="R3" i="58"/>
  <c r="Q3" i="58"/>
  <c r="P3" i="58"/>
  <c r="M3" i="58"/>
  <c r="L3" i="58"/>
  <c r="U2" i="58"/>
  <c r="T2" i="58"/>
  <c r="S2" i="58"/>
  <c r="R2" i="58"/>
  <c r="Q2" i="58"/>
  <c r="M2" i="58"/>
  <c r="L2" i="58"/>
  <c r="B7" i="15"/>
  <c r="C7" i="15" s="1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U192" i="56"/>
  <c r="T192" i="56"/>
  <c r="S192" i="56"/>
  <c r="R192" i="56"/>
  <c r="Q192" i="56"/>
  <c r="P192" i="56"/>
  <c r="M192" i="56"/>
  <c r="L192" i="56"/>
  <c r="U191" i="56"/>
  <c r="T191" i="56"/>
  <c r="S191" i="56"/>
  <c r="R191" i="56"/>
  <c r="Q191" i="56"/>
  <c r="M191" i="56"/>
  <c r="L191" i="56"/>
  <c r="U190" i="56"/>
  <c r="T190" i="56"/>
  <c r="S190" i="56"/>
  <c r="R190" i="56"/>
  <c r="Q190" i="56"/>
  <c r="P190" i="56"/>
  <c r="N190" i="56"/>
  <c r="M190" i="56"/>
  <c r="L190" i="56"/>
  <c r="U189" i="56"/>
  <c r="T189" i="56"/>
  <c r="S189" i="56"/>
  <c r="R189" i="56"/>
  <c r="Q189" i="56"/>
  <c r="P189" i="56"/>
  <c r="M189" i="56"/>
  <c r="L189" i="56"/>
  <c r="U188" i="56"/>
  <c r="T188" i="56"/>
  <c r="S188" i="56"/>
  <c r="R188" i="56"/>
  <c r="Q188" i="56"/>
  <c r="P188" i="56"/>
  <c r="M188" i="56"/>
  <c r="L188" i="56"/>
  <c r="U187" i="56"/>
  <c r="T187" i="56"/>
  <c r="S187" i="56"/>
  <c r="R187" i="56"/>
  <c r="Q187" i="56"/>
  <c r="M187" i="56"/>
  <c r="L187" i="56"/>
  <c r="U186" i="56"/>
  <c r="T186" i="56"/>
  <c r="S186" i="56"/>
  <c r="R186" i="56"/>
  <c r="Q186" i="56"/>
  <c r="P186" i="56"/>
  <c r="M186" i="56"/>
  <c r="L186" i="56"/>
  <c r="U185" i="56"/>
  <c r="T185" i="56"/>
  <c r="S185" i="56"/>
  <c r="R185" i="56"/>
  <c r="Q185" i="56"/>
  <c r="P185" i="56"/>
  <c r="M185" i="56"/>
  <c r="L185" i="56"/>
  <c r="U184" i="56"/>
  <c r="T184" i="56"/>
  <c r="S184" i="56"/>
  <c r="R184" i="56"/>
  <c r="Q184" i="56"/>
  <c r="M184" i="56"/>
  <c r="L184" i="56"/>
  <c r="U183" i="56"/>
  <c r="T183" i="56"/>
  <c r="S183" i="56"/>
  <c r="R183" i="56"/>
  <c r="Q183" i="56"/>
  <c r="P183" i="56"/>
  <c r="M183" i="56"/>
  <c r="L183" i="56"/>
  <c r="U182" i="56"/>
  <c r="T182" i="56"/>
  <c r="S182" i="56"/>
  <c r="R182" i="56"/>
  <c r="Q182" i="56"/>
  <c r="P182" i="56"/>
  <c r="M182" i="56"/>
  <c r="L182" i="56"/>
  <c r="U181" i="56"/>
  <c r="T181" i="56"/>
  <c r="S181" i="56"/>
  <c r="R181" i="56"/>
  <c r="Q181" i="56"/>
  <c r="M181" i="56"/>
  <c r="L181" i="56"/>
  <c r="U180" i="56"/>
  <c r="T180" i="56"/>
  <c r="S180" i="56"/>
  <c r="R180" i="56"/>
  <c r="Q180" i="56"/>
  <c r="P180" i="56"/>
  <c r="M180" i="56"/>
  <c r="L180" i="56"/>
  <c r="U179" i="56"/>
  <c r="T179" i="56"/>
  <c r="S179" i="56"/>
  <c r="R179" i="56"/>
  <c r="Q179" i="56"/>
  <c r="P179" i="56"/>
  <c r="M179" i="56"/>
  <c r="L179" i="56"/>
  <c r="U178" i="56"/>
  <c r="T178" i="56"/>
  <c r="S178" i="56"/>
  <c r="R178" i="56"/>
  <c r="Q178" i="56"/>
  <c r="P178" i="56"/>
  <c r="M178" i="56"/>
  <c r="L178" i="56"/>
  <c r="U177" i="56"/>
  <c r="T177" i="56"/>
  <c r="S177" i="56"/>
  <c r="R177" i="56"/>
  <c r="Q177" i="56"/>
  <c r="P177" i="56"/>
  <c r="M177" i="56"/>
  <c r="L177" i="56"/>
  <c r="U176" i="56"/>
  <c r="T176" i="56"/>
  <c r="S176" i="56"/>
  <c r="R176" i="56"/>
  <c r="Q176" i="56"/>
  <c r="P176" i="56"/>
  <c r="M176" i="56"/>
  <c r="L176" i="56"/>
  <c r="U175" i="56"/>
  <c r="T175" i="56"/>
  <c r="S175" i="56"/>
  <c r="R175" i="56"/>
  <c r="Q175" i="56"/>
  <c r="M175" i="56"/>
  <c r="L175" i="56"/>
  <c r="U174" i="56"/>
  <c r="T174" i="56"/>
  <c r="S174" i="56"/>
  <c r="R174" i="56"/>
  <c r="Q174" i="56"/>
  <c r="M174" i="56"/>
  <c r="L174" i="56"/>
  <c r="U173" i="56"/>
  <c r="T173" i="56"/>
  <c r="S173" i="56"/>
  <c r="R173" i="56"/>
  <c r="Q173" i="56"/>
  <c r="M173" i="56"/>
  <c r="L173" i="56"/>
  <c r="U172" i="56"/>
  <c r="T172" i="56"/>
  <c r="S172" i="56"/>
  <c r="R172" i="56"/>
  <c r="Q172" i="56"/>
  <c r="P172" i="56"/>
  <c r="M172" i="56"/>
  <c r="L172" i="56"/>
  <c r="U171" i="56"/>
  <c r="T171" i="56"/>
  <c r="S171" i="56"/>
  <c r="R171" i="56"/>
  <c r="Q171" i="56"/>
  <c r="P171" i="56"/>
  <c r="M171" i="56"/>
  <c r="L171" i="56"/>
  <c r="U170" i="56"/>
  <c r="T170" i="56"/>
  <c r="S170" i="56"/>
  <c r="R170" i="56"/>
  <c r="Q170" i="56"/>
  <c r="P170" i="56"/>
  <c r="M170" i="56"/>
  <c r="L170" i="56"/>
  <c r="U169" i="56"/>
  <c r="T169" i="56"/>
  <c r="S169" i="56"/>
  <c r="R169" i="56"/>
  <c r="Q169" i="56"/>
  <c r="P169" i="56"/>
  <c r="M169" i="56"/>
  <c r="L169" i="56"/>
  <c r="U168" i="56"/>
  <c r="T168" i="56"/>
  <c r="S168" i="56"/>
  <c r="R168" i="56"/>
  <c r="Q168" i="56"/>
  <c r="M168" i="56"/>
  <c r="L168" i="56"/>
  <c r="U167" i="56"/>
  <c r="T167" i="56"/>
  <c r="S167" i="56"/>
  <c r="R167" i="56"/>
  <c r="Q167" i="56"/>
  <c r="P167" i="56"/>
  <c r="N167" i="56"/>
  <c r="M167" i="56"/>
  <c r="L167" i="56"/>
  <c r="U166" i="56"/>
  <c r="T166" i="56"/>
  <c r="S166" i="56"/>
  <c r="R166" i="56"/>
  <c r="Q166" i="56"/>
  <c r="P166" i="56"/>
  <c r="M166" i="56"/>
  <c r="L166" i="56"/>
  <c r="U165" i="56"/>
  <c r="T165" i="56"/>
  <c r="S165" i="56"/>
  <c r="R165" i="56"/>
  <c r="Q165" i="56"/>
  <c r="N165" i="56"/>
  <c r="M165" i="56"/>
  <c r="L165" i="56"/>
  <c r="U164" i="56"/>
  <c r="T164" i="56"/>
  <c r="S164" i="56"/>
  <c r="R164" i="56"/>
  <c r="Q164" i="56"/>
  <c r="M164" i="56"/>
  <c r="L164" i="56"/>
  <c r="U163" i="56"/>
  <c r="T163" i="56"/>
  <c r="S163" i="56"/>
  <c r="R163" i="56"/>
  <c r="Q163" i="56"/>
  <c r="M163" i="56"/>
  <c r="L163" i="56"/>
  <c r="U162" i="56"/>
  <c r="T162" i="56"/>
  <c r="S162" i="56"/>
  <c r="R162" i="56"/>
  <c r="Q162" i="56"/>
  <c r="M162" i="56"/>
  <c r="L162" i="56"/>
  <c r="U161" i="56"/>
  <c r="T161" i="56"/>
  <c r="S161" i="56"/>
  <c r="R161" i="56"/>
  <c r="Q161" i="56"/>
  <c r="P161" i="56"/>
  <c r="M161" i="56"/>
  <c r="L161" i="56"/>
  <c r="U160" i="56"/>
  <c r="T160" i="56"/>
  <c r="S160" i="56"/>
  <c r="R160" i="56"/>
  <c r="Q160" i="56"/>
  <c r="P160" i="56"/>
  <c r="M160" i="56"/>
  <c r="L160" i="56"/>
  <c r="U159" i="56"/>
  <c r="T159" i="56"/>
  <c r="S159" i="56"/>
  <c r="R159" i="56"/>
  <c r="Q159" i="56"/>
  <c r="P159" i="56"/>
  <c r="M159" i="56"/>
  <c r="L159" i="56"/>
  <c r="U158" i="56"/>
  <c r="T158" i="56"/>
  <c r="S158" i="56"/>
  <c r="R158" i="56"/>
  <c r="Q158" i="56"/>
  <c r="M158" i="56"/>
  <c r="L158" i="56"/>
  <c r="U157" i="56"/>
  <c r="T157" i="56"/>
  <c r="S157" i="56"/>
  <c r="R157" i="56"/>
  <c r="Q157" i="56"/>
  <c r="M157" i="56"/>
  <c r="L157" i="56"/>
  <c r="U156" i="56"/>
  <c r="T156" i="56"/>
  <c r="S156" i="56"/>
  <c r="R156" i="56"/>
  <c r="Q156" i="56"/>
  <c r="P156" i="56"/>
  <c r="M156" i="56"/>
  <c r="L156" i="56"/>
  <c r="U155" i="56"/>
  <c r="T155" i="56"/>
  <c r="S155" i="56"/>
  <c r="R155" i="56"/>
  <c r="Q155" i="56"/>
  <c r="P155" i="56"/>
  <c r="M155" i="56"/>
  <c r="L155" i="56"/>
  <c r="U154" i="56"/>
  <c r="T154" i="56"/>
  <c r="S154" i="56"/>
  <c r="R154" i="56"/>
  <c r="Q154" i="56"/>
  <c r="P154" i="56"/>
  <c r="M154" i="56"/>
  <c r="L154" i="56"/>
  <c r="U153" i="56"/>
  <c r="T153" i="56"/>
  <c r="S153" i="56"/>
  <c r="R153" i="56"/>
  <c r="Q153" i="56"/>
  <c r="P153" i="56"/>
  <c r="M153" i="56"/>
  <c r="L153" i="56"/>
  <c r="U152" i="56"/>
  <c r="T152" i="56"/>
  <c r="S152" i="56"/>
  <c r="R152" i="56"/>
  <c r="Q152" i="56"/>
  <c r="M152" i="56"/>
  <c r="L152" i="56"/>
  <c r="U151" i="56"/>
  <c r="T151" i="56"/>
  <c r="S151" i="56"/>
  <c r="R151" i="56"/>
  <c r="Q151" i="56"/>
  <c r="P151" i="56"/>
  <c r="M151" i="56"/>
  <c r="L151" i="56"/>
  <c r="U150" i="56"/>
  <c r="T150" i="56"/>
  <c r="S150" i="56"/>
  <c r="R150" i="56"/>
  <c r="Q150" i="56"/>
  <c r="P150" i="56"/>
  <c r="N150" i="56"/>
  <c r="M150" i="56"/>
  <c r="L150" i="56"/>
  <c r="U149" i="56"/>
  <c r="T149" i="56"/>
  <c r="S149" i="56"/>
  <c r="R149" i="56"/>
  <c r="Q149" i="56"/>
  <c r="N149" i="56"/>
  <c r="M149" i="56"/>
  <c r="L149" i="56"/>
  <c r="U148" i="56"/>
  <c r="T148" i="56"/>
  <c r="S148" i="56"/>
  <c r="R148" i="56"/>
  <c r="Q148" i="56"/>
  <c r="P148" i="56"/>
  <c r="M148" i="56"/>
  <c r="L148" i="56"/>
  <c r="U147" i="56"/>
  <c r="T147" i="56"/>
  <c r="S147" i="56"/>
  <c r="R147" i="56"/>
  <c r="Q147" i="56"/>
  <c r="P147" i="56"/>
  <c r="M147" i="56"/>
  <c r="L147" i="56"/>
  <c r="U146" i="56"/>
  <c r="T146" i="56"/>
  <c r="S146" i="56"/>
  <c r="R146" i="56"/>
  <c r="Q146" i="56"/>
  <c r="M146" i="56"/>
  <c r="L146" i="56"/>
  <c r="U145" i="56"/>
  <c r="T145" i="56"/>
  <c r="S145" i="56"/>
  <c r="R145" i="56"/>
  <c r="Q145" i="56"/>
  <c r="M145" i="56"/>
  <c r="L145" i="56"/>
  <c r="U144" i="56"/>
  <c r="T144" i="56"/>
  <c r="S144" i="56"/>
  <c r="R144" i="56"/>
  <c r="Q144" i="56"/>
  <c r="M144" i="56"/>
  <c r="L144" i="56"/>
  <c r="U143" i="56"/>
  <c r="T143" i="56"/>
  <c r="S143" i="56"/>
  <c r="R143" i="56"/>
  <c r="Q143" i="56"/>
  <c r="P143" i="56"/>
  <c r="M143" i="56"/>
  <c r="L143" i="56"/>
  <c r="U142" i="56"/>
  <c r="T142" i="56"/>
  <c r="S142" i="56"/>
  <c r="R142" i="56"/>
  <c r="Q142" i="56"/>
  <c r="P142" i="56"/>
  <c r="M142" i="56"/>
  <c r="L142" i="56"/>
  <c r="U141" i="56"/>
  <c r="T141" i="56"/>
  <c r="S141" i="56"/>
  <c r="R141" i="56"/>
  <c r="Q141" i="56"/>
  <c r="P141" i="56"/>
  <c r="M141" i="56"/>
  <c r="L141" i="56"/>
  <c r="U140" i="56"/>
  <c r="T140" i="56"/>
  <c r="S140" i="56"/>
  <c r="R140" i="56"/>
  <c r="Q140" i="56"/>
  <c r="P140" i="56"/>
  <c r="M140" i="56"/>
  <c r="L140" i="56"/>
  <c r="U139" i="56"/>
  <c r="T139" i="56"/>
  <c r="S139" i="56"/>
  <c r="R139" i="56"/>
  <c r="Q139" i="56"/>
  <c r="P139" i="56"/>
  <c r="N139" i="56"/>
  <c r="M139" i="56"/>
  <c r="L139" i="56"/>
  <c r="U138" i="56"/>
  <c r="T138" i="56"/>
  <c r="S138" i="56"/>
  <c r="R138" i="56"/>
  <c r="Q138" i="56"/>
  <c r="M138" i="56"/>
  <c r="L138" i="56"/>
  <c r="U137" i="56"/>
  <c r="T137" i="56"/>
  <c r="S137" i="56"/>
  <c r="R137" i="56"/>
  <c r="Q137" i="56"/>
  <c r="P137" i="56"/>
  <c r="M137" i="56"/>
  <c r="L137" i="56"/>
  <c r="U136" i="56"/>
  <c r="T136" i="56"/>
  <c r="S136" i="56"/>
  <c r="R136" i="56"/>
  <c r="Q136" i="56"/>
  <c r="P136" i="56"/>
  <c r="M136" i="56"/>
  <c r="L136" i="56"/>
  <c r="U135" i="56"/>
  <c r="T135" i="56"/>
  <c r="S135" i="56"/>
  <c r="R135" i="56"/>
  <c r="Q135" i="56"/>
  <c r="M135" i="56"/>
  <c r="L135" i="56"/>
  <c r="U134" i="56"/>
  <c r="T134" i="56"/>
  <c r="S134" i="56"/>
  <c r="R134" i="56"/>
  <c r="Q134" i="56"/>
  <c r="P134" i="56"/>
  <c r="M134" i="56"/>
  <c r="L134" i="56"/>
  <c r="U133" i="56"/>
  <c r="T133" i="56"/>
  <c r="S133" i="56"/>
  <c r="R133" i="56"/>
  <c r="Q133" i="56"/>
  <c r="N133" i="56"/>
  <c r="M133" i="56"/>
  <c r="L133" i="56"/>
  <c r="U132" i="56"/>
  <c r="T132" i="56"/>
  <c r="S132" i="56"/>
  <c r="R132" i="56"/>
  <c r="Q132" i="56"/>
  <c r="P132" i="56"/>
  <c r="M132" i="56"/>
  <c r="L132" i="56"/>
  <c r="U131" i="56"/>
  <c r="T131" i="56"/>
  <c r="S131" i="56"/>
  <c r="R131" i="56"/>
  <c r="Q131" i="56"/>
  <c r="P131" i="56"/>
  <c r="M131" i="56"/>
  <c r="L131" i="56"/>
  <c r="U130" i="56"/>
  <c r="T130" i="56"/>
  <c r="S130" i="56"/>
  <c r="R130" i="56"/>
  <c r="Q130" i="56"/>
  <c r="M130" i="56"/>
  <c r="L130" i="56"/>
  <c r="U129" i="56"/>
  <c r="T129" i="56"/>
  <c r="S129" i="56"/>
  <c r="R129" i="56"/>
  <c r="Q129" i="56"/>
  <c r="P129" i="56"/>
  <c r="M129" i="56"/>
  <c r="L129" i="56"/>
  <c r="U128" i="56"/>
  <c r="T128" i="56"/>
  <c r="S128" i="56"/>
  <c r="R128" i="56"/>
  <c r="Q128" i="56"/>
  <c r="M128" i="56"/>
  <c r="L128" i="56"/>
  <c r="U127" i="56"/>
  <c r="T127" i="56"/>
  <c r="S127" i="56"/>
  <c r="R127" i="56"/>
  <c r="Q127" i="56"/>
  <c r="P127" i="56"/>
  <c r="M127" i="56"/>
  <c r="L127" i="56"/>
  <c r="U126" i="56"/>
  <c r="T126" i="56"/>
  <c r="S126" i="56"/>
  <c r="R126" i="56"/>
  <c r="Q126" i="56"/>
  <c r="M126" i="56"/>
  <c r="L126" i="56"/>
  <c r="U125" i="56"/>
  <c r="T125" i="56"/>
  <c r="S125" i="56"/>
  <c r="R125" i="56"/>
  <c r="Q125" i="56"/>
  <c r="N125" i="56"/>
  <c r="M125" i="56"/>
  <c r="L125" i="56"/>
  <c r="U124" i="56"/>
  <c r="T124" i="56"/>
  <c r="S124" i="56"/>
  <c r="R124" i="56"/>
  <c r="Q124" i="56"/>
  <c r="P124" i="56"/>
  <c r="M124" i="56"/>
  <c r="L124" i="56"/>
  <c r="U123" i="56"/>
  <c r="T123" i="56"/>
  <c r="S123" i="56"/>
  <c r="R123" i="56"/>
  <c r="Q123" i="56"/>
  <c r="M123" i="56"/>
  <c r="L123" i="56"/>
  <c r="U122" i="56"/>
  <c r="T122" i="56"/>
  <c r="S122" i="56"/>
  <c r="R122" i="56"/>
  <c r="Q122" i="56"/>
  <c r="P122" i="56"/>
  <c r="M122" i="56"/>
  <c r="L122" i="56"/>
  <c r="U121" i="56"/>
  <c r="T121" i="56"/>
  <c r="S121" i="56"/>
  <c r="R121" i="56"/>
  <c r="Q121" i="56"/>
  <c r="P121" i="56"/>
  <c r="M121" i="56"/>
  <c r="L121" i="56"/>
  <c r="U120" i="56"/>
  <c r="T120" i="56"/>
  <c r="S120" i="56"/>
  <c r="R120" i="56"/>
  <c r="Q120" i="56"/>
  <c r="P120" i="56"/>
  <c r="M120" i="56"/>
  <c r="L120" i="56"/>
  <c r="U119" i="56"/>
  <c r="T119" i="56"/>
  <c r="S119" i="56"/>
  <c r="R119" i="56"/>
  <c r="Q119" i="56"/>
  <c r="P119" i="56"/>
  <c r="M119" i="56"/>
  <c r="L119" i="56"/>
  <c r="U118" i="56"/>
  <c r="T118" i="56"/>
  <c r="S118" i="56"/>
  <c r="R118" i="56"/>
  <c r="Q118" i="56"/>
  <c r="M118" i="56"/>
  <c r="L118" i="56"/>
  <c r="U117" i="56"/>
  <c r="T117" i="56"/>
  <c r="S117" i="56"/>
  <c r="R117" i="56"/>
  <c r="Q117" i="56"/>
  <c r="P117" i="56"/>
  <c r="M117" i="56"/>
  <c r="L117" i="56"/>
  <c r="U116" i="56"/>
  <c r="T116" i="56"/>
  <c r="S116" i="56"/>
  <c r="R116" i="56"/>
  <c r="Q116" i="56"/>
  <c r="N116" i="56"/>
  <c r="M116" i="56"/>
  <c r="L116" i="56"/>
  <c r="U115" i="56"/>
  <c r="T115" i="56"/>
  <c r="S115" i="56"/>
  <c r="R115" i="56"/>
  <c r="Q115" i="56"/>
  <c r="P115" i="56"/>
  <c r="M115" i="56"/>
  <c r="L115" i="56"/>
  <c r="U114" i="56"/>
  <c r="T114" i="56"/>
  <c r="S114" i="56"/>
  <c r="R114" i="56"/>
  <c r="Q114" i="56"/>
  <c r="P114" i="56"/>
  <c r="M114" i="56"/>
  <c r="L114" i="56"/>
  <c r="U113" i="56"/>
  <c r="T113" i="56"/>
  <c r="S113" i="56"/>
  <c r="R113" i="56"/>
  <c r="Q113" i="56"/>
  <c r="P113" i="56"/>
  <c r="M113" i="56"/>
  <c r="L113" i="56"/>
  <c r="U112" i="56"/>
  <c r="T112" i="56"/>
  <c r="S112" i="56"/>
  <c r="R112" i="56"/>
  <c r="Q112" i="56"/>
  <c r="P112" i="56"/>
  <c r="M112" i="56"/>
  <c r="L112" i="56"/>
  <c r="U111" i="56"/>
  <c r="T111" i="56"/>
  <c r="S111" i="56"/>
  <c r="R111" i="56"/>
  <c r="Q111" i="56"/>
  <c r="M111" i="56"/>
  <c r="L111" i="56"/>
  <c r="U110" i="56"/>
  <c r="T110" i="56"/>
  <c r="S110" i="56"/>
  <c r="R110" i="56"/>
  <c r="Q110" i="56"/>
  <c r="P110" i="56"/>
  <c r="M110" i="56"/>
  <c r="L110" i="56"/>
  <c r="U109" i="56"/>
  <c r="T109" i="56"/>
  <c r="S109" i="56"/>
  <c r="R109" i="56"/>
  <c r="Q109" i="56"/>
  <c r="M109" i="56"/>
  <c r="L109" i="56"/>
  <c r="U108" i="56"/>
  <c r="T108" i="56"/>
  <c r="S108" i="56"/>
  <c r="R108" i="56"/>
  <c r="Q108" i="56"/>
  <c r="P108" i="56"/>
  <c r="M108" i="56"/>
  <c r="L108" i="56"/>
  <c r="U107" i="56"/>
  <c r="T107" i="56"/>
  <c r="S107" i="56"/>
  <c r="R107" i="56"/>
  <c r="Q107" i="56"/>
  <c r="M107" i="56"/>
  <c r="L107" i="56"/>
  <c r="U106" i="56"/>
  <c r="T106" i="56"/>
  <c r="S106" i="56"/>
  <c r="R106" i="56"/>
  <c r="Q106" i="56"/>
  <c r="M106" i="56"/>
  <c r="L106" i="56"/>
  <c r="U105" i="56"/>
  <c r="T105" i="56"/>
  <c r="S105" i="56"/>
  <c r="R105" i="56"/>
  <c r="Q105" i="56"/>
  <c r="M105" i="56"/>
  <c r="L105" i="56"/>
  <c r="U104" i="56"/>
  <c r="T104" i="56"/>
  <c r="S104" i="56"/>
  <c r="R104" i="56"/>
  <c r="Q104" i="56"/>
  <c r="P104" i="56"/>
  <c r="M104" i="56"/>
  <c r="L104" i="56"/>
  <c r="U103" i="56"/>
  <c r="T103" i="56"/>
  <c r="S103" i="56"/>
  <c r="R103" i="56"/>
  <c r="Q103" i="56"/>
  <c r="M103" i="56"/>
  <c r="L103" i="56"/>
  <c r="U102" i="56"/>
  <c r="T102" i="56"/>
  <c r="S102" i="56"/>
  <c r="R102" i="56"/>
  <c r="Q102" i="56"/>
  <c r="M102" i="56"/>
  <c r="L102" i="56"/>
  <c r="U101" i="56"/>
  <c r="T101" i="56"/>
  <c r="S101" i="56"/>
  <c r="R101" i="56"/>
  <c r="Q101" i="56"/>
  <c r="P101" i="56"/>
  <c r="M101" i="56"/>
  <c r="L101" i="56"/>
  <c r="U100" i="56"/>
  <c r="T100" i="56"/>
  <c r="S100" i="56"/>
  <c r="R100" i="56"/>
  <c r="Q100" i="56"/>
  <c r="N100" i="56"/>
  <c r="M100" i="56"/>
  <c r="L100" i="56"/>
  <c r="U99" i="56"/>
  <c r="T99" i="56"/>
  <c r="S99" i="56"/>
  <c r="R99" i="56"/>
  <c r="Q99" i="56"/>
  <c r="M99" i="56"/>
  <c r="L99" i="56"/>
  <c r="U98" i="56"/>
  <c r="T98" i="56"/>
  <c r="S98" i="56"/>
  <c r="R98" i="56"/>
  <c r="Q98" i="56"/>
  <c r="P98" i="56"/>
  <c r="M98" i="56"/>
  <c r="L98" i="56"/>
  <c r="U97" i="56"/>
  <c r="T97" i="56"/>
  <c r="S97" i="56"/>
  <c r="R97" i="56"/>
  <c r="Q97" i="56"/>
  <c r="P97" i="56"/>
  <c r="M97" i="56"/>
  <c r="L97" i="56"/>
  <c r="U96" i="56"/>
  <c r="T96" i="56"/>
  <c r="S96" i="56"/>
  <c r="R96" i="56"/>
  <c r="Q96" i="56"/>
  <c r="N96" i="56"/>
  <c r="M96" i="56"/>
  <c r="L96" i="56"/>
  <c r="U95" i="56"/>
  <c r="T95" i="56"/>
  <c r="S95" i="56"/>
  <c r="R95" i="56"/>
  <c r="Q95" i="56"/>
  <c r="P95" i="56"/>
  <c r="M95" i="56"/>
  <c r="L95" i="56"/>
  <c r="U94" i="56"/>
  <c r="T94" i="56"/>
  <c r="S94" i="56"/>
  <c r="R94" i="56"/>
  <c r="Q94" i="56"/>
  <c r="P94" i="56"/>
  <c r="M94" i="56"/>
  <c r="L94" i="56"/>
  <c r="U93" i="56"/>
  <c r="T93" i="56"/>
  <c r="S93" i="56"/>
  <c r="R93" i="56"/>
  <c r="Q93" i="56"/>
  <c r="N93" i="56"/>
  <c r="M93" i="56"/>
  <c r="L93" i="56"/>
  <c r="U92" i="56"/>
  <c r="T92" i="56"/>
  <c r="S92" i="56"/>
  <c r="R92" i="56"/>
  <c r="Q92" i="56"/>
  <c r="P92" i="56"/>
  <c r="N92" i="56"/>
  <c r="M92" i="56"/>
  <c r="L92" i="56"/>
  <c r="U91" i="56"/>
  <c r="T91" i="56"/>
  <c r="S91" i="56"/>
  <c r="R91" i="56"/>
  <c r="Q91" i="56"/>
  <c r="M91" i="56"/>
  <c r="L91" i="56"/>
  <c r="U90" i="56"/>
  <c r="T90" i="56"/>
  <c r="S90" i="56"/>
  <c r="R90" i="56"/>
  <c r="Q90" i="56"/>
  <c r="P90" i="56"/>
  <c r="M90" i="56"/>
  <c r="L90" i="56"/>
  <c r="U89" i="56"/>
  <c r="T89" i="56"/>
  <c r="S89" i="56"/>
  <c r="R89" i="56"/>
  <c r="Q89" i="56"/>
  <c r="P89" i="56"/>
  <c r="M89" i="56"/>
  <c r="L89" i="56"/>
  <c r="U88" i="56"/>
  <c r="T88" i="56"/>
  <c r="S88" i="56"/>
  <c r="R88" i="56"/>
  <c r="Q88" i="56"/>
  <c r="M88" i="56"/>
  <c r="L88" i="56"/>
  <c r="U87" i="56"/>
  <c r="T87" i="56"/>
  <c r="S87" i="56"/>
  <c r="R87" i="56"/>
  <c r="Q87" i="56"/>
  <c r="P87" i="56"/>
  <c r="N87" i="56"/>
  <c r="M87" i="56"/>
  <c r="L87" i="56"/>
  <c r="U86" i="56"/>
  <c r="T86" i="56"/>
  <c r="S86" i="56"/>
  <c r="R86" i="56"/>
  <c r="Q86" i="56"/>
  <c r="P86" i="56"/>
  <c r="M86" i="56"/>
  <c r="L86" i="56"/>
  <c r="U85" i="56"/>
  <c r="T85" i="56"/>
  <c r="S85" i="56"/>
  <c r="R85" i="56"/>
  <c r="Q85" i="56"/>
  <c r="P85" i="56"/>
  <c r="M85" i="56"/>
  <c r="L85" i="56"/>
  <c r="U84" i="56"/>
  <c r="T84" i="56"/>
  <c r="S84" i="56"/>
  <c r="R84" i="56"/>
  <c r="Q84" i="56"/>
  <c r="M84" i="56"/>
  <c r="L84" i="56"/>
  <c r="U83" i="56"/>
  <c r="T83" i="56"/>
  <c r="S83" i="56"/>
  <c r="R83" i="56"/>
  <c r="Q83" i="56"/>
  <c r="M83" i="56"/>
  <c r="L83" i="56"/>
  <c r="U82" i="56"/>
  <c r="T82" i="56"/>
  <c r="S82" i="56"/>
  <c r="R82" i="56"/>
  <c r="Q82" i="56"/>
  <c r="P82" i="56"/>
  <c r="M82" i="56"/>
  <c r="L82" i="56"/>
  <c r="U81" i="56"/>
  <c r="T81" i="56"/>
  <c r="S81" i="56"/>
  <c r="R81" i="56"/>
  <c r="Q81" i="56"/>
  <c r="M81" i="56"/>
  <c r="L81" i="56"/>
  <c r="U80" i="56"/>
  <c r="T80" i="56"/>
  <c r="S80" i="56"/>
  <c r="R80" i="56"/>
  <c r="Q80" i="56"/>
  <c r="M80" i="56"/>
  <c r="L80" i="56"/>
  <c r="U79" i="56"/>
  <c r="T79" i="56"/>
  <c r="S79" i="56"/>
  <c r="R79" i="56"/>
  <c r="Q79" i="56"/>
  <c r="P79" i="56"/>
  <c r="M79" i="56"/>
  <c r="L79" i="56"/>
  <c r="U78" i="56"/>
  <c r="T78" i="56"/>
  <c r="S78" i="56"/>
  <c r="R78" i="56"/>
  <c r="Q78" i="56"/>
  <c r="M78" i="56"/>
  <c r="L78" i="56"/>
  <c r="U77" i="56"/>
  <c r="T77" i="56"/>
  <c r="S77" i="56"/>
  <c r="R77" i="56"/>
  <c r="Q77" i="56"/>
  <c r="P77" i="56"/>
  <c r="M77" i="56"/>
  <c r="L77" i="56"/>
  <c r="U76" i="56"/>
  <c r="T76" i="56"/>
  <c r="S76" i="56"/>
  <c r="R76" i="56"/>
  <c r="Q76" i="56"/>
  <c r="N76" i="56"/>
  <c r="M76" i="56"/>
  <c r="L76" i="56"/>
  <c r="U75" i="56"/>
  <c r="T75" i="56"/>
  <c r="S75" i="56"/>
  <c r="R75" i="56"/>
  <c r="Q75" i="56"/>
  <c r="M75" i="56"/>
  <c r="L75" i="56"/>
  <c r="U74" i="56"/>
  <c r="T74" i="56"/>
  <c r="S74" i="56"/>
  <c r="R74" i="56"/>
  <c r="Q74" i="56"/>
  <c r="M74" i="56"/>
  <c r="L74" i="56"/>
  <c r="U73" i="56"/>
  <c r="T73" i="56"/>
  <c r="S73" i="56"/>
  <c r="R73" i="56"/>
  <c r="Q73" i="56"/>
  <c r="P73" i="56"/>
  <c r="M73" i="56"/>
  <c r="L73" i="56"/>
  <c r="U72" i="56"/>
  <c r="T72" i="56"/>
  <c r="S72" i="56"/>
  <c r="R72" i="56"/>
  <c r="Q72" i="56"/>
  <c r="M72" i="56"/>
  <c r="L72" i="56"/>
  <c r="U71" i="56"/>
  <c r="T71" i="56"/>
  <c r="S71" i="56"/>
  <c r="R71" i="56"/>
  <c r="Q71" i="56"/>
  <c r="P71" i="56"/>
  <c r="M71" i="56"/>
  <c r="L71" i="56"/>
  <c r="U70" i="56"/>
  <c r="T70" i="56"/>
  <c r="S70" i="56"/>
  <c r="R70" i="56"/>
  <c r="Q70" i="56"/>
  <c r="M70" i="56"/>
  <c r="L70" i="56"/>
  <c r="U69" i="56"/>
  <c r="T69" i="56"/>
  <c r="S69" i="56"/>
  <c r="R69" i="56"/>
  <c r="Q69" i="56"/>
  <c r="M69" i="56"/>
  <c r="L69" i="56"/>
  <c r="U68" i="56"/>
  <c r="T68" i="56"/>
  <c r="S68" i="56"/>
  <c r="R68" i="56"/>
  <c r="Q68" i="56"/>
  <c r="M68" i="56"/>
  <c r="L68" i="56"/>
  <c r="U67" i="56"/>
  <c r="T67" i="56"/>
  <c r="S67" i="56"/>
  <c r="R67" i="56"/>
  <c r="Q67" i="56"/>
  <c r="M67" i="56"/>
  <c r="L67" i="56"/>
  <c r="U66" i="56"/>
  <c r="T66" i="56"/>
  <c r="S66" i="56"/>
  <c r="R66" i="56"/>
  <c r="Q66" i="56"/>
  <c r="P66" i="56"/>
  <c r="N66" i="56"/>
  <c r="M66" i="56"/>
  <c r="L66" i="56"/>
  <c r="U65" i="56"/>
  <c r="T65" i="56"/>
  <c r="S65" i="56"/>
  <c r="R65" i="56"/>
  <c r="Q65" i="56"/>
  <c r="P65" i="56"/>
  <c r="M65" i="56"/>
  <c r="L65" i="56"/>
  <c r="U64" i="56"/>
  <c r="T64" i="56"/>
  <c r="S64" i="56"/>
  <c r="R64" i="56"/>
  <c r="Q64" i="56"/>
  <c r="M64" i="56"/>
  <c r="L64" i="56"/>
  <c r="U63" i="56"/>
  <c r="T63" i="56"/>
  <c r="S63" i="56"/>
  <c r="R63" i="56"/>
  <c r="Q63" i="56"/>
  <c r="M63" i="56"/>
  <c r="L63" i="56"/>
  <c r="U62" i="56"/>
  <c r="T62" i="56"/>
  <c r="S62" i="56"/>
  <c r="R62" i="56"/>
  <c r="Q62" i="56"/>
  <c r="N62" i="56"/>
  <c r="M62" i="56"/>
  <c r="L62" i="56"/>
  <c r="U61" i="56"/>
  <c r="T61" i="56"/>
  <c r="S61" i="56"/>
  <c r="R61" i="56"/>
  <c r="Q61" i="56"/>
  <c r="P61" i="56"/>
  <c r="M61" i="56"/>
  <c r="L61" i="56"/>
  <c r="U60" i="56"/>
  <c r="T60" i="56"/>
  <c r="S60" i="56"/>
  <c r="R60" i="56"/>
  <c r="Q60" i="56"/>
  <c r="M60" i="56"/>
  <c r="L60" i="56"/>
  <c r="U59" i="56"/>
  <c r="T59" i="56"/>
  <c r="S59" i="56"/>
  <c r="R59" i="56"/>
  <c r="Q59" i="56"/>
  <c r="M59" i="56"/>
  <c r="L59" i="56"/>
  <c r="U58" i="56"/>
  <c r="T58" i="56"/>
  <c r="S58" i="56"/>
  <c r="R58" i="56"/>
  <c r="Q58" i="56"/>
  <c r="P58" i="56"/>
  <c r="M58" i="56"/>
  <c r="L58" i="56"/>
  <c r="U57" i="56"/>
  <c r="T57" i="56"/>
  <c r="S57" i="56"/>
  <c r="R57" i="56"/>
  <c r="Q57" i="56"/>
  <c r="M57" i="56"/>
  <c r="L57" i="56"/>
  <c r="U56" i="56"/>
  <c r="T56" i="56"/>
  <c r="S56" i="56"/>
  <c r="R56" i="56"/>
  <c r="Q56" i="56"/>
  <c r="P56" i="56"/>
  <c r="M56" i="56"/>
  <c r="L56" i="56"/>
  <c r="U55" i="56"/>
  <c r="T55" i="56"/>
  <c r="S55" i="56"/>
  <c r="R55" i="56"/>
  <c r="Q55" i="56"/>
  <c r="M55" i="56"/>
  <c r="L55" i="56"/>
  <c r="U54" i="56"/>
  <c r="T54" i="56"/>
  <c r="S54" i="56"/>
  <c r="R54" i="56"/>
  <c r="Q54" i="56"/>
  <c r="M54" i="56"/>
  <c r="L54" i="56"/>
  <c r="U53" i="56"/>
  <c r="T53" i="56"/>
  <c r="S53" i="56"/>
  <c r="R53" i="56"/>
  <c r="Q53" i="56"/>
  <c r="N53" i="56"/>
  <c r="M53" i="56"/>
  <c r="L53" i="56"/>
  <c r="U52" i="56"/>
  <c r="T52" i="56"/>
  <c r="S52" i="56"/>
  <c r="R52" i="56"/>
  <c r="Q52" i="56"/>
  <c r="M52" i="56"/>
  <c r="L52" i="56"/>
  <c r="U51" i="56"/>
  <c r="T51" i="56"/>
  <c r="S51" i="56"/>
  <c r="R51" i="56"/>
  <c r="Q51" i="56"/>
  <c r="M51" i="56"/>
  <c r="L51" i="56"/>
  <c r="U50" i="56"/>
  <c r="T50" i="56"/>
  <c r="S50" i="56"/>
  <c r="R50" i="56"/>
  <c r="Q50" i="56"/>
  <c r="P50" i="56"/>
  <c r="M50" i="56"/>
  <c r="L50" i="56"/>
  <c r="U49" i="56"/>
  <c r="T49" i="56"/>
  <c r="S49" i="56"/>
  <c r="R49" i="56"/>
  <c r="Q49" i="56"/>
  <c r="P49" i="56"/>
  <c r="M49" i="56"/>
  <c r="L49" i="56"/>
  <c r="U48" i="56"/>
  <c r="T48" i="56"/>
  <c r="S48" i="56"/>
  <c r="R48" i="56"/>
  <c r="Q48" i="56"/>
  <c r="M48" i="56"/>
  <c r="L48" i="56"/>
  <c r="U47" i="56"/>
  <c r="T47" i="56"/>
  <c r="S47" i="56"/>
  <c r="R47" i="56"/>
  <c r="Q47" i="56"/>
  <c r="P47" i="56"/>
  <c r="M47" i="56"/>
  <c r="L47" i="56"/>
  <c r="U46" i="56"/>
  <c r="T46" i="56"/>
  <c r="S46" i="56"/>
  <c r="R46" i="56"/>
  <c r="Q46" i="56"/>
  <c r="M46" i="56"/>
  <c r="L46" i="56"/>
  <c r="U45" i="56"/>
  <c r="T45" i="56"/>
  <c r="S45" i="56"/>
  <c r="R45" i="56"/>
  <c r="Q45" i="56"/>
  <c r="P45" i="56"/>
  <c r="M45" i="56"/>
  <c r="L45" i="56"/>
  <c r="U44" i="56"/>
  <c r="T44" i="56"/>
  <c r="S44" i="56"/>
  <c r="R44" i="56"/>
  <c r="Q44" i="56"/>
  <c r="P44" i="56"/>
  <c r="M44" i="56"/>
  <c r="L44" i="56"/>
  <c r="U43" i="56"/>
  <c r="T43" i="56"/>
  <c r="S43" i="56"/>
  <c r="R43" i="56"/>
  <c r="Q43" i="56"/>
  <c r="M43" i="56"/>
  <c r="L43" i="56"/>
  <c r="U42" i="56"/>
  <c r="T42" i="56"/>
  <c r="S42" i="56"/>
  <c r="R42" i="56"/>
  <c r="Q42" i="56"/>
  <c r="M42" i="56"/>
  <c r="L42" i="56"/>
  <c r="U41" i="56"/>
  <c r="T41" i="56"/>
  <c r="S41" i="56"/>
  <c r="R41" i="56"/>
  <c r="Q41" i="56"/>
  <c r="M41" i="56"/>
  <c r="L41" i="56"/>
  <c r="U40" i="56"/>
  <c r="T40" i="56"/>
  <c r="S40" i="56"/>
  <c r="R40" i="56"/>
  <c r="Q40" i="56"/>
  <c r="M40" i="56"/>
  <c r="L40" i="56"/>
  <c r="U39" i="56"/>
  <c r="T39" i="56"/>
  <c r="S39" i="56"/>
  <c r="R39" i="56"/>
  <c r="Q39" i="56"/>
  <c r="P39" i="56"/>
  <c r="M39" i="56"/>
  <c r="L39" i="56"/>
  <c r="U38" i="56"/>
  <c r="T38" i="56"/>
  <c r="S38" i="56"/>
  <c r="R38" i="56"/>
  <c r="Q38" i="56"/>
  <c r="M38" i="56"/>
  <c r="L38" i="56"/>
  <c r="U37" i="56"/>
  <c r="T37" i="56"/>
  <c r="S37" i="56"/>
  <c r="R37" i="56"/>
  <c r="Q37" i="56"/>
  <c r="P37" i="56"/>
  <c r="M37" i="56"/>
  <c r="L37" i="56"/>
  <c r="U36" i="56"/>
  <c r="T36" i="56"/>
  <c r="S36" i="56"/>
  <c r="R36" i="56"/>
  <c r="Q36" i="56"/>
  <c r="P36" i="56"/>
  <c r="M36" i="56"/>
  <c r="L36" i="56"/>
  <c r="U35" i="56"/>
  <c r="T35" i="56"/>
  <c r="S35" i="56"/>
  <c r="R35" i="56"/>
  <c r="Q35" i="56"/>
  <c r="M35" i="56"/>
  <c r="L35" i="56"/>
  <c r="U34" i="56"/>
  <c r="T34" i="56"/>
  <c r="S34" i="56"/>
  <c r="R34" i="56"/>
  <c r="Q34" i="56"/>
  <c r="M34" i="56"/>
  <c r="L34" i="56"/>
  <c r="U33" i="56"/>
  <c r="T33" i="56"/>
  <c r="S33" i="56"/>
  <c r="R33" i="56"/>
  <c r="Q33" i="56"/>
  <c r="P33" i="56"/>
  <c r="M33" i="56"/>
  <c r="L33" i="56"/>
  <c r="U32" i="56"/>
  <c r="T32" i="56"/>
  <c r="S32" i="56"/>
  <c r="R32" i="56"/>
  <c r="Q32" i="56"/>
  <c r="M32" i="56"/>
  <c r="L32" i="56"/>
  <c r="U31" i="56"/>
  <c r="T31" i="56"/>
  <c r="S31" i="56"/>
  <c r="R31" i="56"/>
  <c r="Q31" i="56"/>
  <c r="M31" i="56"/>
  <c r="L31" i="56"/>
  <c r="U30" i="56"/>
  <c r="T30" i="56"/>
  <c r="S30" i="56"/>
  <c r="R30" i="56"/>
  <c r="Q30" i="56"/>
  <c r="P30" i="56"/>
  <c r="M30" i="56"/>
  <c r="L30" i="56"/>
  <c r="U29" i="56"/>
  <c r="T29" i="56"/>
  <c r="S29" i="56"/>
  <c r="R29" i="56"/>
  <c r="Q29" i="56"/>
  <c r="P29" i="56"/>
  <c r="M29" i="56"/>
  <c r="L29" i="56"/>
  <c r="U28" i="56"/>
  <c r="T28" i="56"/>
  <c r="S28" i="56"/>
  <c r="R28" i="56"/>
  <c r="Q28" i="56"/>
  <c r="M28" i="56"/>
  <c r="L28" i="56"/>
  <c r="U27" i="56"/>
  <c r="T27" i="56"/>
  <c r="S27" i="56"/>
  <c r="R27" i="56"/>
  <c r="Q27" i="56"/>
  <c r="P27" i="56"/>
  <c r="M27" i="56"/>
  <c r="L27" i="56"/>
  <c r="U26" i="56"/>
  <c r="T26" i="56"/>
  <c r="S26" i="56"/>
  <c r="R26" i="56"/>
  <c r="Q26" i="56"/>
  <c r="P26" i="56"/>
  <c r="M26" i="56"/>
  <c r="L26" i="56"/>
  <c r="U25" i="56"/>
  <c r="T25" i="56"/>
  <c r="S25" i="56"/>
  <c r="R25" i="56"/>
  <c r="Q25" i="56"/>
  <c r="P25" i="56"/>
  <c r="M25" i="56"/>
  <c r="L25" i="56"/>
  <c r="U24" i="56"/>
  <c r="T24" i="56"/>
  <c r="S24" i="56"/>
  <c r="R24" i="56"/>
  <c r="Q24" i="56"/>
  <c r="P24" i="56"/>
  <c r="M24" i="56"/>
  <c r="L24" i="56"/>
  <c r="U23" i="56"/>
  <c r="T23" i="56"/>
  <c r="S23" i="56"/>
  <c r="R23" i="56"/>
  <c r="Q23" i="56"/>
  <c r="M23" i="56"/>
  <c r="L23" i="56"/>
  <c r="U22" i="56"/>
  <c r="T22" i="56"/>
  <c r="S22" i="56"/>
  <c r="R22" i="56"/>
  <c r="Q22" i="56"/>
  <c r="P22" i="56"/>
  <c r="M22" i="56"/>
  <c r="L22" i="56"/>
  <c r="U21" i="56"/>
  <c r="T21" i="56"/>
  <c r="S21" i="56"/>
  <c r="R21" i="56"/>
  <c r="Q21" i="56"/>
  <c r="P21" i="56"/>
  <c r="M21" i="56"/>
  <c r="L21" i="56"/>
  <c r="U20" i="56"/>
  <c r="T20" i="56"/>
  <c r="S20" i="56"/>
  <c r="R20" i="56"/>
  <c r="Q20" i="56"/>
  <c r="M20" i="56"/>
  <c r="L20" i="56"/>
  <c r="U19" i="56"/>
  <c r="T19" i="56"/>
  <c r="S19" i="56"/>
  <c r="R19" i="56"/>
  <c r="Q19" i="56"/>
  <c r="M19" i="56"/>
  <c r="L19" i="56"/>
  <c r="U18" i="56"/>
  <c r="T18" i="56"/>
  <c r="S18" i="56"/>
  <c r="R18" i="56"/>
  <c r="Q18" i="56"/>
  <c r="P18" i="56"/>
  <c r="M18" i="56"/>
  <c r="L18" i="56"/>
  <c r="U17" i="56"/>
  <c r="T17" i="56"/>
  <c r="S17" i="56"/>
  <c r="R17" i="56"/>
  <c r="Q17" i="56"/>
  <c r="P17" i="56"/>
  <c r="M17" i="56"/>
  <c r="L17" i="56"/>
  <c r="U16" i="56"/>
  <c r="T16" i="56"/>
  <c r="S16" i="56"/>
  <c r="R16" i="56"/>
  <c r="Q16" i="56"/>
  <c r="N16" i="56"/>
  <c r="M16" i="56"/>
  <c r="L16" i="56"/>
  <c r="U15" i="56"/>
  <c r="T15" i="56"/>
  <c r="S15" i="56"/>
  <c r="R15" i="56"/>
  <c r="Q15" i="56"/>
  <c r="P15" i="56"/>
  <c r="M15" i="56"/>
  <c r="L15" i="56"/>
  <c r="U14" i="56"/>
  <c r="T14" i="56"/>
  <c r="S14" i="56"/>
  <c r="R14" i="56"/>
  <c r="Q14" i="56"/>
  <c r="M14" i="56"/>
  <c r="L14" i="56"/>
  <c r="U13" i="56"/>
  <c r="T13" i="56"/>
  <c r="S13" i="56"/>
  <c r="R13" i="56"/>
  <c r="Q13" i="56"/>
  <c r="P13" i="56"/>
  <c r="M13" i="56"/>
  <c r="L13" i="56"/>
  <c r="U12" i="56"/>
  <c r="T12" i="56"/>
  <c r="S12" i="56"/>
  <c r="R12" i="56"/>
  <c r="Q12" i="56"/>
  <c r="P12" i="56"/>
  <c r="M12" i="56"/>
  <c r="L12" i="56"/>
  <c r="U11" i="56"/>
  <c r="T11" i="56"/>
  <c r="S11" i="56"/>
  <c r="R11" i="56"/>
  <c r="Q11" i="56"/>
  <c r="P11" i="56"/>
  <c r="M11" i="56"/>
  <c r="L11" i="56"/>
  <c r="U10" i="56"/>
  <c r="T10" i="56"/>
  <c r="S10" i="56"/>
  <c r="R10" i="56"/>
  <c r="Q10" i="56"/>
  <c r="P10" i="56"/>
  <c r="M10" i="56"/>
  <c r="L10" i="56"/>
  <c r="U9" i="56"/>
  <c r="T9" i="56"/>
  <c r="S9" i="56"/>
  <c r="R9" i="56"/>
  <c r="Q9" i="56"/>
  <c r="P9" i="56"/>
  <c r="M9" i="56"/>
  <c r="L9" i="56"/>
  <c r="U8" i="56"/>
  <c r="T8" i="56"/>
  <c r="S8" i="56"/>
  <c r="R8" i="56"/>
  <c r="Q8" i="56"/>
  <c r="N8" i="56"/>
  <c r="M8" i="56"/>
  <c r="L8" i="56"/>
  <c r="U7" i="56"/>
  <c r="T7" i="56"/>
  <c r="S7" i="56"/>
  <c r="R7" i="56"/>
  <c r="Q7" i="56"/>
  <c r="P7" i="56"/>
  <c r="M7" i="56"/>
  <c r="L7" i="56"/>
  <c r="U6" i="56"/>
  <c r="T6" i="56"/>
  <c r="S6" i="56"/>
  <c r="R6" i="56"/>
  <c r="Q6" i="56"/>
  <c r="P6" i="56"/>
  <c r="M6" i="56"/>
  <c r="L6" i="56"/>
  <c r="U5" i="56"/>
  <c r="T5" i="56"/>
  <c r="S5" i="56"/>
  <c r="R5" i="56"/>
  <c r="Q5" i="56"/>
  <c r="P5" i="56"/>
  <c r="M5" i="56"/>
  <c r="L5" i="56"/>
  <c r="U4" i="56"/>
  <c r="T4" i="56"/>
  <c r="S4" i="56"/>
  <c r="R4" i="56"/>
  <c r="Q4" i="56"/>
  <c r="P4" i="56"/>
  <c r="M4" i="56"/>
  <c r="L4" i="56"/>
  <c r="U3" i="56"/>
  <c r="T3" i="56"/>
  <c r="S3" i="56"/>
  <c r="R3" i="56"/>
  <c r="Q3" i="56"/>
  <c r="M3" i="56"/>
  <c r="L3" i="56"/>
  <c r="U2" i="56"/>
  <c r="T2" i="56"/>
  <c r="S2" i="56"/>
  <c r="R2" i="56"/>
  <c r="Q2" i="56"/>
  <c r="M2" i="56"/>
  <c r="L2" i="56"/>
  <c r="B8" i="15"/>
  <c r="C8" i="15" s="1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M2" i="55"/>
  <c r="L2" i="55"/>
  <c r="B9" i="15"/>
  <c r="C9" i="15" s="1"/>
  <c r="P61" i="55"/>
  <c r="P60" i="55"/>
  <c r="S59" i="55"/>
  <c r="P59" i="55"/>
  <c r="P58" i="55"/>
  <c r="P57" i="55"/>
  <c r="P55" i="55"/>
  <c r="S54" i="55"/>
  <c r="S53" i="55"/>
  <c r="P53" i="55"/>
  <c r="N53" i="55"/>
  <c r="S52" i="55"/>
  <c r="P50" i="55"/>
  <c r="S49" i="55"/>
  <c r="N49" i="55"/>
  <c r="P48" i="55"/>
  <c r="N46" i="55"/>
  <c r="P45" i="55"/>
  <c r="S44" i="55"/>
  <c r="P42" i="55"/>
  <c r="S41" i="55"/>
  <c r="P41" i="55"/>
  <c r="P40" i="55"/>
  <c r="P39" i="55"/>
  <c r="P38" i="55"/>
  <c r="P37" i="55"/>
  <c r="N36" i="55"/>
  <c r="S35" i="55"/>
  <c r="P35" i="55"/>
  <c r="P34" i="55"/>
  <c r="P33" i="55"/>
  <c r="P32" i="55"/>
  <c r="P30" i="55"/>
  <c r="S29" i="55"/>
  <c r="N29" i="55"/>
  <c r="P28" i="55"/>
  <c r="S25" i="55"/>
  <c r="P25" i="55"/>
  <c r="N24" i="55"/>
  <c r="S22" i="55"/>
  <c r="P22" i="55"/>
  <c r="P21" i="55"/>
  <c r="P20" i="55"/>
  <c r="N20" i="55"/>
  <c r="P19" i="55"/>
  <c r="P18" i="55"/>
  <c r="N17" i="55"/>
  <c r="P15" i="55"/>
  <c r="P14" i="55"/>
  <c r="P13" i="55"/>
  <c r="P12" i="55"/>
  <c r="P11" i="55"/>
  <c r="S10" i="55"/>
  <c r="P10" i="55"/>
  <c r="P9" i="55"/>
  <c r="P8" i="55"/>
  <c r="P6" i="55"/>
  <c r="S4" i="55"/>
  <c r="P4" i="55"/>
  <c r="S3" i="55"/>
  <c r="N3" i="55"/>
  <c r="N2" i="55"/>
  <c r="D951" i="21"/>
  <c r="D952" i="21"/>
  <c r="D953" i="21"/>
  <c r="D954" i="21"/>
  <c r="D955" i="21"/>
  <c r="D956" i="21"/>
  <c r="D957" i="21"/>
  <c r="D574" i="21"/>
  <c r="D575" i="21"/>
  <c r="D381" i="21"/>
  <c r="D958" i="21"/>
  <c r="D959" i="21"/>
  <c r="D960" i="21"/>
  <c r="D961" i="21"/>
  <c r="D98" i="21"/>
  <c r="D962" i="21"/>
  <c r="D288" i="21"/>
  <c r="D963" i="21"/>
  <c r="D576" i="21"/>
  <c r="D382" i="21"/>
  <c r="D964" i="21"/>
  <c r="D965" i="21"/>
  <c r="D966" i="21"/>
  <c r="D967" i="21"/>
  <c r="D968" i="21"/>
  <c r="D577" i="21"/>
  <c r="D969" i="21"/>
  <c r="D970" i="21"/>
  <c r="D971" i="21"/>
  <c r="D289" i="21"/>
  <c r="D972" i="21"/>
  <c r="D223" i="21"/>
  <c r="D578" i="21"/>
  <c r="D973" i="21"/>
  <c r="D974" i="21"/>
  <c r="D975" i="21"/>
  <c r="D976" i="21"/>
  <c r="D579" i="21"/>
  <c r="D977" i="21"/>
  <c r="D978" i="21"/>
  <c r="D383" i="21"/>
  <c r="D979" i="21"/>
  <c r="D980" i="21"/>
  <c r="D290" i="21"/>
  <c r="D981" i="21"/>
  <c r="D982" i="21"/>
  <c r="D384" i="21"/>
  <c r="D983" i="21"/>
  <c r="D984" i="21"/>
  <c r="D985" i="21"/>
  <c r="D88" i="21"/>
  <c r="D580" i="21"/>
  <c r="D581" i="21"/>
  <c r="D986" i="21"/>
  <c r="D987" i="21"/>
  <c r="D988" i="21"/>
  <c r="D989" i="21"/>
  <c r="D582" i="21"/>
  <c r="D57" i="21"/>
  <c r="D990" i="21"/>
  <c r="D385" i="21"/>
  <c r="D991" i="21"/>
  <c r="D992" i="21"/>
  <c r="D993" i="21"/>
  <c r="D994" i="21"/>
  <c r="D386" i="21"/>
  <c r="D583" i="21"/>
  <c r="D9" i="21"/>
  <c r="D163" i="21"/>
  <c r="D995" i="21"/>
  <c r="D117" i="21"/>
  <c r="D164" i="21"/>
  <c r="D996" i="21"/>
  <c r="D584" i="21"/>
  <c r="D997" i="21"/>
  <c r="D998" i="21"/>
  <c r="D999" i="21"/>
  <c r="D1000" i="21"/>
  <c r="D1001" i="21"/>
  <c r="D1002" i="21"/>
  <c r="D585" i="21"/>
  <c r="D1003" i="21"/>
  <c r="D1004" i="21"/>
  <c r="D1005" i="21"/>
  <c r="D1006" i="21"/>
  <c r="D1007" i="21"/>
  <c r="D1008" i="21"/>
  <c r="D1009" i="21"/>
  <c r="D1010" i="21"/>
  <c r="D1011" i="21"/>
  <c r="D1012" i="21"/>
  <c r="D1013" i="21"/>
  <c r="D1014" i="21"/>
  <c r="D387" i="21"/>
  <c r="D118" i="21"/>
  <c r="D1015" i="21"/>
  <c r="D1016" i="21"/>
  <c r="D1017" i="21"/>
  <c r="D388" i="21"/>
  <c r="D1018" i="21"/>
  <c r="D1019" i="21"/>
  <c r="D1020" i="21"/>
  <c r="D389" i="21"/>
  <c r="D1021" i="21"/>
  <c r="D586" i="21"/>
  <c r="D1022" i="21"/>
  <c r="D1023" i="21"/>
  <c r="D587" i="21"/>
  <c r="D588" i="21"/>
  <c r="D1024" i="21"/>
  <c r="D1025" i="21"/>
  <c r="D1026" i="21"/>
  <c r="D1027" i="21"/>
  <c r="D1028" i="21"/>
  <c r="D1029" i="21"/>
  <c r="D1030" i="21"/>
  <c r="D1031" i="21"/>
  <c r="D390" i="21"/>
  <c r="D589" i="21"/>
  <c r="D1032" i="21"/>
  <c r="D224" i="21"/>
  <c r="D1033" i="21"/>
  <c r="D590" i="21"/>
  <c r="D64" i="21"/>
  <c r="D591" i="21"/>
  <c r="D1034" i="21"/>
  <c r="D1035" i="21"/>
  <c r="D1036" i="21"/>
  <c r="D137" i="21"/>
  <c r="D1037" i="21"/>
  <c r="D592" i="21"/>
  <c r="D1038" i="21"/>
  <c r="D165" i="21"/>
  <c r="D1039" i="21"/>
  <c r="D225" i="21"/>
  <c r="D1040" i="21"/>
  <c r="D593" i="21"/>
  <c r="D1041" i="21"/>
  <c r="D1042" i="21"/>
  <c r="D1043" i="21"/>
  <c r="D1044" i="21"/>
  <c r="D1045" i="21"/>
  <c r="D99" i="21"/>
  <c r="D1046" i="21"/>
  <c r="D594" i="21"/>
  <c r="D291" i="21"/>
  <c r="D1047" i="21"/>
  <c r="D1048" i="21"/>
  <c r="D391" i="21"/>
  <c r="D1049" i="21"/>
  <c r="D292" i="21"/>
  <c r="D1050" i="21"/>
  <c r="D1051" i="21"/>
  <c r="D1052" i="21"/>
  <c r="D1053" i="21"/>
  <c r="D50" i="21"/>
  <c r="D226" i="21"/>
  <c r="D595" i="21"/>
  <c r="D1054" i="21"/>
  <c r="D392" i="21"/>
  <c r="D393" i="21"/>
  <c r="D394" i="21"/>
  <c r="D1055" i="21"/>
  <c r="D1056" i="21"/>
  <c r="D1057" i="21"/>
  <c r="D395" i="21"/>
  <c r="D1058" i="21"/>
  <c r="D596" i="21"/>
  <c r="D1059" i="21"/>
  <c r="D1060" i="21"/>
  <c r="D166" i="21"/>
  <c r="D1061" i="21"/>
  <c r="D1062" i="21"/>
  <c r="D138" i="21"/>
  <c r="D1063" i="21"/>
  <c r="D1064" i="21"/>
  <c r="D1065" i="21"/>
  <c r="D1066" i="21"/>
  <c r="D293" i="21"/>
  <c r="D597" i="21"/>
  <c r="D396" i="21"/>
  <c r="D598" i="21"/>
  <c r="D1067" i="21"/>
  <c r="D294" i="21"/>
  <c r="D1068" i="21"/>
  <c r="D139" i="21"/>
  <c r="D1069" i="21"/>
  <c r="D1070" i="21"/>
  <c r="D20" i="21"/>
  <c r="D167" i="21"/>
  <c r="D74" i="21"/>
  <c r="D1071" i="21"/>
  <c r="D397" i="21"/>
  <c r="D1072" i="21"/>
  <c r="D599" i="21"/>
  <c r="D1073" i="21"/>
  <c r="D1074" i="21"/>
  <c r="D295" i="21"/>
  <c r="D1075" i="21"/>
  <c r="D1076" i="21"/>
  <c r="D600" i="21"/>
  <c r="D1077" i="21"/>
  <c r="D1078" i="21"/>
  <c r="D1079" i="21"/>
  <c r="D1080" i="21"/>
  <c r="D601" i="21"/>
  <c r="D296" i="21"/>
  <c r="D602" i="21"/>
  <c r="D398" i="21"/>
  <c r="D1081" i="21"/>
  <c r="D1082" i="21"/>
  <c r="D1083" i="21"/>
  <c r="D1084" i="21"/>
  <c r="D1085" i="21"/>
  <c r="D1086" i="21"/>
  <c r="D1087" i="21"/>
  <c r="D1088" i="21"/>
  <c r="D140" i="21"/>
  <c r="D227" i="21"/>
  <c r="D1089" i="21"/>
  <c r="D603" i="21"/>
  <c r="D1090" i="21"/>
  <c r="D1091" i="21"/>
  <c r="D604" i="21"/>
  <c r="D1092" i="21"/>
  <c r="D605" i="21"/>
  <c r="D1093" i="21"/>
  <c r="D75" i="21"/>
  <c r="D1094" i="21"/>
  <c r="D606" i="21"/>
  <c r="D1095" i="21"/>
  <c r="D399" i="21"/>
  <c r="D400" i="21"/>
  <c r="D1096" i="21"/>
  <c r="D297" i="21"/>
  <c r="D92" i="21"/>
  <c r="D1097" i="21"/>
  <c r="D141" i="21"/>
  <c r="D1098" i="21"/>
  <c r="D607" i="21"/>
  <c r="D1099" i="21"/>
  <c r="D1100" i="21"/>
  <c r="D1101" i="21"/>
  <c r="D608" i="21"/>
  <c r="D1102" i="21"/>
  <c r="D1103" i="21"/>
  <c r="D1104" i="21"/>
  <c r="D609" i="21"/>
  <c r="D1105" i="21"/>
  <c r="D1106" i="21"/>
  <c r="D401" i="21"/>
  <c r="D42" i="21"/>
  <c r="D1107" i="21"/>
  <c r="D1108" i="21"/>
  <c r="D1109" i="21"/>
  <c r="D1110" i="21"/>
  <c r="D1111" i="21"/>
  <c r="D1112" i="21"/>
  <c r="D402" i="21"/>
  <c r="D1113" i="21"/>
  <c r="D1114" i="21"/>
  <c r="D610" i="21"/>
  <c r="D1115" i="21"/>
  <c r="D611" i="21"/>
  <c r="D1116" i="21"/>
  <c r="D403" i="21"/>
  <c r="D298" i="21"/>
  <c r="D1117" i="21"/>
  <c r="D1118" i="21"/>
  <c r="D15" i="21"/>
  <c r="D1119" i="21"/>
  <c r="D1120" i="21"/>
  <c r="D1121" i="21"/>
  <c r="D1122" i="21"/>
  <c r="D228" i="21"/>
  <c r="D299" i="21"/>
  <c r="D1123" i="21"/>
  <c r="D76" i="21"/>
  <c r="D300" i="21"/>
  <c r="D1124" i="21"/>
  <c r="D612" i="21"/>
  <c r="D93" i="21"/>
  <c r="D34" i="21"/>
  <c r="D1125" i="21"/>
  <c r="D1126" i="21"/>
  <c r="D613" i="21"/>
  <c r="D229" i="21"/>
  <c r="D614" i="21"/>
  <c r="D615" i="21"/>
  <c r="D616" i="21"/>
  <c r="D1127" i="21"/>
  <c r="D1128" i="21"/>
  <c r="D1129" i="21"/>
  <c r="D617" i="21"/>
  <c r="D404" i="21"/>
  <c r="D1130" i="21"/>
  <c r="D1131" i="21"/>
  <c r="D1132" i="21"/>
  <c r="D230" i="21"/>
  <c r="D1133" i="21"/>
  <c r="D1134" i="21"/>
  <c r="D1135" i="21"/>
  <c r="D1136" i="21"/>
  <c r="D1137" i="21"/>
  <c r="D1138" i="21"/>
  <c r="D1139" i="21"/>
  <c r="D1140" i="21"/>
  <c r="D1141" i="21"/>
  <c r="D231" i="21"/>
  <c r="D618" i="21"/>
  <c r="D405" i="21"/>
  <c r="D1142" i="21"/>
  <c r="D1143" i="21"/>
  <c r="D406" i="21"/>
  <c r="D1144" i="21"/>
  <c r="D232" i="21"/>
  <c r="D1145" i="21"/>
  <c r="D1146" i="21"/>
  <c r="D1147" i="21"/>
  <c r="D1148" i="21"/>
  <c r="D1149" i="21"/>
  <c r="D1150" i="21"/>
  <c r="D1151" i="21"/>
  <c r="D1152" i="21"/>
  <c r="D1153" i="21"/>
  <c r="D301" i="21"/>
  <c r="D619" i="21"/>
  <c r="D1154" i="21"/>
  <c r="D1155" i="21"/>
  <c r="D1156" i="21"/>
  <c r="D233" i="21"/>
  <c r="D1157" i="21"/>
  <c r="D1158" i="21"/>
  <c r="D620" i="21"/>
  <c r="D621" i="21"/>
  <c r="D302" i="21"/>
  <c r="D622" i="21"/>
  <c r="D1159" i="21"/>
  <c r="D234" i="21"/>
  <c r="D1160" i="21"/>
  <c r="D623" i="21"/>
  <c r="D1161" i="21"/>
  <c r="D1162" i="21"/>
  <c r="D1163" i="21"/>
  <c r="D1164" i="21"/>
  <c r="D624" i="21"/>
  <c r="D1165" i="21"/>
  <c r="D625" i="21"/>
  <c r="D407" i="21"/>
  <c r="D1166" i="21"/>
  <c r="D1167" i="21"/>
  <c r="D1168" i="21"/>
  <c r="D1169" i="21"/>
  <c r="D1170" i="21"/>
  <c r="D1171" i="21"/>
  <c r="D1172" i="21"/>
  <c r="D1173" i="21"/>
  <c r="D1174" i="21"/>
  <c r="D1175" i="21"/>
  <c r="D626" i="21"/>
  <c r="D1176" i="21"/>
  <c r="D1177" i="21"/>
  <c r="D1178" i="21"/>
  <c r="D17" i="21"/>
  <c r="D1179" i="21"/>
  <c r="D627" i="21"/>
  <c r="D168" i="21"/>
  <c r="D628" i="21"/>
  <c r="D1180" i="21"/>
  <c r="D629" i="21"/>
  <c r="D1181" i="21"/>
  <c r="D1182" i="21"/>
  <c r="D1183" i="21"/>
  <c r="D1184" i="21"/>
  <c r="D169" i="21"/>
  <c r="D1185" i="21"/>
  <c r="D630" i="21"/>
  <c r="D170" i="21"/>
  <c r="D631" i="21"/>
  <c r="D1186" i="21"/>
  <c r="D1187" i="21"/>
  <c r="D171" i="21"/>
  <c r="D1188" i="21"/>
  <c r="D1189" i="21"/>
  <c r="D1190" i="21"/>
  <c r="D1191" i="21"/>
  <c r="D1192" i="21"/>
  <c r="D1193" i="21"/>
  <c r="D1194" i="21"/>
  <c r="D1195" i="21"/>
  <c r="D632" i="21"/>
  <c r="D1196" i="21"/>
  <c r="D1197" i="21"/>
  <c r="D1198" i="21"/>
  <c r="D1199" i="21"/>
  <c r="D1200" i="21"/>
  <c r="D1201" i="21"/>
  <c r="D1202" i="21"/>
  <c r="D1203" i="21"/>
  <c r="D1204" i="21"/>
  <c r="D1205" i="21"/>
  <c r="D1206" i="21"/>
  <c r="D303" i="21"/>
  <c r="D1207" i="21"/>
  <c r="D1208" i="21"/>
  <c r="D633" i="21"/>
  <c r="D1209" i="21"/>
  <c r="D1210" i="21"/>
  <c r="D1211" i="21"/>
  <c r="D304" i="21"/>
  <c r="D12" i="21"/>
  <c r="D634" i="21"/>
  <c r="D1212" i="21"/>
  <c r="D1213" i="21"/>
  <c r="D1214" i="21"/>
  <c r="D1215" i="21"/>
  <c r="D635" i="21"/>
  <c r="D408" i="21"/>
  <c r="D1216" i="21"/>
  <c r="D1217" i="21"/>
  <c r="D1218" i="21"/>
  <c r="D1219" i="21"/>
  <c r="D409" i="21"/>
  <c r="D1220" i="21"/>
  <c r="D305" i="21"/>
  <c r="D1221" i="21"/>
  <c r="D1222" i="21"/>
  <c r="D636" i="21"/>
  <c r="D235" i="21"/>
  <c r="D637" i="21"/>
  <c r="D172" i="21"/>
  <c r="D1223" i="21"/>
  <c r="D100" i="21"/>
  <c r="D1224" i="21"/>
  <c r="D1225" i="21"/>
  <c r="D1226" i="21"/>
  <c r="D1227" i="21"/>
  <c r="D1228" i="21"/>
  <c r="D94" i="21"/>
  <c r="D1229" i="21"/>
  <c r="D1230" i="21"/>
  <c r="D101" i="21"/>
  <c r="D638" i="21"/>
  <c r="D1231" i="21"/>
  <c r="D1232" i="21"/>
  <c r="D1233" i="21"/>
  <c r="D639" i="21"/>
  <c r="D1234" i="21"/>
  <c r="D640" i="21"/>
  <c r="D1235" i="21"/>
  <c r="D1236" i="21"/>
  <c r="D641" i="21"/>
  <c r="D306" i="21"/>
  <c r="D1237" i="21"/>
  <c r="D1238" i="21"/>
  <c r="D142" i="21"/>
  <c r="D1239" i="21"/>
  <c r="D1240" i="21"/>
  <c r="D642" i="21"/>
  <c r="D1241" i="21"/>
  <c r="D1242" i="21"/>
  <c r="D1243" i="21"/>
  <c r="D643" i="21"/>
  <c r="D1244" i="21"/>
  <c r="D410" i="21"/>
  <c r="D1245" i="21"/>
  <c r="D411" i="21"/>
  <c r="D1246" i="21"/>
  <c r="D1247" i="21"/>
  <c r="D1248" i="21"/>
  <c r="D173" i="21"/>
  <c r="D1249" i="21"/>
  <c r="D1250" i="21"/>
  <c r="D1251" i="21"/>
  <c r="D644" i="21"/>
  <c r="D1252" i="21"/>
  <c r="D1253" i="21"/>
  <c r="D1254" i="21"/>
  <c r="D1255" i="21"/>
  <c r="D1256" i="21"/>
  <c r="D35" i="21"/>
  <c r="D6" i="21"/>
  <c r="D1257" i="21"/>
  <c r="D645" i="21"/>
  <c r="D646" i="21"/>
  <c r="D1258" i="21"/>
  <c r="D1259" i="21"/>
  <c r="D1260" i="21"/>
  <c r="D143" i="21"/>
  <c r="D1261" i="21"/>
  <c r="D1262" i="21"/>
  <c r="D1263" i="21"/>
  <c r="D647" i="21"/>
  <c r="D1264" i="21"/>
  <c r="D307" i="21"/>
  <c r="D1265" i="21"/>
  <c r="D1266" i="21"/>
  <c r="D1267" i="21"/>
  <c r="D1268" i="21"/>
  <c r="D648" i="21"/>
  <c r="D1269" i="21"/>
  <c r="D1270" i="21"/>
  <c r="D1271" i="21"/>
  <c r="D1272" i="21"/>
  <c r="D1273" i="21"/>
  <c r="D1274" i="21"/>
  <c r="D649" i="21"/>
  <c r="D1275" i="21"/>
  <c r="D308" i="21"/>
  <c r="D1276" i="21"/>
  <c r="D1277" i="21"/>
  <c r="D650" i="21"/>
  <c r="D651" i="21"/>
  <c r="D1278" i="21"/>
  <c r="D1279" i="21"/>
  <c r="D412" i="21"/>
  <c r="D1280" i="21"/>
  <c r="D1281" i="21"/>
  <c r="D1282" i="21"/>
  <c r="D3" i="21"/>
  <c r="D1283" i="21"/>
  <c r="D95" i="21"/>
  <c r="D1284" i="21"/>
  <c r="D1285" i="21"/>
  <c r="D652" i="21"/>
  <c r="D653" i="21"/>
  <c r="D1286" i="21"/>
  <c r="D413" i="21"/>
  <c r="D1287" i="21"/>
  <c r="D1288" i="21"/>
  <c r="D1289" i="21"/>
  <c r="D1290" i="21"/>
  <c r="D1291" i="21"/>
  <c r="D1292" i="21"/>
  <c r="D119" i="21"/>
  <c r="D1293" i="21"/>
  <c r="D1294" i="21"/>
  <c r="D654" i="21"/>
  <c r="D1295" i="21"/>
  <c r="D414" i="21"/>
  <c r="D655" i="21"/>
  <c r="D309" i="21"/>
  <c r="D656" i="21"/>
  <c r="D1296" i="21"/>
  <c r="D1297" i="21"/>
  <c r="D1298" i="21"/>
  <c r="D1299" i="21"/>
  <c r="D1300" i="21"/>
  <c r="D657" i="21"/>
  <c r="D1301" i="21"/>
  <c r="D415" i="21"/>
  <c r="D1302" i="21"/>
  <c r="D1303" i="21"/>
  <c r="D1304" i="21"/>
  <c r="D658" i="21"/>
  <c r="D416" i="21"/>
  <c r="D659" i="21"/>
  <c r="D1305" i="21"/>
  <c r="D1306" i="21"/>
  <c r="D1307" i="21"/>
  <c r="D417" i="21"/>
  <c r="D418" i="21"/>
  <c r="D26" i="21"/>
  <c r="D1308" i="21"/>
  <c r="D1309" i="21"/>
  <c r="D1310" i="21"/>
  <c r="D1311" i="21"/>
  <c r="D1312" i="21"/>
  <c r="D174" i="21"/>
  <c r="D660" i="21"/>
  <c r="D1313" i="21"/>
  <c r="D1314" i="21"/>
  <c r="D419" i="21"/>
  <c r="D661" i="21"/>
  <c r="D1315" i="21"/>
  <c r="D175" i="21"/>
  <c r="D1316" i="21"/>
  <c r="D102" i="21"/>
  <c r="D1317" i="21"/>
  <c r="D420" i="21"/>
  <c r="D1318" i="21"/>
  <c r="D1319" i="21"/>
  <c r="D662" i="21"/>
  <c r="D663" i="21"/>
  <c r="D310" i="21"/>
  <c r="D664" i="21"/>
  <c r="D1320" i="21"/>
  <c r="D1321" i="21"/>
  <c r="D51" i="21"/>
  <c r="D1322" i="21"/>
  <c r="D1323" i="21"/>
  <c r="D236" i="21"/>
  <c r="D665" i="21"/>
  <c r="D1324" i="21"/>
  <c r="D421" i="21"/>
  <c r="D176" i="21"/>
  <c r="D422" i="21"/>
  <c r="D237" i="21"/>
  <c r="D1325" i="21"/>
  <c r="D1326" i="21"/>
  <c r="D666" i="21"/>
  <c r="D1327" i="21"/>
  <c r="D16" i="21"/>
  <c r="D667" i="21"/>
  <c r="D21" i="21"/>
  <c r="D177" i="21"/>
  <c r="D1328" i="21"/>
  <c r="D1329" i="21"/>
  <c r="D1330" i="21"/>
  <c r="D178" i="21"/>
  <c r="D1331" i="21"/>
  <c r="D668" i="21"/>
  <c r="D423" i="21"/>
  <c r="D1332" i="21"/>
  <c r="D1333" i="21"/>
  <c r="D1334" i="21"/>
  <c r="D1335" i="21"/>
  <c r="D1336" i="21"/>
  <c r="D669" i="21"/>
  <c r="D1337" i="21"/>
  <c r="D1338" i="21"/>
  <c r="D670" i="21"/>
  <c r="D1339" i="21"/>
  <c r="D1340" i="21"/>
  <c r="D1341" i="21"/>
  <c r="D1342" i="21"/>
  <c r="D238" i="21"/>
  <c r="D58" i="21"/>
  <c r="D1343" i="21"/>
  <c r="D424" i="21"/>
  <c r="D1344" i="21"/>
  <c r="D65" i="21"/>
  <c r="D1345" i="21"/>
  <c r="D1346" i="21"/>
  <c r="D1347" i="21"/>
  <c r="D1348" i="21"/>
  <c r="D1349" i="21"/>
  <c r="D103" i="21"/>
  <c r="D1350" i="21"/>
  <c r="D1351" i="21"/>
  <c r="D1352" i="21"/>
  <c r="D1353" i="21"/>
  <c r="D311" i="21"/>
  <c r="D425" i="21"/>
  <c r="D1354" i="21"/>
  <c r="D1355" i="21"/>
  <c r="D1356" i="21"/>
  <c r="D671" i="21"/>
  <c r="D1357" i="21"/>
  <c r="D1358" i="21"/>
  <c r="D1359" i="21"/>
  <c r="D672" i="21"/>
  <c r="D673" i="21"/>
  <c r="D1360" i="21"/>
  <c r="D144" i="21"/>
  <c r="D179" i="21"/>
  <c r="D426" i="21"/>
  <c r="D59" i="21"/>
  <c r="D1361" i="21"/>
  <c r="D674" i="21"/>
  <c r="D1362" i="21"/>
  <c r="D675" i="21"/>
  <c r="D312" i="21"/>
  <c r="D1363" i="21"/>
  <c r="D120" i="21"/>
  <c r="D1364" i="21"/>
  <c r="D1365" i="21"/>
  <c r="D180" i="21"/>
  <c r="D1366" i="21"/>
  <c r="D1367" i="21"/>
  <c r="D676" i="21"/>
  <c r="D1368" i="21"/>
  <c r="D1369" i="21"/>
  <c r="D1370" i="21"/>
  <c r="D1371" i="21"/>
  <c r="D1372" i="21"/>
  <c r="D239" i="21"/>
  <c r="D1373" i="21"/>
  <c r="D1374" i="21"/>
  <c r="D677" i="21"/>
  <c r="D427" i="21"/>
  <c r="D1375" i="21"/>
  <c r="D36" i="21"/>
  <c r="D678" i="21"/>
  <c r="D1376" i="21"/>
  <c r="D679" i="21"/>
  <c r="D1377" i="21"/>
  <c r="D1378" i="21"/>
  <c r="D1379" i="21"/>
  <c r="D1380" i="21"/>
  <c r="D1381" i="21"/>
  <c r="D1382" i="21"/>
  <c r="D428" i="21"/>
  <c r="D1383" i="21"/>
  <c r="D680" i="21"/>
  <c r="D681" i="21"/>
  <c r="D1384" i="21"/>
  <c r="D429" i="21"/>
  <c r="D1385" i="21"/>
  <c r="D1386" i="21"/>
  <c r="D1387" i="21"/>
  <c r="D1388" i="21"/>
  <c r="D1389" i="21"/>
  <c r="D1390" i="21"/>
  <c r="D1391" i="21"/>
  <c r="D1392" i="21"/>
  <c r="D1393" i="21"/>
  <c r="D1394" i="21"/>
  <c r="D1395" i="21"/>
  <c r="D1396" i="21"/>
  <c r="D1397" i="21"/>
  <c r="D313" i="21"/>
  <c r="D1398" i="21"/>
  <c r="D1399" i="21"/>
  <c r="D1400" i="21"/>
  <c r="D1401" i="21"/>
  <c r="D1402" i="21"/>
  <c r="D1403" i="21"/>
  <c r="D104" i="21"/>
  <c r="D1404" i="21"/>
  <c r="D1405" i="21"/>
  <c r="D1406" i="21"/>
  <c r="D1407" i="21"/>
  <c r="D1408" i="21"/>
  <c r="D1409" i="21"/>
  <c r="D1410" i="21"/>
  <c r="D1411" i="21"/>
  <c r="D682" i="21"/>
  <c r="D430" i="21"/>
  <c r="D314" i="21"/>
  <c r="D1412" i="21"/>
  <c r="D1413" i="21"/>
  <c r="D1414" i="21"/>
  <c r="D1415" i="21"/>
  <c r="D240" i="21"/>
  <c r="D145" i="21"/>
  <c r="D431" i="21"/>
  <c r="D1416" i="21"/>
  <c r="D315" i="21"/>
  <c r="D1417" i="21"/>
  <c r="D1418" i="21"/>
  <c r="D683" i="21"/>
  <c r="D432" i="21"/>
  <c r="D181" i="21"/>
  <c r="D1419" i="21"/>
  <c r="D1420" i="21"/>
  <c r="D121" i="21"/>
  <c r="D1421" i="21"/>
  <c r="D684" i="21"/>
  <c r="D433" i="21"/>
  <c r="D316" i="21"/>
  <c r="D1422" i="21"/>
  <c r="D685" i="21"/>
  <c r="D1423" i="21"/>
  <c r="D1424" i="21"/>
  <c r="D1425" i="21"/>
  <c r="D434" i="21"/>
  <c r="D1426" i="21"/>
  <c r="D1427" i="21"/>
  <c r="D1428" i="21"/>
  <c r="D1429" i="21"/>
  <c r="D1430" i="21"/>
  <c r="D1431" i="21"/>
  <c r="D1432" i="21"/>
  <c r="D1433" i="21"/>
  <c r="D146" i="21"/>
  <c r="D1434" i="21"/>
  <c r="D1435" i="21"/>
  <c r="D1436" i="21"/>
  <c r="D1437" i="21"/>
  <c r="D43" i="21"/>
  <c r="D66" i="21"/>
  <c r="D1438" i="21"/>
  <c r="D1439" i="21"/>
  <c r="D1440" i="21"/>
  <c r="D1441" i="21"/>
  <c r="D435" i="21"/>
  <c r="D317" i="21"/>
  <c r="D1442" i="21"/>
  <c r="D686" i="21"/>
  <c r="D687" i="21"/>
  <c r="D1443" i="21"/>
  <c r="D1444" i="21"/>
  <c r="D688" i="21"/>
  <c r="D1445" i="21"/>
  <c r="D436" i="21"/>
  <c r="D689" i="21"/>
  <c r="D1446" i="21"/>
  <c r="D1447" i="21"/>
  <c r="D1448" i="21"/>
  <c r="D1449" i="21"/>
  <c r="D1450" i="21"/>
  <c r="D690" i="21"/>
  <c r="D691" i="21"/>
  <c r="D318" i="21"/>
  <c r="D1451" i="21"/>
  <c r="D1452" i="21"/>
  <c r="D1453" i="21"/>
  <c r="D1454" i="21"/>
  <c r="D319" i="21"/>
  <c r="D1455" i="21"/>
  <c r="D692" i="21"/>
  <c r="D1456" i="21"/>
  <c r="D1457" i="21"/>
  <c r="D693" i="21"/>
  <c r="D694" i="21"/>
  <c r="D1458" i="21"/>
  <c r="D31" i="21"/>
  <c r="D1459" i="21"/>
  <c r="D1460" i="21"/>
  <c r="D695" i="21"/>
  <c r="D437" i="21"/>
  <c r="D1461" i="21"/>
  <c r="D1462" i="21"/>
  <c r="D1463" i="21"/>
  <c r="D1464" i="21"/>
  <c r="D696" i="21"/>
  <c r="D1465" i="21"/>
  <c r="D697" i="21"/>
  <c r="D1466" i="21"/>
  <c r="D438" i="21"/>
  <c r="D439" i="21"/>
  <c r="D1467" i="21"/>
  <c r="D1468" i="21"/>
  <c r="D1469" i="21"/>
  <c r="D1470" i="21"/>
  <c r="D698" i="21"/>
  <c r="D1471" i="21"/>
  <c r="D699" i="21"/>
  <c r="D440" i="21"/>
  <c r="D1472" i="21"/>
  <c r="D1473" i="21"/>
  <c r="D1474" i="21"/>
  <c r="D1475" i="21"/>
  <c r="D1476" i="21"/>
  <c r="D1477" i="21"/>
  <c r="D1478" i="21"/>
  <c r="D1479" i="21"/>
  <c r="D1480" i="21"/>
  <c r="D700" i="21"/>
  <c r="D1481" i="21"/>
  <c r="D1482" i="21"/>
  <c r="D1483" i="21"/>
  <c r="D1484" i="21"/>
  <c r="D320" i="21"/>
  <c r="D1485" i="21"/>
  <c r="D1486" i="21"/>
  <c r="D701" i="21"/>
  <c r="D1487" i="21"/>
  <c r="D1488" i="21"/>
  <c r="D1489" i="21"/>
  <c r="D441" i="21"/>
  <c r="D1490" i="21"/>
  <c r="D1491" i="21"/>
  <c r="D702" i="21"/>
  <c r="D1492" i="21"/>
  <c r="D1493" i="21"/>
  <c r="D1494" i="21"/>
  <c r="D1495" i="21"/>
  <c r="D1496" i="21"/>
  <c r="D1497" i="21"/>
  <c r="D1498" i="21"/>
  <c r="D703" i="21"/>
  <c r="D704" i="21"/>
  <c r="D705" i="21"/>
  <c r="D1499" i="21"/>
  <c r="D1500" i="21"/>
  <c r="D1501" i="21"/>
  <c r="D105" i="21"/>
  <c r="D1502" i="21"/>
  <c r="D706" i="21"/>
  <c r="D1503" i="21"/>
  <c r="D707" i="21"/>
  <c r="D27" i="21"/>
  <c r="D321" i="21"/>
  <c r="D1504" i="21"/>
  <c r="D1505" i="21"/>
  <c r="D1506" i="21"/>
  <c r="D1507" i="21"/>
  <c r="D1508" i="21"/>
  <c r="D708" i="21"/>
  <c r="D1509" i="21"/>
  <c r="D182" i="21"/>
  <c r="D1510" i="21"/>
  <c r="D241" i="21"/>
  <c r="D183" i="21"/>
  <c r="D32" i="21"/>
  <c r="D1511" i="21"/>
  <c r="D1512" i="21"/>
  <c r="D1513" i="21"/>
  <c r="D1514" i="21"/>
  <c r="D1515" i="21"/>
  <c r="D147" i="21"/>
  <c r="D1516" i="21"/>
  <c r="D1517" i="21"/>
  <c r="D1518" i="21"/>
  <c r="D1519" i="21"/>
  <c r="D242" i="21"/>
  <c r="D322" i="21"/>
  <c r="D1520" i="21"/>
  <c r="D1521" i="21"/>
  <c r="D1522" i="21"/>
  <c r="D243" i="21"/>
  <c r="D1523" i="21"/>
  <c r="D709" i="21"/>
  <c r="D1524" i="21"/>
  <c r="D323" i="21"/>
  <c r="D1525" i="21"/>
  <c r="D710" i="21"/>
  <c r="D1526" i="21"/>
  <c r="D442" i="21"/>
  <c r="D711" i="21"/>
  <c r="D712" i="21"/>
  <c r="D713" i="21"/>
  <c r="D1527" i="21"/>
  <c r="D1528" i="21"/>
  <c r="D443" i="21"/>
  <c r="D1529" i="21"/>
  <c r="D444" i="21"/>
  <c r="D714" i="21"/>
  <c r="D1530" i="21"/>
  <c r="D1531" i="21"/>
  <c r="D1532" i="21"/>
  <c r="D1533" i="21"/>
  <c r="D715" i="21"/>
  <c r="D716" i="21"/>
  <c r="D1534" i="21"/>
  <c r="D1535" i="21"/>
  <c r="D1536" i="21"/>
  <c r="D148" i="21"/>
  <c r="D717" i="21"/>
  <c r="D1537" i="21"/>
  <c r="D1538" i="21"/>
  <c r="D1539" i="21"/>
  <c r="D445" i="21"/>
  <c r="D1540" i="21"/>
  <c r="D1541" i="21"/>
  <c r="D446" i="21"/>
  <c r="D1542" i="21"/>
  <c r="D1543" i="21"/>
  <c r="D1544" i="21"/>
  <c r="D1545" i="21"/>
  <c r="D1546" i="21"/>
  <c r="D1547" i="21"/>
  <c r="D1548" i="21"/>
  <c r="D1549" i="21"/>
  <c r="D1550" i="21"/>
  <c r="D718" i="21"/>
  <c r="D1551" i="21"/>
  <c r="D1552" i="21"/>
  <c r="D1553" i="21"/>
  <c r="D719" i="21"/>
  <c r="D1554" i="21"/>
  <c r="D1555" i="21"/>
  <c r="D1556" i="21"/>
  <c r="D720" i="21"/>
  <c r="D324" i="21"/>
  <c r="D721" i="21"/>
  <c r="D1557" i="21"/>
  <c r="D1558" i="21"/>
  <c r="D722" i="21"/>
  <c r="D1559" i="21"/>
  <c r="D1560" i="21"/>
  <c r="D1561" i="21"/>
  <c r="D1562" i="21"/>
  <c r="D1563" i="21"/>
  <c r="D2" i="21"/>
  <c r="D723" i="21"/>
  <c r="D724" i="21"/>
  <c r="D8" i="21"/>
  <c r="D447" i="21"/>
  <c r="D1564" i="21"/>
  <c r="D1565" i="21"/>
  <c r="D1566" i="21"/>
  <c r="D1567" i="21"/>
  <c r="D448" i="21"/>
  <c r="D1568" i="21"/>
  <c r="D449" i="21"/>
  <c r="D725" i="21"/>
  <c r="D726" i="21"/>
  <c r="D1569" i="21"/>
  <c r="D727" i="21"/>
  <c r="D1570" i="21"/>
  <c r="D1571" i="21"/>
  <c r="D1572" i="21"/>
  <c r="D728" i="21"/>
  <c r="D1573" i="21"/>
  <c r="D1574" i="21"/>
  <c r="D325" i="21"/>
  <c r="D1575" i="21"/>
  <c r="D450" i="21"/>
  <c r="D1576" i="21"/>
  <c r="D729" i="21"/>
  <c r="D1577" i="21"/>
  <c r="D1578" i="21"/>
  <c r="D1579" i="21"/>
  <c r="D730" i="21"/>
  <c r="D184" i="21"/>
  <c r="D1580" i="21"/>
  <c r="D1581" i="21"/>
  <c r="D1582" i="21"/>
  <c r="D1583" i="21"/>
  <c r="D185" i="21"/>
  <c r="D1584" i="21"/>
  <c r="D1585" i="21"/>
  <c r="D1586" i="21"/>
  <c r="D1587" i="21"/>
  <c r="D186" i="21"/>
  <c r="D451" i="21"/>
  <c r="D1588" i="21"/>
  <c r="D1589" i="21"/>
  <c r="D1590" i="21"/>
  <c r="D1591" i="21"/>
  <c r="D1592" i="21"/>
  <c r="D452" i="21"/>
  <c r="D1593" i="21"/>
  <c r="D1594" i="21"/>
  <c r="D731" i="21"/>
  <c r="D1595" i="21"/>
  <c r="D453" i="21"/>
  <c r="D732" i="21"/>
  <c r="D1596" i="21"/>
  <c r="D1597" i="21"/>
  <c r="D1598" i="21"/>
  <c r="D1599" i="21"/>
  <c r="D733" i="21"/>
  <c r="D1600" i="21"/>
  <c r="D734" i="21"/>
  <c r="D1601" i="21"/>
  <c r="D1602" i="21"/>
  <c r="D735" i="21"/>
  <c r="D1603" i="21"/>
  <c r="D454" i="21"/>
  <c r="D1604" i="21"/>
  <c r="D736" i="21"/>
  <c r="D149" i="21"/>
  <c r="D1605" i="21"/>
  <c r="D1606" i="21"/>
  <c r="D737" i="21"/>
  <c r="D1607" i="21"/>
  <c r="D1608" i="21"/>
  <c r="D1609" i="21"/>
  <c r="D1610" i="21"/>
  <c r="D77" i="21"/>
  <c r="D738" i="21"/>
  <c r="D1611" i="21"/>
  <c r="D244" i="21"/>
  <c r="D739" i="21"/>
  <c r="D1612" i="21"/>
  <c r="D245" i="21"/>
  <c r="D1613" i="21"/>
  <c r="D1614" i="21"/>
  <c r="D1615" i="21"/>
  <c r="D1616" i="21"/>
  <c r="D246" i="21"/>
  <c r="D740" i="21"/>
  <c r="D741" i="21"/>
  <c r="D1617" i="21"/>
  <c r="D1618" i="21"/>
  <c r="D1619" i="21"/>
  <c r="D1620" i="21"/>
  <c r="D1621" i="21"/>
  <c r="D1622" i="21"/>
  <c r="D1623" i="21"/>
  <c r="D1624" i="21"/>
  <c r="D1625" i="21"/>
  <c r="D1626" i="21"/>
  <c r="D1627" i="21"/>
  <c r="D1628" i="21"/>
  <c r="D1629" i="21"/>
  <c r="D150" i="21"/>
  <c r="D187" i="21"/>
  <c r="D1630" i="21"/>
  <c r="D326" i="21"/>
  <c r="D1631" i="21"/>
  <c r="D1632" i="21"/>
  <c r="D1633" i="21"/>
  <c r="D1634" i="21"/>
  <c r="D1635" i="21"/>
  <c r="D1636" i="21"/>
  <c r="D1637" i="21"/>
  <c r="D1638" i="21"/>
  <c r="D1639" i="21"/>
  <c r="D1640" i="21"/>
  <c r="D1641" i="21"/>
  <c r="D1642" i="21"/>
  <c r="D742" i="21"/>
  <c r="D327" i="21"/>
  <c r="D1643" i="21"/>
  <c r="D328" i="21"/>
  <c r="D1644" i="21"/>
  <c r="D1645" i="21"/>
  <c r="D1646" i="21"/>
  <c r="D743" i="21"/>
  <c r="D1647" i="21"/>
  <c r="D455" i="21"/>
  <c r="D1648" i="21"/>
  <c r="D1649" i="21"/>
  <c r="D744" i="21"/>
  <c r="D329" i="21"/>
  <c r="D1650" i="21"/>
  <c r="D745" i="21"/>
  <c r="D456" i="21"/>
  <c r="D1651" i="21"/>
  <c r="D1652" i="21"/>
  <c r="D457" i="21"/>
  <c r="D746" i="21"/>
  <c r="D330" i="21"/>
  <c r="D1653" i="21"/>
  <c r="D458" i="21"/>
  <c r="D1654" i="21"/>
  <c r="D1655" i="21"/>
  <c r="D459" i="21"/>
  <c r="D747" i="21"/>
  <c r="D247" i="21"/>
  <c r="D1656" i="21"/>
  <c r="D122" i="21"/>
  <c r="D1657" i="21"/>
  <c r="D748" i="21"/>
  <c r="D1658" i="21"/>
  <c r="D460" i="21"/>
  <c r="D1659" i="21"/>
  <c r="D1660" i="21"/>
  <c r="D1661" i="21"/>
  <c r="D1662" i="21"/>
  <c r="D1663" i="21"/>
  <c r="D1664" i="21"/>
  <c r="D1665" i="21"/>
  <c r="D1666" i="21"/>
  <c r="D1667" i="21"/>
  <c r="D1668" i="21"/>
  <c r="D1669" i="21"/>
  <c r="D1670" i="21"/>
  <c r="D749" i="21"/>
  <c r="D1671" i="21"/>
  <c r="D461" i="21"/>
  <c r="D1672" i="21"/>
  <c r="D1673" i="21"/>
  <c r="D1674" i="21"/>
  <c r="D1675" i="21"/>
  <c r="D1676" i="21"/>
  <c r="D750" i="21"/>
  <c r="D462" i="21"/>
  <c r="D151" i="21"/>
  <c r="D1677" i="21"/>
  <c r="D751" i="21"/>
  <c r="D463" i="21"/>
  <c r="D1678" i="21"/>
  <c r="D464" i="21"/>
  <c r="D123" i="21"/>
  <c r="D1679" i="21"/>
  <c r="D1680" i="21"/>
  <c r="D1681" i="21"/>
  <c r="D248" i="21"/>
  <c r="D1682" i="21"/>
  <c r="D1683" i="21"/>
  <c r="D1684" i="21"/>
  <c r="D752" i="21"/>
  <c r="D67" i="21"/>
  <c r="D1685" i="21"/>
  <c r="D188" i="21"/>
  <c r="D189" i="21"/>
  <c r="D249" i="21"/>
  <c r="D1686" i="21"/>
  <c r="D1687" i="21"/>
  <c r="D1688" i="21"/>
  <c r="D1689" i="21"/>
  <c r="D1690" i="21"/>
  <c r="D89" i="21"/>
  <c r="D1691" i="21"/>
  <c r="D753" i="21"/>
  <c r="D152" i="21"/>
  <c r="D1692" i="21"/>
  <c r="D465" i="21"/>
  <c r="D1693" i="21"/>
  <c r="D1694" i="21"/>
  <c r="D1695" i="21"/>
  <c r="D1696" i="21"/>
  <c r="D1697" i="21"/>
  <c r="D754" i="21"/>
  <c r="D1698" i="21"/>
  <c r="D755" i="21"/>
  <c r="D1699" i="21"/>
  <c r="D756" i="21"/>
  <c r="D1700" i="21"/>
  <c r="D106" i="21"/>
  <c r="D757" i="21"/>
  <c r="D1701" i="21"/>
  <c r="D1702" i="21"/>
  <c r="D1703" i="21"/>
  <c r="D1704" i="21"/>
  <c r="D758" i="21"/>
  <c r="D60" i="21"/>
  <c r="D190" i="21"/>
  <c r="D331" i="21"/>
  <c r="D1705" i="21"/>
  <c r="D466" i="21"/>
  <c r="D1706" i="21"/>
  <c r="D467" i="21"/>
  <c r="D1707" i="21"/>
  <c r="D1708" i="21"/>
  <c r="D78" i="21"/>
  <c r="D759" i="21"/>
  <c r="D68" i="21"/>
  <c r="D1709" i="21"/>
  <c r="D1710" i="21"/>
  <c r="D1711" i="21"/>
  <c r="D1712" i="21"/>
  <c r="D1713" i="21"/>
  <c r="D1714" i="21"/>
  <c r="D1715" i="21"/>
  <c r="D760" i="21"/>
  <c r="D1716" i="21"/>
  <c r="D1717" i="21"/>
  <c r="D761" i="21"/>
  <c r="D1718" i="21"/>
  <c r="D1719" i="21"/>
  <c r="D1720" i="21"/>
  <c r="D250" i="21"/>
  <c r="D1721" i="21"/>
  <c r="D96" i="21"/>
  <c r="D468" i="21"/>
  <c r="D1722" i="21"/>
  <c r="D1723" i="21"/>
  <c r="D762" i="21"/>
  <c r="D1724" i="21"/>
  <c r="D124" i="21"/>
  <c r="D469" i="21"/>
  <c r="D763" i="21"/>
  <c r="D153" i="21"/>
  <c r="D764" i="21"/>
  <c r="D1725" i="21"/>
  <c r="D1726" i="21"/>
  <c r="D470" i="21"/>
  <c r="D765" i="21"/>
  <c r="D107" i="21"/>
  <c r="D471" i="21"/>
  <c r="D766" i="21"/>
  <c r="D767" i="21"/>
  <c r="D1727" i="21"/>
  <c r="D1728" i="21"/>
  <c r="D1729" i="21"/>
  <c r="D1730" i="21"/>
  <c r="D1731" i="21"/>
  <c r="D1732" i="21"/>
  <c r="D1733" i="21"/>
  <c r="D1734" i="21"/>
  <c r="D768" i="21"/>
  <c r="D1735" i="21"/>
  <c r="D769" i="21"/>
  <c r="D1736" i="21"/>
  <c r="D332" i="21"/>
  <c r="D472" i="21"/>
  <c r="D333" i="21"/>
  <c r="D1737" i="21"/>
  <c r="D1738" i="21"/>
  <c r="D473" i="21"/>
  <c r="D1739" i="21"/>
  <c r="D334" i="21"/>
  <c r="D1740" i="21"/>
  <c r="D1741" i="21"/>
  <c r="D1742" i="21"/>
  <c r="D1743" i="21"/>
  <c r="D1744" i="21"/>
  <c r="D1745" i="21"/>
  <c r="D1746" i="21"/>
  <c r="D1747" i="21"/>
  <c r="D1748" i="21"/>
  <c r="D1749" i="21"/>
  <c r="D1750" i="21"/>
  <c r="D1751" i="21"/>
  <c r="D1752" i="21"/>
  <c r="D474" i="21"/>
  <c r="D1753" i="21"/>
  <c r="D770" i="21"/>
  <c r="D18" i="21"/>
  <c r="D1754" i="21"/>
  <c r="D1755" i="21"/>
  <c r="D1756" i="21"/>
  <c r="D1757" i="21"/>
  <c r="D1758" i="21"/>
  <c r="D771" i="21"/>
  <c r="D44" i="21"/>
  <c r="D1759" i="21"/>
  <c r="D251" i="21"/>
  <c r="D1760" i="21"/>
  <c r="D1761" i="21"/>
  <c r="D772" i="21"/>
  <c r="D1762" i="21"/>
  <c r="D1763" i="21"/>
  <c r="D1764" i="21"/>
  <c r="D1765" i="21"/>
  <c r="D14" i="21"/>
  <c r="D1766" i="21"/>
  <c r="D1767" i="21"/>
  <c r="D1768" i="21"/>
  <c r="D1769" i="21"/>
  <c r="D335" i="21"/>
  <c r="D1770" i="21"/>
  <c r="D1771" i="21"/>
  <c r="D1772" i="21"/>
  <c r="D154" i="21"/>
  <c r="D1773" i="21"/>
  <c r="D1774" i="21"/>
  <c r="D1775" i="21"/>
  <c r="D191" i="21"/>
  <c r="D29" i="21"/>
  <c r="D1776" i="21"/>
  <c r="D1777" i="21"/>
  <c r="D1778" i="21"/>
  <c r="D108" i="21"/>
  <c r="D1779" i="21"/>
  <c r="D192" i="21"/>
  <c r="D475" i="21"/>
  <c r="D90" i="21"/>
  <c r="D1780" i="21"/>
  <c r="D1781" i="21"/>
  <c r="D1782" i="21"/>
  <c r="D1783" i="21"/>
  <c r="D155" i="21"/>
  <c r="D1784" i="21"/>
  <c r="D1785" i="21"/>
  <c r="D773" i="21"/>
  <c r="D774" i="21"/>
  <c r="D476" i="21"/>
  <c r="D1786" i="21"/>
  <c r="D775" i="21"/>
  <c r="D1787" i="21"/>
  <c r="D776" i="21"/>
  <c r="D477" i="21"/>
  <c r="D1788" i="21"/>
  <c r="D1789" i="21"/>
  <c r="D1790" i="21"/>
  <c r="D1791" i="21"/>
  <c r="D1792" i="21"/>
  <c r="D478" i="21"/>
  <c r="D777" i="21"/>
  <c r="D778" i="21"/>
  <c r="D1793" i="21"/>
  <c r="D1794" i="21"/>
  <c r="D1795" i="21"/>
  <c r="D779" i="21"/>
  <c r="D1796" i="21"/>
  <c r="D780" i="21"/>
  <c r="D336" i="21"/>
  <c r="D1797" i="21"/>
  <c r="D1798" i="21"/>
  <c r="D1799" i="21"/>
  <c r="D1800" i="21"/>
  <c r="D479" i="21"/>
  <c r="D1801" i="21"/>
  <c r="D1802" i="21"/>
  <c r="D337" i="21"/>
  <c r="D1803" i="21"/>
  <c r="D252" i="21"/>
  <c r="D1804" i="21"/>
  <c r="D1805" i="21"/>
  <c r="D480" i="21"/>
  <c r="D1806" i="21"/>
  <c r="D781" i="21"/>
  <c r="D782" i="21"/>
  <c r="D1807" i="21"/>
  <c r="D783" i="21"/>
  <c r="D1808" i="21"/>
  <c r="D338" i="21"/>
  <c r="D1809" i="21"/>
  <c r="D1810" i="21"/>
  <c r="D1811" i="21"/>
  <c r="D784" i="21"/>
  <c r="D1812" i="21"/>
  <c r="D1813" i="21"/>
  <c r="D339" i="21"/>
  <c r="D1814" i="21"/>
  <c r="D1815" i="21"/>
  <c r="D125" i="21"/>
  <c r="D481" i="21"/>
  <c r="D1816" i="21"/>
  <c r="D1817" i="21"/>
  <c r="D1818" i="21"/>
  <c r="D1819" i="21"/>
  <c r="D1820" i="21"/>
  <c r="D1821" i="21"/>
  <c r="D1822" i="21"/>
  <c r="D253" i="21"/>
  <c r="D1823" i="21"/>
  <c r="D126" i="21"/>
  <c r="D785" i="21"/>
  <c r="D482" i="21"/>
  <c r="D109" i="21"/>
  <c r="D1824" i="21"/>
  <c r="D1825" i="21"/>
  <c r="D1826" i="21"/>
  <c r="D127" i="21"/>
  <c r="D1827" i="21"/>
  <c r="D1828" i="21"/>
  <c r="D1829" i="21"/>
  <c r="D1830" i="21"/>
  <c r="D483" i="21"/>
  <c r="D786" i="21"/>
  <c r="D1831" i="21"/>
  <c r="D484" i="21"/>
  <c r="D1832" i="21"/>
  <c r="D1833" i="21"/>
  <c r="D1834" i="21"/>
  <c r="D485" i="21"/>
  <c r="D1835" i="21"/>
  <c r="D1836" i="21"/>
  <c r="D69" i="21"/>
  <c r="D1837" i="21"/>
  <c r="D787" i="21"/>
  <c r="D340" i="21"/>
  <c r="D1838" i="21"/>
  <c r="D788" i="21"/>
  <c r="D1839" i="21"/>
  <c r="D1840" i="21"/>
  <c r="D789" i="21"/>
  <c r="D790" i="21"/>
  <c r="D1841" i="21"/>
  <c r="D1842" i="21"/>
  <c r="D193" i="21"/>
  <c r="D1843" i="21"/>
  <c r="D1844" i="21"/>
  <c r="D1845" i="21"/>
  <c r="D1846" i="21"/>
  <c r="D1847" i="21"/>
  <c r="D791" i="21"/>
  <c r="D1848" i="21"/>
  <c r="D1849" i="21"/>
  <c r="D1850" i="21"/>
  <c r="D792" i="21"/>
  <c r="D486" i="21"/>
  <c r="D341" i="21"/>
  <c r="D487" i="21"/>
  <c r="D342" i="21"/>
  <c r="D488" i="21"/>
  <c r="D793" i="21"/>
  <c r="D343" i="21"/>
  <c r="D489" i="21"/>
  <c r="D1851" i="21"/>
  <c r="D1852" i="21"/>
  <c r="D490" i="21"/>
  <c r="D794" i="21"/>
  <c r="D795" i="21"/>
  <c r="D1853" i="21"/>
  <c r="D1854" i="21"/>
  <c r="D796" i="21"/>
  <c r="D19" i="21"/>
  <c r="D797" i="21"/>
  <c r="D491" i="21"/>
  <c r="D1855" i="21"/>
  <c r="D1856" i="21"/>
  <c r="D1857" i="21"/>
  <c r="D798" i="21"/>
  <c r="D1858" i="21"/>
  <c r="D1859" i="21"/>
  <c r="D128" i="21"/>
  <c r="D799" i="21"/>
  <c r="D1860" i="21"/>
  <c r="D97" i="21"/>
  <c r="D1861" i="21"/>
  <c r="D1862" i="21"/>
  <c r="D1863" i="21"/>
  <c r="D1864" i="21"/>
  <c r="D1865" i="21"/>
  <c r="D254" i="21"/>
  <c r="D800" i="21"/>
  <c r="D1866" i="21"/>
  <c r="D1867" i="21"/>
  <c r="D1868" i="21"/>
  <c r="D1869" i="21"/>
  <c r="D1870" i="21"/>
  <c r="D1871" i="21"/>
  <c r="D1872" i="21"/>
  <c r="D1873" i="21"/>
  <c r="D1874" i="21"/>
  <c r="D1875" i="21"/>
  <c r="D1876" i="21"/>
  <c r="D1877" i="21"/>
  <c r="D110" i="21"/>
  <c r="D79" i="21"/>
  <c r="D52" i="21"/>
  <c r="D80" i="21"/>
  <c r="D344" i="21"/>
  <c r="D801" i="21"/>
  <c r="D1878" i="21"/>
  <c r="D492" i="21"/>
  <c r="D1879" i="21"/>
  <c r="D1880" i="21"/>
  <c r="D1881" i="21"/>
  <c r="D1882" i="21"/>
  <c r="D255" i="21"/>
  <c r="D493" i="21"/>
  <c r="D1883" i="21"/>
  <c r="D1884" i="21"/>
  <c r="D1885" i="21"/>
  <c r="D1886" i="21"/>
  <c r="D1887" i="21"/>
  <c r="D802" i="21"/>
  <c r="D1888" i="21"/>
  <c r="D111" i="21"/>
  <c r="D494" i="21"/>
  <c r="D194" i="21"/>
  <c r="D129" i="21"/>
  <c r="D1889" i="21"/>
  <c r="D1890" i="21"/>
  <c r="D803" i="21"/>
  <c r="D495" i="21"/>
  <c r="D1891" i="21"/>
  <c r="D804" i="21"/>
  <c r="D1892" i="21"/>
  <c r="D1893" i="21"/>
  <c r="D1894" i="21"/>
  <c r="D1895" i="21"/>
  <c r="D805" i="21"/>
  <c r="D1896" i="21"/>
  <c r="D1897" i="21"/>
  <c r="D1898" i="21"/>
  <c r="D1899" i="21"/>
  <c r="D345" i="21"/>
  <c r="D1900" i="21"/>
  <c r="D1901" i="21"/>
  <c r="D1902" i="21"/>
  <c r="D1903" i="21"/>
  <c r="D1904" i="21"/>
  <c r="D1905" i="21"/>
  <c r="D1906" i="21"/>
  <c r="D496" i="21"/>
  <c r="D1907" i="21"/>
  <c r="D1908" i="21"/>
  <c r="D1909" i="21"/>
  <c r="D1910" i="21"/>
  <c r="D806" i="21"/>
  <c r="D1911" i="21"/>
  <c r="D1912" i="21"/>
  <c r="D1913" i="21"/>
  <c r="D1914" i="21"/>
  <c r="D1915" i="21"/>
  <c r="D346" i="21"/>
  <c r="D1916" i="21"/>
  <c r="D1917" i="21"/>
  <c r="D1918" i="21"/>
  <c r="D195" i="21"/>
  <c r="D81" i="21"/>
  <c r="D1919" i="21"/>
  <c r="D1920" i="21"/>
  <c r="D1921" i="21"/>
  <c r="D82" i="21"/>
  <c r="D807" i="21"/>
  <c r="D256" i="21"/>
  <c r="D347" i="21"/>
  <c r="D808" i="21"/>
  <c r="D348" i="21"/>
  <c r="D1922" i="21"/>
  <c r="D809" i="21"/>
  <c r="D349" i="21"/>
  <c r="D497" i="21"/>
  <c r="D257" i="21"/>
  <c r="D1923" i="21"/>
  <c r="D1924" i="21"/>
  <c r="D1925" i="21"/>
  <c r="D1926" i="21"/>
  <c r="D1927" i="21"/>
  <c r="D810" i="21"/>
  <c r="D1928" i="21"/>
  <c r="D1929" i="21"/>
  <c r="D1930" i="21"/>
  <c r="D1931" i="21"/>
  <c r="D1932" i="21"/>
  <c r="D811" i="21"/>
  <c r="D1933" i="21"/>
  <c r="D812" i="21"/>
  <c r="D1934" i="21"/>
  <c r="D1935" i="21"/>
  <c r="D1936" i="21"/>
  <c r="D1937" i="21"/>
  <c r="D1938" i="21"/>
  <c r="D1939" i="21"/>
  <c r="D1940" i="21"/>
  <c r="D1941" i="21"/>
  <c r="D498" i="21"/>
  <c r="D350" i="21"/>
  <c r="D1942" i="21"/>
  <c r="D499" i="21"/>
  <c r="D1943" i="21"/>
  <c r="D1944" i="21"/>
  <c r="D1945" i="21"/>
  <c r="D813" i="21"/>
  <c r="D1946" i="21"/>
  <c r="D196" i="21"/>
  <c r="D1947" i="21"/>
  <c r="D814" i="21"/>
  <c r="D1948" i="21"/>
  <c r="D1949" i="21"/>
  <c r="D815" i="21"/>
  <c r="D1950" i="21"/>
  <c r="D500" i="21"/>
  <c r="D816" i="21"/>
  <c r="D817" i="21"/>
  <c r="D1951" i="21"/>
  <c r="D818" i="21"/>
  <c r="D819" i="21"/>
  <c r="D1952" i="21"/>
  <c r="D130" i="21"/>
  <c r="D820" i="21"/>
  <c r="D1953" i="21"/>
  <c r="D351" i="21"/>
  <c r="D1954" i="21"/>
  <c r="D501" i="21"/>
  <c r="D821" i="21"/>
  <c r="D822" i="21"/>
  <c r="D1955" i="21"/>
  <c r="D1956" i="21"/>
  <c r="D1957" i="21"/>
  <c r="D1958" i="21"/>
  <c r="D1959" i="21"/>
  <c r="D1960" i="21"/>
  <c r="D502" i="21"/>
  <c r="D1961" i="21"/>
  <c r="D1962" i="21"/>
  <c r="D1963" i="21"/>
  <c r="D1964" i="21"/>
  <c r="D1965" i="21"/>
  <c r="D1966" i="21"/>
  <c r="D1967" i="21"/>
  <c r="D823" i="21"/>
  <c r="D1968" i="21"/>
  <c r="D1969" i="21"/>
  <c r="D1970" i="21"/>
  <c r="D1971" i="21"/>
  <c r="D503" i="21"/>
  <c r="D352" i="21"/>
  <c r="D1972" i="21"/>
  <c r="D504" i="21"/>
  <c r="D1973" i="21"/>
  <c r="D1974" i="21"/>
  <c r="D1975" i="21"/>
  <c r="D1976" i="21"/>
  <c r="D1977" i="21"/>
  <c r="D1978" i="21"/>
  <c r="D1979" i="21"/>
  <c r="D824" i="21"/>
  <c r="D1980" i="21"/>
  <c r="D1981" i="21"/>
  <c r="D1982" i="21"/>
  <c r="D1983" i="21"/>
  <c r="D1984" i="21"/>
  <c r="D825" i="21"/>
  <c r="D826" i="21"/>
  <c r="D1985" i="21"/>
  <c r="D1986" i="21"/>
  <c r="D1987" i="21"/>
  <c r="D1988" i="21"/>
  <c r="D1989" i="21"/>
  <c r="D505" i="21"/>
  <c r="D827" i="21"/>
  <c r="D1990" i="21"/>
  <c r="D4" i="21"/>
  <c r="D1991" i="21"/>
  <c r="D1992" i="21"/>
  <c r="D258" i="21"/>
  <c r="D1993" i="21"/>
  <c r="D1994" i="21"/>
  <c r="D1995" i="21"/>
  <c r="D506" i="21"/>
  <c r="D828" i="21"/>
  <c r="D39" i="21"/>
  <c r="D156" i="21"/>
  <c r="D829" i="21"/>
  <c r="D1996" i="21"/>
  <c r="D1997" i="21"/>
  <c r="D830" i="21"/>
  <c r="D831" i="21"/>
  <c r="D1998" i="21"/>
  <c r="D5" i="21"/>
  <c r="D1999" i="21"/>
  <c r="D2000" i="21"/>
  <c r="D2001" i="21"/>
  <c r="D353" i="21"/>
  <c r="D2002" i="21"/>
  <c r="D259" i="21"/>
  <c r="D2003" i="21"/>
  <c r="D2004" i="21"/>
  <c r="D832" i="21"/>
  <c r="D2005" i="21"/>
  <c r="D2006" i="21"/>
  <c r="D2007" i="21"/>
  <c r="D507" i="21"/>
  <c r="D2008" i="21"/>
  <c r="D2009" i="21"/>
  <c r="D2010" i="21"/>
  <c r="D2011" i="21"/>
  <c r="D2012" i="21"/>
  <c r="D2013" i="21"/>
  <c r="D833" i="21"/>
  <c r="D2014" i="21"/>
  <c r="D508" i="21"/>
  <c r="D2015" i="21"/>
  <c r="D2016" i="21"/>
  <c r="D2017" i="21"/>
  <c r="D2018" i="21"/>
  <c r="D2019" i="21"/>
  <c r="D2020" i="21"/>
  <c r="D2021" i="21"/>
  <c r="D2022" i="21"/>
  <c r="D2023" i="21"/>
  <c r="D2024" i="21"/>
  <c r="D834" i="21"/>
  <c r="D260" i="21"/>
  <c r="D835" i="21"/>
  <c r="D2025" i="21"/>
  <c r="D2026" i="21"/>
  <c r="D2027" i="21"/>
  <c r="D509" i="21"/>
  <c r="D2028" i="21"/>
  <c r="D2029" i="21"/>
  <c r="D2030" i="21"/>
  <c r="D2031" i="21"/>
  <c r="D2032" i="21"/>
  <c r="D2033" i="21"/>
  <c r="D2034" i="21"/>
  <c r="D2035" i="21"/>
  <c r="D2036" i="21"/>
  <c r="D112" i="21"/>
  <c r="D2037" i="21"/>
  <c r="D510" i="21"/>
  <c r="D2038" i="21"/>
  <c r="D2039" i="21"/>
  <c r="D261" i="21"/>
  <c r="D2040" i="21"/>
  <c r="D2041" i="21"/>
  <c r="D2042" i="21"/>
  <c r="D2043" i="21"/>
  <c r="D2044" i="21"/>
  <c r="D2045" i="21"/>
  <c r="D2046" i="21"/>
  <c r="D2047" i="21"/>
  <c r="D2048" i="21"/>
  <c r="D2049" i="21"/>
  <c r="D53" i="21"/>
  <c r="D354" i="21"/>
  <c r="D2050" i="21"/>
  <c r="D511" i="21"/>
  <c r="D2051" i="21"/>
  <c r="D2052" i="21"/>
  <c r="D836" i="21"/>
  <c r="D2053" i="21"/>
  <c r="D2054" i="21"/>
  <c r="D2055" i="21"/>
  <c r="D2056" i="21"/>
  <c r="D2057" i="21"/>
  <c r="D262" i="21"/>
  <c r="D2058" i="21"/>
  <c r="D2059" i="21"/>
  <c r="D837" i="21"/>
  <c r="D512" i="21"/>
  <c r="D2060" i="21"/>
  <c r="D513" i="21"/>
  <c r="D2061" i="21"/>
  <c r="D2062" i="21"/>
  <c r="D2063" i="21"/>
  <c r="D157" i="21"/>
  <c r="D2064" i="21"/>
  <c r="D263" i="21"/>
  <c r="D2065" i="21"/>
  <c r="D131" i="21"/>
  <c r="D2066" i="21"/>
  <c r="D2067" i="21"/>
  <c r="D2068" i="21"/>
  <c r="D838" i="21"/>
  <c r="D2069" i="21"/>
  <c r="D2070" i="21"/>
  <c r="D2071" i="21"/>
  <c r="D2072" i="21"/>
  <c r="D2073" i="21"/>
  <c r="D197" i="21"/>
  <c r="D355" i="21"/>
  <c r="D2074" i="21"/>
  <c r="D2075" i="21"/>
  <c r="D2076" i="21"/>
  <c r="D356" i="21"/>
  <c r="D2077" i="21"/>
  <c r="D514" i="21"/>
  <c r="D2078" i="21"/>
  <c r="D2079" i="21"/>
  <c r="D2080" i="21"/>
  <c r="D839" i="21"/>
  <c r="D840" i="21"/>
  <c r="D2081" i="21"/>
  <c r="D2082" i="21"/>
  <c r="D2083" i="21"/>
  <c r="D841" i="21"/>
  <c r="D842" i="21"/>
  <c r="D2084" i="21"/>
  <c r="D70" i="21"/>
  <c r="D2085" i="21"/>
  <c r="D515" i="21"/>
  <c r="D2086" i="21"/>
  <c r="D516" i="21"/>
  <c r="D843" i="21"/>
  <c r="D2087" i="21"/>
  <c r="D2088" i="21"/>
  <c r="D2089" i="21"/>
  <c r="D2090" i="21"/>
  <c r="D2091" i="21"/>
  <c r="D2092" i="21"/>
  <c r="D357" i="21"/>
  <c r="D2093" i="21"/>
  <c r="D358" i="21"/>
  <c r="D2094" i="21"/>
  <c r="D844" i="21"/>
  <c r="D158" i="21"/>
  <c r="D2095" i="21"/>
  <c r="D2096" i="21"/>
  <c r="D845" i="21"/>
  <c r="D2097" i="21"/>
  <c r="D2098" i="21"/>
  <c r="D846" i="21"/>
  <c r="D54" i="21"/>
  <c r="D847" i="21"/>
  <c r="D198" i="21"/>
  <c r="D2099" i="21"/>
  <c r="D2100" i="21"/>
  <c r="D2101" i="21"/>
  <c r="D264" i="21"/>
  <c r="D2102" i="21"/>
  <c r="D2103" i="21"/>
  <c r="D2104" i="21"/>
  <c r="D2105" i="21"/>
  <c r="D517" i="21"/>
  <c r="D2106" i="21"/>
  <c r="D2107" i="21"/>
  <c r="D2108" i="21"/>
  <c r="D2109" i="21"/>
  <c r="D848" i="21"/>
  <c r="D849" i="21"/>
  <c r="D265" i="21"/>
  <c r="D2110" i="21"/>
  <c r="D518" i="21"/>
  <c r="D850" i="21"/>
  <c r="D2111" i="21"/>
  <c r="D2112" i="21"/>
  <c r="D2113" i="21"/>
  <c r="D851" i="21"/>
  <c r="D199" i="21"/>
  <c r="D2114" i="21"/>
  <c r="D2115" i="21"/>
  <c r="D2116" i="21"/>
  <c r="D266" i="21"/>
  <c r="D28" i="21"/>
  <c r="D2117" i="21"/>
  <c r="D359" i="21"/>
  <c r="D2118" i="21"/>
  <c r="D2119" i="21"/>
  <c r="D2120" i="21"/>
  <c r="D2121" i="21"/>
  <c r="D2122" i="21"/>
  <c r="D360" i="21"/>
  <c r="D852" i="21"/>
  <c r="D267" i="21"/>
  <c r="D2123" i="21"/>
  <c r="D361" i="21"/>
  <c r="D2124" i="21"/>
  <c r="D2125" i="21"/>
  <c r="D519" i="21"/>
  <c r="D2126" i="21"/>
  <c r="D853" i="21"/>
  <c r="D520" i="21"/>
  <c r="D2127" i="21"/>
  <c r="D2128" i="21"/>
  <c r="D2129" i="21"/>
  <c r="D854" i="21"/>
  <c r="D268" i="21"/>
  <c r="D855" i="21"/>
  <c r="D856" i="21"/>
  <c r="D2130" i="21"/>
  <c r="D45" i="21"/>
  <c r="D2131" i="21"/>
  <c r="D2132" i="21"/>
  <c r="D2133" i="21"/>
  <c r="D2134" i="21"/>
  <c r="D2135" i="21"/>
  <c r="D200" i="21"/>
  <c r="D521" i="21"/>
  <c r="D2136" i="21"/>
  <c r="D2137" i="21"/>
  <c r="D269" i="21"/>
  <c r="D2138" i="21"/>
  <c r="D2139" i="21"/>
  <c r="D2140" i="21"/>
  <c r="D2141" i="21"/>
  <c r="D2142" i="21"/>
  <c r="D2143" i="21"/>
  <c r="D2144" i="21"/>
  <c r="D2145" i="21"/>
  <c r="D362" i="21"/>
  <c r="D2146" i="21"/>
  <c r="D522" i="21"/>
  <c r="D2147" i="21"/>
  <c r="D857" i="21"/>
  <c r="D2148" i="21"/>
  <c r="D2149" i="21"/>
  <c r="D2150" i="21"/>
  <c r="D2151" i="21"/>
  <c r="D2152" i="21"/>
  <c r="D2153" i="21"/>
  <c r="D858" i="21"/>
  <c r="D2154" i="21"/>
  <c r="D2155" i="21"/>
  <c r="D2156" i="21"/>
  <c r="D523" i="21"/>
  <c r="D2157" i="21"/>
  <c r="D2158" i="21"/>
  <c r="D859" i="21"/>
  <c r="D2159" i="21"/>
  <c r="D2160" i="21"/>
  <c r="D860" i="21"/>
  <c r="D2161" i="21"/>
  <c r="D2162" i="21"/>
  <c r="D2163" i="21"/>
  <c r="D524" i="21"/>
  <c r="D2164" i="21"/>
  <c r="D2165" i="21"/>
  <c r="D2166" i="21"/>
  <c r="D201" i="21"/>
  <c r="D83" i="21"/>
  <c r="D2167" i="21"/>
  <c r="D2168" i="21"/>
  <c r="D46" i="21"/>
  <c r="D2169" i="21"/>
  <c r="D525" i="21"/>
  <c r="D202" i="21"/>
  <c r="D861" i="21"/>
  <c r="D2170" i="21"/>
  <c r="D2171" i="21"/>
  <c r="D363" i="21"/>
  <c r="D862" i="21"/>
  <c r="D2172" i="21"/>
  <c r="D364" i="21"/>
  <c r="D2173" i="21"/>
  <c r="D2174" i="21"/>
  <c r="D2175" i="21"/>
  <c r="D2176" i="21"/>
  <c r="D2177" i="21"/>
  <c r="D2178" i="21"/>
  <c r="D2179" i="21"/>
  <c r="D203" i="21"/>
  <c r="D2180" i="21"/>
  <c r="D2181" i="21"/>
  <c r="D2182" i="21"/>
  <c r="D2183" i="21"/>
  <c r="D526" i="21"/>
  <c r="D2184" i="21"/>
  <c r="D2185" i="21"/>
  <c r="D2186" i="21"/>
  <c r="D863" i="21"/>
  <c r="D2187" i="21"/>
  <c r="D2188" i="21"/>
  <c r="D159" i="21"/>
  <c r="D365" i="21"/>
  <c r="D2189" i="21"/>
  <c r="D2190" i="21"/>
  <c r="D864" i="21"/>
  <c r="D865" i="21"/>
  <c r="D2191" i="21"/>
  <c r="D2192" i="21"/>
  <c r="D2193" i="21"/>
  <c r="D204" i="21"/>
  <c r="D2194" i="21"/>
  <c r="D366" i="21"/>
  <c r="D2195" i="21"/>
  <c r="D2196" i="21"/>
  <c r="D367" i="21"/>
  <c r="D55" i="21"/>
  <c r="D2197" i="21"/>
  <c r="D2198" i="21"/>
  <c r="D2199" i="21"/>
  <c r="D527" i="21"/>
  <c r="D528" i="21"/>
  <c r="D529" i="21"/>
  <c r="D2200" i="21"/>
  <c r="D2201" i="21"/>
  <c r="D2202" i="21"/>
  <c r="D37" i="21"/>
  <c r="D2203" i="21"/>
  <c r="D2204" i="21"/>
  <c r="D2205" i="21"/>
  <c r="D530" i="21"/>
  <c r="D2206" i="21"/>
  <c r="D2207" i="21"/>
  <c r="D2208" i="21"/>
  <c r="D866" i="21"/>
  <c r="D2209" i="21"/>
  <c r="D867" i="21"/>
  <c r="D531" i="21"/>
  <c r="D205" i="21"/>
  <c r="D868" i="21"/>
  <c r="D2210" i="21"/>
  <c r="D2211" i="21"/>
  <c r="D61" i="21"/>
  <c r="D2212" i="21"/>
  <c r="D532" i="21"/>
  <c r="D2213" i="21"/>
  <c r="D2214" i="21"/>
  <c r="D2215" i="21"/>
  <c r="D368" i="21"/>
  <c r="D2216" i="21"/>
  <c r="D2217" i="21"/>
  <c r="D2218" i="21"/>
  <c r="D2219" i="21"/>
  <c r="D40" i="21"/>
  <c r="D533" i="21"/>
  <c r="D2220" i="21"/>
  <c r="D2221" i="21"/>
  <c r="D2222" i="21"/>
  <c r="D2223" i="21"/>
  <c r="D869" i="21"/>
  <c r="D2224" i="21"/>
  <c r="D2225" i="21"/>
  <c r="D2226" i="21"/>
  <c r="D534" i="21"/>
  <c r="D2227" i="21"/>
  <c r="D2228" i="21"/>
  <c r="D2229" i="21"/>
  <c r="D2230" i="21"/>
  <c r="D160" i="21"/>
  <c r="D2231" i="21"/>
  <c r="D2232" i="21"/>
  <c r="D369" i="21"/>
  <c r="D2233" i="21"/>
  <c r="D2234" i="21"/>
  <c r="D206" i="21"/>
  <c r="D2235" i="21"/>
  <c r="D2236" i="21"/>
  <c r="D2237" i="21"/>
  <c r="D870" i="21"/>
  <c r="D871" i="21"/>
  <c r="D2238" i="21"/>
  <c r="D7" i="21"/>
  <c r="D2239" i="21"/>
  <c r="D2240" i="21"/>
  <c r="D2241" i="21"/>
  <c r="D10" i="21"/>
  <c r="D2242" i="21"/>
  <c r="D872" i="21"/>
  <c r="D2243" i="21"/>
  <c r="D535" i="21"/>
  <c r="D873" i="21"/>
  <c r="D207" i="21"/>
  <c r="D536" i="21"/>
  <c r="D874" i="21"/>
  <c r="D2244" i="21"/>
  <c r="D2245" i="21"/>
  <c r="D537" i="21"/>
  <c r="D2246" i="21"/>
  <c r="D208" i="21"/>
  <c r="D2247" i="21"/>
  <c r="D2248" i="21"/>
  <c r="D2249" i="21"/>
  <c r="D2250" i="21"/>
  <c r="D2251" i="21"/>
  <c r="D2252" i="21"/>
  <c r="D875" i="21"/>
  <c r="D538" i="21"/>
  <c r="D2253" i="21"/>
  <c r="D2254" i="21"/>
  <c r="D113" i="21"/>
  <c r="D22" i="21"/>
  <c r="D2255" i="21"/>
  <c r="D2256" i="21"/>
  <c r="D876" i="21"/>
  <c r="D209" i="21"/>
  <c r="D2257" i="21"/>
  <c r="D270" i="21"/>
  <c r="D2258" i="21"/>
  <c r="D2259" i="21"/>
  <c r="D2260" i="21"/>
  <c r="D877" i="21"/>
  <c r="D2261" i="21"/>
  <c r="D2262" i="21"/>
  <c r="D2263" i="21"/>
  <c r="D878" i="21"/>
  <c r="D2264" i="21"/>
  <c r="D539" i="21"/>
  <c r="D2265" i="21"/>
  <c r="D2266" i="21"/>
  <c r="D71" i="21"/>
  <c r="D370" i="21"/>
  <c r="D879" i="21"/>
  <c r="D210" i="21"/>
  <c r="D38" i="21"/>
  <c r="D132" i="21"/>
  <c r="D2267" i="21"/>
  <c r="D2268" i="21"/>
  <c r="D211" i="21"/>
  <c r="D880" i="21"/>
  <c r="D881" i="21"/>
  <c r="D2269" i="21"/>
  <c r="D133" i="21"/>
  <c r="D2270" i="21"/>
  <c r="D882" i="21"/>
  <c r="D271" i="21"/>
  <c r="D2271" i="21"/>
  <c r="D883" i="21"/>
  <c r="D540" i="21"/>
  <c r="D541" i="21"/>
  <c r="D2272" i="21"/>
  <c r="D2273" i="21"/>
  <c r="D114" i="21"/>
  <c r="D2274" i="21"/>
  <c r="D2275" i="21"/>
  <c r="D2276" i="21"/>
  <c r="D2277" i="21"/>
  <c r="D272" i="21"/>
  <c r="D371" i="21"/>
  <c r="D2278" i="21"/>
  <c r="D2279" i="21"/>
  <c r="D2280" i="21"/>
  <c r="D884" i="21"/>
  <c r="D885" i="21"/>
  <c r="D2281" i="21"/>
  <c r="D2282" i="21"/>
  <c r="D886" i="21"/>
  <c r="D2283" i="21"/>
  <c r="D2284" i="21"/>
  <c r="D2285" i="21"/>
  <c r="D2286" i="21"/>
  <c r="D2287" i="21"/>
  <c r="D2288" i="21"/>
  <c r="D372" i="21"/>
  <c r="D2289" i="21"/>
  <c r="D2290" i="21"/>
  <c r="D2291" i="21"/>
  <c r="D2292" i="21"/>
  <c r="D887" i="21"/>
  <c r="D2293" i="21"/>
  <c r="D888" i="21"/>
  <c r="D2294" i="21"/>
  <c r="D542" i="21"/>
  <c r="D373" i="21"/>
  <c r="D2295" i="21"/>
  <c r="D2296" i="21"/>
  <c r="D889" i="21"/>
  <c r="D2297" i="21"/>
  <c r="D2298" i="21"/>
  <c r="D2299" i="21"/>
  <c r="D2300" i="21"/>
  <c r="D2301" i="21"/>
  <c r="D2302" i="21"/>
  <c r="D543" i="21"/>
  <c r="D890" i="21"/>
  <c r="D544" i="21"/>
  <c r="D2303" i="21"/>
  <c r="D2304" i="21"/>
  <c r="D891" i="21"/>
  <c r="D2305" i="21"/>
  <c r="D2306" i="21"/>
  <c r="D892" i="21"/>
  <c r="D2307" i="21"/>
  <c r="D2308" i="21"/>
  <c r="D2309" i="21"/>
  <c r="D2310" i="21"/>
  <c r="D2311" i="21"/>
  <c r="D161" i="21"/>
  <c r="D2312" i="21"/>
  <c r="D2313" i="21"/>
  <c r="D893" i="21"/>
  <c r="D2314" i="21"/>
  <c r="D545" i="21"/>
  <c r="D546" i="21"/>
  <c r="D894" i="21"/>
  <c r="D547" i="21"/>
  <c r="D2315" i="21"/>
  <c r="D273" i="21"/>
  <c r="D2316" i="21"/>
  <c r="D2317" i="21"/>
  <c r="D2318" i="21"/>
  <c r="D2319" i="21"/>
  <c r="D2320" i="21"/>
  <c r="D115" i="21"/>
  <c r="D2321" i="21"/>
  <c r="D2322" i="21"/>
  <c r="D2323" i="21"/>
  <c r="D2324" i="21"/>
  <c r="D2325" i="21"/>
  <c r="D2326" i="21"/>
  <c r="D274" i="21"/>
  <c r="D275" i="21"/>
  <c r="D2327" i="21"/>
  <c r="D2328" i="21"/>
  <c r="D2329" i="21"/>
  <c r="D2330" i="21"/>
  <c r="D2331" i="21"/>
  <c r="D2332" i="21"/>
  <c r="D212" i="21"/>
  <c r="D895" i="21"/>
  <c r="D13" i="21"/>
  <c r="D2333" i="21"/>
  <c r="D2334" i="21"/>
  <c r="D548" i="21"/>
  <c r="D2335" i="21"/>
  <c r="D549" i="21"/>
  <c r="D2336" i="21"/>
  <c r="D896" i="21"/>
  <c r="D2337" i="21"/>
  <c r="D2338" i="21"/>
  <c r="D2339" i="21"/>
  <c r="D550" i="21"/>
  <c r="D2340" i="21"/>
  <c r="D2341" i="21"/>
  <c r="D897" i="21"/>
  <c r="D898" i="21"/>
  <c r="D899" i="21"/>
  <c r="D2342" i="21"/>
  <c r="D276" i="21"/>
  <c r="D900" i="21"/>
  <c r="D2343" i="21"/>
  <c r="D41" i="21"/>
  <c r="D901" i="21"/>
  <c r="D902" i="21"/>
  <c r="D2344" i="21"/>
  <c r="D2345" i="21"/>
  <c r="D2346" i="21"/>
  <c r="D213" i="21"/>
  <c r="D277" i="21"/>
  <c r="D903" i="21"/>
  <c r="D278" i="21"/>
  <c r="D2347" i="21"/>
  <c r="D2348" i="21"/>
  <c r="D2349" i="21"/>
  <c r="D2350" i="21"/>
  <c r="D2351" i="21"/>
  <c r="D2352" i="21"/>
  <c r="D2353" i="21"/>
  <c r="D162" i="21"/>
  <c r="D2354" i="21"/>
  <c r="D2355" i="21"/>
  <c r="D2356" i="21"/>
  <c r="D904" i="21"/>
  <c r="D2357" i="21"/>
  <c r="D2358" i="21"/>
  <c r="D2359" i="21"/>
  <c r="D2360" i="21"/>
  <c r="D23" i="21"/>
  <c r="D905" i="21"/>
  <c r="D279" i="21"/>
  <c r="D2361" i="21"/>
  <c r="D2362" i="21"/>
  <c r="D906" i="21"/>
  <c r="D214" i="21"/>
  <c r="D2363" i="21"/>
  <c r="D907" i="21"/>
  <c r="D2364" i="21"/>
  <c r="D551" i="21"/>
  <c r="D908" i="21"/>
  <c r="D2365" i="21"/>
  <c r="D2366" i="21"/>
  <c r="D2367" i="21"/>
  <c r="D2368" i="21"/>
  <c r="D2369" i="21"/>
  <c r="D2370" i="21"/>
  <c r="D2371" i="21"/>
  <c r="D47" i="21"/>
  <c r="D909" i="21"/>
  <c r="D2372" i="21"/>
  <c r="D30" i="21"/>
  <c r="D2373" i="21"/>
  <c r="D134" i="21"/>
  <c r="D2374" i="21"/>
  <c r="D11" i="21"/>
  <c r="D910" i="21"/>
  <c r="D215" i="21"/>
  <c r="D2375" i="21"/>
  <c r="D911" i="21"/>
  <c r="D2376" i="21"/>
  <c r="D2377" i="21"/>
  <c r="D2378" i="21"/>
  <c r="D2379" i="21"/>
  <c r="D2380" i="21"/>
  <c r="D84" i="21"/>
  <c r="D2381" i="21"/>
  <c r="D2382" i="21"/>
  <c r="D2383" i="21"/>
  <c r="D280" i="21"/>
  <c r="D912" i="21"/>
  <c r="D374" i="21"/>
  <c r="D2384" i="21"/>
  <c r="D2385" i="21"/>
  <c r="D552" i="21"/>
  <c r="D913" i="21"/>
  <c r="D2386" i="21"/>
  <c r="D2387" i="21"/>
  <c r="D553" i="21"/>
  <c r="D2388" i="21"/>
  <c r="D2389" i="21"/>
  <c r="D2390" i="21"/>
  <c r="D554" i="21"/>
  <c r="D2391" i="21"/>
  <c r="D914" i="21"/>
  <c r="D2392" i="21"/>
  <c r="D2393" i="21"/>
  <c r="D2394" i="21"/>
  <c r="D2395" i="21"/>
  <c r="D2396" i="21"/>
  <c r="D216" i="21"/>
  <c r="D2397" i="21"/>
  <c r="D2398" i="21"/>
  <c r="D2399" i="21"/>
  <c r="D555" i="21"/>
  <c r="D2400" i="21"/>
  <c r="D915" i="21"/>
  <c r="D2401" i="21"/>
  <c r="D916" i="21"/>
  <c r="D917" i="21"/>
  <c r="D2402" i="21"/>
  <c r="D2403" i="21"/>
  <c r="D217" i="21"/>
  <c r="D375" i="21"/>
  <c r="D2404" i="21"/>
  <c r="D2405" i="21"/>
  <c r="D2406" i="21"/>
  <c r="D2407" i="21"/>
  <c r="D2408" i="21"/>
  <c r="D918" i="21"/>
  <c r="D2409" i="21"/>
  <c r="D2410" i="21"/>
  <c r="D2411" i="21"/>
  <c r="D2412" i="21"/>
  <c r="D556" i="21"/>
  <c r="D2413" i="21"/>
  <c r="D2414" i="21"/>
  <c r="D919" i="21"/>
  <c r="D85" i="21"/>
  <c r="D2415" i="21"/>
  <c r="D116" i="21"/>
  <c r="D135" i="21"/>
  <c r="D48" i="21"/>
  <c r="D2416" i="21"/>
  <c r="D376" i="21"/>
  <c r="D557" i="21"/>
  <c r="D920" i="21"/>
  <c r="D2417" i="21"/>
  <c r="D2418" i="21"/>
  <c r="D2419" i="21"/>
  <c r="D218" i="21"/>
  <c r="D2420" i="21"/>
  <c r="D2421" i="21"/>
  <c r="D281" i="21"/>
  <c r="D2422" i="21"/>
  <c r="D2423" i="21"/>
  <c r="D2424" i="21"/>
  <c r="D86" i="21"/>
  <c r="D921" i="21"/>
  <c r="D922" i="21"/>
  <c r="D219" i="21"/>
  <c r="D2425" i="21"/>
  <c r="D923" i="21"/>
  <c r="D924" i="21"/>
  <c r="D2426" i="21"/>
  <c r="D2427" i="21"/>
  <c r="D558" i="21"/>
  <c r="D925" i="21"/>
  <c r="D24" i="21"/>
  <c r="D559" i="21"/>
  <c r="D2428" i="21"/>
  <c r="D2429" i="21"/>
  <c r="D2430" i="21"/>
  <c r="D2431" i="21"/>
  <c r="D2432" i="21"/>
  <c r="D2433" i="21"/>
  <c r="D56" i="21"/>
  <c r="D2434" i="21"/>
  <c r="D2435" i="21"/>
  <c r="D377" i="21"/>
  <c r="D560" i="21"/>
  <c r="D2436" i="21"/>
  <c r="D2437" i="21"/>
  <c r="D49" i="21"/>
  <c r="D2438" i="21"/>
  <c r="D2439" i="21"/>
  <c r="D561" i="21"/>
  <c r="D2440" i="21"/>
  <c r="D2441" i="21"/>
  <c r="D87" i="21"/>
  <c r="D2442" i="21"/>
  <c r="D2443" i="21"/>
  <c r="D33" i="21"/>
  <c r="D562" i="21"/>
  <c r="D378" i="21"/>
  <c r="D2444" i="21"/>
  <c r="D2445" i="21"/>
  <c r="D926" i="21"/>
  <c r="D927" i="21"/>
  <c r="D72" i="21"/>
  <c r="D2446" i="21"/>
  <c r="D2447" i="21"/>
  <c r="D2448" i="21"/>
  <c r="D928" i="21"/>
  <c r="D2449" i="21"/>
  <c r="D2450" i="21"/>
  <c r="D2451" i="21"/>
  <c r="D2452" i="21"/>
  <c r="D2453" i="21"/>
  <c r="D282" i="21"/>
  <c r="D2454" i="21"/>
  <c r="D563" i="21"/>
  <c r="D2455" i="21"/>
  <c r="D2456" i="21"/>
  <c r="D564" i="21"/>
  <c r="D283" i="21"/>
  <c r="D284" i="21"/>
  <c r="D2457" i="21"/>
  <c r="D2458" i="21"/>
  <c r="D2459" i="21"/>
  <c r="D2460" i="21"/>
  <c r="D2461" i="21"/>
  <c r="D2462" i="21"/>
  <c r="D2463" i="21"/>
  <c r="D2464" i="21"/>
  <c r="D929" i="21"/>
  <c r="D930" i="21"/>
  <c r="D2465" i="21"/>
  <c r="D2466" i="21"/>
  <c r="D2467" i="21"/>
  <c r="D2468" i="21"/>
  <c r="D2469" i="21"/>
  <c r="D2470" i="21"/>
  <c r="D2471" i="21"/>
  <c r="D2472" i="21"/>
  <c r="D931" i="21"/>
  <c r="D2473" i="21"/>
  <c r="D2474" i="21"/>
  <c r="D2475" i="21"/>
  <c r="D2476" i="21"/>
  <c r="D2477" i="21"/>
  <c r="D2478" i="21"/>
  <c r="D2479" i="21"/>
  <c r="D220" i="21"/>
  <c r="D62" i="21"/>
  <c r="D2480" i="21"/>
  <c r="D932" i="21"/>
  <c r="D2481" i="21"/>
  <c r="D2482" i="21"/>
  <c r="D2483" i="21"/>
  <c r="D2484" i="21"/>
  <c r="D2485" i="21"/>
  <c r="D565" i="21"/>
  <c r="D933" i="21"/>
  <c r="D934" i="21"/>
  <c r="D2486" i="21"/>
  <c r="D2487" i="21"/>
  <c r="D2488" i="21"/>
  <c r="D566" i="21"/>
  <c r="D2489" i="21"/>
  <c r="D63" i="21"/>
  <c r="D2490" i="21"/>
  <c r="D2491" i="21"/>
  <c r="D2492" i="21"/>
  <c r="D567" i="21"/>
  <c r="D935" i="21"/>
  <c r="D936" i="21"/>
  <c r="D221" i="21"/>
  <c r="D2493" i="21"/>
  <c r="D2494" i="21"/>
  <c r="D222" i="21"/>
  <c r="D2495" i="21"/>
  <c r="D379" i="21"/>
  <c r="D2496" i="21"/>
  <c r="D937" i="21"/>
  <c r="D2497" i="21"/>
  <c r="D2498" i="21"/>
  <c r="D568" i="21"/>
  <c r="D285" i="21"/>
  <c r="D938" i="21"/>
  <c r="D2499" i="21"/>
  <c r="D2500" i="21"/>
  <c r="D939" i="21"/>
  <c r="D2501" i="21"/>
  <c r="D2502" i="21"/>
  <c r="D2503" i="21"/>
  <c r="D2504" i="21"/>
  <c r="D2505" i="21"/>
  <c r="D2506" i="21"/>
  <c r="D569" i="21"/>
  <c r="D940" i="21"/>
  <c r="D2507" i="21"/>
  <c r="D136" i="21"/>
  <c r="D941" i="21"/>
  <c r="D570" i="21"/>
  <c r="D2508" i="21"/>
  <c r="D942" i="21"/>
  <c r="D571" i="21"/>
  <c r="D286" i="21"/>
  <c r="D943" i="21"/>
  <c r="D2509" i="21"/>
  <c r="D2510" i="21"/>
  <c r="D2511" i="21"/>
  <c r="D572" i="21"/>
  <c r="D2512" i="21"/>
  <c r="D2513" i="21"/>
  <c r="D2514" i="21"/>
  <c r="D2515" i="21"/>
  <c r="D944" i="21"/>
  <c r="D2516" i="21"/>
  <c r="D2517" i="21"/>
  <c r="D945" i="21"/>
  <c r="D2518" i="21"/>
  <c r="D2519" i="21"/>
  <c r="D2520" i="21"/>
  <c r="D2521" i="21"/>
  <c r="D946" i="21"/>
  <c r="D2522" i="21"/>
  <c r="D2523" i="21"/>
  <c r="D2524" i="21"/>
  <c r="D2525" i="21"/>
  <c r="D2526" i="21"/>
  <c r="D2527" i="21"/>
  <c r="D2528" i="21"/>
  <c r="D91" i="21"/>
  <c r="D947" i="21"/>
  <c r="D948" i="21"/>
  <c r="D73" i="21"/>
  <c r="D25" i="21"/>
  <c r="D949" i="21"/>
  <c r="D573" i="21"/>
  <c r="D2529" i="21"/>
  <c r="D2530" i="21"/>
  <c r="D2531" i="21"/>
  <c r="D2532" i="21"/>
  <c r="D287" i="21"/>
  <c r="D2533" i="21"/>
  <c r="D2534" i="21"/>
  <c r="D2535" i="21"/>
  <c r="D2536" i="21"/>
  <c r="D950" i="21"/>
  <c r="D2537" i="21"/>
  <c r="D2538" i="21"/>
  <c r="D2539" i="21"/>
  <c r="D380" i="21"/>
  <c r="B47" i="14"/>
  <c r="B66" i="14"/>
  <c r="B67" i="14"/>
  <c r="B54" i="14"/>
  <c r="B37" i="14"/>
  <c r="B68" i="14"/>
  <c r="B69" i="14"/>
  <c r="B48" i="14"/>
  <c r="B19" i="14"/>
  <c r="B24" i="14"/>
  <c r="B30" i="14"/>
  <c r="B70" i="14"/>
  <c r="B49" i="14"/>
  <c r="B71" i="14"/>
  <c r="B72" i="14"/>
  <c r="B4" i="14"/>
  <c r="B50" i="14"/>
  <c r="B55" i="14"/>
  <c r="B13" i="14"/>
  <c r="B73" i="14"/>
  <c r="B56" i="14"/>
  <c r="B74" i="14"/>
  <c r="B75" i="14"/>
  <c r="B76" i="14"/>
  <c r="B77" i="14"/>
  <c r="B57" i="14"/>
  <c r="B58" i="14"/>
  <c r="B78" i="14"/>
  <c r="B79" i="14"/>
  <c r="B80" i="14"/>
  <c r="B59" i="14"/>
  <c r="B81" i="14"/>
  <c r="B38" i="14"/>
  <c r="B28" i="14"/>
  <c r="B39" i="14"/>
  <c r="B26" i="14"/>
  <c r="B8" i="14"/>
  <c r="B60" i="14"/>
  <c r="B51" i="14"/>
  <c r="B10" i="14"/>
  <c r="B42" i="14"/>
  <c r="B43" i="14"/>
  <c r="B6" i="14"/>
  <c r="B82" i="14"/>
  <c r="B83" i="14"/>
  <c r="B84" i="14"/>
  <c r="B85" i="14"/>
  <c r="B86" i="14"/>
  <c r="B87" i="14"/>
  <c r="B5" i="14"/>
  <c r="B88" i="14"/>
  <c r="B14" i="14"/>
  <c r="B61" i="14"/>
  <c r="B89" i="14"/>
  <c r="B20" i="14"/>
  <c r="B90" i="14"/>
  <c r="B16" i="14"/>
  <c r="B31" i="14"/>
  <c r="B91" i="14"/>
  <c r="B92" i="14"/>
  <c r="B93" i="14"/>
  <c r="B94" i="14"/>
  <c r="B95" i="14"/>
  <c r="B17" i="14"/>
  <c r="B96" i="14"/>
  <c r="B52" i="14"/>
  <c r="B21" i="14"/>
  <c r="B62" i="14"/>
  <c r="B97" i="14"/>
  <c r="B98" i="14"/>
  <c r="B32" i="14"/>
  <c r="B44" i="14"/>
  <c r="B22" i="14"/>
  <c r="B99" i="14"/>
  <c r="B100" i="14"/>
  <c r="B63" i="14"/>
  <c r="B40" i="14"/>
  <c r="B25" i="14"/>
  <c r="B9" i="14"/>
  <c r="B41" i="14"/>
  <c r="B101" i="14"/>
  <c r="B29" i="14"/>
  <c r="B102" i="14"/>
  <c r="B15" i="14"/>
  <c r="B18" i="14"/>
  <c r="B53" i="14"/>
  <c r="B45" i="14"/>
  <c r="B33" i="14"/>
  <c r="B12" i="14"/>
  <c r="B64" i="14"/>
  <c r="B2" i="14"/>
  <c r="B103" i="14"/>
  <c r="B104" i="14"/>
  <c r="B46" i="14"/>
  <c r="B34" i="14"/>
  <c r="B65" i="14"/>
  <c r="B105" i="14"/>
  <c r="B106" i="14"/>
  <c r="B107" i="14"/>
  <c r="B3" i="14"/>
  <c r="B11" i="14"/>
  <c r="B27" i="14"/>
  <c r="B108" i="14"/>
  <c r="B35" i="14"/>
  <c r="B109" i="14"/>
  <c r="B23" i="14"/>
  <c r="B110" i="14"/>
  <c r="B111" i="14"/>
  <c r="B112" i="14"/>
  <c r="B113" i="14"/>
  <c r="B7" i="14"/>
  <c r="B114" i="14"/>
  <c r="B36" i="14"/>
  <c r="B79" i="10"/>
  <c r="B47" i="10"/>
  <c r="B115" i="10"/>
  <c r="B30" i="10"/>
  <c r="B116" i="10"/>
  <c r="B48" i="10"/>
  <c r="B117" i="10"/>
  <c r="B40" i="10"/>
  <c r="B49" i="10"/>
  <c r="B118" i="10"/>
  <c r="B80" i="10"/>
  <c r="B119" i="10"/>
  <c r="B81" i="10"/>
  <c r="B120" i="10"/>
  <c r="B121" i="10"/>
  <c r="B122" i="10"/>
  <c r="B123" i="10"/>
  <c r="B124" i="10"/>
  <c r="B63" i="10"/>
  <c r="B33" i="10"/>
  <c r="B82" i="10"/>
  <c r="B50" i="10"/>
  <c r="B41" i="10"/>
  <c r="B83" i="10"/>
  <c r="B21" i="10"/>
  <c r="B125" i="10"/>
  <c r="B126" i="10"/>
  <c r="B42" i="10"/>
  <c r="B127" i="10"/>
  <c r="B84" i="10"/>
  <c r="B128" i="10"/>
  <c r="B129" i="10"/>
  <c r="B130" i="10"/>
  <c r="B51" i="10"/>
  <c r="B85" i="10"/>
  <c r="B131" i="10"/>
  <c r="B132" i="10"/>
  <c r="B133" i="10"/>
  <c r="B134" i="10"/>
  <c r="B135" i="10"/>
  <c r="B136" i="10"/>
  <c r="B64" i="10"/>
  <c r="B4" i="10"/>
  <c r="B137" i="10"/>
  <c r="B86" i="10"/>
  <c r="B138" i="10"/>
  <c r="B52" i="10"/>
  <c r="B65" i="10"/>
  <c r="B87" i="10"/>
  <c r="B139" i="10"/>
  <c r="B140" i="10"/>
  <c r="B88" i="10"/>
  <c r="B53" i="10"/>
  <c r="B89" i="10"/>
  <c r="B54" i="10"/>
  <c r="B90" i="10"/>
  <c r="B91" i="10"/>
  <c r="B3" i="10"/>
  <c r="B66" i="10"/>
  <c r="B7" i="10"/>
  <c r="B141" i="10"/>
  <c r="B55" i="10"/>
  <c r="B142" i="10"/>
  <c r="B11" i="10"/>
  <c r="B143" i="10"/>
  <c r="B67" i="10"/>
  <c r="B92" i="10"/>
  <c r="B144" i="10"/>
  <c r="B28" i="10"/>
  <c r="B145" i="10"/>
  <c r="B146" i="10"/>
  <c r="B147" i="10"/>
  <c r="B14" i="10"/>
  <c r="B34" i="10"/>
  <c r="B68" i="10"/>
  <c r="B69" i="10"/>
  <c r="B148" i="10"/>
  <c r="B149" i="10"/>
  <c r="B150" i="10"/>
  <c r="B151" i="10"/>
  <c r="B152" i="10"/>
  <c r="B35" i="10"/>
  <c r="B93" i="10"/>
  <c r="B70" i="10"/>
  <c r="B153" i="10"/>
  <c r="B154" i="10"/>
  <c r="B155" i="10"/>
  <c r="B71" i="10"/>
  <c r="B156" i="10"/>
  <c r="B157" i="10"/>
  <c r="B158" i="10"/>
  <c r="B159" i="10"/>
  <c r="B24" i="10"/>
  <c r="B160" i="10"/>
  <c r="B94" i="10"/>
  <c r="B9" i="10"/>
  <c r="B36" i="10"/>
  <c r="B22" i="10"/>
  <c r="B95" i="10"/>
  <c r="B43" i="10"/>
  <c r="B31" i="10"/>
  <c r="B161" i="10"/>
  <c r="B162" i="10"/>
  <c r="B96" i="10"/>
  <c r="B56" i="10"/>
  <c r="B44" i="10"/>
  <c r="B97" i="10"/>
  <c r="B163" i="10"/>
  <c r="B72" i="10"/>
  <c r="B164" i="10"/>
  <c r="B165" i="10"/>
  <c r="B166" i="10"/>
  <c r="B167" i="10"/>
  <c r="B168" i="10"/>
  <c r="B98" i="10"/>
  <c r="B169" i="10"/>
  <c r="B57" i="10"/>
  <c r="B37" i="10"/>
  <c r="B45" i="10"/>
  <c r="B99" i="10"/>
  <c r="B170" i="10"/>
  <c r="B73" i="10"/>
  <c r="B12" i="10"/>
  <c r="B171" i="10"/>
  <c r="B172" i="10"/>
  <c r="B173" i="10"/>
  <c r="B174" i="10"/>
  <c r="B175" i="10"/>
  <c r="B176" i="10"/>
  <c r="B177" i="10"/>
  <c r="B15" i="10"/>
  <c r="B178" i="10"/>
  <c r="B179" i="10"/>
  <c r="B74" i="10"/>
  <c r="B100" i="10"/>
  <c r="B101" i="10"/>
  <c r="B180" i="10"/>
  <c r="B181" i="10"/>
  <c r="B102" i="10"/>
  <c r="B103" i="10"/>
  <c r="B182" i="10"/>
  <c r="B183" i="10"/>
  <c r="B104" i="10"/>
  <c r="B184" i="10"/>
  <c r="B105" i="10"/>
  <c r="B106" i="10"/>
  <c r="B185" i="10"/>
  <c r="B2" i="10"/>
  <c r="B5" i="10"/>
  <c r="B25" i="10"/>
  <c r="B75" i="10"/>
  <c r="B186" i="10"/>
  <c r="B187" i="10"/>
  <c r="B8" i="10"/>
  <c r="B46" i="10"/>
  <c r="B26" i="10"/>
  <c r="B188" i="10"/>
  <c r="B27" i="10"/>
  <c r="B16" i="10"/>
  <c r="B13" i="10"/>
  <c r="B189" i="10"/>
  <c r="B190" i="10"/>
  <c r="B191" i="10"/>
  <c r="B32" i="10"/>
  <c r="B18" i="10"/>
  <c r="B58" i="10"/>
  <c r="B76" i="10"/>
  <c r="B19" i="10"/>
  <c r="B192" i="10"/>
  <c r="B193" i="10"/>
  <c r="B194" i="10"/>
  <c r="B59" i="10"/>
  <c r="B20" i="10"/>
  <c r="B195" i="10"/>
  <c r="B107" i="10"/>
  <c r="B108" i="10"/>
  <c r="B196" i="10"/>
  <c r="B197" i="10"/>
  <c r="B198" i="10"/>
  <c r="B199" i="10"/>
  <c r="B200" i="10"/>
  <c r="B23" i="10"/>
  <c r="B201" i="10"/>
  <c r="B202" i="10"/>
  <c r="B203" i="10"/>
  <c r="B204" i="10"/>
  <c r="B38" i="10"/>
  <c r="B77" i="10"/>
  <c r="B78" i="10"/>
  <c r="B205" i="10"/>
  <c r="B206" i="10"/>
  <c r="B109" i="10"/>
  <c r="B207" i="10"/>
  <c r="B208" i="10"/>
  <c r="B60" i="10"/>
  <c r="B29" i="10"/>
  <c r="B61" i="10"/>
  <c r="B110" i="10"/>
  <c r="B6" i="10"/>
  <c r="B209" i="10"/>
  <c r="B10" i="10"/>
  <c r="B17" i="10"/>
  <c r="B111" i="10"/>
  <c r="B112" i="10"/>
  <c r="B210" i="10"/>
  <c r="B39" i="10"/>
  <c r="B211" i="10"/>
  <c r="B212" i="10"/>
  <c r="B113" i="10"/>
  <c r="B62" i="10"/>
  <c r="B213" i="10"/>
  <c r="B214" i="10"/>
  <c r="B114" i="10"/>
  <c r="B1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55F8D0-C1C1-4285-97D6-16248AD7B951}" keepAlive="1" name="Connection" type="5" refreshedVersion="0" background="1">
    <dbPr connection="Provider=Microsoft.Mashup.OleDb.1;Data Source=$Workbook$;Location=&quot;fichier&quot;;Extended Properties=&quot;&quot;" commandType="0"/>
  </connection>
  <connection id="2" xr16:uid="{B8D2A992-9259-4D89-BA36-75620AB2F7B3}" keepAlive="1" name="Connection1" type="5" refreshedVersion="0" background="1">
    <dbPr connection="Provider=Microsoft.Mashup.OleDb.1;Data Source=$Workbook$;Location=&quot;fichier&quot;;Extended Properties=&quot;&quot;" commandType="0"/>
  </connection>
  <connection id="3" xr16:uid="{060F16B9-5611-4808-B204-DDD1AECF2999}" keepAlive="1" name="Connection10" type="5" refreshedVersion="0" background="1">
    <dbPr connection="Provider=Microsoft.Mashup.OleDb.1;Data Source=$Workbook$;Location=&quot;yes (2)&quot;;Extended Properties=&quot;&quot;" commandType="0"/>
  </connection>
  <connection id="4" xr16:uid="{DE3FD066-9B50-415A-8FC7-FFBE039292FA}" keepAlive="1" name="Connection11" type="5" refreshedVersion="0" background="1">
    <dbPr connection="Provider=Microsoft.Mashup.OleDb.1;Data Source=$Workbook$;Location=&quot;fichier&quot;;Extended Properties=&quot;&quot;" commandType="0"/>
  </connection>
  <connection id="5" xr16:uid="{40845C90-F75D-42FF-AAF7-BD1FD0F2D649}" keepAlive="1" name="Connection12" type="5" refreshedVersion="0" background="1">
    <dbPr connection="Provider=Microsoft.Mashup.OleDb.1;Data Source=$Workbook$;Location=&quot;fichier&quot;;Extended Properties=&quot;&quot;" commandType="0"/>
  </connection>
  <connection id="6" xr16:uid="{1E2C7167-BF61-47CF-9B8B-288F8DA1BF02}" keepAlive="1" name="Connection13" type="5" refreshedVersion="0" background="1">
    <dbPr connection="Provider=Microsoft.Mashup.OleDb.1;Data Source=$Workbook$;Location=&quot;fichier&quot;;Extended Properties=&quot;&quot;" commandType="0"/>
  </connection>
  <connection id="7" xr16:uid="{7E3282F9-280F-42DB-89CA-866257FDFFFB}" keepAlive="1" name="Connection14" type="5" refreshedVersion="0" background="1">
    <dbPr connection="Provider=Microsoft.Mashup.OleDb.1;Data Source=$Workbook$;Location=&quot;fichier&quot;;Extended Properties=&quot;&quot;" commandType="0"/>
  </connection>
  <connection id="8" xr16:uid="{7F3D533D-EFCC-4158-AAD7-A4946969EEEF}" keepAlive="1" name="Connection15" type="5" refreshedVersion="0" background="1" saveData="1">
    <dbPr connection="Provider=Microsoft.Mashup.OleDb.1;Data Source=$Workbook$;Location=&quot;fichier&quot;;Extended Properties=&quot;&quot;" command="SELECT * FROM Fichier"/>
  </connection>
  <connection id="9" xr16:uid="{C8429B94-ECF6-4240-A545-81FAF91B8E66}" keepAlive="1" name="Connection16" type="5" refreshedVersion="0" background="1" saveData="1">
    <dbPr connection="Provider=Microsoft.Mashup.OleDb.1;Data Source=$Workbook$;Location=&quot;fichier&quot;;Extended Properties=&quot;&quot;" command="SELECT * FROM Fichier"/>
  </connection>
  <connection id="10" xr16:uid="{38279BF7-2592-4312-856A-B581F5354E70}" keepAlive="1" name="Connection17" type="5" refreshedVersion="0" background="1" saveData="1">
    <dbPr connection="Provider=Microsoft.Mashup.OleDb.1;Data Source=$Workbook$;Location=&quot;Fichier&quot;;Extended Properties=&quot;&quot;" command="SELECT * FROM Fichier"/>
  </connection>
  <connection id="11" xr16:uid="{50914078-C87F-4335-9954-2A17B64189BC}" keepAlive="1" name="Connection18" type="5" refreshedVersion="0" background="1" saveData="1">
    <dbPr connection="Provider=Microsoft.Mashup.OleDb.1;Data Source=$Workbook$;Location=Fichier;Extended Properties=&quot;&quot;" command="SELECT * FROM Fichier"/>
  </connection>
  <connection id="12" xr16:uid="{EEC93293-33AB-48FC-A52E-2F0F95234105}" keepAlive="1" name="Connection2" type="5" refreshedVersion="0" background="1">
    <dbPr connection="Provider=Microsoft.Mashup.OleDb.1;Data Source=$Workbook$;Location=&quot;fichier&quot;;Extended Properties=&quot;&quot;" commandType="0"/>
  </connection>
  <connection id="13" xr16:uid="{37B19AF2-BF60-4EC8-BE16-27873631C2AE}" keepAlive="1" name="Connection3" type="5" refreshedVersion="0" background="1">
    <dbPr connection="Provider=Microsoft.Mashup.OleDb.1;Data Source=$Workbook$;Location=&quot;fichier&quot;;Extended Properties=&quot;&quot;" commandType="0"/>
  </connection>
  <connection id="14" xr16:uid="{D7C15E76-4EFA-4665-9EB9-62C84B39D017}" keepAlive="1" name="Connection4" type="5" refreshedVersion="0" background="1">
    <dbPr connection="Provider=Microsoft.Mashup.OleDb.1;Data Source=$Workbook$;Location=&quot;fichier&quot;;Extended Properties=&quot;&quot;" commandType="0"/>
  </connection>
  <connection id="15" xr16:uid="{3B6E7136-F47A-4ADD-8183-F97BF18D3F00}" keepAlive="1" name="Connection5" type="5" refreshedVersion="0" background="1">
    <dbPr connection="Provider=Microsoft.Mashup.OleDb.1;Data Source=$Workbook$;Location=&quot;fichier&quot;;Extended Properties=&quot;&quot;" commandType="0"/>
  </connection>
  <connection id="16" xr16:uid="{53533942-3126-47EE-B360-AE408DD22E76}" keepAlive="1" name="Connection6" type="5" refreshedVersion="0" background="1">
    <dbPr connection="Provider=Microsoft.Mashup.OleDb.1;Data Source=$Workbook$;Location=&quot;fichier&quot;;Extended Properties=&quot;&quot;" commandType="0"/>
  </connection>
  <connection id="17" xr16:uid="{5165535C-F878-4A72-BE30-5FE5E407875F}" keepAlive="1" name="Connection7" type="5" refreshedVersion="0" background="1">
    <dbPr connection="Provider=Microsoft.Mashup.OleDb.1;Data Source=$Workbook$;Location=&quot;fichier&quot;;Extended Properties=&quot;&quot;" commandType="0"/>
  </connection>
  <connection id="18" xr16:uid="{9301383C-5E7C-48E9-B4CF-2A7D30E249F6}" keepAlive="1" name="Connection8" type="5" refreshedVersion="0" background="1">
    <dbPr connection="Provider=Microsoft.Mashup.OleDb.1;Data Source=$Workbook$;Location=&quot;fichier&quot;;Extended Properties=&quot;&quot;" commandType="0"/>
  </connection>
  <connection id="19" xr16:uid="{28636789-7DEE-4E12-9533-CBBB7BBC9F6C}" keepAlive="1" name="Connection9" type="5" refreshedVersion="0" background="1">
    <dbPr connection="Provider=Microsoft.Mashup.OleDb.1;Data Source=$Workbook$;Location=&quot;fichier&quot;;Extended Properties=&quot;&quot;" commandType="0"/>
  </connection>
  <connection id="20" xr16:uid="{533C9DCC-A805-4313-A4C1-F73B41B16A68}" keepAlive="1" name="Query - aprem_piscine" description="Connection to the 'aprem_piscine' query in the workbook." type="5" refreshedVersion="8" background="1" saveData="1">
    <dbPr connection="Provider=Microsoft.Mashup.OleDb.1;Data Source=$Workbook$;Location=aprem_piscine;Extended Properties=&quot;&quot;" command="SELECT * FROM [aprem_piscine]"/>
  </connection>
  <connection id="21" xr16:uid="{4AF26397-C499-452F-92B3-0800B0A02481}" keepAlive="1" name="Query - bangerz" description="Connection to the 'bangerz' query in the workbook." type="5" refreshedVersion="8" background="1" saveData="1">
    <dbPr connection="Provider=Microsoft.Mashup.OleDb.1;Data Source=$Workbook$;Location=bangerz;Extended Properties=&quot;&quot;" command="SELECT * FROM [bangerz]"/>
  </connection>
  <connection id="22" xr16:uid="{39EB390A-F9C0-4EF0-9D46-E937BD2039B9}" keepAlive="1" name="Query - boomboom" description="Connection to the 'boomboom' query in the workbook." type="5" refreshedVersion="8" background="1" saveData="1">
    <dbPr connection="Provider=Microsoft.Mashup.OleDb.1;Data Source=$Workbook$;Location=boomboom;Extended Properties=&quot;&quot;" command="SELECT * FROM [boomboom]"/>
  </connection>
  <connection id="23" xr16:uid="{78B0AFB5-C962-4B0A-9EDE-E1CB1A0DE253}" keepAlive="1" name="Query - boomboom (1)" description="Connection to the 'boomboom (1)' query in the workbook." type="5" refreshedVersion="0" background="1">
    <dbPr connection="Provider=Microsoft.Mashup.OleDb.1;Data Source=$Workbook$;Location=&quot;boomboom (1)&quot;;Extended Properties=&quot;&quot;" command="SELECT * FROM [boomboom (1)]"/>
  </connection>
  <connection id="24" xr16:uid="{81E25BC5-26F4-41EA-BE15-DF194313726A}" keepAlive="1" name="Query - BoomBoom (2)" description="Connection to the 'BoomBoom (2)' query in the workbook." type="5" refreshedVersion="0" background="1">
    <dbPr connection="Provider=Microsoft.Mashup.OleDb.1;Data Source=$Workbook$;Location=&quot;BoomBoom (2)&quot;;Extended Properties=&quot;&quot;" command="SELECT * FROM [BoomBoom (2)]"/>
  </connection>
  <connection id="25" xr16:uid="{A932AC4D-66EE-4D92-A2FF-E92E88E2118F}" keepAlive="1" name="Query - Classico" description="Connection to the 'Classico' query in the workbook." type="5" refreshedVersion="8" background="1" saveData="1">
    <dbPr connection="Provider=Microsoft.Mashup.OleDb.1;Data Source=$Workbook$;Location=Classico;Extended Properties=&quot;&quot;" command="SELECT * FROM [Classico]"/>
  </connection>
  <connection id="26" xr16:uid="{7E7B1F54-3A86-4646-88CD-2EAE87743116}" keepAlive="1" name="Query - classique" description="Connection to the 'classique' query in the workbook." type="5" refreshedVersion="8" background="1" saveData="1">
    <dbPr connection="Provider=Microsoft.Mashup.OleDb.1;Data Source=$Workbook$;Location=classique;Extended Properties=&quot;&quot;" command="SELECT * FROM [classique]"/>
  </connection>
  <connection id="27" xr16:uid="{22EE570A-65D7-48C2-AB7A-55F98B25D1DA}" keepAlive="1" name="Query - Classique (2)" description="Connection to the 'Classique (2)' query in the workbook." type="5" refreshedVersion="0" background="1">
    <dbPr connection="Provider=Microsoft.Mashup.OleDb.1;Data Source=$Workbook$;Location=&quot;Classique (2)&quot;;Extended Properties=&quot;&quot;" command="SELECT * FROM [Classique (2)]"/>
  </connection>
  <connection id="28" xr16:uid="{A021587E-A4B6-4DF0-8A81-745AD1437CFD}" keepAlive="1" name="Query - Dance" description="Connection to the 'Dance' query in the workbook." type="5" refreshedVersion="8" background="1" saveData="1">
    <dbPr connection="Provider=Microsoft.Mashup.OleDb.1;Data Source=$Workbook$;Location=Dance;Extended Properties=&quot;&quot;" command="SELECT * FROM [Dance]"/>
  </connection>
  <connection id="29" xr16:uid="{83052005-E5D3-4867-8856-320BB7449B64}" keepAlive="1" name="Query - dance_hits" description="Connection to the 'dance_hits' query in the workbook." type="5" refreshedVersion="8" background="1" saveData="1">
    <dbPr connection="Provider=Microsoft.Mashup.OleDb.1;Data Source=$Workbook$;Location=dance_hits;Extended Properties=&quot;&quot;" command="SELECT * FROM [dance_hits]"/>
  </connection>
  <connection id="30" xr16:uid="{E8E38949-A79E-437F-81AA-1612FBC15DDB}" keepAlive="1" name="Query - genres" description="Connection to the 'genres' query in the workbook." type="5" refreshedVersion="0" background="1">
    <dbPr connection="Provider=Microsoft.Mashup.OleDb.1;Data Source=$Workbook$;Location=genres;Extended Properties=&quot;&quot;" command="SELECT * FROM [genres]"/>
  </connection>
  <connection id="31" xr16:uid="{8DE6EB2B-8906-4934-8FF5-B2DC4B80F56B}" keepAlive="1" name="Query - genres (2)" description="Connection to the 'genres (2)' query in the workbook." type="5" refreshedVersion="0" background="1">
    <dbPr connection="Provider=Microsoft.Mashup.OleDb.1;Data Source=$Workbook$;Location=&quot;genres (2)&quot;;Extended Properties=&quot;&quot;" command="SELECT * FROM [genres (2)]"/>
  </connection>
  <connection id="32" xr16:uid="{652C5F70-0EA5-4094-8DB3-191ED13FD150}" keepAlive="1" name="Query - Hard" description="Connection to the 'Hard' query in the workbook." type="5" refreshedVersion="8" background="1" saveData="1">
    <dbPr connection="Provider=Microsoft.Mashup.OleDb.1;Data Source=$Workbook$;Location=Hard;Extended Properties=&quot;&quot;" command="SELECT * FROM [Hard]"/>
  </connection>
  <connection id="33" xr16:uid="{6101F828-D1D2-4CC4-9894-B2C0D63CD06C}" keepAlive="1" name="Query - Hardstyle" description="Connection to the 'Hardstyle' query in the workbook." type="5" refreshedVersion="8" background="1" saveData="1">
    <dbPr connection="Provider=Microsoft.Mashup.OleDb.1;Data Source=$Workbook$;Location=Hardstyle;Extended Properties=&quot;&quot;" command="SELECT * FROM [Hardstyle]"/>
  </connection>
  <connection id="34" xr16:uid="{2B2DC688-A0BD-42D7-8E3A-44082D4A0AC2}" keepAlive="1" name="Query - hardstyle_2022_" description="Connection to the 'hardstyle_2022_' query in the workbook." type="5" refreshedVersion="8" background="1" saveData="1">
    <dbPr connection="Provider=Microsoft.Mashup.OleDb.1;Data Source=$Workbook$;Location=hardstyle_2022_;Extended Properties=&quot;&quot;" command="SELECT * FROM [hardstyle_2022_]"/>
  </connection>
  <connection id="35" xr16:uid="{81201DA8-C9B5-46A3-A636-69E734EC447A}" keepAlive="1" name="Query - Liked" description="Connection to the 'Liked' query in the workbook." type="5" refreshedVersion="8" background="1" saveData="1">
    <dbPr connection="Provider=Microsoft.Mashup.OleDb.1;Data Source=$Workbook$;Location=Liked;Extended Properties=&quot;&quot;" command="SELECT * FROM [Liked]"/>
  </connection>
  <connection id="36" xr16:uid="{8D97CDB9-C86B-49BB-A6F6-158FB09EDEFF}" keepAlive="1" name="Query - likes" description="Connection to the 'likes' query in the workbook." type="5" refreshedVersion="8" background="1" saveData="1">
    <dbPr connection="Provider=Microsoft.Mashup.OleDb.1;Data Source=$Workbook$;Location=likes;Extended Properties=&quot;&quot;" command="SELECT * FROM [likes]"/>
  </connection>
  <connection id="37" xr16:uid="{001296AF-18D3-42CE-9EE9-3D175DFC464A}" keepAlive="1" name="Query - Likes (2)" description="Connection to the 'Likes (2)' query in the workbook." type="5" refreshedVersion="0" background="1">
    <dbPr connection="Provider=Microsoft.Mashup.OleDb.1;Data Source=$Workbook$;Location=&quot;Likes (2)&quot;;Extended Properties=&quot;&quot;" command="SELECT * FROM [Likes (2)]"/>
  </connection>
  <connection id="38" xr16:uid="{A18A6EE7-8913-418B-96B5-B8B45AC28D4F}" keepAlive="1" name="Query - Soirée" description="Connection to the 'Soirée' query in the workbook." type="5" refreshedVersion="8" background="1" saveData="1">
    <dbPr connection="Provider=Microsoft.Mashup.OleDb.1;Data Source=$Workbook$;Location=Soirée;Extended Properties=&quot;&quot;" command="SELECT * FROM [Soirée]"/>
  </connection>
  <connection id="39" xr16:uid="{69290D24-EDD7-49BF-A156-A426C0C38849}" keepAlive="1" name="Query - Summer" description="Connection to the 'Summer' query in the workbook." type="5" refreshedVersion="8" background="1" saveData="1">
    <dbPr connection="Provider=Microsoft.Mashup.OleDb.1;Data Source=$Workbook$;Location=Summer;Extended Properties=&quot;&quot;" command="SELECT * FROM [Summer]"/>
  </connection>
  <connection id="40" xr16:uid="{ADFA05DC-5892-495F-A0D2-C3A4FE4C7B3F}" keepAlive="1" name="Query - summer_hits_2022" description="Connection to the 'summer_hits_2022' query in the workbook." type="5" refreshedVersion="8" background="1" saveData="1">
    <dbPr connection="Provider=Microsoft.Mashup.OleDb.1;Data Source=$Workbook$;Location=summer_hits_2022;Extended Properties=&quot;&quot;" command="SELECT * FROM [summer_hits_2022]"/>
  </connection>
  <connection id="41" xr16:uid="{BAA43A2E-83B6-45AC-AA3C-AAF5F4339A12}" keepAlive="1" name="Query - Table5" description="Connection to the 'Table5' query in the workbook." type="5" refreshedVersion="8" background="1" saveData="1">
    <dbPr connection="Provider=Microsoft.Mashup.OleDb.1;Data Source=$Workbook$;Location=Table5;Extended Properties=&quot;&quot;" command="SELECT * FROM [Table5]"/>
  </connection>
  <connection id="42" xr16:uid="{6EE34F25-41D1-4101-8938-522795FA444D}" keepAlive="1" name="Query - Table5 (2)" description="Connection to the 'Table5 (2)' query in the workbook." type="5" refreshedVersion="8" background="1" saveData="1">
    <dbPr connection="Provider=Microsoft.Mashup.OleDb.1;Data Source=$Workbook$;Location=&quot;Table5 (2)&quot;;Extended Properties=&quot;&quot;" command="SELECT * FROM [Table5 (2)]"/>
  </connection>
  <connection id="43" xr16:uid="{FCE6A9E8-D209-4584-8783-7683BA421746}" keepAlive="1" name="Query - test1" description="Connection to the 'test1' query in the workbook." type="5" refreshedVersion="0" background="1">
    <dbPr connection="Provider=Microsoft.Mashup.OleDb.1;Data Source=$Workbook$;Location=test1;Extended Properties=&quot;&quot;" command="SELECT * FROM [test1]"/>
  </connection>
  <connection id="44" xr16:uid="{64CEE5E9-ACCB-4DDC-8C01-4C380FF523B3}" keepAlive="1" name="Query - Yes" description="Connection to the 'Yes' query in the workbook." type="5" refreshedVersion="8" background="1" saveData="1">
    <dbPr connection="Provider=Microsoft.Mashup.OleDb.1;Data Source=$Workbook$;Location=Yes;Extended Properties=&quot;&quot;" command="SELECT * FROM [Yes]"/>
  </connection>
</connections>
</file>

<file path=xl/sharedStrings.xml><?xml version="1.0" encoding="utf-8"?>
<sst xmlns="http://schemas.openxmlformats.org/spreadsheetml/2006/main" count="82811" uniqueCount="21262">
  <si>
    <t>Track Name</t>
  </si>
  <si>
    <t>Artist Name(s)</t>
  </si>
  <si>
    <t>Duration (ms)</t>
  </si>
  <si>
    <t>Popularity</t>
  </si>
  <si>
    <t>Genres</t>
  </si>
  <si>
    <t>Danceability</t>
  </si>
  <si>
    <t>Energy</t>
  </si>
  <si>
    <t>Key</t>
  </si>
  <si>
    <t>Loudness</t>
  </si>
  <si>
    <t>Mode</t>
  </si>
  <si>
    <t>Speechiness</t>
  </si>
  <si>
    <t>Acousticness</t>
  </si>
  <si>
    <t>Instrumentalness</t>
  </si>
  <si>
    <t>Liveness</t>
  </si>
  <si>
    <t>Valence</t>
  </si>
  <si>
    <t>Tempo</t>
  </si>
  <si>
    <t>Time Signature</t>
  </si>
  <si>
    <t>OUT OUT (feat. Charli XCX &amp; Saweetie)</t>
  </si>
  <si>
    <t>Joel Corry,Jax Jones,Charli XCX,Saweetie</t>
  </si>
  <si>
    <t>dance pop,edm,pop,pop dance,tropical house,uk dance,electro house,house,pop rap,art pop,candy pop,electropop,metropopolis,uk pop,cali rap,r&amp;b,trap queen</t>
  </si>
  <si>
    <t>California Dreamin' (feat. High Jinx)</t>
  </si>
  <si>
    <t>Chris Lorenzo,High Jinx</t>
  </si>
  <si>
    <t>bass house,deep groove house,electro house,house</t>
  </si>
  <si>
    <t>Original Sin</t>
  </si>
  <si>
    <t>Sofi Tukker</t>
  </si>
  <si>
    <t>edm</t>
  </si>
  <si>
    <t>Sun Came Up</t>
  </si>
  <si>
    <t>Sofi Tukker,John Summit</t>
  </si>
  <si>
    <t>edm,electro house,house,pop dance</t>
  </si>
  <si>
    <t>Paper Planes</t>
  </si>
  <si>
    <t>Lucas &amp; Steve,Tungevaag</t>
  </si>
  <si>
    <t>dance pop,edm,electro house,pop dance,pop edm,tropical house,big room,nordic house</t>
  </si>
  <si>
    <t>0</t>
  </si>
  <si>
    <t>Rampampam</t>
  </si>
  <si>
    <t>Minelli</t>
  </si>
  <si>
    <t>romanian pop</t>
  </si>
  <si>
    <t>When I’m Gone (with Katy Perry)</t>
  </si>
  <si>
    <t>Alesso,Katy Perry</t>
  </si>
  <si>
    <t>dance pop,edm,electro house,pop,pop dance,tropical house,post-teen pop</t>
  </si>
  <si>
    <t>Shinigami Eyes</t>
  </si>
  <si>
    <t>Grimes</t>
  </si>
  <si>
    <t>art pop,canadian electropop,dance pop,grave wave,indietronica,metropopolis,pop</t>
  </si>
  <si>
    <t>Dopamine</t>
  </si>
  <si>
    <t>Purple Disco Machine,Eyelar</t>
  </si>
  <si>
    <t>deep house,house,tropical house,uk pop</t>
  </si>
  <si>
    <t>Do It To It</t>
  </si>
  <si>
    <t>ACRAZE,Cherish</t>
  </si>
  <si>
    <t>atl hip hop,dance pop,girl group,hip pop,r&amp;b,southern hip hop,urban contemporary</t>
  </si>
  <si>
    <t>Make Me Feel Good</t>
  </si>
  <si>
    <t>Belters Only,Jazzy</t>
  </si>
  <si>
    <t/>
  </si>
  <si>
    <t>My Heart Goes (La Di Da) (feat. Topic)</t>
  </si>
  <si>
    <t>Becky Hill,Topic</t>
  </si>
  <si>
    <t>dance pop,edm,pop,pop dance,pop house,tropical house,uk dance,electro house,german dance,pop edm</t>
  </si>
  <si>
    <t>Clap Your Hands</t>
  </si>
  <si>
    <t>Kungs</t>
  </si>
  <si>
    <t>edm,pop dance,tropical house</t>
  </si>
  <si>
    <t>The Motto</t>
  </si>
  <si>
    <t>Tiësto,Ava Max</t>
  </si>
  <si>
    <t>big room,brostep,dance pop,dutch edm,edm,house,pop,pop dance,slap house,trance,tropical house</t>
  </si>
  <si>
    <t>Dancing Feet (feat. DNCE)</t>
  </si>
  <si>
    <t>Kygo,DNCE</t>
  </si>
  <si>
    <t>edm,pop,pop dance,tropical house,dance pop,post-teen pop</t>
  </si>
  <si>
    <t>Melody</t>
  </si>
  <si>
    <t>Sigala</t>
  </si>
  <si>
    <t>dance pop,edm,house,pop,pop dance,tropical house</t>
  </si>
  <si>
    <t>Where Are You Now</t>
  </si>
  <si>
    <t>Lost Frequencies,Calum Scott</t>
  </si>
  <si>
    <t>belgian edm,edm,pop,pop dance,tropical house,neo mellow</t>
  </si>
  <si>
    <t>Beg For You (feat. Rina Sawayama)</t>
  </si>
  <si>
    <t>Charli XCX,Rina Sawayama</t>
  </si>
  <si>
    <t>art pop,candy pop,dance pop,electropop,metropopolis,pop,uk pop,escape room</t>
  </si>
  <si>
    <t>Home</t>
  </si>
  <si>
    <t>Swedish House Mafia</t>
  </si>
  <si>
    <t>edm,pop,pop dance,progressive electro house</t>
  </si>
  <si>
    <t>Calling On</t>
  </si>
  <si>
    <t>Swedish House Mafia,Ty Dolla $ign,070 Shake</t>
  </si>
  <si>
    <t>edm,pop,pop dance,progressive electro house,hip hop,pop rap,r&amp;b,southern hip hop,trap,trap soul,alternative r&amp;b,new jersey rap</t>
  </si>
  <si>
    <t>Swedish House Mafia,Seinabo Sey</t>
  </si>
  <si>
    <t>edm,pop,pop dance,progressive electro house,swedish electropop,swedish pop,swedish soul</t>
  </si>
  <si>
    <t>Swedish House Mafia,Mapei</t>
  </si>
  <si>
    <t>edm,pop,pop dance,progressive electro house,swedish soul</t>
  </si>
  <si>
    <t>Move Your Body</t>
  </si>
  <si>
    <t>Öwnboss,Sevek</t>
  </si>
  <si>
    <t>brazilian edm</t>
  </si>
  <si>
    <t>Feel Your Love</t>
  </si>
  <si>
    <t>Dimitri Vegas &amp; Like Mike,Timmy Trumpet,Edward Maya</t>
  </si>
  <si>
    <t>belgian dance,belgian edm,big room,dance pop,edm,electro house,pop dance,progressive electro house,tropical house,australian dance,melbourne bounce,melbourne bounce international,romanian house,romanian pop</t>
  </si>
  <si>
    <t>Won't Forget You - Edit</t>
  </si>
  <si>
    <t>Shouse</t>
  </si>
  <si>
    <t>aussietronica</t>
  </si>
  <si>
    <t>Farruko,Robin Schulz</t>
  </si>
  <si>
    <t>latin,latin hip hop,reggaeton,trap latino,dance pop,deep euro house,deep house,edm,german dance,pop,pop dance,tropical house</t>
  </si>
  <si>
    <t>Crazy What Love Can Do</t>
  </si>
  <si>
    <t>David Guetta,Becky Hill,Ella Henderson</t>
  </si>
  <si>
    <t>big room,dance pop,edm,pop,pop dance,pop rap,pop house,tropical house,uk dance,talent show,uk pop</t>
  </si>
  <si>
    <t>Stress</t>
  </si>
  <si>
    <t>Soulji,Tylor Maurer</t>
  </si>
  <si>
    <t>The Right Song</t>
  </si>
  <si>
    <t>Tiësto,Oliver Heldens,Natalie La Rose</t>
  </si>
  <si>
    <t>big room,brostep,dance pop,dutch edm,edm,house,pop,pop dance,slap house,trance,tropical house,electro house,future house,progressive electro house,progressive house</t>
  </si>
  <si>
    <t>Zombie</t>
  </si>
  <si>
    <t>Kavinsky,Morgan Phalen</t>
  </si>
  <si>
    <t>alternative dance,electro house,filter house</t>
  </si>
  <si>
    <t>Renegade</t>
  </si>
  <si>
    <t>Kavinsky,Cautious Clay</t>
  </si>
  <si>
    <t>alternative dance,electro house,filter house,alternative r&amp;b,indie r&amp;b,nyc pop</t>
  </si>
  <si>
    <t>Riton,Oliver Heldens,Vula</t>
  </si>
  <si>
    <t>dance pop,edm,house,pop dance,tropical house,uk dance,electro house,future house,progressive electro house,progressive house</t>
  </si>
  <si>
    <t>ODESZA,The Knocks</t>
  </si>
  <si>
    <t>chillwave,ninja,alternative dance,edm,indie poptimism,nu disco,tropical house</t>
  </si>
  <si>
    <t>Bones</t>
  </si>
  <si>
    <t>Imagine Dragons</t>
  </si>
  <si>
    <t>modern rock,rock</t>
  </si>
  <si>
    <t>Infinity</t>
  </si>
  <si>
    <t>Jaymes Young</t>
  </si>
  <si>
    <t>modern rock,pop</t>
  </si>
  <si>
    <t>Save That Shit</t>
  </si>
  <si>
    <t>Lil Peep</t>
  </si>
  <si>
    <t>emo rap,lgbtq+ hip hop</t>
  </si>
  <si>
    <t>Gangsta</t>
  </si>
  <si>
    <t>Kehlani</t>
  </si>
  <si>
    <t>alternative r&amp;b,dance pop,pop,pop rap,r&amp;b</t>
  </si>
  <si>
    <t>Heat Waves</t>
  </si>
  <si>
    <t>Glass Animals</t>
  </si>
  <si>
    <t>gauze pop,indietronica,shiver pop</t>
  </si>
  <si>
    <t>Doja Cat,SZA</t>
  </si>
  <si>
    <t>dance pop,pop,r&amp;b</t>
  </si>
  <si>
    <t>Redlight</t>
  </si>
  <si>
    <t>Swedish House Mafia,Sting</t>
  </si>
  <si>
    <t>edm,pop,pop dance,progressive electro house,permanent wave,soft rock,sophisti-pop</t>
  </si>
  <si>
    <t>Goodbye</t>
  </si>
  <si>
    <t>MELVV,MOONZz</t>
  </si>
  <si>
    <t>indie electropop,vapor soul,vapor twitch,electropop,indie poptimism,pop edm</t>
  </si>
  <si>
    <t>Noah Cyrus,XXXTENTACION</t>
  </si>
  <si>
    <t>dance pop,pop,emo rap,miami hip hop</t>
  </si>
  <si>
    <t>Running Wild</t>
  </si>
  <si>
    <t>Pascal &amp; Pearce,Jethro Tait</t>
  </si>
  <si>
    <t>south african pop</t>
  </si>
  <si>
    <t>Lauv,Ryan Riback</t>
  </si>
  <si>
    <t>dance pop,electropop,pop,melbourne bounce</t>
  </si>
  <si>
    <t>Taska Black</t>
  </si>
  <si>
    <t>bass trap,edm,electronic trap,electropop,future bass,indie electropop,pop edm,vapor twitch</t>
  </si>
  <si>
    <t>Playing To Lose</t>
  </si>
  <si>
    <t>Lemaitre,Stanaj</t>
  </si>
  <si>
    <t>new french touch,norwegian pop</t>
  </si>
  <si>
    <t>Higher</t>
  </si>
  <si>
    <t>Lemaitre,Maty Noyes</t>
  </si>
  <si>
    <t>new french touch,norwegian pop,alt z,electropop,indie poptimism,pop</t>
  </si>
  <si>
    <t>Calvin Harris,Florence Welch</t>
  </si>
  <si>
    <t>dance pop,edm,electro house,house,pop,pop rap,progressive house,uk dance,uk pop</t>
  </si>
  <si>
    <t>GAYLE</t>
  </si>
  <si>
    <t>modern alternative pop</t>
  </si>
  <si>
    <t>Caviar</t>
  </si>
  <si>
    <t>Two Feet</t>
  </si>
  <si>
    <t>indie poptimism,modern rock,pop</t>
  </si>
  <si>
    <t>Santé</t>
  </si>
  <si>
    <t>Stromae</t>
  </si>
  <si>
    <t>belgian pop,g-house</t>
  </si>
  <si>
    <t>Papoose</t>
  </si>
  <si>
    <t>Vald</t>
  </si>
  <si>
    <t>french hip hop,pop urbaine,rap conscient</t>
  </si>
  <si>
    <t>Vald,Hamza</t>
  </si>
  <si>
    <t>french hip hop,pop urbaine,rap conscient,belgian hip hop,rap belge,rap francais</t>
  </si>
  <si>
    <t>Vald,Orelsan</t>
  </si>
  <si>
    <t>french hip hop,pop urbaine,rap conscient,old school rap francais</t>
  </si>
  <si>
    <t>142</t>
  </si>
  <si>
    <t>Martin Garrix,Bebe Rexha,The Him</t>
  </si>
  <si>
    <t>dance pop,dutch edm,edm,pop,pop dance,progressive house,tropical house,electropop,post-teen pop,big room,deep house,deep tropical house,electro house,house,pop edm</t>
  </si>
  <si>
    <t>Meet Me Halfway</t>
  </si>
  <si>
    <t>Black Eyed Peas</t>
  </si>
  <si>
    <t>dance pop,pop,pop rap</t>
  </si>
  <si>
    <t>God's Plan</t>
  </si>
  <si>
    <t>Drake</t>
  </si>
  <si>
    <t>canadian hip hop,canadian pop,hip hop,rap,toronto rap</t>
  </si>
  <si>
    <t>Biga*Ranx,Biffty</t>
  </si>
  <si>
    <t>french reggae</t>
  </si>
  <si>
    <t>Roses &amp; Revolutions,Evan Gartner</t>
  </si>
  <si>
    <t>bossbeat,channel pop,indie electropop,indie poptimism</t>
  </si>
  <si>
    <t>AWOLNATION,Incubus,Portugal. The Man,Brandon Boyd</t>
  </si>
  <si>
    <t>la indie,modern alternative rock,modern rock,pop rock,rock,stomp pop,alternative metal,alternative rock,funk metal,funk rock,nu metal,post-grunge,rap rock,indie rock</t>
  </si>
  <si>
    <t>Swedish House Mafia,The Weeknd</t>
  </si>
  <si>
    <t>edm,pop,pop dance,progressive electro house,canadian contemporary r&amp;b,canadian pop</t>
  </si>
  <si>
    <t>Friday (feat. Mufasa &amp; Hypeman) - Dopamine Re-Edit</t>
  </si>
  <si>
    <t>Riton,Nightcrawlers,Mufasa &amp; Hypeman,Dopamine</t>
  </si>
  <si>
    <t>dance pop,edm,house,pop dance,tropical house,uk dance,disco house,hip house,vocal house</t>
  </si>
  <si>
    <t>DÁKITI</t>
  </si>
  <si>
    <t>Bad Bunny,Jhay Cortez</t>
  </si>
  <si>
    <t>latin,reggaeton,trap latino</t>
  </si>
  <si>
    <t>Heart</t>
  </si>
  <si>
    <t>OTR,Shallou</t>
  </si>
  <si>
    <t>indie electropop,vapor soul,vapor twitch,electropop,indie poptimism,new french touch,tropical house</t>
  </si>
  <si>
    <t>-9</t>
  </si>
  <si>
    <t>SAINt JHN,Imanbek</t>
  </si>
  <si>
    <t>melodic rap,pop rap,rap,slap house,dance pop,edm,electro house,pop dance,tropical house</t>
  </si>
  <si>
    <t>Post Malone,Ty Dolla $ign</t>
  </si>
  <si>
    <t>dfw rap,melodic rap,rap,hip hop,pop,pop rap,r&amp;b,southern hip hop,trap,trap soul</t>
  </si>
  <si>
    <t>Wiz Khalifa,Charlie Puth</t>
  </si>
  <si>
    <t>dance pop,hip hop,pittsburgh rap,pop rap,rap,southern hip hop,trap,pop,viral pop</t>
  </si>
  <si>
    <t>fun.,Janelle Monáe</t>
  </si>
  <si>
    <t>baroque pop,metropopolis,modern rock,pop rock,afrofuturism,alternative r&amp;b,art pop,atl hip hop,dance pop,electropop,escape room,neo soul,pop,r&amp;b,urban contemporary</t>
  </si>
  <si>
    <t>Avec ta zouz</t>
  </si>
  <si>
    <t>Therapie TAXI</t>
  </si>
  <si>
    <t>french indie pop,french pop,new french touch</t>
  </si>
  <si>
    <t>Héra</t>
  </si>
  <si>
    <t>Georgio</t>
  </si>
  <si>
    <t>french hip hop,rap calme</t>
  </si>
  <si>
    <t>Σ. MOROSE</t>
  </si>
  <si>
    <t>Damso</t>
  </si>
  <si>
    <t>belgian hip hop,french hip hop,pop urbaine,rap belge,rap conscient</t>
  </si>
  <si>
    <t>TDB</t>
  </si>
  <si>
    <t>OBOY</t>
  </si>
  <si>
    <t>french hip hop,pop urbaine</t>
  </si>
  <si>
    <t>La Quête</t>
  </si>
  <si>
    <t>Orelsan</t>
  </si>
  <si>
    <t>french hip hop,old school rap francais,rap conscient</t>
  </si>
  <si>
    <t>Chérie Coco - feat. Soprano</t>
  </si>
  <si>
    <t>Magic System,Soprano</t>
  </si>
  <si>
    <t>afropop,francoton,french pop,zouglou,french hip hop,rap marseille</t>
  </si>
  <si>
    <t>Démons</t>
  </si>
  <si>
    <t>Angèle,Damso</t>
  </si>
  <si>
    <t>belgian pop,variete francaise,belgian hip hop,french hip hop,pop urbaine,rap belge,rap conscient</t>
  </si>
  <si>
    <t>Imagine Dragons,Arcane,League of Legends</t>
  </si>
  <si>
    <t>modern rock,rock,speedrun,video game music</t>
  </si>
  <si>
    <t>Phlex,Caitlin Gare</t>
  </si>
  <si>
    <t>MAMACITA</t>
  </si>
  <si>
    <t>Black Eyed Peas,Ozuna,J. Rey Soul</t>
  </si>
  <si>
    <t>dance pop,pop,pop rap,latin,puerto rican pop,reggaeton,trap latino</t>
  </si>
  <si>
    <t>Nobody To Love - Radio Edit</t>
  </si>
  <si>
    <t>Sigma</t>
  </si>
  <si>
    <t>dance pop,dancefloor dnb,drum and bass,house,pop dance,tropical house,uk dance</t>
  </si>
  <si>
    <t>Calvin Harris,Ellie Goulding</t>
  </si>
  <si>
    <t>dance pop,edm,electro house,house,pop,pop rap,progressive house,uk dance,electropop,indietronica,metropopolis,uk pop</t>
  </si>
  <si>
    <t>Wrecking Ball</t>
  </si>
  <si>
    <t>Miley Cyrus</t>
  </si>
  <si>
    <t>dance pop,pop,post-teen pop</t>
  </si>
  <si>
    <t>I Bet My Life</t>
  </si>
  <si>
    <t>Insaturable</t>
  </si>
  <si>
    <t>Panda Eyes</t>
  </si>
  <si>
    <t>edm,gaming edm,speedrun</t>
  </si>
  <si>
    <t>Lil Nas X</t>
  </si>
  <si>
    <t>lgbtq+ hip hop,pop</t>
  </si>
  <si>
    <t>Stay By Your Side</t>
  </si>
  <si>
    <t>Diviners</t>
  </si>
  <si>
    <t>gaming edm,pop edm</t>
  </si>
  <si>
    <t>Let's Get It Started</t>
  </si>
  <si>
    <t>The Way</t>
  </si>
  <si>
    <t>Shapov,Trouze</t>
  </si>
  <si>
    <t>progressive electro house,russian edm,singaporean pop</t>
  </si>
  <si>
    <t>SNBRN,Cavin Scott</t>
  </si>
  <si>
    <t>bass house,deep groove house,edm,electro house,house,pop dance,progressive house,tropical house</t>
  </si>
  <si>
    <t>123</t>
  </si>
  <si>
    <t>Halsey,Hot Chip</t>
  </si>
  <si>
    <t>dance pop,electropop,etherpop,indie poptimism,pop,alternative dance,art pop,dance rock,electronica,filter house,indie rock,indietronica,modern rock,neo-synthpop,new rave</t>
  </si>
  <si>
    <t>Hiding In The Blue</t>
  </si>
  <si>
    <t>TheFatRat,RIELL</t>
  </si>
  <si>
    <t>speedrun</t>
  </si>
  <si>
    <t>Dermot Kennedy,Galantis</t>
  </si>
  <si>
    <t>folk-pop,irish pop,pop,dance pop,edm,electro house,pop dance,tropical house</t>
  </si>
  <si>
    <t>Madcon</t>
  </si>
  <si>
    <t>dance pop,norwegian hip hop,pop rap</t>
  </si>
  <si>
    <t>Molly Moore,Win and Woo</t>
  </si>
  <si>
    <t>deep tropical house,edm,electropop,future bass,indie electropop,indie poptimism,pop dance,pop edm,vapor twitch</t>
  </si>
  <si>
    <t>Justin Bieber,Daniel Caesar,Giveon</t>
  </si>
  <si>
    <t>canadian pop,pop,canadian contemporary r&amp;b,r&amp;b</t>
  </si>
  <si>
    <t>Don't Wait Up</t>
  </si>
  <si>
    <t>Shakira</t>
  </si>
  <si>
    <t>colombian pop,dance pop,latin,latin pop,pop</t>
  </si>
  <si>
    <t>Temps électrique</t>
  </si>
  <si>
    <t>Columbine,Foda C,Lujipeka</t>
  </si>
  <si>
    <t>french hip hop,rap calme,rap conscient</t>
  </si>
  <si>
    <t>Jrefaiscequejevois</t>
  </si>
  <si>
    <t>Columbine</t>
  </si>
  <si>
    <t>On verra</t>
  </si>
  <si>
    <t>Nekfeu</t>
  </si>
  <si>
    <t>Maroon 5,Future,Ashworth</t>
  </si>
  <si>
    <t>pop,atl hip hop,rap,southern hip hop,trap,la pop</t>
  </si>
  <si>
    <t>Latch</t>
  </si>
  <si>
    <t>Disclosure,Sam Smith</t>
  </si>
  <si>
    <t>edm,house,pop,uk dance,dance pop,uk pop</t>
  </si>
  <si>
    <t>Bo Burnham</t>
  </si>
  <si>
    <t>comic</t>
  </si>
  <si>
    <t>Viva La Vida</t>
  </si>
  <si>
    <t>Coldplay</t>
  </si>
  <si>
    <t>permanent wave,pop</t>
  </si>
  <si>
    <t>Tungevaag,Kid Ink</t>
  </si>
  <si>
    <t>big room,dance pop,edm,electro house,nordic house,pop dance,tropical house,hip hop,pop rap,rap,southern hip hop,trap</t>
  </si>
  <si>
    <t>Travis Scott,HVME</t>
  </si>
  <si>
    <t>hip hop,rap,slap house</t>
  </si>
  <si>
    <t>Calvin Harris,Tom Grennan</t>
  </si>
  <si>
    <t>dance pop,edm,electro house,house,pop,pop rap,progressive house,uk dance,modern rock,tropical house,uk pop</t>
  </si>
  <si>
    <t>Seven Nation Army</t>
  </si>
  <si>
    <t>DMNDS,Strange Fruits Music,Koosen,KOYSINA</t>
  </si>
  <si>
    <t>lo-fi product,lo-fi cover,slap house</t>
  </si>
  <si>
    <t>The Most</t>
  </si>
  <si>
    <t>SAYMYNAME,Karra</t>
  </si>
  <si>
    <t>electro house,electronic trap,la pop</t>
  </si>
  <si>
    <t>WAVES,James Delaney</t>
  </si>
  <si>
    <t>canadian electronic</t>
  </si>
  <si>
    <t>Follow You</t>
  </si>
  <si>
    <t>Music Sounds Better With You - Radio Edit</t>
  </si>
  <si>
    <t>Stardust</t>
  </si>
  <si>
    <t>Juniper Vale,Noble</t>
  </si>
  <si>
    <t>Skrillex,Swae Lee,Siiickbrain</t>
  </si>
  <si>
    <t>brostep,complextro,edm,electro,melodic rap,trap,alt z</t>
  </si>
  <si>
    <t>Believers</t>
  </si>
  <si>
    <t>Alan Walker,Conor Maynard</t>
  </si>
  <si>
    <t>electro house,dance pop,pop,post-teen pop,uk pop</t>
  </si>
  <si>
    <t>Kid Cudi,MGMT,Ratatat,Steve Aoki</t>
  </si>
  <si>
    <t>hip hop,ohio hip hop,rap,alternative dance,indie rock,indietronica,modern rock,rock,new rave,dance pop,edm,electro house,pop dance,pop rap,tropical house</t>
  </si>
  <si>
    <t>I Got U</t>
  </si>
  <si>
    <t>Duke Dumont,Jax Jones</t>
  </si>
  <si>
    <t>destroy techno,edm,electro house,house,pop dance,progressive house,tropical house,dance pop,pop,pop rap,uk dance</t>
  </si>
  <si>
    <t>Electric Feel</t>
  </si>
  <si>
    <t>MGMT</t>
  </si>
  <si>
    <t>alternative dance,indie rock,indietronica,modern rock,rock</t>
  </si>
  <si>
    <t>Panama Wedding</t>
  </si>
  <si>
    <t>indie poptimism,indietronica</t>
  </si>
  <si>
    <t>Aloha</t>
  </si>
  <si>
    <t>Møme,Merryn Jeann</t>
  </si>
  <si>
    <t>new french touch,nice indie,tropical house</t>
  </si>
  <si>
    <t>Aaron Smith,Luvli,Krono</t>
  </si>
  <si>
    <t>chicago house</t>
  </si>
  <si>
    <t>Lose Control</t>
  </si>
  <si>
    <t>MEDUZA,Becky Hill,Goodboys</t>
  </si>
  <si>
    <t>edm,pop,pop dance,pop house,tropical house,dance pop,uk dance</t>
  </si>
  <si>
    <t>Goosebumps</t>
  </si>
  <si>
    <t>HVME</t>
  </si>
  <si>
    <t>slap house</t>
  </si>
  <si>
    <t>Kodak Black,Lil Pump</t>
  </si>
  <si>
    <t>florida rap,hip hop,melodic rap,miami hip hop,rap,trap,emo rap,vapor trap</t>
  </si>
  <si>
    <t>Trinix,Personne</t>
  </si>
  <si>
    <t>bass trap,new french touch,tropical house</t>
  </si>
  <si>
    <t>Cooler Than Me</t>
  </si>
  <si>
    <t>Lucky Luke</t>
  </si>
  <si>
    <t>lithuanian electronic</t>
  </si>
  <si>
    <t>Martin Garrix,Macklemore,Fall Out Boy</t>
  </si>
  <si>
    <t>dance pop,dutch edm,edm,pop,pop dance,progressive house,tropical house,pop rap,seattle hip hop,emo,modern rock,rock</t>
  </si>
  <si>
    <t>Jack Ü,Skrillex,Diplo,kai</t>
  </si>
  <si>
    <t>edm,electro house,pop dance,brostep,complextro,electro,house,moombahton,ninja,pop,tropical house</t>
  </si>
  <si>
    <t>Daft Punk,Julian Casablancas</t>
  </si>
  <si>
    <t>electro,filter house,indie rock</t>
  </si>
  <si>
    <t>All The Way</t>
  </si>
  <si>
    <t>Penguin Soup</t>
  </si>
  <si>
    <t>Starships</t>
  </si>
  <si>
    <t>Nicki Minaj</t>
  </si>
  <si>
    <t>dance pop,hip pop,pop,pop rap,queens hip hop</t>
  </si>
  <si>
    <t>Mayday!!! Fiesta Fever</t>
  </si>
  <si>
    <t>AWOLNATION,Alex Ebert</t>
  </si>
  <si>
    <t>la indie,modern alternative rock,modern rock,pop rock,rock,stomp pop,alternative americana</t>
  </si>
  <si>
    <t>Blinding My Vision</t>
  </si>
  <si>
    <t>Harrison</t>
  </si>
  <si>
    <t>Because You Move Me</t>
  </si>
  <si>
    <t>Tinlicker,Helsloot</t>
  </si>
  <si>
    <t>The Kid LAROI,Justin Bieber</t>
  </si>
  <si>
    <t>australian hip hop,canadian pop,pop</t>
  </si>
  <si>
    <t>Say My Name</t>
  </si>
  <si>
    <t>Dimitri Vegas &amp; Like Mike,Regard,Dimitri Vegas</t>
  </si>
  <si>
    <t>belgian dance,belgian edm,big room,dance pop,edm,electro house,pop dance,progressive electro house,tropical house,pop,pop edm,slap house</t>
  </si>
  <si>
    <t>INDUSTRY BABY</t>
  </si>
  <si>
    <t>Lil Nas X,Jack Harlow</t>
  </si>
  <si>
    <t>lgbtq+ hip hop,pop,deep underground hip hop,kentucky hip hop,rap</t>
  </si>
  <si>
    <t>Pepas</t>
  </si>
  <si>
    <t>Farruko</t>
  </si>
  <si>
    <t>latin,latin hip hop,reggaeton,trap latino</t>
  </si>
  <si>
    <t>Mad Love</t>
  </si>
  <si>
    <t>Mabel</t>
  </si>
  <si>
    <t>dance pop,edm,pop,pop dance,post-teen pop,tropical house,uk pop</t>
  </si>
  <si>
    <t>Capsize</t>
  </si>
  <si>
    <t>FRENSHIP,Emily Warren</t>
  </si>
  <si>
    <t>electropop,indie poptimism,la pop,pop,pop dance,pop rock,tropical house,nyc pop</t>
  </si>
  <si>
    <t>All Stars</t>
  </si>
  <si>
    <t>Martin Solveig,ALMA</t>
  </si>
  <si>
    <t>dance pop,disco house,edm,electro house,filter house,house,pop dance,tropical house,vocal house</t>
  </si>
  <si>
    <t>Potion (with Dua Lipa &amp; Young Thug)</t>
  </si>
  <si>
    <t>Calvin Harris,Dua Lipa,Young Thug</t>
  </si>
  <si>
    <t>dance pop,edm,electro house,house,pop,pop rap,progressive house,uk dance,uk pop,atl hip hop,atl trap,gangster rap,hip hop,melodic rap,rap,southern hip hop,trap</t>
  </si>
  <si>
    <t>Gryffin,ZOHARA</t>
  </si>
  <si>
    <t>dance pop,edm,pop,pop dance,tropical house</t>
  </si>
  <si>
    <t>Trip To Mars</t>
  </si>
  <si>
    <t>Just A Gent,Sammi Constantine</t>
  </si>
  <si>
    <t>aussietronica,bass trap,edm,electro house,electronic trap,electropop,future bass,melodic dubstep,vapor twitch</t>
  </si>
  <si>
    <t>Θ. Macarena</t>
  </si>
  <si>
    <t>Sunflower - Spider-Man: Into the Spider-Verse</t>
  </si>
  <si>
    <t>Post Malone,Swae Lee</t>
  </si>
  <si>
    <t>dfw rap,melodic rap,rap,trap</t>
  </si>
  <si>
    <t>Stressed Out</t>
  </si>
  <si>
    <t>Twenty One Pilots</t>
  </si>
  <si>
    <t>Honeymoon</t>
  </si>
  <si>
    <t>Jabberwocky,Tessa B</t>
  </si>
  <si>
    <t>french indie pop,french indietronica,new french touch,tropical house</t>
  </si>
  <si>
    <t>Photomaton</t>
  </si>
  <si>
    <t>Jabberwocky,Elodie Wildstars</t>
  </si>
  <si>
    <t>Calvin Harris,John Newman</t>
  </si>
  <si>
    <t>dance pop,edm,electro house,house,pop,pop rap,progressive house,uk dance</t>
  </si>
  <si>
    <t>Superhero</t>
  </si>
  <si>
    <t>E.L</t>
  </si>
  <si>
    <t>azonto,bass trap,ghanaian hip hop</t>
  </si>
  <si>
    <t>Therapie TAXI,Roméo Elvis</t>
  </si>
  <si>
    <t>french indie pop,french pop,new french touch,belgian hip hop,french hip hop</t>
  </si>
  <si>
    <t>Pjanoo - Radio Edit</t>
  </si>
  <si>
    <t>Eric Prydz</t>
  </si>
  <si>
    <t>disco house,edm,electro house,house,pop dance,progressive house,vocal house</t>
  </si>
  <si>
    <t>Blah Blah Blah</t>
  </si>
  <si>
    <t>Armin van Buuren</t>
  </si>
  <si>
    <t>dutch trance,edm,pop dance,progressive house,trance</t>
  </si>
  <si>
    <t>Hyphen Hyphen,Trinix</t>
  </si>
  <si>
    <t>french indie pop,french indietronica,new french touch,nice indie,bass trap,tropical house</t>
  </si>
  <si>
    <t>Synapson,Victor Démé</t>
  </si>
  <si>
    <t>french indie pop,french synthpop,new french touch,tropical house,afropop,burkinabe pop,mande pop,world</t>
  </si>
  <si>
    <t>The Less I Know The Better</t>
  </si>
  <si>
    <t>Tame Impala</t>
  </si>
  <si>
    <t>australian psych,neo-psychedelic</t>
  </si>
  <si>
    <t>Where Did You Go?</t>
  </si>
  <si>
    <t>Jax Jones,MNEK</t>
  </si>
  <si>
    <t>dance pop,edm,electro house,house,pop,pop dance,pop rap,tropical house,uk dance,uk contemporary r&amp;b</t>
  </si>
  <si>
    <t>The City</t>
  </si>
  <si>
    <t>Madeon</t>
  </si>
  <si>
    <t>complextro,edm,electro house,electropop,filter house,future bass,nantes indie,pop dance</t>
  </si>
  <si>
    <t>All Day And Night</t>
  </si>
  <si>
    <t>Jax Jones,Martin Solveig,Madison Beer,Europa</t>
  </si>
  <si>
    <t>dance pop,edm,electro house,house,pop,pop dance,pop rap,tropical house,uk dance,disco house,filter house,vocal house,alt z,electropop,post-teen pop</t>
  </si>
  <si>
    <t>My Way</t>
  </si>
  <si>
    <t>Calvin Harris</t>
  </si>
  <si>
    <t>ILLENIUM,X Ambassadors</t>
  </si>
  <si>
    <t>edm,melodic dubstep,pop,pop dance,tropical house,modern alternative rock,modern rock,pop rap,pop rock,rock,stomp pop</t>
  </si>
  <si>
    <t>ILLENIUM,Jon Bellion</t>
  </si>
  <si>
    <t>edm,melodic dubstep,pop,pop dance,tropical house,pop rap</t>
  </si>
  <si>
    <t>ILLENIUM,Josh Golden</t>
  </si>
  <si>
    <t>edm,melodic dubstep,pop,pop dance,tropical house,la pop,sad rap</t>
  </si>
  <si>
    <t>Puppy</t>
  </si>
  <si>
    <t>Netsky</t>
  </si>
  <si>
    <t>belgian edm,dancefloor dnb,drum and bass,liquid funk</t>
  </si>
  <si>
    <t>Spaceships</t>
  </si>
  <si>
    <t>AREA21</t>
  </si>
  <si>
    <t>edm,pop dance</t>
  </si>
  <si>
    <t>Marvin Gaye,Kygo</t>
  </si>
  <si>
    <t>classic soul,funk,indie r&amp;b,motown,northern soul,quiet storm,soul,edm,pop,pop dance,tropical house</t>
  </si>
  <si>
    <t>My Love</t>
  </si>
  <si>
    <t>Route 94,Jess Glynne</t>
  </si>
  <si>
    <t>deep groove house,house,pop dance,tropical house,uk dance,dance pop,pop,post-teen pop,uk pop</t>
  </si>
  <si>
    <t>Disturbia</t>
  </si>
  <si>
    <t>Rihanna</t>
  </si>
  <si>
    <t>barbadian pop,dance pop,pop,urban contemporary</t>
  </si>
  <si>
    <t>Another Life</t>
  </si>
  <si>
    <t>Taska Black,Zoë Moss</t>
  </si>
  <si>
    <t>Breakbot,Irfane</t>
  </si>
  <si>
    <t>alternative dance,filter house,nu disco</t>
  </si>
  <si>
    <t>Weekend Millionaires</t>
  </si>
  <si>
    <t>Katelyn Tarver</t>
  </si>
  <si>
    <t>alt z,post-teen pop,viral pop</t>
  </si>
  <si>
    <t>Million Voices - Radio Edit</t>
  </si>
  <si>
    <t>Otto Knows</t>
  </si>
  <si>
    <t>edm,electro house,pop dance,progressive electro house,tropical house</t>
  </si>
  <si>
    <t>Sur un nouvel album</t>
  </si>
  <si>
    <t>Nea,Felix Jaehn</t>
  </si>
  <si>
    <t>scandipop,dance pop,edm,electro house,german dance,pop,pop dance,pop rap,tropical house</t>
  </si>
  <si>
    <t>Dance Monkey</t>
  </si>
  <si>
    <t>Tones And I</t>
  </si>
  <si>
    <t>australian pop,pop</t>
  </si>
  <si>
    <t>Feder,Ofenbach,Dawty Music</t>
  </si>
  <si>
    <t>new french touch,tropical house,dance pop,edm,electro house,pop,pop dance</t>
  </si>
  <si>
    <t>Feder,Lyse</t>
  </si>
  <si>
    <t>new french touch,tropical house</t>
  </si>
  <si>
    <t>Never Sleeps,Afrojack,Chico Rose,twocolors</t>
  </si>
  <si>
    <t>big room,dance pop,dutch house,edm,electro house,pop dance,pop rap,progressive house,tropical house,pop edm,slap house</t>
  </si>
  <si>
    <t>For You</t>
  </si>
  <si>
    <t>Dritic</t>
  </si>
  <si>
    <t>Comics</t>
  </si>
  <si>
    <t>Caravan Palace</t>
  </si>
  <si>
    <t>electro swing,nu jazz</t>
  </si>
  <si>
    <t>Tequila</t>
  </si>
  <si>
    <t>Jack Uzi</t>
  </si>
  <si>
    <t>Blink 182</t>
  </si>
  <si>
    <t>Half an Orange</t>
  </si>
  <si>
    <t>future bass,gaming edm</t>
  </si>
  <si>
    <t>Belly Dancer</t>
  </si>
  <si>
    <t>Imanbek,BYOR</t>
  </si>
  <si>
    <t>dance pop,edm,electro house,pop dance,slap house,tropical house,bass house,russian edm</t>
  </si>
  <si>
    <t>Masked Wolf,Alok</t>
  </si>
  <si>
    <t>australian hip hop,electro house,pop nacional,slap house</t>
  </si>
  <si>
    <t>Cake By The Ocean</t>
  </si>
  <si>
    <t>DNCE</t>
  </si>
  <si>
    <t>Strangers</t>
  </si>
  <si>
    <t>Feder</t>
  </si>
  <si>
    <t>Møme,Midnight To Monaco</t>
  </si>
  <si>
    <t>No Fun</t>
  </si>
  <si>
    <t>Armin van Buuren,The Stickmen Project</t>
  </si>
  <si>
    <t>Numb</t>
  </si>
  <si>
    <t>Marshmello,Khalid</t>
  </si>
  <si>
    <t>brostep,dance pop,edm,pop,pop dance,progressive electro house,pop r&amp;b</t>
  </si>
  <si>
    <t>Hero</t>
  </si>
  <si>
    <t>Afrojack,David Guetta</t>
  </si>
  <si>
    <t>big room,dance pop,dutch house,edm,electro house,pop dance,pop rap,progressive house,tropical house,pop</t>
  </si>
  <si>
    <t>Ferrari</t>
  </si>
  <si>
    <t>James Hype,Miggy Dela Rosa</t>
  </si>
  <si>
    <t>dance pop,deep groove house,edm,house,pop dance,tropical house,uk dance</t>
  </si>
  <si>
    <t>Duration (m:ss)</t>
  </si>
  <si>
    <t>Rave</t>
  </si>
  <si>
    <t>Felckin,Vortek's</t>
  </si>
  <si>
    <t>acidcore,tekno</t>
  </si>
  <si>
    <t>Voyager</t>
  </si>
  <si>
    <t>Dimatik</t>
  </si>
  <si>
    <t>classic hardstyle,melbourne bounce international</t>
  </si>
  <si>
    <t>Gam Gam</t>
  </si>
  <si>
    <t>Marnik,SMACK</t>
  </si>
  <si>
    <t>electro house,lithuanian edm</t>
  </si>
  <si>
    <t>Avada Kadabra</t>
  </si>
  <si>
    <t>Belik Boom</t>
  </si>
  <si>
    <t>progressive psytrance</t>
  </si>
  <si>
    <t>The Tribe</t>
  </si>
  <si>
    <t>Vini Vici</t>
  </si>
  <si>
    <t>progressive uplifting trance</t>
  </si>
  <si>
    <t>Irish Legend</t>
  </si>
  <si>
    <t>Billx,Black Muffin</t>
  </si>
  <si>
    <t>frenchcore,raggatek,tekk,tekno</t>
  </si>
  <si>
    <t>Hilight Tribe,Vini Vici</t>
  </si>
  <si>
    <t>didgeridoo,psychedelic trance,progressive uplifting trance</t>
  </si>
  <si>
    <t>Deep Jungle Walk</t>
  </si>
  <si>
    <t>Astrix</t>
  </si>
  <si>
    <t>full on,nitzhonot,psychedelic trance</t>
  </si>
  <si>
    <t>Tree of Life - Psy to Hard</t>
  </si>
  <si>
    <t>Billx</t>
  </si>
  <si>
    <t>Bravery</t>
  </si>
  <si>
    <t>Billx,Ti K Ry</t>
  </si>
  <si>
    <t>Wrath of Warlords - Official Dominator 2018 Anthem</t>
  </si>
  <si>
    <t>Neophyte</t>
  </si>
  <si>
    <t>gabba,happy hardcore,hardcore techno,uptempo hardcore</t>
  </si>
  <si>
    <t>Trip to Antarctica</t>
  </si>
  <si>
    <t>Dr. Peacock,Billx</t>
  </si>
  <si>
    <t>frenchcore,tekk,uptempo hardcore,raggatek,tekno</t>
  </si>
  <si>
    <t>Psycho Celtic</t>
  </si>
  <si>
    <t>Technical Hitch</t>
  </si>
  <si>
    <t>dark psytrance,hi-tech</t>
  </si>
  <si>
    <t>Namaste</t>
  </si>
  <si>
    <t>World of the Dream</t>
  </si>
  <si>
    <t>Sefa,Dr. Peacock</t>
  </si>
  <si>
    <t>frenchcore,tekk,uptempo hardcore</t>
  </si>
  <si>
    <t>Sippin It</t>
  </si>
  <si>
    <t>Felckin</t>
  </si>
  <si>
    <t>Moskau</t>
  </si>
  <si>
    <t>Da Tweekaz,Harris &amp; Ford</t>
  </si>
  <si>
    <t>classic hardstyle,euphoric hardstyle,rawstyle,partyschlager</t>
  </si>
  <si>
    <t>Billx,Nout</t>
  </si>
  <si>
    <t>Smash</t>
  </si>
  <si>
    <t>Never Die</t>
  </si>
  <si>
    <t>The Partysquad,Outsiders</t>
  </si>
  <si>
    <t>dutch hip hop,dutch pop,moombahton,nederlandse hardstyle</t>
  </si>
  <si>
    <t>Du Sale</t>
  </si>
  <si>
    <t>Le Wanski</t>
  </si>
  <si>
    <t>acidcore</t>
  </si>
  <si>
    <t>What's That Sound - Original mix</t>
  </si>
  <si>
    <t>VCL,Pawlowski</t>
  </si>
  <si>
    <t>How We Party</t>
  </si>
  <si>
    <t>DJ Blyatman,XS Project</t>
  </si>
  <si>
    <t>hard bass,russian rave</t>
  </si>
  <si>
    <t>Trip to Ireland</t>
  </si>
  <si>
    <t>Dr. Peacock</t>
  </si>
  <si>
    <t>Hallucination</t>
  </si>
  <si>
    <t>Snelle,Outsiders</t>
  </si>
  <si>
    <t>dutch hip hop,dutch pop,nederlandse hardstyle</t>
  </si>
  <si>
    <t>This Is A Test</t>
  </si>
  <si>
    <t>R3HAB,A Touch Of Class,Brennan Heart</t>
  </si>
  <si>
    <t>dance pop,dutch house,edm,electro house,pop,pop dance,progressive electro house,slap house,tropical house,bubblegum dance,eurodance,europop,classic hardstyle,euphoric hardstyle,rawstyle</t>
  </si>
  <si>
    <t>Embrace The Fire - Radio Edit</t>
  </si>
  <si>
    <t>DJ Mag Dog,Tha Playah</t>
  </si>
  <si>
    <t>Naarayanaa</t>
  </si>
  <si>
    <t>Billx,Dr. Peacock</t>
  </si>
  <si>
    <t>frenchcore,raggatek,tekk,tekno,uptempo hardcore</t>
  </si>
  <si>
    <t>Eclipse</t>
  </si>
  <si>
    <t>Battleborn</t>
  </si>
  <si>
    <t>Ran-D,Frequencerz,Adaro</t>
  </si>
  <si>
    <t>classic hardstyle,rawstyle,tekk,euphoric hardstyle</t>
  </si>
  <si>
    <t>Leonidas</t>
  </si>
  <si>
    <t>Tri Martolod</t>
  </si>
  <si>
    <t>The Omega</t>
  </si>
  <si>
    <t>Sefa</t>
  </si>
  <si>
    <t>Bass Slut - Original Mix</t>
  </si>
  <si>
    <t>S3RL</t>
  </si>
  <si>
    <t>australian dance,freeform hardcore,happy hardcore</t>
  </si>
  <si>
    <t>Nothing Like The Oldschool</t>
  </si>
  <si>
    <t>D-Sturb,Sefa</t>
  </si>
  <si>
    <t>classic hardstyle,frenchcore,rawstyle,xtra raw,tekk,uptempo hardcore</t>
  </si>
  <si>
    <t>Dr. Peacock,Sefa</t>
  </si>
  <si>
    <t>Armin van Buuren,Sound Rush</t>
  </si>
  <si>
    <t>dutch trance,edm,pop dance,progressive house,trance,classic hardstyle,euphoric hardstyle,rawstyle</t>
  </si>
  <si>
    <t>Children Of The Sun</t>
  </si>
  <si>
    <t>Zatox</t>
  </si>
  <si>
    <t>classic hardstyle,rawstyle</t>
  </si>
  <si>
    <t>Starlight</t>
  </si>
  <si>
    <t>Frequencerz,Phuture Noize</t>
  </si>
  <si>
    <t>classic hardstyle,euphoric hardstyle,rawstyle,australian dance</t>
  </si>
  <si>
    <t>Sick Individuals,Nevve,Dr Phunk</t>
  </si>
  <si>
    <t>big room,dutch house,edm,electro house,pop dance,pop edm,progressive electro house,progressive house,tropical house,jumpstyle</t>
  </si>
  <si>
    <t>It's Called XTC</t>
  </si>
  <si>
    <t>La Teuf du Farfadet</t>
  </si>
  <si>
    <t>Guigoo,Mat Weasel Busters,Farfaders</t>
  </si>
  <si>
    <t>raggatek,tekno,acidcore</t>
  </si>
  <si>
    <t>Orange Heart</t>
  </si>
  <si>
    <t>Headhunterz,Sian Evans</t>
  </si>
  <si>
    <t>classic hardstyle,euphoric hardstyle,melbourne bounce international,rawstyle</t>
  </si>
  <si>
    <t>Leven Voor De Rave</t>
  </si>
  <si>
    <t>Outsiders,The Partysquad,Donnie</t>
  </si>
  <si>
    <t>nederlandse hardstyle,dutch hip hop,dutch pop,moombahton</t>
  </si>
  <si>
    <t>No One Can Stop Us Now</t>
  </si>
  <si>
    <t>Headhunterz,Wildstylez,Noisecontrollers</t>
  </si>
  <si>
    <t>Warriors</t>
  </si>
  <si>
    <t>Wildstylez,Ran-D</t>
  </si>
  <si>
    <t>classic hardstyle,euphoric hardstyle,rawstyle,tekk</t>
  </si>
  <si>
    <t>Showtek,Leon Sherman,Wildstylez</t>
  </si>
  <si>
    <t>classic hardstyle,edm,electro house,euphoric hardstyle,pop dance,progressive electro house,rawstyle</t>
  </si>
  <si>
    <t>Our Church</t>
  </si>
  <si>
    <t>Headhunterz,Sub Zero Project</t>
  </si>
  <si>
    <t>Heartcore</t>
  </si>
  <si>
    <t>Jebroer</t>
  </si>
  <si>
    <t>nederlandse hardstyle,tekk</t>
  </si>
  <si>
    <t>Armin van Buuren,Brennan Heart,Toneshifterz</t>
  </si>
  <si>
    <t>dutch trance,edm,pop dance,progressive house,trance,classic hardstyle,euphoric hardstyle,rawstyle,hardstyle</t>
  </si>
  <si>
    <t>Rolling Paper - Hard edit</t>
  </si>
  <si>
    <t>Billx,Vandal</t>
  </si>
  <si>
    <t>Irish Banger</t>
  </si>
  <si>
    <t>Equinox</t>
  </si>
  <si>
    <t>Halibo</t>
  </si>
  <si>
    <t>Maximum Force (Defqon.1 Anthem 2018) - Edit</t>
  </si>
  <si>
    <t>Project One,Headhunterz,Wildstylez</t>
  </si>
  <si>
    <t>classic hardstyle,euphoric hardstyle,frenchcore,rawstyle,melbourne bounce international</t>
  </si>
  <si>
    <t>Frenchcore Worldwide</t>
  </si>
  <si>
    <t>Dr. Peacock,Da Mouth of Madness</t>
  </si>
  <si>
    <t>Colors</t>
  </si>
  <si>
    <t>Headhunterz,Tatu</t>
  </si>
  <si>
    <t>Breakaway (ft. Michael Jo)</t>
  </si>
  <si>
    <t>Sound Rush,Michael Jo</t>
  </si>
  <si>
    <t>classic hardstyle,euphoric hardstyle,rawstyle</t>
  </si>
  <si>
    <t>The Chainsmokers,Daya,Hardwell,Sephyx</t>
  </si>
  <si>
    <t>dance pop,edm,electropop,pop,pop dance,tropical house,alt z,post-teen pop,big room,dutch house,electro house,progressive electro house,progressive house,classic hardstyle,euphoric hardstyle,hardstyle,rawstyle</t>
  </si>
  <si>
    <t>Warrior - Extended Version</t>
  </si>
  <si>
    <t>Mark With a K,Robert Falcon</t>
  </si>
  <si>
    <t>belgian edm,euphoric hardstyle,jumpstyle,sky room</t>
  </si>
  <si>
    <t>Darkest Hour (The Clock)</t>
  </si>
  <si>
    <t>D-Block &amp; S-te-Fan,Sub Zero Project</t>
  </si>
  <si>
    <t>Bad (feat. Vassy) - Radio Edit</t>
  </si>
  <si>
    <t>David Guetta,Showtek,VASSY</t>
  </si>
  <si>
    <t>big room,dance pop,edm,pop,pop dance,pop rap,classic hardstyle,electro house,euphoric hardstyle,progressive electro house,australian dance</t>
  </si>
  <si>
    <t>David Guetta,Kid Cudi</t>
  </si>
  <si>
    <t>big room,dance pop,edm,pop,pop dance,pop rap,hip hop,ohio hip hop,rap</t>
  </si>
  <si>
    <t>Armin van Buuren,Zany</t>
  </si>
  <si>
    <t>dutch trance,edm,pop dance,progressive house,trance,classic hardstyle,nederlandse hardstyle,rawstyle</t>
  </si>
  <si>
    <t>Turn Down for What</t>
  </si>
  <si>
    <t>DJ Snake,Lil Jon</t>
  </si>
  <si>
    <t>dance pop,edm,electronic trap,pop,pop dance,pop rap,atl hip hop,crunk,dirty south rap,old school atlanta hip hop,southern hip hop</t>
  </si>
  <si>
    <t>Accelerate (Official XXlerator Anthem 2014)</t>
  </si>
  <si>
    <t>Code Black,Atmozfears</t>
  </si>
  <si>
    <t>Won't Stop Rocking</t>
  </si>
  <si>
    <t>R3HAB,Headhunterz</t>
  </si>
  <si>
    <t>dance pop,dutch house,edm,electro house,pop,pop dance,progressive electro house,slap house,tropical house,classic hardstyle,euphoric hardstyle,melbourne bounce international,rawstyle</t>
  </si>
  <si>
    <t>Hardwell,Amba Shepherd,Dr Phunk</t>
  </si>
  <si>
    <t>big room,dance pop,dutch house,edm,electro house,pop dance,progressive electro house,progressive house,tropical house,jumpstyle</t>
  </si>
  <si>
    <t>Swipe</t>
  </si>
  <si>
    <t>Showtek</t>
  </si>
  <si>
    <t>classic hardstyle,edm,electro house,euphoric hardstyle,pop dance,progressive electro house</t>
  </si>
  <si>
    <t>Destiny - Edit</t>
  </si>
  <si>
    <t>Headhunterz</t>
  </si>
  <si>
    <t>Drop Me Amadeus</t>
  </si>
  <si>
    <t>Harris &amp; Ford</t>
  </si>
  <si>
    <t>partyschlager</t>
  </si>
  <si>
    <t>Leven Na De Dood</t>
  </si>
  <si>
    <t>Jebroer,Dr Phunk</t>
  </si>
  <si>
    <t>nederlandse hardstyle,tekk,big room,jumpstyle</t>
  </si>
  <si>
    <t>Patser Bounce</t>
  </si>
  <si>
    <t>Dimitri Vegas &amp; Like Mike,Quintino</t>
  </si>
  <si>
    <t>belgian dance,belgian edm,big room,dance pop,edm,electro house,pop dance,progressive electro house,tropical house,dutch edm,dutch house,slap house</t>
  </si>
  <si>
    <t>Fight For Something</t>
  </si>
  <si>
    <t>Brennan Heart,Coone,Max P</t>
  </si>
  <si>
    <t>classic hardstyle,euphoric hardstyle,rawstyle,belgian edm,jumpstyle</t>
  </si>
  <si>
    <t>Don't Say Goodbye (feat. Tove Lo)</t>
  </si>
  <si>
    <t>Alok,Ilkay Sencan,Tove Lo</t>
  </si>
  <si>
    <t>electro house,pop nacional,slap house,turkish deep house,turkish edm,art pop,dance pop,electropop,metropopolis,pop,swedish electropop,swedish pop,swedish synthpop</t>
  </si>
  <si>
    <t>Wat Zullen We Drinken</t>
  </si>
  <si>
    <t>Sefa,MC Focus</t>
  </si>
  <si>
    <t>Beast (All as One)</t>
  </si>
  <si>
    <t>Dimitri Vegas &amp; Like Mike,Ummet Ozcan,Brennan Heart</t>
  </si>
  <si>
    <t>belgian dance,belgian edm,big room,dance pop,edm,electro house,pop dance,progressive electro house,tropical house,progressive house,classic hardstyle,euphoric hardstyle,rawstyle</t>
  </si>
  <si>
    <t>Surrender The Throne</t>
  </si>
  <si>
    <t>Krewella</t>
  </si>
  <si>
    <t>dance pop,edm,electra,electro house,electropop,melodic dubstep,pop dance</t>
  </si>
  <si>
    <t>Somewhere to Run</t>
  </si>
  <si>
    <t>Carnage,NAZAAR,Murda,Coone</t>
  </si>
  <si>
    <t>edm,electro house,electronic trap,pop rap,trap,dubstep,gaming dubstep,basshall,turkish trap,turkish trap pop,belgian edm,classic hardstyle,euphoric hardstyle,jumpstyle,rawstyle</t>
  </si>
  <si>
    <t>Scary Monsters and Nice Sprites</t>
  </si>
  <si>
    <t>Skrillex</t>
  </si>
  <si>
    <t>brostep,complextro,edm,electro</t>
  </si>
  <si>
    <t>Bangarang (feat. Sirah)</t>
  </si>
  <si>
    <t>Skrillex,Sirah</t>
  </si>
  <si>
    <t>Drift Away (Numa Numa Yay)</t>
  </si>
  <si>
    <t>Refuzion</t>
  </si>
  <si>
    <t>classic hardstyle,euphoric hardstyle</t>
  </si>
  <si>
    <t>Pendulum,Skrillex</t>
  </si>
  <si>
    <t>australian dance,dancefloor dnb,drum and bass,brostep,complextro,edm,electro</t>
  </si>
  <si>
    <t>The Master</t>
  </si>
  <si>
    <t>Jebroer,Harris &amp; Ford</t>
  </si>
  <si>
    <t>nederlandse hardstyle,tekk,partyschlager</t>
  </si>
  <si>
    <t>How Far I'll Go</t>
  </si>
  <si>
    <t>Da Tweekaz</t>
  </si>
  <si>
    <t>Jägermeister</t>
  </si>
  <si>
    <t>How Many</t>
  </si>
  <si>
    <t>W&amp;W</t>
  </si>
  <si>
    <t>big room,dutch trance,edm,electro house,pop dance</t>
  </si>
  <si>
    <t>Sun Is Shining</t>
  </si>
  <si>
    <t>Axwell /\ Ingrosso,Axwell,Sebastian Ingrosso</t>
  </si>
  <si>
    <t>dance pop,edm,electro house,pop,pop dance,tropical house,disco house,house,progressive electro house,progressive house,vocal house</t>
  </si>
  <si>
    <t>Turn It Up</t>
  </si>
  <si>
    <t>Thunderbreizh</t>
  </si>
  <si>
    <t>La P'tite Fumée,Les Ramoneurs De Menhirs</t>
  </si>
  <si>
    <t>breton folk,french punk,french rock</t>
  </si>
  <si>
    <t>Last Night Ever</t>
  </si>
  <si>
    <t>Yellow Claw,LNY TNZ</t>
  </si>
  <si>
    <t>bass trap,edm,electro house,electronic trap,pop dance,rawstyle</t>
  </si>
  <si>
    <t>Mark With a K</t>
  </si>
  <si>
    <t>belgian edm,euphoric hardstyle,jumpstyle</t>
  </si>
  <si>
    <t>Walt,D-Block &amp; S-te-Fan</t>
  </si>
  <si>
    <t>One-Master-Blade - Extended version</t>
  </si>
  <si>
    <t>Brennan Heart</t>
  </si>
  <si>
    <t>Soulless</t>
  </si>
  <si>
    <t>Uberjak'd</t>
  </si>
  <si>
    <t>melbourne bounce,melbourne bounce international</t>
  </si>
  <si>
    <t>Scotty,Harris &amp; Ford</t>
  </si>
  <si>
    <t>hands up,partyschlager</t>
  </si>
  <si>
    <t>World Out There</t>
  </si>
  <si>
    <t>D-Sturb</t>
  </si>
  <si>
    <t>classic hardstyle,frenchcore,rawstyle,xtra raw</t>
  </si>
  <si>
    <t>Parvati Valley</t>
  </si>
  <si>
    <t>Blastoyz</t>
  </si>
  <si>
    <t>psychedelic trance</t>
  </si>
  <si>
    <t>FeniX</t>
  </si>
  <si>
    <t>jumpstyle</t>
  </si>
  <si>
    <t>Braveheart</t>
  </si>
  <si>
    <t>Broken Minds,Destructive Tendencies</t>
  </si>
  <si>
    <t>uptempo hardcore,frenchcore,gabba,hardcore techno,rawstyle</t>
  </si>
  <si>
    <t>Smooth Talker</t>
  </si>
  <si>
    <t>CR3WFX,PSYJAG</t>
  </si>
  <si>
    <t>Addicted to the Bass</t>
  </si>
  <si>
    <t>Brennan Heart,Harris &amp; Ford</t>
  </si>
  <si>
    <t>Digital Nation - Extended</t>
  </si>
  <si>
    <t>Technoboy,Tuneboy,DJ Isaac</t>
  </si>
  <si>
    <t>classic hardstyle,euphoric hardstyle,rawstyle,australian dance,gabba,happy hardcore,hardcore techno</t>
  </si>
  <si>
    <t>Zoom</t>
  </si>
  <si>
    <t>Blastoyz,Ranji</t>
  </si>
  <si>
    <t>White Dwarf</t>
  </si>
  <si>
    <t>Off Limits,Wilders</t>
  </si>
  <si>
    <t>Blutonium Boy</t>
  </si>
  <si>
    <t>classic hardstyle</t>
  </si>
  <si>
    <t>Psychedelica - Original Mix</t>
  </si>
  <si>
    <t>Mekanikal</t>
  </si>
  <si>
    <t>Orthodox</t>
  </si>
  <si>
    <t>Contiez</t>
  </si>
  <si>
    <t>melbourne bounce,melbourne bounce international,progressive electro house</t>
  </si>
  <si>
    <t>Fighter</t>
  </si>
  <si>
    <t>Uberjak'd,Dimatik,Enya Angel</t>
  </si>
  <si>
    <t>melbourne bounce,melbourne bounce international,classic hardstyle</t>
  </si>
  <si>
    <t>Angels</t>
  </si>
  <si>
    <t>Stereotuners</t>
  </si>
  <si>
    <t>rawstyle</t>
  </si>
  <si>
    <t>Indian Vibes - Extended Mix</t>
  </si>
  <si>
    <t>Atisha</t>
  </si>
  <si>
    <t>Somebody Like Me (Mark With a K Remix)</t>
  </si>
  <si>
    <t>Xillions,Mark With a K</t>
  </si>
  <si>
    <t>pop edm,belgian edm,euphoric hardstyle,jumpstyle</t>
  </si>
  <si>
    <t>One Tribe (Defqon.1 2019 Anthem)</t>
  </si>
  <si>
    <t>Re-Style,Sefa</t>
  </si>
  <si>
    <t>frenchcore,gabba,happy hardcore,hardcore techno,tekk,uptempo hardcore</t>
  </si>
  <si>
    <t>Komon</t>
  </si>
  <si>
    <t>Great Spirit - Wildstylez Remix</t>
  </si>
  <si>
    <t>Armin van Buuren,Vini Vici,Hilight Tribe,Wildstylez</t>
  </si>
  <si>
    <t>dutch trance,edm,pop dance,progressive house,trance,progressive uplifting trance,didgeridoo,psychedelic trance,classic hardstyle,euphoric hardstyle,rawstyle</t>
  </si>
  <si>
    <t>Killer Beat</t>
  </si>
  <si>
    <t>Nosferatu,Sefa</t>
  </si>
  <si>
    <t>frenchcore,gabba,happy hardcore,hardcore techno,uptempo hardcore,tekk</t>
  </si>
  <si>
    <t>Trip To Romania</t>
  </si>
  <si>
    <t>Dr. Peacock,Floxytek</t>
  </si>
  <si>
    <t>frenchcore,tekk,uptempo hardcore,tekno</t>
  </si>
  <si>
    <t>Up</t>
  </si>
  <si>
    <t>Mr. Ivex,Dr. Peacock</t>
  </si>
  <si>
    <t>frenchcore,uptempo hardcore,tekk</t>
  </si>
  <si>
    <t>Walking in the Air</t>
  </si>
  <si>
    <t>Dr. Peacock,Death By Design,Broken Minds</t>
  </si>
  <si>
    <t>Lastig</t>
  </si>
  <si>
    <t>Sefa,Crypton</t>
  </si>
  <si>
    <t>frenchcore,tekk,uptempo hardcore,rawstyle</t>
  </si>
  <si>
    <t>Hey Mambo</t>
  </si>
  <si>
    <t>Dr. Peacock,Paul Elstak</t>
  </si>
  <si>
    <t>frenchcore,tekk,uptempo hardcore,gabba,happy hardcore,hardcore techno</t>
  </si>
  <si>
    <t>In De Hemel</t>
  </si>
  <si>
    <t>Disorder</t>
  </si>
  <si>
    <t>Dr. Peacock,N-Vitral</t>
  </si>
  <si>
    <t>frenchcore,tekk,uptempo hardcore,doomcore,gabba,happy hardcore,hardcore techno,rawstyle</t>
  </si>
  <si>
    <t>Rooler,Sefa</t>
  </si>
  <si>
    <t>frenchcore,rawstyle,xtra raw,tekk,uptempo hardcore</t>
  </si>
  <si>
    <t>Operation: Core</t>
  </si>
  <si>
    <t>Partyraiser,Dr. Peacock</t>
  </si>
  <si>
    <t>gabba,happy hardcore,hardcore techno,uptempo hardcore,frenchcore,tekk</t>
  </si>
  <si>
    <t>Sefa,Mr. Ivex</t>
  </si>
  <si>
    <t>Alan Walker,Ava Max,Da Tweekaz</t>
  </si>
  <si>
    <t>electro house,dance pop,pop,classic hardstyle,euphoric hardstyle,rawstyle</t>
  </si>
  <si>
    <t>Ran-D</t>
  </si>
  <si>
    <t>classic hardstyle,rawstyle,tekk</t>
  </si>
  <si>
    <t>Inception</t>
  </si>
  <si>
    <t>Coone,Sound Rush</t>
  </si>
  <si>
    <t>belgian edm,classic hardstyle,euphoric hardstyle,jumpstyle,rawstyle</t>
  </si>
  <si>
    <t>Puberbrein</t>
  </si>
  <si>
    <t>STUK,Zanger Kafke</t>
  </si>
  <si>
    <t>nederlandse hardstyle,carnaval</t>
  </si>
  <si>
    <t>Vaderland</t>
  </si>
  <si>
    <t>Outsiders,Jebroer,The Darkraver</t>
  </si>
  <si>
    <t>nederlandse hardstyle,tekk,gabba,happy hardcore</t>
  </si>
  <si>
    <t>Heartbeat</t>
  </si>
  <si>
    <t>Mark With a K,Xillions</t>
  </si>
  <si>
    <t>belgian edm,euphoric hardstyle,jumpstyle,pop edm</t>
  </si>
  <si>
    <t>Encore</t>
  </si>
  <si>
    <t>Wildstylez</t>
  </si>
  <si>
    <t>Mind Is Everything</t>
  </si>
  <si>
    <t>Mr. Ivex,Levenkhan</t>
  </si>
  <si>
    <t>frenchcore,uptempo hardcore</t>
  </si>
  <si>
    <t>Planet Perfecto Knights,Maurice West</t>
  </si>
  <si>
    <t>deep uplifting trance,electro house,sky room</t>
  </si>
  <si>
    <t>Imma Boss</t>
  </si>
  <si>
    <t>Bloodlust</t>
  </si>
  <si>
    <t>hardstyle,rawstyle,uptempo hardcore</t>
  </si>
  <si>
    <t>Vapo Vapo</t>
  </si>
  <si>
    <t>Mandragora</t>
  </si>
  <si>
    <t>brazilian edm,mexican edm,trance mexicano</t>
  </si>
  <si>
    <t>Kilimandjaro</t>
  </si>
  <si>
    <t>Billx,DAM</t>
  </si>
  <si>
    <t>frenchcore,raggatek,tekk,tekno,japanese post-hardcore</t>
  </si>
  <si>
    <t>Everything is a Lie</t>
  </si>
  <si>
    <t>Incoming</t>
  </si>
  <si>
    <t>Atlantic</t>
  </si>
  <si>
    <t>Hysta,Advanced Dealer</t>
  </si>
  <si>
    <t>uptempo hardcore</t>
  </si>
  <si>
    <t>Supernova</t>
  </si>
  <si>
    <t>Galwaro,Behmer</t>
  </si>
  <si>
    <t>melbourne bounce international</t>
  </si>
  <si>
    <t>Music Of The Mind</t>
  </si>
  <si>
    <t>Envine</t>
  </si>
  <si>
    <t>hardstyle,rawstyle</t>
  </si>
  <si>
    <t>Bogota - 2020 Refix</t>
  </si>
  <si>
    <t>Miss K8,Angerfist</t>
  </si>
  <si>
    <t>dark hardcore,gabba,uptempo hardcore,hardcore techno,tekk</t>
  </si>
  <si>
    <t>What Happened</t>
  </si>
  <si>
    <t>Angerfist</t>
  </si>
  <si>
    <t>gabba,hardcore techno,tekk,uptempo hardcore</t>
  </si>
  <si>
    <t>Fight Fire With Fire</t>
  </si>
  <si>
    <t>Ran-D,LePrince</t>
  </si>
  <si>
    <t>Illusions</t>
  </si>
  <si>
    <t>Meet Her At The Love Parade</t>
  </si>
  <si>
    <t>JTS,Technikore</t>
  </si>
  <si>
    <t>deep happy hardcore,happy hardcore</t>
  </si>
  <si>
    <t>Dance With The Devil</t>
  </si>
  <si>
    <t>Ran-D,D-Sturb,XCEPTION</t>
  </si>
  <si>
    <t>classic hardstyle,rawstyle,tekk,frenchcore,xtra raw</t>
  </si>
  <si>
    <t>Billx,Gargäntua</t>
  </si>
  <si>
    <t>Stay Safe &amp; Drink Water</t>
  </si>
  <si>
    <t>VCL</t>
  </si>
  <si>
    <t>Ongedierte Van De Nacht</t>
  </si>
  <si>
    <t>Gunz For Hire</t>
  </si>
  <si>
    <t>Road Rage</t>
  </si>
  <si>
    <t>Act of Rage,Nolz</t>
  </si>
  <si>
    <t>DISCOTEK</t>
  </si>
  <si>
    <t>Rooler</t>
  </si>
  <si>
    <t>frenchcore,rawstyle,xtra raw</t>
  </si>
  <si>
    <t>Overload - Original Mix</t>
  </si>
  <si>
    <t>Zyklon,Dr. Peacock</t>
  </si>
  <si>
    <t>Borgeous,Riggi &amp; Piros,Lil Jon,Trampa</t>
  </si>
  <si>
    <t>edm,electro house,pop dance,pop edm,progressive electro house,progressive house,tropical house,sky room,atl hip hop,crunk,dance pop,dirty south rap,old school atlanta hip hop,pop rap,southern hip hop,deathstep,dubstep,electronic trap,filthstep,gaming dubstep</t>
  </si>
  <si>
    <t>Jeckyll &amp; Hyde,Hypnose</t>
  </si>
  <si>
    <t>euphoric hardstyle,hardstyle,rawstyle</t>
  </si>
  <si>
    <t>Dimitri Vegas &amp; Like Mike,Steve Aoki,Ummet Ozcan</t>
  </si>
  <si>
    <t>belgian dance,belgian edm,big room,dance pop,edm,electro house,pop dance,progressive electro house,tropical house,pop rap,progressive house</t>
  </si>
  <si>
    <t>Evil Away</t>
  </si>
  <si>
    <t>Mandragora,4i20</t>
  </si>
  <si>
    <t>brazilian edm,mexican edm,trance mexicano,progressive psytrance,psychedelic trance,trance brasileiro</t>
  </si>
  <si>
    <t>Violent</t>
  </si>
  <si>
    <t>Zatox,DJ Maddog</t>
  </si>
  <si>
    <t>Wrath Of Warlords (Official Dominator 2018 Anthem) - Radio Edit</t>
  </si>
  <si>
    <t>Break Of Dawn</t>
  </si>
  <si>
    <t>Angerfist,Miss K8</t>
  </si>
  <si>
    <t>gabba,hardcore techno,tekk,uptempo hardcore,dark hardcore</t>
  </si>
  <si>
    <t>Daar zijn we weer! - Edit</t>
  </si>
  <si>
    <t>Nosferatu,Neophyte</t>
  </si>
  <si>
    <t>frenchcore,gabba,happy hardcore,hardcore techno,uptempo hardcore</t>
  </si>
  <si>
    <t>Galactic Symphony</t>
  </si>
  <si>
    <t>Aladin - Original Mix</t>
  </si>
  <si>
    <t>Mandragora,Devochka</t>
  </si>
  <si>
    <t>Wanna Play?</t>
  </si>
  <si>
    <t>The Prophet</t>
  </si>
  <si>
    <t>classic hardstyle,euphoric hardstyle,happy hardcore,rawstyle</t>
  </si>
  <si>
    <t>Slytherin</t>
  </si>
  <si>
    <t>Bloodlust,Fraw</t>
  </si>
  <si>
    <t>Codeine</t>
  </si>
  <si>
    <t>It'a called XTC</t>
  </si>
  <si>
    <t>Bass Bomb</t>
  </si>
  <si>
    <t>Darktek</t>
  </si>
  <si>
    <t>frenchcore,raggatek</t>
  </si>
  <si>
    <t>Uluwatu</t>
  </si>
  <si>
    <t>Dropgun,Jesse Wilde</t>
  </si>
  <si>
    <t>edm,electro house,pop dance,pop edm,progressive electro house,russian edm,sky room,indonesian edm</t>
  </si>
  <si>
    <t>Power Of Perception (Reverze Anthem 2020)</t>
  </si>
  <si>
    <t>Coone,Da Tweekaz,Hard Driver</t>
  </si>
  <si>
    <t>I Like To Move It</t>
  </si>
  <si>
    <t>Coone,Zatox</t>
  </si>
  <si>
    <t>The Rave</t>
  </si>
  <si>
    <t>Toss A Coin To Your Witcher</t>
  </si>
  <si>
    <t>Coone,Da Tweekaz,Hard Driver,Bram Boender</t>
  </si>
  <si>
    <t>The Elite</t>
  </si>
  <si>
    <t>La Marche</t>
  </si>
  <si>
    <t>Solid Stigma</t>
  </si>
  <si>
    <t>Pagan Totem</t>
  </si>
  <si>
    <t>house</t>
  </si>
  <si>
    <t>hardcore techno</t>
  </si>
  <si>
    <t>dance pop</t>
  </si>
  <si>
    <t>pop</t>
  </si>
  <si>
    <t>pop dance</t>
  </si>
  <si>
    <t>tropical house</t>
  </si>
  <si>
    <t>uk dance</t>
  </si>
  <si>
    <t>electro house</t>
  </si>
  <si>
    <t>pop rap</t>
  </si>
  <si>
    <t>art pop</t>
  </si>
  <si>
    <t>candy pop</t>
  </si>
  <si>
    <t>electropop</t>
  </si>
  <si>
    <t>metropopolis</t>
  </si>
  <si>
    <t>uk pop</t>
  </si>
  <si>
    <t>r&amp;b</t>
  </si>
  <si>
    <t>bass house</t>
  </si>
  <si>
    <t>deep groove house</t>
  </si>
  <si>
    <t>pop edm</t>
  </si>
  <si>
    <t>big room</t>
  </si>
  <si>
    <t>nordic house</t>
  </si>
  <si>
    <t>post-teen pop</t>
  </si>
  <si>
    <t>canadian electropop</t>
  </si>
  <si>
    <t>grave wave</t>
  </si>
  <si>
    <t>indietronica</t>
  </si>
  <si>
    <t>deep house</t>
  </si>
  <si>
    <t>atl hip hop</t>
  </si>
  <si>
    <t>girl group</t>
  </si>
  <si>
    <t>hip pop</t>
  </si>
  <si>
    <t>southern hip hop</t>
  </si>
  <si>
    <t>urban contemporary</t>
  </si>
  <si>
    <t>pop house</t>
  </si>
  <si>
    <t>german dance</t>
  </si>
  <si>
    <t>brostep</t>
  </si>
  <si>
    <t>dutch edm</t>
  </si>
  <si>
    <t>trance</t>
  </si>
  <si>
    <t>belgian edm</t>
  </si>
  <si>
    <t>neo mellow</t>
  </si>
  <si>
    <t>escape room</t>
  </si>
  <si>
    <t>progressive electro house</t>
  </si>
  <si>
    <t>hip hop</t>
  </si>
  <si>
    <t>trap</t>
  </si>
  <si>
    <t>trap soul</t>
  </si>
  <si>
    <t>alternative r&amp;b</t>
  </si>
  <si>
    <t>new jersey rap</t>
  </si>
  <si>
    <t>swedish electropop</t>
  </si>
  <si>
    <t>swedish pop</t>
  </si>
  <si>
    <t>swedish soul</t>
  </si>
  <si>
    <t>belgian dance</t>
  </si>
  <si>
    <t>australian dance</t>
  </si>
  <si>
    <t>melbourne bounce</t>
  </si>
  <si>
    <t>romanian house</t>
  </si>
  <si>
    <t>latin</t>
  </si>
  <si>
    <t>latin hip hop</t>
  </si>
  <si>
    <t>reggaeton</t>
  </si>
  <si>
    <t>trap latino</t>
  </si>
  <si>
    <t>deep euro house</t>
  </si>
  <si>
    <t>talent show</t>
  </si>
  <si>
    <t>future house</t>
  </si>
  <si>
    <t>progressive house</t>
  </si>
  <si>
    <t>alternative dance</t>
  </si>
  <si>
    <t>filter house</t>
  </si>
  <si>
    <t>indie r&amp;b</t>
  </si>
  <si>
    <t>nyc pop</t>
  </si>
  <si>
    <t>chillwave</t>
  </si>
  <si>
    <t>ninja</t>
  </si>
  <si>
    <t>indie poptimism</t>
  </si>
  <si>
    <t>nu disco</t>
  </si>
  <si>
    <t>modern rock</t>
  </si>
  <si>
    <t>rock</t>
  </si>
  <si>
    <t>emo rap</t>
  </si>
  <si>
    <t>lgbtq+ hip hop</t>
  </si>
  <si>
    <t>gauze pop</t>
  </si>
  <si>
    <t>shiver pop</t>
  </si>
  <si>
    <t>permanent wave</t>
  </si>
  <si>
    <t>soft rock</t>
  </si>
  <si>
    <t>sophisti-pop</t>
  </si>
  <si>
    <t>indie electropop</t>
  </si>
  <si>
    <t>vapor soul</t>
  </si>
  <si>
    <t>vapor twitch</t>
  </si>
  <si>
    <t>miami hip hop</t>
  </si>
  <si>
    <t>bass trap</t>
  </si>
  <si>
    <t>electronic trap</t>
  </si>
  <si>
    <t>future bass</t>
  </si>
  <si>
    <t>new french touch</t>
  </si>
  <si>
    <t>norwegian pop</t>
  </si>
  <si>
    <t>alt z</t>
  </si>
  <si>
    <t>belgian pop</t>
  </si>
  <si>
    <t>g-house</t>
  </si>
  <si>
    <t>french hip hop</t>
  </si>
  <si>
    <t>pop urbaine</t>
  </si>
  <si>
    <t>rap conscient</t>
  </si>
  <si>
    <t>belgian hip hop</t>
  </si>
  <si>
    <t>rap belge</t>
  </si>
  <si>
    <t>rap francais</t>
  </si>
  <si>
    <t>old school rap francais</t>
  </si>
  <si>
    <t>deep tropical house</t>
  </si>
  <si>
    <t>canadian hip hop</t>
  </si>
  <si>
    <t>canadian pop</t>
  </si>
  <si>
    <t>rap</t>
  </si>
  <si>
    <t>toronto rap</t>
  </si>
  <si>
    <t>bossbeat</t>
  </si>
  <si>
    <t>channel pop</t>
  </si>
  <si>
    <t>la indie</t>
  </si>
  <si>
    <t>modern alternative rock</t>
  </si>
  <si>
    <t>pop rock</t>
  </si>
  <si>
    <t>stomp pop</t>
  </si>
  <si>
    <t>alternative metal</t>
  </si>
  <si>
    <t>alternative rock</t>
  </si>
  <si>
    <t>funk metal</t>
  </si>
  <si>
    <t>funk rock</t>
  </si>
  <si>
    <t>nu metal</t>
  </si>
  <si>
    <t>post-grunge</t>
  </si>
  <si>
    <t>rap rock</t>
  </si>
  <si>
    <t>indie rock</t>
  </si>
  <si>
    <t>canadian contemporary r&amp;b</t>
  </si>
  <si>
    <t>disco house</t>
  </si>
  <si>
    <t>hip house</t>
  </si>
  <si>
    <t>vocal house</t>
  </si>
  <si>
    <t>melodic rap</t>
  </si>
  <si>
    <t>dfw rap</t>
  </si>
  <si>
    <t>pittsburgh rap</t>
  </si>
  <si>
    <t>viral pop</t>
  </si>
  <si>
    <t>baroque pop</t>
  </si>
  <si>
    <t>afrofuturism</t>
  </si>
  <si>
    <t>neo soul</t>
  </si>
  <si>
    <t>french indie pop</t>
  </si>
  <si>
    <t>french pop</t>
  </si>
  <si>
    <t>rap calme</t>
  </si>
  <si>
    <t>afropop</t>
  </si>
  <si>
    <t>francoton</t>
  </si>
  <si>
    <t>zouglou</t>
  </si>
  <si>
    <t>rap marseille</t>
  </si>
  <si>
    <t>variete francaise</t>
  </si>
  <si>
    <t>video game music</t>
  </si>
  <si>
    <t>puerto rican pop</t>
  </si>
  <si>
    <t>dancefloor dnb</t>
  </si>
  <si>
    <t>drum and bass</t>
  </si>
  <si>
    <t>gaming edm</t>
  </si>
  <si>
    <t>russian edm</t>
  </si>
  <si>
    <t>singaporean pop</t>
  </si>
  <si>
    <t>etherpop</t>
  </si>
  <si>
    <t>dance rock</t>
  </si>
  <si>
    <t>electronica</t>
  </si>
  <si>
    <t>neo-synthpop</t>
  </si>
  <si>
    <t>new rave</t>
  </si>
  <si>
    <t>folk-pop</t>
  </si>
  <si>
    <t>irish pop</t>
  </si>
  <si>
    <t>norwegian hip hop</t>
  </si>
  <si>
    <t>colombian pop</t>
  </si>
  <si>
    <t>latin pop</t>
  </si>
  <si>
    <t>la pop</t>
  </si>
  <si>
    <t>lo-fi product</t>
  </si>
  <si>
    <t>lo-fi cover</t>
  </si>
  <si>
    <t>complextro</t>
  </si>
  <si>
    <t>electro</t>
  </si>
  <si>
    <t>ohio hip hop</t>
  </si>
  <si>
    <t>destroy techno</t>
  </si>
  <si>
    <t>nice indie</t>
  </si>
  <si>
    <t>florida rap</t>
  </si>
  <si>
    <t>vapor trap</t>
  </si>
  <si>
    <t>seattle hip hop</t>
  </si>
  <si>
    <t>emo</t>
  </si>
  <si>
    <t>moombahton</t>
  </si>
  <si>
    <t>queens hip hop</t>
  </si>
  <si>
    <t>alternative americana</t>
  </si>
  <si>
    <t>australian hip hop</t>
  </si>
  <si>
    <t>deep underground hip hop</t>
  </si>
  <si>
    <t>kentucky hip hop</t>
  </si>
  <si>
    <t>atl trap</t>
  </si>
  <si>
    <t>gangster rap</t>
  </si>
  <si>
    <t>melodic dubstep</t>
  </si>
  <si>
    <t>french indietronica</t>
  </si>
  <si>
    <t>azonto</t>
  </si>
  <si>
    <t>ghanaian hip hop</t>
  </si>
  <si>
    <t>dutch trance</t>
  </si>
  <si>
    <t>french synthpop</t>
  </si>
  <si>
    <t>burkinabe pop</t>
  </si>
  <si>
    <t>mande pop</t>
  </si>
  <si>
    <t>world</t>
  </si>
  <si>
    <t>australian psych</t>
  </si>
  <si>
    <t>neo-psychedelic</t>
  </si>
  <si>
    <t>uk contemporary r&amp;b</t>
  </si>
  <si>
    <t>nantes indie</t>
  </si>
  <si>
    <t>sad rap</t>
  </si>
  <si>
    <t>liquid funk</t>
  </si>
  <si>
    <t>classic soul</t>
  </si>
  <si>
    <t>funk</t>
  </si>
  <si>
    <t>motown</t>
  </si>
  <si>
    <t>northern soul</t>
  </si>
  <si>
    <t>quiet storm</t>
  </si>
  <si>
    <t>soul</t>
  </si>
  <si>
    <t>barbadian pop</t>
  </si>
  <si>
    <t>scandipop</t>
  </si>
  <si>
    <t>australian pop</t>
  </si>
  <si>
    <t>dutch house</t>
  </si>
  <si>
    <t>electro swing</t>
  </si>
  <si>
    <t>nu jazz</t>
  </si>
  <si>
    <t>pop nacional</t>
  </si>
  <si>
    <t>pop r&amp;b</t>
  </si>
  <si>
    <t>Genre</t>
  </si>
  <si>
    <t>Occurrence</t>
  </si>
  <si>
    <t>tekno</t>
  </si>
  <si>
    <t>lithuanian edm</t>
  </si>
  <si>
    <t>frenchcore</t>
  </si>
  <si>
    <t>raggatek</t>
  </si>
  <si>
    <t>tekk</t>
  </si>
  <si>
    <t>didgeridoo</t>
  </si>
  <si>
    <t>full on</t>
  </si>
  <si>
    <t>nitzhonot</t>
  </si>
  <si>
    <t>gabba</t>
  </si>
  <si>
    <t>happy hardcore</t>
  </si>
  <si>
    <t>dark psytrance</t>
  </si>
  <si>
    <t>hi-tech</t>
  </si>
  <si>
    <t>euphoric hardstyle</t>
  </si>
  <si>
    <t>dutch hip hop</t>
  </si>
  <si>
    <t>dutch pop</t>
  </si>
  <si>
    <t>nederlandse hardstyle</t>
  </si>
  <si>
    <t>hard bass</t>
  </si>
  <si>
    <t>russian rave</t>
  </si>
  <si>
    <t>bubblegum dance</t>
  </si>
  <si>
    <t>eurodance</t>
  </si>
  <si>
    <t>europop</t>
  </si>
  <si>
    <t>freeform hardcore</t>
  </si>
  <si>
    <t>xtra raw</t>
  </si>
  <si>
    <t>hardstyle</t>
  </si>
  <si>
    <t>sky room</t>
  </si>
  <si>
    <t>crunk</t>
  </si>
  <si>
    <t>dirty south rap</t>
  </si>
  <si>
    <t>old school atlanta hip hop</t>
  </si>
  <si>
    <t>turkish deep house</t>
  </si>
  <si>
    <t>turkish edm</t>
  </si>
  <si>
    <t>swedish synthpop</t>
  </si>
  <si>
    <t>electra</t>
  </si>
  <si>
    <t>dubstep</t>
  </si>
  <si>
    <t>gaming dubstep</t>
  </si>
  <si>
    <t>basshall</t>
  </si>
  <si>
    <t>turkish trap</t>
  </si>
  <si>
    <t>turkish trap pop</t>
  </si>
  <si>
    <t>breton folk</t>
  </si>
  <si>
    <t>french punk</t>
  </si>
  <si>
    <t>french rock</t>
  </si>
  <si>
    <t>hands up</t>
  </si>
  <si>
    <t>doomcore</t>
  </si>
  <si>
    <t>carnaval</t>
  </si>
  <si>
    <t>deep uplifting trance</t>
  </si>
  <si>
    <t>mexican edm</t>
  </si>
  <si>
    <t>trance mexicano</t>
  </si>
  <si>
    <t>japanese post-hardcore</t>
  </si>
  <si>
    <t>dark hardcore</t>
  </si>
  <si>
    <t>deep happy hardcore</t>
  </si>
  <si>
    <t>deathstep</t>
  </si>
  <si>
    <t>filthstep</t>
  </si>
  <si>
    <t>trance brasileiro</t>
  </si>
  <si>
    <t>indonesian edm</t>
  </si>
  <si>
    <t>Playlist</t>
  </si>
  <si>
    <t>Soirée</t>
  </si>
  <si>
    <t>Trip To Mars (Astronauts)</t>
  </si>
  <si>
    <t>Sub Zero Project</t>
  </si>
  <si>
    <t>euphoric hardstyle,rawstyle</t>
  </si>
  <si>
    <t>GO STUPID</t>
  </si>
  <si>
    <t>Sickmode</t>
  </si>
  <si>
    <t>Supa Dupa Fly</t>
  </si>
  <si>
    <t>Da Tweekaz,666</t>
  </si>
  <si>
    <t>classic hardstyle,euphoric hardstyle,rawstyle,bubble trance,bubblegum dance,eurodance,europop,german techno,hip house</t>
  </si>
  <si>
    <t>Wanna Stay</t>
  </si>
  <si>
    <t>Incredible (feat. Insali)</t>
  </si>
  <si>
    <t>Frontliner,Insali</t>
  </si>
  <si>
    <t>Neo Tokyo</t>
  </si>
  <si>
    <t>Naeleck,Kan Takahiko</t>
  </si>
  <si>
    <t>In The Dark</t>
  </si>
  <si>
    <t>Warface</t>
  </si>
  <si>
    <t>rawstyle,xtra raw</t>
  </si>
  <si>
    <t>Primal Energy (Haunted Grounds)</t>
  </si>
  <si>
    <t>Ghost Stories,D-Block &amp; S-te-Fan</t>
  </si>
  <si>
    <t>euphoric hardstyle,classic hardstyle,rawstyle</t>
  </si>
  <si>
    <t>Out Of The Shadows</t>
  </si>
  <si>
    <t>Da Tweekaz,Hard Driver,Coone</t>
  </si>
  <si>
    <t>Party At My Place - Vertile remix</t>
  </si>
  <si>
    <t>D-Sturb,Alee,Vertile</t>
  </si>
  <si>
    <t>classic hardstyle,frenchcore,rawstyle,xtra raw,hardstyle</t>
  </si>
  <si>
    <t>Gangster For Life - Cryex Remix</t>
  </si>
  <si>
    <t>Act of Rage,Cryex</t>
  </si>
  <si>
    <t>rawstyle,hardstyle</t>
  </si>
  <si>
    <t>By The Sword</t>
  </si>
  <si>
    <t>TOO COLD</t>
  </si>
  <si>
    <t>Sickmode,Rooler</t>
  </si>
  <si>
    <t>Rave Culture 2022</t>
  </si>
  <si>
    <t>Brutal 9.0</t>
  </si>
  <si>
    <t>Radical Redemption</t>
  </si>
  <si>
    <t>Feel It!</t>
  </si>
  <si>
    <t>D-Block &amp; S-te-Fan,D-Sturb</t>
  </si>
  <si>
    <t>classic hardstyle,euphoric hardstyle,rawstyle,frenchcore,xtra raw</t>
  </si>
  <si>
    <t>Inside My Head</t>
  </si>
  <si>
    <t>Countdown - Radical Redemption Remix</t>
  </si>
  <si>
    <t>TNT,Technoboy,Radical Redemption</t>
  </si>
  <si>
    <t>Mellow</t>
  </si>
  <si>
    <t>Showtek,Technoboy,Tuneboy</t>
  </si>
  <si>
    <t>Here To Stay</t>
  </si>
  <si>
    <t>My Beautiful Fantasy</t>
  </si>
  <si>
    <t>Phuture Noize,B-Front</t>
  </si>
  <si>
    <t>australian dance,classic hardstyle,euphoric hardstyle,rawstyle,hardstyle</t>
  </si>
  <si>
    <t>Falling Angels</t>
  </si>
  <si>
    <t>Virtual Gaming - Gammer Remix</t>
  </si>
  <si>
    <t>Gammer,Naeleck,Hige Driver</t>
  </si>
  <si>
    <t>electro house,happy hardcore,hardcore techno,electro</t>
  </si>
  <si>
    <t>Paradise</t>
  </si>
  <si>
    <t>Toneshifterz,Firelite</t>
  </si>
  <si>
    <t>classic hardstyle,euphoric hardstyle,hardstyle,rawstyle</t>
  </si>
  <si>
    <t>Firestone</t>
  </si>
  <si>
    <t>Gunz For Hire,Ava Silver</t>
  </si>
  <si>
    <t>Take Me Away</t>
  </si>
  <si>
    <t>Nicky Vuitton,Audrey Callahan</t>
  </si>
  <si>
    <t>Legend</t>
  </si>
  <si>
    <t>Tevvez</t>
  </si>
  <si>
    <t>Primal Energy (Defqon.1 2020 Anthem)</t>
  </si>
  <si>
    <t>D-Block &amp; S-te-Fan</t>
  </si>
  <si>
    <t>Silence - Brennan Heart Remix</t>
  </si>
  <si>
    <t>Delerium,Sarah McLachlan,Brennan Heart</t>
  </si>
  <si>
    <t>trance,canadian pop,canadian singer-songwriter,ectofolk,lilith,permanent wave,pop rock,classic hardstyle,euphoric hardstyle,rawstyle</t>
  </si>
  <si>
    <t>Popcorn</t>
  </si>
  <si>
    <t>Outsiders,Bass Chaserz,Anita Doth</t>
  </si>
  <si>
    <t>nederlandse hardstyle,carnaval,rawstyle</t>
  </si>
  <si>
    <t>Rave Love</t>
  </si>
  <si>
    <t>W&amp;W,AXMO,SONJA</t>
  </si>
  <si>
    <t>big room,dutch trance,edm,electro house,pop dance,deep big room</t>
  </si>
  <si>
    <t>Animal In Me</t>
  </si>
  <si>
    <t>Da Tweekaz,Sound Rush,XCEPTION</t>
  </si>
  <si>
    <t>Ride With Me (feat. Kid Ink) - Brennan Heart Remix</t>
  </si>
  <si>
    <t>Tungevaag,Kid Ink,Brennan Heart</t>
  </si>
  <si>
    <t>big room,dance pop,edm,electro house,nordic house,pop dance,tropical house,hip hop,pop rap,rap,southern hip hop,trap,classic hardstyle,euphoric hardstyle,rawstyle</t>
  </si>
  <si>
    <t>No Paradise</t>
  </si>
  <si>
    <t>Darkness Disappears</t>
  </si>
  <si>
    <t>Rebourne,Niclas Lundin</t>
  </si>
  <si>
    <t>australian dance,classic hardstyle,euphoric hardstyle,hardstyle,rawstyle</t>
  </si>
  <si>
    <t>Take It All - Headhunterz Remix</t>
  </si>
  <si>
    <t>Sound Rush,Headhunterz</t>
  </si>
  <si>
    <t>classic hardstyle,euphoric hardstyle,rawstyle,melbourne bounce international</t>
  </si>
  <si>
    <t>On My Own</t>
  </si>
  <si>
    <t>Vertile</t>
  </si>
  <si>
    <t>A Thousand Journeys</t>
  </si>
  <si>
    <t>Lions</t>
  </si>
  <si>
    <t>Irrenhaus</t>
  </si>
  <si>
    <t>Harris &amp; Ford,Outsiders</t>
  </si>
  <si>
    <t>partyschlager,nederlandse hardstyle</t>
  </si>
  <si>
    <t>I Like It</t>
  </si>
  <si>
    <t>Crude Intentions,Ruthless</t>
  </si>
  <si>
    <t>Beat Of The Drum</t>
  </si>
  <si>
    <t>Coone</t>
  </si>
  <si>
    <t>An Idea Never Dies (X-Qlusive OST)</t>
  </si>
  <si>
    <t>Phuture Noize</t>
  </si>
  <si>
    <t>australian dance,classic hardstyle,euphoric hardstyle,rawstyle</t>
  </si>
  <si>
    <t>Thunder</t>
  </si>
  <si>
    <t>Shake The Ground</t>
  </si>
  <si>
    <t>Wildstylez,Noubya</t>
  </si>
  <si>
    <t>All Or Nothing</t>
  </si>
  <si>
    <t>Atmozfears,Code Black,Toneshifterz</t>
  </si>
  <si>
    <t>classic hardstyle,euphoric hardstyle,rawstyle,hardstyle</t>
  </si>
  <si>
    <t>Wonder</t>
  </si>
  <si>
    <t>TNT,Darren Styles</t>
  </si>
  <si>
    <t>euphoric hardstyle,happy hardcore,hardcore techno</t>
  </si>
  <si>
    <t>Harder State Of Mind</t>
  </si>
  <si>
    <t>D-Block &amp; S-te-Fan,DJ Isaac</t>
  </si>
  <si>
    <t>Fine Day</t>
  </si>
  <si>
    <t>Coone,Brennan Heart</t>
  </si>
  <si>
    <t>Gung</t>
  </si>
  <si>
    <t>TNT,Technoboy,Tuneboy</t>
  </si>
  <si>
    <t>Burning - JNXD Remix</t>
  </si>
  <si>
    <t>Frequencerz,JNXD</t>
  </si>
  <si>
    <t>Hurricane</t>
  </si>
  <si>
    <t>Danse Macabre - Kan Takahiko Remix</t>
  </si>
  <si>
    <t>Naeleck,Oddity</t>
  </si>
  <si>
    <t>Making Memories</t>
  </si>
  <si>
    <t>JDX</t>
  </si>
  <si>
    <t>classic hardstyle,hardstyle,rawstyle</t>
  </si>
  <si>
    <t>March Of The LG</t>
  </si>
  <si>
    <t>Dimatik,BDN,GRN</t>
  </si>
  <si>
    <t>Pum Pum - Da Tweekaz Remix</t>
  </si>
  <si>
    <t>Showtek,Sevenn,Da Tweekaz</t>
  </si>
  <si>
    <t>classic hardstyle,edm,electro house,euphoric hardstyle,pop dance,progressive electro house,brazilian edm,rawstyle</t>
  </si>
  <si>
    <t>Loud - Radio Edit</t>
  </si>
  <si>
    <t>Frontliner,John Harris</t>
  </si>
  <si>
    <t>classic hardstyle,euphoric hardstyle,rawstyle,jug band</t>
  </si>
  <si>
    <t>Superman</t>
  </si>
  <si>
    <t>Coone,Jelle van Dael</t>
  </si>
  <si>
    <t>BASE</t>
  </si>
  <si>
    <t>Sub Zero Project,E-Life</t>
  </si>
  <si>
    <t>euphoric hardstyle,rawstyle,dutch hip hop</t>
  </si>
  <si>
    <t>Lose My Mind - Radio Edit</t>
  </si>
  <si>
    <t>Wildstylez,Brennan Heart</t>
  </si>
  <si>
    <t>Angels &amp; Demons</t>
  </si>
  <si>
    <t>Imaginary</t>
  </si>
  <si>
    <t>Brennan Heart,Jonathan Mendelsohn</t>
  </si>
  <si>
    <t>Anywhere (feat. Andrew Galucki) - Hard Mix</t>
  </si>
  <si>
    <t>LNY TNZ,Andrew Galucki</t>
  </si>
  <si>
    <t>rawstyle,folk-pop</t>
  </si>
  <si>
    <t>You</t>
  </si>
  <si>
    <t>Jacob Tillberg</t>
  </si>
  <si>
    <t>Release - Radio Edit</t>
  </si>
  <si>
    <t>Atmozfears,David Spekter</t>
  </si>
  <si>
    <t>classic hardstyle,euphoric hardstyle,rawstyle,canadian pop</t>
  </si>
  <si>
    <t>World Is Mine</t>
  </si>
  <si>
    <t>Audiotricz,Villain</t>
  </si>
  <si>
    <t>Nightmare Nirvana</t>
  </si>
  <si>
    <t>Sub Zero Project,Diandra Faye</t>
  </si>
  <si>
    <t>Dragonborn part 3 (Oceans Apart)</t>
  </si>
  <si>
    <t>Rave Into Space</t>
  </si>
  <si>
    <t>Won't Hold Me Down (Gravity)</t>
  </si>
  <si>
    <t>Brennan Heart,Trevor Guthrie</t>
  </si>
  <si>
    <t>Luminosity</t>
  </si>
  <si>
    <t>Project One</t>
  </si>
  <si>
    <t>classic hardstyle,euphoric hardstyle,frenchcore,rawstyle</t>
  </si>
  <si>
    <t>Imagine</t>
  </si>
  <si>
    <t>Bass Modulators</t>
  </si>
  <si>
    <t>See You</t>
  </si>
  <si>
    <t>Sound Rush,Hard Driver,Maikki</t>
  </si>
  <si>
    <t>Paper Thin - Headhunterz Remix</t>
  </si>
  <si>
    <t>ILLENIUM,Tom DeLonge,Angels &amp; Airwaves,Headhunterz</t>
  </si>
  <si>
    <t>edm,melodic dubstep,pop,pop dance,tropical house,san diego indie,pop punk,socal pop punk,classic hardstyle,euphoric hardstyle,melbourne bounce international,rawstyle</t>
  </si>
  <si>
    <t>We Go Up - Da Tweekaz Remix</t>
  </si>
  <si>
    <t>LNY TNZ,Da Tweekaz</t>
  </si>
  <si>
    <t>rawstyle,classic hardstyle,euphoric hardstyle</t>
  </si>
  <si>
    <t>Us Against The World (Da Tweekaz Remix)</t>
  </si>
  <si>
    <t>Darren Styles,Da Tweekaz</t>
  </si>
  <si>
    <t>happy hardcore,hardcore techno,classic hardstyle,euphoric hardstyle,rawstyle</t>
  </si>
  <si>
    <t>Promised Land</t>
  </si>
  <si>
    <t>Front 2 Back</t>
  </si>
  <si>
    <t>LNY TNZ,Crystal Lake</t>
  </si>
  <si>
    <t>See Me Now (Da Tweekaz Remix) - Radio Version</t>
  </si>
  <si>
    <t>I Am a Raver (Reborn)</t>
  </si>
  <si>
    <t>Dimatik,DJ Rankin</t>
  </si>
  <si>
    <t>Halos - Edit</t>
  </si>
  <si>
    <t>I'm With You</t>
  </si>
  <si>
    <t>Da Tweekaz,Gammer</t>
  </si>
  <si>
    <t>classic hardstyle,euphoric hardstyle,rawstyle,electro house,happy hardcore,hardcore techno</t>
  </si>
  <si>
    <t>Wildfire - Adaro Remix</t>
  </si>
  <si>
    <t>Re-Style,Adaro</t>
  </si>
  <si>
    <t>frenchcore,gabba,happy hardcore,hardcore techno,classic hardstyle,rawstyle</t>
  </si>
  <si>
    <t>Ghost Stories</t>
  </si>
  <si>
    <t>D-Block &amp; S-te-Fan,Ghost Stories</t>
  </si>
  <si>
    <t>Snatch</t>
  </si>
  <si>
    <t>Bassjackers</t>
  </si>
  <si>
    <t>dutch house,edm,electro house,pop dance,progressive electro house</t>
  </si>
  <si>
    <t>Live The Moment</t>
  </si>
  <si>
    <t>JDX,Sarah Maria</t>
  </si>
  <si>
    <t>Music Made Addict</t>
  </si>
  <si>
    <t>Tonight - Alpha2 RMX</t>
  </si>
  <si>
    <t>Lose My Mind</t>
  </si>
  <si>
    <t>Brennan Heart,Wildstylez</t>
  </si>
  <si>
    <t>Scrap Attack (Defqon.1 Anthem 2009)</t>
  </si>
  <si>
    <t>Rock Civilization</t>
  </si>
  <si>
    <t>No Fear</t>
  </si>
  <si>
    <t>Adaro,Phrantic,LXCPR</t>
  </si>
  <si>
    <t>classic hardstyle,rawstyle,hardstyle</t>
  </si>
  <si>
    <t>Intents HighScore (Official Intents Festival 2022 Anthem)</t>
  </si>
  <si>
    <t>Da Tweekaz,Warface</t>
  </si>
  <si>
    <t>classic hardstyle,euphoric hardstyle,rawstyle,xtra raw</t>
  </si>
  <si>
    <t>Partystarter</t>
  </si>
  <si>
    <t>We Are The Storm</t>
  </si>
  <si>
    <t>Ran-D,Sound Rush,LePrince</t>
  </si>
  <si>
    <t>SCK - Radio Edit</t>
  </si>
  <si>
    <t>Satchmo</t>
  </si>
  <si>
    <t>My Mother Told Me</t>
  </si>
  <si>
    <t>Dimatik,Und3rsound</t>
  </si>
  <si>
    <t>Mystique</t>
  </si>
  <si>
    <t>Magic</t>
  </si>
  <si>
    <t>B-Front,Frontliner</t>
  </si>
  <si>
    <t>Mantra</t>
  </si>
  <si>
    <t>Sound Rush,LXCPR</t>
  </si>
  <si>
    <t>Lose You</t>
  </si>
  <si>
    <t>Gammer,Tweekacore,Da Tweekaz</t>
  </si>
  <si>
    <t>electro house,happy hardcore,hardcore techno,classic hardstyle,euphoric hardstyle,rawstyle</t>
  </si>
  <si>
    <t>Bounce Back</t>
  </si>
  <si>
    <t>LNY TNZ,Crude Intentions,MC Jeff</t>
  </si>
  <si>
    <t>We Are The Champions</t>
  </si>
  <si>
    <t>Psyko Punkz</t>
  </si>
  <si>
    <t>(Not) Going Home - Harder Mix</t>
  </si>
  <si>
    <t>LNY TNZ</t>
  </si>
  <si>
    <t>Next Generation (Hard Mix)</t>
  </si>
  <si>
    <t>Will Sparks,Firelite</t>
  </si>
  <si>
    <t>big room,edm,electro house,melbourne bounce,melbourne bounce international,pop dance,euphoric hardstyle,hardstyle,rawstyle</t>
  </si>
  <si>
    <t>Lost In Paradise - Edit</t>
  </si>
  <si>
    <t>Max Enforcer</t>
  </si>
  <si>
    <t>Losing Myself</t>
  </si>
  <si>
    <t>Ruthless,Crude Intentions</t>
  </si>
  <si>
    <t>No Guts No Glory (Defqon.1 Anthem 2015) - Edit</t>
  </si>
  <si>
    <t>Ran-D,Skits Vicious</t>
  </si>
  <si>
    <t>Stronger &amp; Better</t>
  </si>
  <si>
    <t>See The Light</t>
  </si>
  <si>
    <t>Noisecontrollers,Bass Modulators</t>
  </si>
  <si>
    <t>SHOTJEE</t>
  </si>
  <si>
    <t>Da Tweekaz,Bassbrain</t>
  </si>
  <si>
    <t>Renaissance Of Rave</t>
  </si>
  <si>
    <t>One - Album Edit</t>
  </si>
  <si>
    <t>Wildstylez,E-Life,Noah Jacobs</t>
  </si>
  <si>
    <t>classic hardstyle,euphoric hardstyle,rawstyle,dutch hip hop</t>
  </si>
  <si>
    <t>In Control</t>
  </si>
  <si>
    <t>Rebelion</t>
  </si>
  <si>
    <t>Love</t>
  </si>
  <si>
    <t>Physika</t>
  </si>
  <si>
    <t>Trailblazer</t>
  </si>
  <si>
    <t>Radical Redemption,Nolz</t>
  </si>
  <si>
    <t>Sefa,D-Block &amp; S-te-Fan</t>
  </si>
  <si>
    <t>frenchcore,tekk,uptempo hardcore,classic hardstyle,euphoric hardstyle,rawstyle</t>
  </si>
  <si>
    <t>Live For The Night</t>
  </si>
  <si>
    <t>Dimatik,Firelite</t>
  </si>
  <si>
    <t>classic hardstyle,melbourne bounce international,euphoric hardstyle,hardstyle,rawstyle</t>
  </si>
  <si>
    <t>outta my head</t>
  </si>
  <si>
    <t>Atmozfears</t>
  </si>
  <si>
    <t>Down To The Wire</t>
  </si>
  <si>
    <t>Hard Driver</t>
  </si>
  <si>
    <t>Horrorshow</t>
  </si>
  <si>
    <t>Killshot</t>
  </si>
  <si>
    <t>rawstyle,uptempo hardcore</t>
  </si>
  <si>
    <t>Losing Control</t>
  </si>
  <si>
    <t>Luxho</t>
  </si>
  <si>
    <t>155</t>
  </si>
  <si>
    <t>Down Here</t>
  </si>
  <si>
    <t>Trye</t>
  </si>
  <si>
    <t>A.I.</t>
  </si>
  <si>
    <t>Rebelion,Micah Martin</t>
  </si>
  <si>
    <t>OMG</t>
  </si>
  <si>
    <t>Outlaws</t>
  </si>
  <si>
    <t>Inpulsa,KIMM,Dirty Workz</t>
  </si>
  <si>
    <t>deep talent show</t>
  </si>
  <si>
    <t>Party Don't Stop</t>
  </si>
  <si>
    <t>Darren Styles,Dougal,Gammer</t>
  </si>
  <si>
    <t>happy hardcore,hardcore techno,electro house</t>
  </si>
  <si>
    <t>Surrender - Hixxy Remix</t>
  </si>
  <si>
    <t>Darude,Ashley Wallbridge,Foux,Hixxy</t>
  </si>
  <si>
    <t>eurodance,europop,finnish edm,trance,pop dance,progressive house,progressive trance,uplifting trance,happy hardcore,hardcore techno</t>
  </si>
  <si>
    <t>Insomnia</t>
  </si>
  <si>
    <t>Awaken</t>
  </si>
  <si>
    <t>Cold Confusion</t>
  </si>
  <si>
    <t>Soulbound</t>
  </si>
  <si>
    <t>B-Front,Ecstatic,MERYLL</t>
  </si>
  <si>
    <t>We Got The Fire</t>
  </si>
  <si>
    <t>Refuzion,Serzo</t>
  </si>
  <si>
    <t>classic hardstyle,euphoric hardstyle,hardstyle</t>
  </si>
  <si>
    <t>Slow</t>
  </si>
  <si>
    <t>Zyon</t>
  </si>
  <si>
    <t>Spell On You</t>
  </si>
  <si>
    <t>Be Alive</t>
  </si>
  <si>
    <t>The Silence (Of My Sins)</t>
  </si>
  <si>
    <t>Searching For Love</t>
  </si>
  <si>
    <t>Ruthless,Luca Rezza</t>
  </si>
  <si>
    <t>The Future</t>
  </si>
  <si>
    <t>Pulseraiser</t>
  </si>
  <si>
    <t>Oasis</t>
  </si>
  <si>
    <t>Firelite</t>
  </si>
  <si>
    <t>The Reawakening (Qlimax 2021 Anthem)</t>
  </si>
  <si>
    <t>Ran-D,Charlotte Wessels</t>
  </si>
  <si>
    <t>Feel Inside</t>
  </si>
  <si>
    <t>Circles And Squares</t>
  </si>
  <si>
    <t>The Hymn Of Nivoria</t>
  </si>
  <si>
    <t>NIVIRO</t>
  </si>
  <si>
    <t>Man On The Moon</t>
  </si>
  <si>
    <t>Darren Styles,Stonebank</t>
  </si>
  <si>
    <t>happy hardcore,hardcore techno,brostep,edm,electro house,gaming edm</t>
  </si>
  <si>
    <t>White Lines</t>
  </si>
  <si>
    <t>Fairy Dynasty</t>
  </si>
  <si>
    <t>Inquisitive</t>
  </si>
  <si>
    <t>singaporean electronic</t>
  </si>
  <si>
    <t>Maniac</t>
  </si>
  <si>
    <t>Sound Of Legend</t>
  </si>
  <si>
    <t>francoton,french pop,new french touch,tropical house</t>
  </si>
  <si>
    <t>Trompeta</t>
  </si>
  <si>
    <t>Willy William</t>
  </si>
  <si>
    <t>El Incomprendido</t>
  </si>
  <si>
    <t>Farruko,Victor Cardenas,Dj Adoni</t>
  </si>
  <si>
    <t>Suavemente</t>
  </si>
  <si>
    <t>Soolking</t>
  </si>
  <si>
    <t>francoton,french hip hop,pop urbaine,rap algerien,rap tunisien</t>
  </si>
  <si>
    <t>Friendships (Lost My Love)</t>
  </si>
  <si>
    <t>Pascal Letoublon,Leony</t>
  </si>
  <si>
    <t>Calm Down</t>
  </si>
  <si>
    <t>Rema</t>
  </si>
  <si>
    <t>nigerian pop</t>
  </si>
  <si>
    <t>Happy Ending (feat. Voice Impact &amp; Yazik)</t>
  </si>
  <si>
    <t>Crystal Rock,Marc Kiss,Pule,Voice Impact,Yazik</t>
  </si>
  <si>
    <t>slap house,german dance</t>
  </si>
  <si>
    <t>We Could Be Together (feat. Daddy DJ)</t>
  </si>
  <si>
    <t>Gabry Ponte,LUM!X,Daddy DJ</t>
  </si>
  <si>
    <t>edm,eurodance,italo dance,pop dance,slap house,melbourne bounce international,bubblegum dance,europop</t>
  </si>
  <si>
    <t>Give It to Me</t>
  </si>
  <si>
    <t>Deep Down (feat. Never Dull)</t>
  </si>
  <si>
    <t>Alok,Ella Eyre,Kenny Dope,Never Dull</t>
  </si>
  <si>
    <t>electro house,pop nacional,slap house,dance pop,pop,pop dance,post-teen pop,tropical house,uk pop,deep house,soulful house,disco house,funky house</t>
  </si>
  <si>
    <t>Heaven Takes You Home (feat. Connie Constance)</t>
  </si>
  <si>
    <t>Swedish House Mafia,Connie Constance</t>
  </si>
  <si>
    <t>edm,pop,pop dance,progressive electro house,uk contemporary r&amp;b</t>
  </si>
  <si>
    <t>Clic clic pan pan</t>
  </si>
  <si>
    <t>Yanns</t>
  </si>
  <si>
    <t>After Party</t>
  </si>
  <si>
    <t>Alex Sensation,Farruko,Prince Royce,Mariah Angeliq,Kevin Lyttle</t>
  </si>
  <si>
    <t>latin,latin pop,reggaeton,reggaeton flow,trap latino,latin hip hop,bachata,rap latina,soca,vincy soca</t>
  </si>
  <si>
    <t>Disco Maghreb</t>
  </si>
  <si>
    <t>DJ Snake</t>
  </si>
  <si>
    <t>dance pop,edm,electronic trap,pop,pop dance,pop rap</t>
  </si>
  <si>
    <t>Stay the Night</t>
  </si>
  <si>
    <t>Sigala,Talia Mar</t>
  </si>
  <si>
    <t>dance pop,edm,house,pop,pop dance,tropical house,social media pop</t>
  </si>
  <si>
    <t>21 Reasons (feat. Ella Henderson)</t>
  </si>
  <si>
    <t>Nathan Dawe,Ella Henderson</t>
  </si>
  <si>
    <t>dance pop,house,pop dance,tropical house,uk dance,pop,talent show,uk pop</t>
  </si>
  <si>
    <t>In My Head</t>
  </si>
  <si>
    <t>Lil Tjay</t>
  </si>
  <si>
    <t>brooklyn drill,melodic rap,nyc rap</t>
  </si>
  <si>
    <t>Envolver</t>
  </si>
  <si>
    <t>Anitta</t>
  </si>
  <si>
    <t>funk carioca,funk pop,pagode baiano,pop nacional</t>
  </si>
  <si>
    <t>Pass the Dutchie</t>
  </si>
  <si>
    <t>Musical Youth</t>
  </si>
  <si>
    <t>uk reggae</t>
  </si>
  <si>
    <t>Bam Bam (feat. Ed Sheeran)</t>
  </si>
  <si>
    <t>Camila Cabello,Ed Sheeran</t>
  </si>
  <si>
    <t>dance pop,pop,post-teen pop,uk pop</t>
  </si>
  <si>
    <t>Emiliana</t>
  </si>
  <si>
    <t>CKay</t>
  </si>
  <si>
    <t>afro r&amp;b</t>
  </si>
  <si>
    <t>Why Why Why</t>
  </si>
  <si>
    <t>Dynoro,HVME,Gaudini</t>
  </si>
  <si>
    <t>edm,electro house,pop dance,tropical house,slap house</t>
  </si>
  <si>
    <t>4U</t>
  </si>
  <si>
    <t>Ofenbach</t>
  </si>
  <si>
    <t>dance pop,edm,electro house,new french touch,pop,pop dance,tropical house</t>
  </si>
  <si>
    <t>Questions</t>
  </si>
  <si>
    <t>Lost Frequencies,James Arthur</t>
  </si>
  <si>
    <t>belgian edm,edm,pop,pop dance,tropical house,talent show,uk pop</t>
  </si>
  <si>
    <t>LA FAMA (with The Weeknd)</t>
  </si>
  <si>
    <t>ROSALÍA,The Weeknd</t>
  </si>
  <si>
    <t>r&amp;b en espanol,canadian contemporary r&amp;b,canadian pop,pop</t>
  </si>
  <si>
    <t>Ojitos Lindos</t>
  </si>
  <si>
    <t>Bad Bunny,Bomba Estéreo</t>
  </si>
  <si>
    <t>latin,reggaeton,trap latino,cumbia,latin alternative,pop electronico,tropical alternativo</t>
  </si>
  <si>
    <t>Where Did You Go? (feat. MNEK)</t>
  </si>
  <si>
    <t>Baila Pa Mi</t>
  </si>
  <si>
    <t>Lucenzo</t>
  </si>
  <si>
    <t>francoton,french pop,reggaeton</t>
  </si>
  <si>
    <t>UP</t>
  </si>
  <si>
    <t>INNA,Sean Paul</t>
  </si>
  <si>
    <t>dance pop,romanian house,romanian pop,dancehall,pop,pop rap</t>
  </si>
  <si>
    <t>Young Right Now</t>
  </si>
  <si>
    <t>Robin Schulz,Dennis Lloyd</t>
  </si>
  <si>
    <t>dance pop,deep euro house,deep house,edm,german dance,pop,pop dance,tropical house,israeli pop</t>
  </si>
  <si>
    <t>Peru</t>
  </si>
  <si>
    <t>Fireboy DML,Ed Sheeran</t>
  </si>
  <si>
    <t>afro dancehall,pop,uk pop</t>
  </si>
  <si>
    <t>Te Felicito</t>
  </si>
  <si>
    <t>Shakira,Rauw Alejandro</t>
  </si>
  <si>
    <t>colombian pop,dance pop,latin,latin pop,pop,puerto rican pop,trap latino</t>
  </si>
  <si>
    <t>Remedy</t>
  </si>
  <si>
    <t>Leony</t>
  </si>
  <si>
    <t>Savage</t>
  </si>
  <si>
    <t>Tiësto,Deorro</t>
  </si>
  <si>
    <t>big room,brostep,dance pop,dutch edm,edm,house,pop,pop dance,slap house,trance,tropical house,electro house,melbourne bounce,melbourne bounce international,progressive electro house</t>
  </si>
  <si>
    <t>The Carnival</t>
  </si>
  <si>
    <t>Aazar,French Montana,Mariah Angeliq,ZAAC,Dany Synthé</t>
  </si>
  <si>
    <t>electro house,electronic trap,gangster rap,hip hop,pop rap,rap,southern hip hop,trap,latin pop,rap latina,reggaeton,trap latino,funk carioca,funk pop</t>
  </si>
  <si>
    <t>Perfect Melody</t>
  </si>
  <si>
    <t>Jonas Blue,Julian Perretta</t>
  </si>
  <si>
    <t>dance pop,edm,pop,pop dance,tropical house,uk dance,francoton,uk pop</t>
  </si>
  <si>
    <t>So Sick</t>
  </si>
  <si>
    <t>Jubël</t>
  </si>
  <si>
    <t>dance pop,deep house,pop dance,swedish pop,tropical house</t>
  </si>
  <si>
    <t>1, 2, 3 (feat. Jason Derulo &amp; De La Ghetto)</t>
  </si>
  <si>
    <t>Sofía Reyes,Jason Derulo,De La Ghetto</t>
  </si>
  <si>
    <t>dance pop,latin,latin pop,mexican pop,pop,reggaeton,trap latino,pop rap,post-teen pop,latin hip hop,reggaeton flow</t>
  </si>
  <si>
    <t>PROVENZA</t>
  </si>
  <si>
    <t>KAROL G</t>
  </si>
  <si>
    <t>latin,reggaeton,reggaeton colombiano</t>
  </si>
  <si>
    <t>WATAWI (feat. Davido, Focalistic &amp; Abidoza) - Edit</t>
  </si>
  <si>
    <t>CKay,Focalistic,Davido,Abidoza</t>
  </si>
  <si>
    <t>afro r&amp;b,amapiano,afropop,ghanaian hip hop,nigerian pop</t>
  </si>
  <si>
    <t>Moscow Mule</t>
  </si>
  <si>
    <t>Bad Bunny</t>
  </si>
  <si>
    <t>Words (feat. Zara Larsson)</t>
  </si>
  <si>
    <t>Alesso,Zara Larsson</t>
  </si>
  <si>
    <t>dance pop,edm,electro house,pop,pop dance,tropical house,electropop,post-teen pop,scandipop,swedish electropop,swedish pop</t>
  </si>
  <si>
    <t>Borderline</t>
  </si>
  <si>
    <t>Bob Sinclar,Nyv</t>
  </si>
  <si>
    <t>dance pop,disco house,edm,electro house,filter house,pop dance,tropical house,vocal house,italian pop</t>
  </si>
  <si>
    <t>Call Me (with R3HAB &amp; Timmy Trumpet)</t>
  </si>
  <si>
    <t>Gabry Ponte,R3HAB,Timmy Trumpet</t>
  </si>
  <si>
    <t>edm,eurodance,italo dance,pop dance,slap house,dance pop,dutch house,electro house,pop,progressive electro house,tropical house,australian dance,big room,melbourne bounce,melbourne bounce international</t>
  </si>
  <si>
    <t>John Summit</t>
  </si>
  <si>
    <t>dance pop,edm,electro house,pop,pop dance,pop edm,slap house,tropical house,gauze pop</t>
  </si>
  <si>
    <t>Flume,MAY-A</t>
  </si>
  <si>
    <t>australian dance,australian electropop,australian indie,downtempo,edm,australian alternative pop</t>
  </si>
  <si>
    <t>The Last Goodbye (feat. Bettye LaVette)</t>
  </si>
  <si>
    <t>ODESZA,Bettye LaVette</t>
  </si>
  <si>
    <t>chillwave,ninja,soul,soul blues</t>
  </si>
  <si>
    <t>125</t>
  </si>
  <si>
    <t>What Would You Do?</t>
  </si>
  <si>
    <t>Joel Corry,David Guetta,Bryson Tiller</t>
  </si>
  <si>
    <t>dance pop,edm,pop,pop dance,tropical house,uk dance,big room,pop rap,kentucky hip hop,r&amp;b,rap,trap</t>
  </si>
  <si>
    <t>Luude,Colin Hay</t>
  </si>
  <si>
    <t>aussietronica,neo mellow,solo wave</t>
  </si>
  <si>
    <t>Diplo,Miguel</t>
  </si>
  <si>
    <t>edm,electro house,house,moombahton,ninja,pop,pop dance,tropical house,dance pop,r&amp;b,urban contemporary</t>
  </si>
  <si>
    <t>CTRL + ALT + DEL</t>
  </si>
  <si>
    <t>Rêve</t>
  </si>
  <si>
    <t>Alan Walker,Benjamin Ingrosso</t>
  </si>
  <si>
    <t>electro house,swedish pop</t>
  </si>
  <si>
    <t>Gabry Ponte,LUM!X,Prezioso</t>
  </si>
  <si>
    <t>Signals</t>
  </si>
  <si>
    <t>Regard,Kwabs</t>
  </si>
  <si>
    <t>bass trap,brostep,edm,electro house,electronic trap,pop dance,dubstep</t>
  </si>
  <si>
    <t>Tell It To My Heart</t>
  </si>
  <si>
    <t>MEDUZA,Hozier</t>
  </si>
  <si>
    <t>edm,pop,pop dance,pop house,tropical house,irish singer-songwriter</t>
  </si>
  <si>
    <t>Cold Heart - PNAU Remix</t>
  </si>
  <si>
    <t>Elton John,Dua Lipa,PNAU</t>
  </si>
  <si>
    <t>glam rock,mellow gold,piano rock,dance pop,pop,uk pop,alternative dance,aussietronica,australian dance,australian electropop</t>
  </si>
  <si>
    <t>Anywhere With You</t>
  </si>
  <si>
    <t>Afrojack,Lucas &amp; Steve,DubVision</t>
  </si>
  <si>
    <t>big room,dance pop,dutch house,edm,electro house,pop dance,pop rap,progressive house,tropical house,pop edm,progressive electro house</t>
  </si>
  <si>
    <t>Follow Me</t>
  </si>
  <si>
    <t>Sam Feldt,Rita Ora</t>
  </si>
  <si>
    <t>dance pop,edm,electro house,pop,pop dance,pop edm,tropical house,pop rap,post-teen pop,uk pop</t>
  </si>
  <si>
    <t>Tell Me Something Good</t>
  </si>
  <si>
    <t>Ewan McVicar</t>
  </si>
  <si>
    <t>house,scottish techno</t>
  </si>
  <si>
    <t>Sweet Talker</t>
  </si>
  <si>
    <t>Years &amp; Years,Galantis</t>
  </si>
  <si>
    <t>dance pop,edm,gauze pop,pop,pop dance,tropical house,electro house</t>
  </si>
  <si>
    <t>I Wish (feat. Mabel)</t>
  </si>
  <si>
    <t>Joel Corry,Mabel</t>
  </si>
  <si>
    <t>dance pop,edm,pop,pop dance,tropical house,uk dance,post-teen pop,uk pop</t>
  </si>
  <si>
    <t>In Da Getto</t>
  </si>
  <si>
    <t>J Balvin,Skrillex</t>
  </si>
  <si>
    <t>latin,reggaeton,reggaeton colombiano,trap latino,brostep,complextro,edm,electro</t>
  </si>
  <si>
    <t>Black Magic</t>
  </si>
  <si>
    <t>Jonasu</t>
  </si>
  <si>
    <t>dutch edm,pop dance</t>
  </si>
  <si>
    <t>Talamanca</t>
  </si>
  <si>
    <t>BURNS</t>
  </si>
  <si>
    <t>house,la pop</t>
  </si>
  <si>
    <t>Give It To Me - Full Vocal Mix</t>
  </si>
  <si>
    <t>Matt Sassari</t>
  </si>
  <si>
    <t>french tech house,french techno</t>
  </si>
  <si>
    <t>Love Tonight - David Guetta Remix Edit</t>
  </si>
  <si>
    <t>Shouse,David Guetta</t>
  </si>
  <si>
    <t>aussietronica,big room,dance pop,edm,pop,pop dance,pop rap</t>
  </si>
  <si>
    <t>Rasputin</t>
  </si>
  <si>
    <t>Majestic,Boney M.</t>
  </si>
  <si>
    <t>house,pop dance,uk dance,europop</t>
  </si>
  <si>
    <t>Vibe</t>
  </si>
  <si>
    <t>Mike Candys</t>
  </si>
  <si>
    <t>edm,pop dance,pop house</t>
  </si>
  <si>
    <t>Sicko Drop</t>
  </si>
  <si>
    <t>KVSH,Schillist</t>
  </si>
  <si>
    <t>brazilian edm,trance brasileiro,brazilian bass</t>
  </si>
  <si>
    <t>Wasted Love (feat. Lagique)</t>
  </si>
  <si>
    <t>Ofenbach,Lagique</t>
  </si>
  <si>
    <t>Hardstyle</t>
  </si>
  <si>
    <t>Nocturne in E Flat Major, Op. 9 No. 2: II. Andante (E Flat major)</t>
  </si>
  <si>
    <t>Frédéric Chopin,Omario Baggeman,Jean Baudin Clarke</t>
  </si>
  <si>
    <t>classical,early romantic era,polish classical</t>
  </si>
  <si>
    <t>Moonlight Sonata (1st Movement)</t>
  </si>
  <si>
    <t>Betoven Collection</t>
  </si>
  <si>
    <t>Für Elise</t>
  </si>
  <si>
    <t>Nocturne in C-sharp minor, B.49 : Lento con gran espressione</t>
  </si>
  <si>
    <t>Frédéric Chopin,Maximilian Oberroither</t>
  </si>
  <si>
    <t>Suite Bergamasque, L. 75: III. Clair de lune</t>
  </si>
  <si>
    <t>Claude Debussy,Omario Baggeman,Jean Baudin Clarke</t>
  </si>
  <si>
    <t>classical,impressionism,post-romantic era</t>
  </si>
  <si>
    <t>Waltzes in C-sharp minor, Op.64: II. Tempo giusto</t>
  </si>
  <si>
    <t>Comptine d`un autre ete, l`apres-midi</t>
  </si>
  <si>
    <t>Yann Tiersen,Jean Baudin Clarke</t>
  </si>
  <si>
    <t>bow pop,compositional ambient,french soundtrack</t>
  </si>
  <si>
    <t>Moonlight Sonata (3rd Movement)</t>
  </si>
  <si>
    <t>River Flows In You</t>
  </si>
  <si>
    <t>Ryan Tenner</t>
  </si>
  <si>
    <t>piano cover</t>
  </si>
  <si>
    <t>Canon and Gigue in D major, P.37: I. Canon</t>
  </si>
  <si>
    <t>Johann Pachelbel,Omario Baggeman,Jean Baudin Clarke</t>
  </si>
  <si>
    <t>baroque,classical,german baroque</t>
  </si>
  <si>
    <t>La Valse d'Amélie</t>
  </si>
  <si>
    <t>Maximilian Oberroither</t>
  </si>
  <si>
    <t>Liebesträume, S.541 Liebestraum: III. Oh Lieb, so lang du lieben kannst</t>
  </si>
  <si>
    <t>Franz Liszt,Omario Baggeman,Jean Baudin Clarke</t>
  </si>
  <si>
    <t>classical,late romantic era</t>
  </si>
  <si>
    <t>Ständchen in D Minor, S. 560 (Trans. from Schwanengesang No. 4, D. 957)</t>
  </si>
  <si>
    <t>Franz Schubert,Franz Liszt,Maximilian Oberroither</t>
  </si>
  <si>
    <t>classical,classical era,early romantic era,late romantic era</t>
  </si>
  <si>
    <t>3 Gymnopédies: Gymnopédie No.1</t>
  </si>
  <si>
    <t>Erik Satie,Omario Baggeman,Jean Baudin Clarke</t>
  </si>
  <si>
    <t>classical,early avant garde,early modern classical,impressionism,post-romantic era</t>
  </si>
  <si>
    <t>Pavane pour une infante défunte, M. 19</t>
  </si>
  <si>
    <t>Maurice Ravel,Maximilian Oberroither</t>
  </si>
  <si>
    <t>classical,impressionism,neoclassicism,post-romantic era</t>
  </si>
  <si>
    <t>Kinderszenen in F Major, Op.15: VII. Träumerei</t>
  </si>
  <si>
    <t>Robert Schumann,Maximilian Oberroither</t>
  </si>
  <si>
    <t>classical,early romantic era,german romanticism</t>
  </si>
  <si>
    <t>Grandes études de Paganini Etude in G Sharp minor, S.141: III. La Campanella</t>
  </si>
  <si>
    <t>Franz Liszt,Maximilian Oberroither</t>
  </si>
  <si>
    <t>Lieder ohne Worte in F-Sharp Minor, Op.67: II. Allegro leggiero</t>
  </si>
  <si>
    <t>Felix Mendelssohn,Maximilian Oberroither</t>
  </si>
  <si>
    <t>2 Arabesques in E-Major, L.66: I. Andantino con moto</t>
  </si>
  <si>
    <t>Claude Debussy,Maximilian Oberroither</t>
  </si>
  <si>
    <t>Plus Tôt</t>
  </si>
  <si>
    <t>Alexandra Steliski,Jean Baudin Clarke</t>
  </si>
  <si>
    <t>Rêverie, L. 68</t>
  </si>
  <si>
    <t>Una Mattina</t>
  </si>
  <si>
    <t>Ludovico Einaudi,Jean Baudin Clarke</t>
  </si>
  <si>
    <t>bow pop,compositional ambient,neo-classical</t>
  </si>
  <si>
    <t>Piano Sonata No.11 in A-Major, K.331/300i: III. Alla Turca</t>
  </si>
  <si>
    <t>Wolfgang Amadeus Mozart,Maximilian Oberroither</t>
  </si>
  <si>
    <t>classical,classical era</t>
  </si>
  <si>
    <t>Lieder ohne Worte in F-Sharp Minor, Book 2 Op.30 Venetianisches Gondellied: VI. Allegretto tranquillo</t>
  </si>
  <si>
    <t>Rondo a capriccio in G Major, Op.129: Die Wut über den verlorenen Groschen</t>
  </si>
  <si>
    <t>Ludwig van Beethoven,Maximilian Oberroither</t>
  </si>
  <si>
    <t>classical,classical era,early romantic era,german romanticism</t>
  </si>
  <si>
    <t>Piano Sonata No.17 in D Minor, Op.31 No.2 The Tempest: III. Allegretto</t>
  </si>
  <si>
    <t>Nuvole Bianche</t>
  </si>
  <si>
    <t>Orcherstral Suite No.3 in D major, BWV 1068: II. Air</t>
  </si>
  <si>
    <t>Johann Sebastian Bach,Omario Baggeman,Jean Baudin Clarke</t>
  </si>
  <si>
    <t>baroque,classical,early music,german baroque</t>
  </si>
  <si>
    <t>Piano Sonata No.21 in C Major, Op.53 Waldstein: I. Allegro con brio</t>
  </si>
  <si>
    <t>Hungarian Rhapsody No.2 in C Sharp Minor, S.244/2</t>
  </si>
  <si>
    <t>Morceaux de fantaisie in C-Sharp Minor, Op.3: II. Prelude</t>
  </si>
  <si>
    <t>Sergei Rachmaninoff,Maximilian Oberroither</t>
  </si>
  <si>
    <t>classical,post-romantic era,russian romanticism,ukrainian classical</t>
  </si>
  <si>
    <t>Piano Sonata No.16 in C major, K.545 Sonata facile: I. Allegro</t>
  </si>
  <si>
    <t>Lieder ohne Worte in E-Minor, Op. 19 Sweet Remembrance: I. Andante con moto</t>
  </si>
  <si>
    <t>Prelude and Fugue in C major, BWV 846 Das wohltemperierte Klavier The Well Tempered Piano: Book 1. Prelude</t>
  </si>
  <si>
    <t>Piano Sonata No.8 in C Minor, Op.13 Pathétique: I. Grave - Allegro di molto e con brio</t>
  </si>
  <si>
    <t>Piano Sonata No.8 in C Minor, Op.13 Pathétique: II. Adagio Cantabile</t>
  </si>
  <si>
    <t>Piano Sonata No.8 in C Minor, Op.13 Pathétique: III. Rondo (Allegro)</t>
  </si>
  <si>
    <t>The Tale of Tsar Saltan, Op. 57 Flight of the Bumblebee</t>
  </si>
  <si>
    <t>Nikolai Rimsky-Korsakov,Maximilian Oberroither</t>
  </si>
  <si>
    <t>avant-garde,classical,late romantic era,russian romanticism</t>
  </si>
  <si>
    <t>Gnossienne: I. Lent</t>
  </si>
  <si>
    <t>Erik Satie,Danica Binx,Gerard Tahaud</t>
  </si>
  <si>
    <t>Gnossienne: II. Avec étonnement</t>
  </si>
  <si>
    <t>Gnossienne: III. Lent</t>
  </si>
  <si>
    <t>Jeu te veux</t>
  </si>
  <si>
    <t>4 Impromptus in A-Flat major, D.899: IV. Allegretto</t>
  </si>
  <si>
    <t>Franz Schubert,Danica Binx,Gerard Tahaud</t>
  </si>
  <si>
    <t>classical,classical era,early romantic era</t>
  </si>
  <si>
    <t>4 Impromptus in G Flat Major, D.899: III. Andante</t>
  </si>
  <si>
    <t>Fantaisie-impromptu in C-Sharp Minor, Op.66</t>
  </si>
  <si>
    <t>Frédéric Chopin,Danica Binx,Gerard Tahaud</t>
  </si>
  <si>
    <t>3 Pieces in C sharp minor, Op.2: I. Etude</t>
  </si>
  <si>
    <t>Alexander Scriabin,Danica Binx,Gerard Tahaud</t>
  </si>
  <si>
    <t>early modern classical,impressionism,late romantic era,russian romanticism</t>
  </si>
  <si>
    <t>Waltzes in D flat major, Op.64 Minuet Waltz: I. Molto vivace</t>
  </si>
  <si>
    <t>Minuet in G major, BWV Anh.114</t>
  </si>
  <si>
    <t>Christian Petzold,Danica Binx,Gerard Tahaud</t>
  </si>
  <si>
    <t>german baroque</t>
  </si>
  <si>
    <t>Serenade for Strings in E Major, Op. 22 B. 52: II. Tempo di valse</t>
  </si>
  <si>
    <t>Antonín Dvořák,Danica Binx,Gerard Tahaud</t>
  </si>
  <si>
    <t>classical,czech classical,late romantic era</t>
  </si>
  <si>
    <t>Peer Gynt Suite No.1, Op.46: I. Morning Mood</t>
  </si>
  <si>
    <t>Edvard Grieg,Danica Binx,Gerard Tahaud</t>
  </si>
  <si>
    <t>classical,late romantic era,norwegian classical</t>
  </si>
  <si>
    <t>Consolations, S.172: III. Lento placido</t>
  </si>
  <si>
    <t>Franz Liszt,Danica Binx,Gerard Tahaud</t>
  </si>
  <si>
    <t>Piano Sonata No.12 in F major, K.332/300k: II. Adagio</t>
  </si>
  <si>
    <t>Wolfgang Amadeus Mozart,Danica Binx,Gerard Tahaud</t>
  </si>
  <si>
    <t>Piano Concerto No.21 in C Major, K.467 Elvira Madigan: II. Andante</t>
  </si>
  <si>
    <t>The Nutcracker in E Minor, Op.71a Dance of the Sugar Plum Fairy: II. Danses caractéristiques b) Danse de la Fée-Dragée. Andante ma non troppo</t>
  </si>
  <si>
    <t>Pyotr Ilyich Tchaikovsky,Danica Binx,Gerard Tahaud</t>
  </si>
  <si>
    <t>classical,late romantic era,russian romanticism</t>
  </si>
  <si>
    <t>Piano Concerto in G major, M.83: II. Adagio assai</t>
  </si>
  <si>
    <t>Maurice Ravel,Danica Binx,Gerard Tahaud</t>
  </si>
  <si>
    <t>Liebeslied (Widmung), S. 566</t>
  </si>
  <si>
    <t>Robert Schumann,Franz Liszt,Danica Binx,Gerard Tahaud</t>
  </si>
  <si>
    <t>classical,early romantic era,german romanticism,late romantic era</t>
  </si>
  <si>
    <t>21 Hungarian Dances in F-Sharp Minor, WoO 1: V. Allegro</t>
  </si>
  <si>
    <t>Johannes Brahms,Danica Binx,Gerard Tahaud</t>
  </si>
  <si>
    <t>classical,german romanticism,late romantic era</t>
  </si>
  <si>
    <t>6 Klavierstücke in A Major, Op.118: II. Andante teneramente</t>
  </si>
  <si>
    <t>5 Lieder in E-Flat Major, Op.49: IV. Wiegenlied</t>
  </si>
  <si>
    <t>Études in A Minor, Op.25 Winter Wind: XI. Étude</t>
  </si>
  <si>
    <t>Piano Sonata No.2 in B-Flat Minor, Op.35 Funeral March: III. Marche funèbre</t>
  </si>
  <si>
    <t>Polonaise in A-Flat Major, Op.53</t>
  </si>
  <si>
    <t>Preludes in E Minor, Op.28: IV. Largo</t>
  </si>
  <si>
    <t>Preludes in D-Flat Minor, Op.28 Raindrop: XV. Prelude</t>
  </si>
  <si>
    <t>Nocturne in E Minor, Op.72: I. Andante</t>
  </si>
  <si>
    <t>Preludes in B Minor, Op.28: XI. Prelude</t>
  </si>
  <si>
    <t>The Seasons, Op.37a: VI. June-Barcarolle</t>
  </si>
  <si>
    <t>2 Arabesques in G Major, L. 66: II. Allegretto scherzando</t>
  </si>
  <si>
    <t>Claude Debussy,Danica Binx,Gerard Tahaud</t>
  </si>
  <si>
    <t>Préludes, Livre 1 L. 117: VIII. La fille aux cheveux de lin</t>
  </si>
  <si>
    <t>Waldstein (1st Movement)</t>
  </si>
  <si>
    <t>Waldstein (2nd Movement)</t>
  </si>
  <si>
    <t>Waldstein (3rd Movement)</t>
  </si>
  <si>
    <t>Appassionata (1st Movement)</t>
  </si>
  <si>
    <t>Appassionata (2nd Movement)</t>
  </si>
  <si>
    <t>Appassionata (3rd Movement)</t>
  </si>
  <si>
    <t>Les Adieux (1st Movement)</t>
  </si>
  <si>
    <t>Les Adieux (2nd Movement)</t>
  </si>
  <si>
    <t>Les Adieux (3rd Movement)</t>
  </si>
  <si>
    <t>Lieder ohne Worte, Op.62: IV. Allegro con anima</t>
  </si>
  <si>
    <t>Felix Mendelssohn,Danica Binx,Gerard Tahaud</t>
  </si>
  <si>
    <t>Moonlight Sonata</t>
  </si>
  <si>
    <t>Brain Power Amadeus</t>
  </si>
  <si>
    <t>Libestraume - No.3</t>
  </si>
  <si>
    <t>Pianozone,Franz Liszt</t>
  </si>
  <si>
    <t>Waltz in C-Sharp Minor, Op. 64 No. 2</t>
  </si>
  <si>
    <t>Frédéric Chopin,Vittorio Forte</t>
  </si>
  <si>
    <t>classical,early romantic era,polish classical,italian classical piano</t>
  </si>
  <si>
    <t>Chopin - Prelude E-Minor OP.28 No 4</t>
  </si>
  <si>
    <t>Martin Bloch</t>
  </si>
  <si>
    <t>calming instrumental</t>
  </si>
  <si>
    <t>Nocturne No. 1 in B-Flat Minor, Op. 9 No. 1</t>
  </si>
  <si>
    <t>Frédéric Chopin,Park Eun Shik</t>
  </si>
  <si>
    <t>classical,early romantic era,polish classical,korean classical performance,korean classical piano</t>
  </si>
  <si>
    <t>Chopin: Fantaisie-impromptu in C-Sharp Minor, Op. Posth. 66</t>
  </si>
  <si>
    <t>Frédéric Chopin,Alexandre Tharaud</t>
  </si>
  <si>
    <t>classical,early romantic era,polish classical,classical piano,french classical piano</t>
  </si>
  <si>
    <t>Nocturne No. 2 in E-Flat Major, Op. 9 No. 2</t>
  </si>
  <si>
    <t>Waltz in E Minor, Op. Posth.</t>
  </si>
  <si>
    <t>Frédéric Chopin,Jean-Paul Gasparian</t>
  </si>
  <si>
    <t>classical,early romantic era,polish classical,french classical piano</t>
  </si>
  <si>
    <t>Pathetique Sonata, Pt. 3</t>
  </si>
  <si>
    <t>Ludwig van Beethoven,Boris Apostolov</t>
  </si>
  <si>
    <t>Prelude in C Major, BWV 846</t>
  </si>
  <si>
    <t>Johann Sebastian Bach,Alistair McGowan</t>
  </si>
  <si>
    <t>Beethoven - Moonlight Sonata 1st Movement</t>
  </si>
  <si>
    <t>Fantasia in D Minor, K. 397</t>
  </si>
  <si>
    <t>Wolfgang Amadeus Mozart,Alfred Brendel</t>
  </si>
  <si>
    <t>classical,classical era,austrian classical piano,classical performance,classical piano</t>
  </si>
  <si>
    <t>Pathetique Sonata (2nd Movement)</t>
  </si>
  <si>
    <t>Waltz No. 10 in B Minor, Op. 69, No. 2</t>
  </si>
  <si>
    <t>Frédéric Chopin,Idil Biret</t>
  </si>
  <si>
    <t>classical,early romantic era,polish classical,classical piano,turkish classical performance</t>
  </si>
  <si>
    <t>G Minor Bach</t>
  </si>
  <si>
    <t>Kassia</t>
  </si>
  <si>
    <t>Serenade, D. 889 (Arr. for Solo Piano)</t>
  </si>
  <si>
    <t>Franz Schubert,Dmitri Bashkirov</t>
  </si>
  <si>
    <t>classical,classical era,early romantic era,russian classical piano</t>
  </si>
  <si>
    <t>Comptine D'un Autre Été</t>
  </si>
  <si>
    <t>Swan Lake (Piano Arrangement)</t>
  </si>
  <si>
    <t>Jonathan Morais</t>
  </si>
  <si>
    <t>Nocturne No.9 in B, Op.32 No.1</t>
  </si>
  <si>
    <t>Frédéric Chopin,Kun-Woo Paik</t>
  </si>
  <si>
    <t>Bach Prelude in C</t>
  </si>
  <si>
    <t>Edwards Stephen</t>
  </si>
  <si>
    <t>Beethoven: Piano Sonata No. 14 in C-Sharp Minor, Op. 27 No. 2, Moonlight: I. Adagio sostenuto</t>
  </si>
  <si>
    <t>Ludwig van Beethoven,Fazıl Say</t>
  </si>
  <si>
    <t>classical,classical era,early romantic era,german romanticism,classical piano,turkish classical performance,turkish jazz</t>
  </si>
  <si>
    <t>Four Impromptus: Fantaisie-Impromptu in C-Sharp Minor, Op. 66</t>
  </si>
  <si>
    <t>Frédéric Chopin,Howard Shelley</t>
  </si>
  <si>
    <t>classical,early romantic era,polish classical,british classical piano,classical performance</t>
  </si>
  <si>
    <t>Vivaldi 4 Seasons, Summer 3 - Presto</t>
  </si>
  <si>
    <t>Manuele Cid</t>
  </si>
  <si>
    <t>4 Impromptus, Op. 90, D. 899: No. 3 in G-flat major</t>
  </si>
  <si>
    <t>Franz Schubert,Khatia Buniatishvili</t>
  </si>
  <si>
    <t>classical,classical era,early romantic era,caucasian classical piano,classical piano</t>
  </si>
  <si>
    <t>Waltz in A Minor, Op. Posth., B. 150</t>
  </si>
  <si>
    <t>Prelude in C Major</t>
  </si>
  <si>
    <t>Rousseau</t>
  </si>
  <si>
    <t>Nocturne in C Minor, Op. Posthumous</t>
  </si>
  <si>
    <t>Frédéric Chopin,Bruno Rigutto</t>
  </si>
  <si>
    <t>Swan Lake - Versión de piano</t>
  </si>
  <si>
    <t>Música Clásica Maestro Mozy,Canciones infantiles Loulou &amp; Lou</t>
  </si>
  <si>
    <t>musica para ninos</t>
  </si>
  <si>
    <t>Prelude in E Minor (Op. 28 No. 4)</t>
  </si>
  <si>
    <t>Nocturne No. 8 in D-Flat Major, Op. 27 No. 2</t>
  </si>
  <si>
    <t>Chopin: Piano Sonata No. 2 in B-Flat Minor, Op. 35: III. Marche Funèbre</t>
  </si>
  <si>
    <t>Frédéric Chopin,Aimi Kobayashi</t>
  </si>
  <si>
    <t>classical,early romantic era,polish classical,japanese classical performance,japanese classical piano</t>
  </si>
  <si>
    <t>La Valse D'amélie</t>
  </si>
  <si>
    <t>Prelude, Op. 28, No. 4</t>
  </si>
  <si>
    <t>Frédéric Chopin,Khatia Buniatishvili</t>
  </si>
  <si>
    <t>classical,early romantic era,polish classical,caucasian classical piano,classical piano</t>
  </si>
  <si>
    <t>Nocturne in C minor, B. 108</t>
  </si>
  <si>
    <t>Frédéric Chopin,Brigitte Engerer</t>
  </si>
  <si>
    <t>Impromptu No. 1 in A-Flat Major, Op. 29</t>
  </si>
  <si>
    <t>Frédéric Chopin,Amir Katz</t>
  </si>
  <si>
    <t>classical,early romantic era,polish classical,israeli classical piano</t>
  </si>
  <si>
    <t>Beethoven - For Elise</t>
  </si>
  <si>
    <t>3 Nocturnes, Op. 9: I. Larghetto</t>
  </si>
  <si>
    <t>Nocturne in C Sharp Minor</t>
  </si>
  <si>
    <t>La valse d'Amélie</t>
  </si>
  <si>
    <t>Miguel Surfeur</t>
  </si>
  <si>
    <t>Violin Sonata No. 22 in A Major, K. 305: I. Allegro di molto</t>
  </si>
  <si>
    <t>Wolfgang Amadeus Mozart,Ray Chen</t>
  </si>
  <si>
    <t>classical,classical era,taiwan classical performance,violin</t>
  </si>
  <si>
    <t>Violin Concerto No. 4 in D Major, K. 218: II. Andante cantabile</t>
  </si>
  <si>
    <t>Wolfgang Amadeus Mozart,Ray Chen,Christoph Eschenbach,Schleswig-Holstein Music Festival Orchestra</t>
  </si>
  <si>
    <t>classical,classical era,taiwan classical performance,violin,classical performance,german classical piano,orchestral performance</t>
  </si>
  <si>
    <t>Violin Sonata in G Minor, Devil's Trill: III. Allegro assai</t>
  </si>
  <si>
    <t>Giuseppe Tartini,Ray Chen</t>
  </si>
  <si>
    <t>baroque,classical,early music,italian baroque,taiwan classical performance,violin</t>
  </si>
  <si>
    <t>Sonata for Violin and Piano in A Major: Allegretto ben moderato</t>
  </si>
  <si>
    <t>César Franck,Ray Chen</t>
  </si>
  <si>
    <t>classical,french romanticism,late romantic era,taiwan classical performance,violin</t>
  </si>
  <si>
    <t>Waltzing Matilda (Arr. Koncz)</t>
  </si>
  <si>
    <t>Traditional,Ray Chen,Made in Berlin</t>
  </si>
  <si>
    <t>puirt-a-beul,sleep,taiwan classical performance,violin</t>
  </si>
  <si>
    <t>Comptine d'un autre été, l'après-midi</t>
  </si>
  <si>
    <t>Yann Tiersen</t>
  </si>
  <si>
    <t>La Valse d'Amélie - Version piano</t>
  </si>
  <si>
    <t>Hikaru Nara (Piano)</t>
  </si>
  <si>
    <t>Wenitte</t>
  </si>
  <si>
    <t>Savage Love (Laxed - Siren Beat)</t>
  </si>
  <si>
    <t>Jawsh 685,Jason Derulo</t>
  </si>
  <si>
    <t>nz pop,dance pop,pop,pop rap,post-teen pop</t>
  </si>
  <si>
    <t>Swalla (feat. Nicki Minaj &amp; Ty Dolla $ign)</t>
  </si>
  <si>
    <t>Jason Derulo,Nicki Minaj,Ty Dolla $ign</t>
  </si>
  <si>
    <t>dance pop,pop,pop rap,post-teen pop,hip pop,queens hip hop,hip hop,r&amp;b,southern hip hop,trap,trap soul</t>
  </si>
  <si>
    <t>I'm Not The Only One</t>
  </si>
  <si>
    <t>Sam Smith</t>
  </si>
  <si>
    <t>dance pop,pop,uk pop</t>
  </si>
  <si>
    <t>Stay With Me</t>
  </si>
  <si>
    <t>Suicide</t>
  </si>
  <si>
    <t>Midnight To Monaco</t>
  </si>
  <si>
    <t>Glad You Came</t>
  </si>
  <si>
    <t>Hear Me Now (feat. Zeeba)</t>
  </si>
  <si>
    <t>Alok,Zeeba,Bruno Martini</t>
  </si>
  <si>
    <t>electro house,pop nacional,slap house,brazilian edm,nova mpb,edm</t>
  </si>
  <si>
    <t>Piece Of Your Heart - Alok Remix</t>
  </si>
  <si>
    <t>MEDUZA,Alok,Goodboys</t>
  </si>
  <si>
    <t>edm,pop,pop dance,pop house,tropical house,electro house,pop nacional,slap house,uk dance</t>
  </si>
  <si>
    <t>Song for Denise</t>
  </si>
  <si>
    <t>Piano Fantasia</t>
  </si>
  <si>
    <t>Astronaut In The Ocean - Alok Remix</t>
  </si>
  <si>
    <t>Astronaut In The Ocean</t>
  </si>
  <si>
    <t>Masked Wolf</t>
  </si>
  <si>
    <t>24 Hour - Remix</t>
  </si>
  <si>
    <t>Culture Code,Red Comet</t>
  </si>
  <si>
    <t>filthstep,gaming edm,melodic dubstep,pop edm</t>
  </si>
  <si>
    <t>My Oh My (GUMMiBEAR REMiX)</t>
  </si>
  <si>
    <t>Bryce Fox,GUMMiBEAR</t>
  </si>
  <si>
    <t>indie poptimism,modern alternative rock,modern rock,rebel blues</t>
  </si>
  <si>
    <t>Always Will</t>
  </si>
  <si>
    <t>Seeb,Julie Bergan</t>
  </si>
  <si>
    <t>dance pop,edm,electro house,norwegian pop,pop,pop dance,pop edm,tropical house</t>
  </si>
  <si>
    <t>unamerican beauty</t>
  </si>
  <si>
    <t>XYLØ</t>
  </si>
  <si>
    <t>alt z,electropop,indie electropop,indie poptimism,la pop,pop,vapor soul</t>
  </si>
  <si>
    <t>Serotonin</t>
  </si>
  <si>
    <t>Tom Walker</t>
  </si>
  <si>
    <t>indie anthem-folk,modern rock,pop,pop rock,uk pop</t>
  </si>
  <si>
    <t>Only You</t>
  </si>
  <si>
    <t>Eddie Benjamin,Alessia Cara</t>
  </si>
  <si>
    <t>modern indie pop,canadian contemporary r&amp;b,canadian pop,dance pop,pop,post-teen pop</t>
  </si>
  <si>
    <t>Automatic - Lost Kings Remix</t>
  </si>
  <si>
    <t>Fly By Midnight,Lost Kings</t>
  </si>
  <si>
    <t>alt z,electropop,pop,tropical house,dance pop,edm,pop dance,pop edm,pop rap</t>
  </si>
  <si>
    <t>So Good</t>
  </si>
  <si>
    <t>Halsey</t>
  </si>
  <si>
    <t>dance pop,electropop,etherpop,indie poptimism,pop</t>
  </si>
  <si>
    <t>Wide Awake (feat. Charlie Houston)</t>
  </si>
  <si>
    <t>ODESZA,Charlie Houston</t>
  </si>
  <si>
    <t>chillwave,ninja</t>
  </si>
  <si>
    <t>Courage to Change - Michael Calfan Remix</t>
  </si>
  <si>
    <t>Sia,Michael Calfan</t>
  </si>
  <si>
    <t>australian dance,australian pop,pop,dance pop,deep groove house,deep house,edm,electro house,house,pop dance,pop edm,progressive electro house,progressive house,tropical house</t>
  </si>
  <si>
    <t>Remind Me</t>
  </si>
  <si>
    <t>Bastille</t>
  </si>
  <si>
    <t>metropopolis,modern rock,pop,pop rock</t>
  </si>
  <si>
    <t>Fata Morgana</t>
  </si>
  <si>
    <t>Unlike Pluto</t>
  </si>
  <si>
    <t>indie poptimism,modern alternative rock,modern rock</t>
  </si>
  <si>
    <t>Run Away With Me</t>
  </si>
  <si>
    <t>Carly Rae Jepsen</t>
  </si>
  <si>
    <t>canadian pop,dance pop,electropop,pop,post-teen pop</t>
  </si>
  <si>
    <t>Don't Worry Bout Me</t>
  </si>
  <si>
    <t>Zara Larsson</t>
  </si>
  <si>
    <t>dance pop,edm,electropop,pop,pop dance,post-teen pop,scandipop,swedish electropop,swedish pop,tropical house</t>
  </si>
  <si>
    <t>Some Say - Felix Jaehn Remix</t>
  </si>
  <si>
    <t>Halo (feat. PIA MARIA)</t>
  </si>
  <si>
    <t>LUM!X,PIA MARIA</t>
  </si>
  <si>
    <t>melbourne bounce international,slap house</t>
  </si>
  <si>
    <t>Arem Ozguc,Arman Aydin,Jordan Rys</t>
  </si>
  <si>
    <t>Easy (feat. MPH) - Jonasu Remix</t>
  </si>
  <si>
    <t>Sick Individuals,MPH,Jonasu</t>
  </si>
  <si>
    <t>big room,dutch house,edm,electro house,pop dance,pop edm,progressive electro house,progressive house,tropical house,dutch edm</t>
  </si>
  <si>
    <t>We Let Em Go</t>
  </si>
  <si>
    <t>Dan Dakota</t>
  </si>
  <si>
    <t>Will You Love Me</t>
  </si>
  <si>
    <t>MC4D,Charlie Miller</t>
  </si>
  <si>
    <t>Back to Start</t>
  </si>
  <si>
    <t>Stonebank</t>
  </si>
  <si>
    <t>brostep,edm,electro house,gaming edm</t>
  </si>
  <si>
    <t>Goodbye (feat. Lyse) - Slow Version</t>
  </si>
  <si>
    <t>Call Me Papi (feat. Dawty Music)</t>
  </si>
  <si>
    <t>Tout savoir</t>
  </si>
  <si>
    <t>Adé</t>
  </si>
  <si>
    <t>Sweet Dreams - Are Made of This</t>
  </si>
  <si>
    <t>A Un Paso De La Luna - Remix</t>
  </si>
  <si>
    <t>Reik,Rocco Hunt,Ana Mena</t>
  </si>
  <si>
    <t>latin,latin arena pop,latin pop,mexican pop,italian hip hop,italian pop,pop virale italiano,rap napoletano,spanish pop</t>
  </si>
  <si>
    <t>Bad Habits</t>
  </si>
  <si>
    <t>Ed Sheeran</t>
  </si>
  <si>
    <t>pop,uk pop</t>
  </si>
  <si>
    <t>Some Say</t>
  </si>
  <si>
    <t>Nea</t>
  </si>
  <si>
    <t>Never Going Home</t>
  </si>
  <si>
    <t>Shivers</t>
  </si>
  <si>
    <t>Loco Contigo (feat. J. Balvin &amp; Tyga)</t>
  </si>
  <si>
    <t>DJ Snake,J Balvin,Tyga</t>
  </si>
  <si>
    <t>dance pop,edm,electronic trap,pop,pop dance,pop rap,latin,reggaeton,reggaeton colombiano,trap latino,hip hop,rap,southern hip hop,trap</t>
  </si>
  <si>
    <t>Jerusalema (feat. Nomcebo Zikode)</t>
  </si>
  <si>
    <t>Master KG,Nomcebo Zikode</t>
  </si>
  <si>
    <t>bolobedu house,south african house,afro soul,south african pop</t>
  </si>
  <si>
    <t>Ego - Radio Edit</t>
  </si>
  <si>
    <t>Mi Gente</t>
  </si>
  <si>
    <t>J Balvin,Willy William</t>
  </si>
  <si>
    <t>latin,reggaeton,reggaeton colombiano,trap latino,francoton</t>
  </si>
  <si>
    <t>Hotline Bling</t>
  </si>
  <si>
    <t>Show Me Love</t>
  </si>
  <si>
    <t>Sam Feldt,Kimberly Anne</t>
  </si>
  <si>
    <t>dance pop,edm,electro house,pop,pop dance,pop edm,tropical house,indie anthem-folk,neo-singer-songwriter</t>
  </si>
  <si>
    <t>Sexual Healing</t>
  </si>
  <si>
    <t>Marvin Gaye</t>
  </si>
  <si>
    <t>classic soul,funk,indie r&amp;b,motown,northern soul,quiet storm,soul</t>
  </si>
  <si>
    <t>Sexual Healing - Kygo Remix</t>
  </si>
  <si>
    <t>Hotel California - 2013 Remaster</t>
  </si>
  <si>
    <t>Eagles</t>
  </si>
  <si>
    <t>album rock,classic rock,country rock,folk rock,heartland rock,mellow gold,rock,soft rock,yacht rock</t>
  </si>
  <si>
    <t>Let Me Think About It (Celebration Mix)</t>
  </si>
  <si>
    <t>Fedde Le Grand,Ida Corr</t>
  </si>
  <si>
    <t>dance pop,deep house,disco house,dutch house,edm,electro house,house,pop dance,progressive electro house,progressive house,tropical house,vocal house,scandipop</t>
  </si>
  <si>
    <t>Smoke Filled Room - Acoustic Session</t>
  </si>
  <si>
    <t>Mako</t>
  </si>
  <si>
    <t>edm,electropop,indie poptimism,pop dance,pop edm,tropical house</t>
  </si>
  <si>
    <t>Mange tes morts</t>
  </si>
  <si>
    <t>Seth Gueko</t>
  </si>
  <si>
    <t>french hip hop,old school rap francais,pop urbaine,rap inde</t>
  </si>
  <si>
    <t>Don't Give Up</t>
  </si>
  <si>
    <t>Creaky Jackals,Calin Cave</t>
  </si>
  <si>
    <t>We Are The Ones</t>
  </si>
  <si>
    <t>Myon,BEAUZ,Jenn Blosil</t>
  </si>
  <si>
    <t>edm,progressive house,progressive trance,trance,uplifting trance,pop dance,pop edm,lds</t>
  </si>
  <si>
    <t>Evolve - Original Mix</t>
  </si>
  <si>
    <t>Wanbs</t>
  </si>
  <si>
    <t>Survive (with Luma)</t>
  </si>
  <si>
    <t>Blanke,Luma</t>
  </si>
  <si>
    <t>dubstep,edm,electro house,future bass,melodic dubstep</t>
  </si>
  <si>
    <t>Better Alone (feat. Max Landry)</t>
  </si>
  <si>
    <t>Xyan,Max Landry</t>
  </si>
  <si>
    <t>Atypical</t>
  </si>
  <si>
    <t>Manila Killa,GiGi Grombacher</t>
  </si>
  <si>
    <t>electropop,future bass,indie electropop,melodic dubstep,pop edm,vapor soul,vapor twitch</t>
  </si>
  <si>
    <t>21</t>
  </si>
  <si>
    <t>Tell Me What You Want</t>
  </si>
  <si>
    <t>NEFFEX</t>
  </si>
  <si>
    <t>Fragments - Last Heroes Remix</t>
  </si>
  <si>
    <t>ILLENIUM,Natalie Taylor,Last Heroes</t>
  </si>
  <si>
    <t>edm,melodic dubstep,pop,pop dance,tropical house,future bass,pop edm</t>
  </si>
  <si>
    <t>1x1</t>
  </si>
  <si>
    <t>Galantis</t>
  </si>
  <si>
    <t>dance pop,edm,electro house,pop,pop dance,tropical house</t>
  </si>
  <si>
    <t>Chills (ft. Liza)</t>
  </si>
  <si>
    <t>Mickey Valen,Joey Myron,Liza</t>
  </si>
  <si>
    <t>alt z,bass trap,pop edm,traprun</t>
  </si>
  <si>
    <t>HOUNDIN PT. II</t>
  </si>
  <si>
    <t>Layto,AViVA</t>
  </si>
  <si>
    <t>alt z,modern alternative rock,vapor pop</t>
  </si>
  <si>
    <t>Breathe - Röyksopp Remix</t>
  </si>
  <si>
    <t>Röyksopp,Astrid S</t>
  </si>
  <si>
    <t>alternative dance,art pop,big beat,downtempo,electronica,electropop,trip hop,alt z,dance pop,norwegian pop,pop,post-teen pop,tropical house</t>
  </si>
  <si>
    <t>One on One</t>
  </si>
  <si>
    <t>Skan,Tenka,Drama B</t>
  </si>
  <si>
    <t>bass trap,traprun,deep underground hip hop</t>
  </si>
  <si>
    <t>Breathe In (with Garrett Nash)</t>
  </si>
  <si>
    <t>Shwayze,Garrett Nash</t>
  </si>
  <si>
    <t>indie pop rap,pop rap,pop</t>
  </si>
  <si>
    <t>The Bridge (feat. Elohim)</t>
  </si>
  <si>
    <t>Travie McCoy,Elohim</t>
  </si>
  <si>
    <t>dance pop,pop rap,alt z,edm,electropop,future bass,indie electropop,indie poptimism,indietronica,la pop,vapor soul,vapor twitch</t>
  </si>
  <si>
    <t>Baise tes morts</t>
  </si>
  <si>
    <t>Awnix &amp; Toobaï,Jack Uzi</t>
  </si>
  <si>
    <t>I Ain't Worried</t>
  </si>
  <si>
    <t>OneRepublic</t>
  </si>
  <si>
    <t>dance pop,piano rock,pop,pop rock</t>
  </si>
  <si>
    <t>Houndin (Live Strings Version)</t>
  </si>
  <si>
    <t>Layto</t>
  </si>
  <si>
    <t>alt z,modern alternative rock</t>
  </si>
  <si>
    <t>I'm Not Surprised</t>
  </si>
  <si>
    <t>Without You</t>
  </si>
  <si>
    <t>Arman Cekin,Faydee</t>
  </si>
  <si>
    <t>bass trap,desi pop</t>
  </si>
  <si>
    <t>dance pop,edm,electro house,house,pop,pop rap,progressive house,uk dance,uk pop,atl hip hop,atl trap,gangster rap,hip hop,melodic rap,rap,trap</t>
  </si>
  <si>
    <t>ST4</t>
  </si>
  <si>
    <t>DOXX</t>
  </si>
  <si>
    <t>Somewhere Over the Rainbow / What a Wonderful World</t>
  </si>
  <si>
    <t>Robin Schulz,Alle Farben,Israel Kamakawiwo'ole</t>
  </si>
  <si>
    <t>dance pop,deep euro house,deep house,edm,german dance,pop,pop dance,tropical house,pop rap,hawaiian</t>
  </si>
  <si>
    <t>Kiss Me More (feat. SZA)</t>
  </si>
  <si>
    <t>STAY (with Justin Bieber)</t>
  </si>
  <si>
    <t>Nuclear Bass Face</t>
  </si>
  <si>
    <t>NGHTMRE,Subtronics,Boogie T</t>
  </si>
  <si>
    <t>Hurt People (with Aloe Blacc)</t>
  </si>
  <si>
    <t>Gryffin,Aloe Blacc</t>
  </si>
  <si>
    <t>dance pop,edm,pop,pop dance,tropical house,pop soul,r&amp;b</t>
  </si>
  <si>
    <t>You Remind Me (feat. Stanaj)</t>
  </si>
  <si>
    <t>Gryffin,Stanaj</t>
  </si>
  <si>
    <t>OMG (with Carly Rae Jepsen)</t>
  </si>
  <si>
    <t>Gryffin,Carly Rae Jepsen</t>
  </si>
  <si>
    <t>dance pop,edm,pop,pop dance,tropical house,canadian pop,electropop,post-teen pop</t>
  </si>
  <si>
    <t>Out of My Mind (with ZOHARA)</t>
  </si>
  <si>
    <t>If I Left The World (feat. MARINA &amp; Model Child)</t>
  </si>
  <si>
    <t>Gryffin,MARINA,Model Child</t>
  </si>
  <si>
    <t>dance pop,edm,pop,pop dance,tropical house,art pop,electropop,metropopolis,uk alternative pop</t>
  </si>
  <si>
    <t>Bye Bye (feat. Ivy Adara)</t>
  </si>
  <si>
    <t>Gryffin,Ivy Adara</t>
  </si>
  <si>
    <t>dance pop,edm,pop,pop dance,tropical house,alt z,electropop,indie electropop</t>
  </si>
  <si>
    <t>Remember (with ZOHARA)</t>
  </si>
  <si>
    <t>Nothing Like You (feat. HANA)</t>
  </si>
  <si>
    <t>Gryffin,DROELOE,HANA</t>
  </si>
  <si>
    <t>dance pop,edm,pop,pop dance,tropical house,bass trap,electronic trap,electropop,future bass,pop edm,vapor soul,vapor twitch,art pop,dark pop</t>
  </si>
  <si>
    <t>Need Your Love (with Noah Kahan)</t>
  </si>
  <si>
    <t>Gryffin,Seven Lions,Noah Kahan</t>
  </si>
  <si>
    <t>dance pop,edm,pop,pop dance,tropical house,dubstep,electro house,future bass,melodic dubstep,pop edm,progressive trance,pop rock,stomp and holler</t>
  </si>
  <si>
    <t>In My Mind</t>
  </si>
  <si>
    <t>ILLENIUM,Excision,HALIENE</t>
  </si>
  <si>
    <t>edm,melodic dubstep,pop,pop dance,tropical house,brostep,canadian electronic,electro house</t>
  </si>
  <si>
    <t>Throwin' Elbows</t>
  </si>
  <si>
    <t>Excision,Space Laces</t>
  </si>
  <si>
    <t>brostep,canadian electronic,edm,electro house,complextro,dubstep,electronic trap,gaming dubstep</t>
  </si>
  <si>
    <t>Monster</t>
  </si>
  <si>
    <t>Datsik,1000volts,Redman,Jayceeoh</t>
  </si>
  <si>
    <t>breakbeat,brostep,canadian electronic,edm,electro house,electronic trap,filthstep,east coast hip hop,gangster rap,hardcore hip hop,hip hop,new jersey rap,rap,southern hip hop,wu fam</t>
  </si>
  <si>
    <t>Frame of Mind</t>
  </si>
  <si>
    <t>Tristam,Braken</t>
  </si>
  <si>
    <t>brostep,dancefloor dnb,edm,electro house,gaming edm,melodic dubstep</t>
  </si>
  <si>
    <t>Mark Twain</t>
  </si>
  <si>
    <t>Old Friends</t>
  </si>
  <si>
    <t>Half an Orange,Blonde Maze</t>
  </si>
  <si>
    <t>gaming edm,indie electropop,vapor soul</t>
  </si>
  <si>
    <t>Time Travel Kool Aid</t>
  </si>
  <si>
    <t>Half an Orange,Ephixa</t>
  </si>
  <si>
    <t>gaming edm,canadian electronic,chillstep,complextro,edm,electro house,future bass</t>
  </si>
  <si>
    <t>Walkin' After Midnight</t>
  </si>
  <si>
    <t>Ki:Theory</t>
  </si>
  <si>
    <t>electronic rock</t>
  </si>
  <si>
    <t>Feel Something (feat. Remmi) (feat. Remmi) - Mokita Remix</t>
  </si>
  <si>
    <t>Black Coast,REMMI,Mokita</t>
  </si>
  <si>
    <t>electropop,alt z,chill pop,chill r&amp;b,pop</t>
  </si>
  <si>
    <t>Over It Now</t>
  </si>
  <si>
    <t>Sleeplust</t>
  </si>
  <si>
    <t>charlotte nc indie</t>
  </si>
  <si>
    <t>Revolution</t>
  </si>
  <si>
    <t>Trinix</t>
  </si>
  <si>
    <t>Watermelon Sugar</t>
  </si>
  <si>
    <t>Harry Styles</t>
  </si>
  <si>
    <t>WE (Warm Embrace)</t>
  </si>
  <si>
    <t>Chris Brown</t>
  </si>
  <si>
    <t>dance pop,pop,pop rap,r&amp;b,rap</t>
  </si>
  <si>
    <t>Problèmes</t>
  </si>
  <si>
    <t>PLK</t>
  </si>
  <si>
    <t>ZEZE (feat. Travis Scott &amp; Offset)</t>
  </si>
  <si>
    <t>Kodak Black,Offset,Travis Scott</t>
  </si>
  <si>
    <t>florida rap,hip hop,melodic rap,miami hip hop,rap,trap,atl hip hop,pop rap,southern hip hop,slap house</t>
  </si>
  <si>
    <t>Wake Up in the Sky</t>
  </si>
  <si>
    <t>Gucci Mane,Bruno Mars,Kodak Black</t>
  </si>
  <si>
    <t>atl hip hop,dirty south rap,gangster rap,hip hop,pop rap,rap,southern hip hop,trap,dance pop,pop,florida rap,melodic rap,miami hip hop</t>
  </si>
  <si>
    <t>Drowning (feat. Kodak Black)</t>
  </si>
  <si>
    <t>A Boogie Wit da Hoodie,Kodak Black</t>
  </si>
  <si>
    <t>melodic rap,rap,trap,florida rap,hip hop,miami hip hop</t>
  </si>
  <si>
    <t>N95</t>
  </si>
  <si>
    <t>Kendrick Lamar</t>
  </si>
  <si>
    <t>conscious hip hop,hip hop,rap,west coast rap</t>
  </si>
  <si>
    <t>I Like Me Better - Ryan Riback Remix</t>
  </si>
  <si>
    <t>Dangerous Woman</t>
  </si>
  <si>
    <t>Ariana Grande</t>
  </si>
  <si>
    <t>dance pop,pop</t>
  </si>
  <si>
    <t>Hiroshima</t>
  </si>
  <si>
    <t>Money On My Mind</t>
  </si>
  <si>
    <t>Flashing Lights</t>
  </si>
  <si>
    <t>Kanye West,Dwele</t>
  </si>
  <si>
    <t>chicago rap,rap,neo soul,r&amp;b,urban contemporary</t>
  </si>
  <si>
    <t>Stronger</t>
  </si>
  <si>
    <t>Kanye West</t>
  </si>
  <si>
    <t>chicago rap,rap</t>
  </si>
  <si>
    <t>Bound 2</t>
  </si>
  <si>
    <t>Heartless</t>
  </si>
  <si>
    <t>Ni**as In Paris</t>
  </si>
  <si>
    <t>JAY-Z,Kanye West</t>
  </si>
  <si>
    <t>east coast hip hop,hip hop,rap,chicago rap</t>
  </si>
  <si>
    <t>American Boy</t>
  </si>
  <si>
    <t>Estelle,Kanye West</t>
  </si>
  <si>
    <t>neo soul,r&amp;b,chicago rap,rap</t>
  </si>
  <si>
    <t>Hung Up - Radio Version</t>
  </si>
  <si>
    <t>Madonna</t>
  </si>
  <si>
    <t>Shivering (feat. Spiritbox)</t>
  </si>
  <si>
    <t>ILLENIUM,Spiritbox</t>
  </si>
  <si>
    <t>edm,melodic dubstep,pop,pop dance,tropical house,canadian metalcore</t>
  </si>
  <si>
    <t>Samsara (feat. Emila)</t>
  </si>
  <si>
    <t>Tungevaag,Raaban,Emila</t>
  </si>
  <si>
    <t>big room,dance pop,edm,electro house,nordic house,pop dance,tropical house</t>
  </si>
  <si>
    <t>All I Need (DJ-Kicks) - Edit</t>
  </si>
  <si>
    <t>Jayda G</t>
  </si>
  <si>
    <t>Leave A Little Love</t>
  </si>
  <si>
    <t>Alesso,Armin van Buuren</t>
  </si>
  <si>
    <t>dance pop,edm,electro house,pop,pop dance,tropical house,dutch trance,progressive house,trance</t>
  </si>
  <si>
    <t>edm,eurodance,italo dance,pop dance,slap house,melbourne bounce international</t>
  </si>
  <si>
    <t>Don't Forget My Love</t>
  </si>
  <si>
    <t>Down Under (feat. Colin Hay)</t>
  </si>
  <si>
    <t>Say Nothing (feat. MAY-A)</t>
  </si>
  <si>
    <t>PHONKY TOWN</t>
  </si>
  <si>
    <t>PlayaPhonk</t>
  </si>
  <si>
    <t>drift phonk</t>
  </si>
  <si>
    <t>Close Eyes</t>
  </si>
  <si>
    <t>DVRST</t>
  </si>
  <si>
    <t>Rave in the Grave</t>
  </si>
  <si>
    <t>AronChupa,Little Sis Nora</t>
  </si>
  <si>
    <t>I'm an Albatraoz</t>
  </si>
  <si>
    <t>The Chasm - Ben Walter and Satellite Empire Remix</t>
  </si>
  <si>
    <t>Crystal Skies,Derek Joel,Satellite Empire,Ben Walter</t>
  </si>
  <si>
    <t>edm,future bass,melodic dubstep,pop dance,pop edm</t>
  </si>
  <si>
    <t>Tokyo - Popeska Remix</t>
  </si>
  <si>
    <t>Annaland,Popeska</t>
  </si>
  <si>
    <t>filthstep,future bass</t>
  </si>
  <si>
    <t>Be With You (ft. Gloria Kim)</t>
  </si>
  <si>
    <t>Rootkit,Gloria Kim</t>
  </si>
  <si>
    <t>chillstep,complextro,edm,electro house,future bass,gaming edm,melodic dubstep</t>
  </si>
  <si>
    <t>Dumb</t>
  </si>
  <si>
    <t>Racko</t>
  </si>
  <si>
    <t>Howlin' for You</t>
  </si>
  <si>
    <t>The Black Keys</t>
  </si>
  <si>
    <t>alternative rock,blues rock,garage rock,modern blues rock,modern rock,punk blues,rock,roots rock</t>
  </si>
  <si>
    <t>チキチキバンバン - TV Ver.</t>
  </si>
  <si>
    <t>QUEENDOM</t>
  </si>
  <si>
    <t>Lonely Boy</t>
  </si>
  <si>
    <t>DVNO</t>
  </si>
  <si>
    <t>Justice</t>
  </si>
  <si>
    <t>alternative dance,electro house,electronica,filter house,new rave</t>
  </si>
  <si>
    <t>Phantom Pt. II</t>
  </si>
  <si>
    <t>Genesis</t>
  </si>
  <si>
    <t>We Are Your Friends - Justice Vs Simian</t>
  </si>
  <si>
    <t>Justice,Simian</t>
  </si>
  <si>
    <t>D.A.N.C.E - Radio Edit</t>
  </si>
  <si>
    <t>D.A.N.C.E</t>
  </si>
  <si>
    <t>I Really Like You</t>
  </si>
  <si>
    <t>Good Time</t>
  </si>
  <si>
    <t>Owl City,Carly Rae Jepsen</t>
  </si>
  <si>
    <t>indietronica,modern rock,pop,pop rock,canadian pop,dance pop,electropop,post-teen pop</t>
  </si>
  <si>
    <t>Call Me Maybe</t>
  </si>
  <si>
    <t>Mammoth</t>
  </si>
  <si>
    <t>Dimitri Vegas &amp; Like Mike,MOGUAI</t>
  </si>
  <si>
    <t>belgian dance,belgian edm,big room,dance pop,edm,electro house,pop dance,progressive electro house,tropical house,german techno,house,progressive house</t>
  </si>
  <si>
    <t>Locked out of Heaven</t>
  </si>
  <si>
    <t>Bruno Mars</t>
  </si>
  <si>
    <t>24K Magic</t>
  </si>
  <si>
    <t>That's What I Like</t>
  </si>
  <si>
    <t>Survival</t>
  </si>
  <si>
    <t>Eminem</t>
  </si>
  <si>
    <t>detroit hip hop,hip hop,rap</t>
  </si>
  <si>
    <t>Mockingbird</t>
  </si>
  <si>
    <t>Midnight</t>
  </si>
  <si>
    <t>Russian</t>
  </si>
  <si>
    <t>Aftermath</t>
  </si>
  <si>
    <t>Wonderland</t>
  </si>
  <si>
    <t>Redrum (feat. Felix Snow)</t>
  </si>
  <si>
    <t>Era Istrefi,Felix Snow</t>
  </si>
  <si>
    <t>albanian hip hop,albanian pop,kosovan pop</t>
  </si>
  <si>
    <t>Bonbon</t>
  </si>
  <si>
    <t>Era Istrefi</t>
  </si>
  <si>
    <t>Lone Digger</t>
  </si>
  <si>
    <t>She Wants Me Dead</t>
  </si>
  <si>
    <t>CAZZETTE,AronChupa,The High</t>
  </si>
  <si>
    <t>complextro,edm,electro house,pop dance,pop edm,progressive electro house,progressive house,tropical house,swedish pop</t>
  </si>
  <si>
    <t>Girls Like (feat. Zara Larsson)</t>
  </si>
  <si>
    <t>Tinie Tempah,Zara Larsson</t>
  </si>
  <si>
    <t>dance pop,edm,grime,house,pop dance,pop rap,tropical house,electropop,pop,post-teen pop,scandipop,swedish electropop,swedish pop</t>
  </si>
  <si>
    <t>Animals</t>
  </si>
  <si>
    <t>Maroon 5</t>
  </si>
  <si>
    <t>BOO HOO</t>
  </si>
  <si>
    <t>Neoni,RIELL</t>
  </si>
  <si>
    <t>Behind The Sun</t>
  </si>
  <si>
    <t>ODESZA</t>
  </si>
  <si>
    <t>Another Minute</t>
  </si>
  <si>
    <t>Can U Feel It</t>
  </si>
  <si>
    <t>It Gets Better</t>
  </si>
  <si>
    <t>Lifetime (with Ty Dolla $ign &amp; 070 Shake)</t>
  </si>
  <si>
    <t>Paradise Again</t>
  </si>
  <si>
    <t>Don’t Go Mad (feat. Seinabo Sey)</t>
  </si>
  <si>
    <t>Frankenstein (feat. A$AP Rocky)</t>
  </si>
  <si>
    <t>Swedish House Mafia,A$AP Rocky</t>
  </si>
  <si>
    <t>edm,pop,pop dance,progressive electro house,east coast hip hop,hip hop,rap,trap</t>
  </si>
  <si>
    <t>Mafia</t>
  </si>
  <si>
    <t>Time (feat. Mapei)</t>
  </si>
  <si>
    <t>Never Been Hurt - BVRNOUT Remix</t>
  </si>
  <si>
    <t>Krewella,BEAUZ,BVRNOUT</t>
  </si>
  <si>
    <t>dance pop,edm,electra,electro house,electropop,melodic dubstep,pop dance,pop edm,electronic trap</t>
  </si>
  <si>
    <t>find your way - Elohim Remix</t>
  </si>
  <si>
    <t>San Holo,Bipolar Sunshine,Elohim</t>
  </si>
  <si>
    <t>edm,electronic trap,electropop,future bass,pop dance,pop edm,vapor twitch,gauze pop,alt z,indie electropop,indie poptimism,indietronica,la pop,vapor soul</t>
  </si>
  <si>
    <t>Crash and Burn</t>
  </si>
  <si>
    <t>Fading Like A Flower</t>
  </si>
  <si>
    <t>Roxette,Galantis</t>
  </si>
  <si>
    <t>europop,new wave pop,soft rock,swedish pop,dance pop,edm,electro house,pop,pop dance,tropical house</t>
  </si>
  <si>
    <t>Walk Me Home - Blanke Remix</t>
  </si>
  <si>
    <t>Said The Sky,ILLENIUM,Blanke,Chelsea Cutler</t>
  </si>
  <si>
    <t>edm,electropop,future bass,melodic dubstep,pop dance,pop edm,tropical house,pop,dubstep,electro house,alt z,indie poptimism</t>
  </si>
  <si>
    <t>As You Fade Away</t>
  </si>
  <si>
    <t>Dernière danse</t>
  </si>
  <si>
    <t>She Said (Big Jet Plane)</t>
  </si>
  <si>
    <t>Trinix,Queen D</t>
  </si>
  <si>
    <t>Can We Pretend (feat. Cash Cash)</t>
  </si>
  <si>
    <t>P!nk,Cash Cash</t>
  </si>
  <si>
    <t>dance pop,pop,edm,electro house,electropop,electropowerpop,pop dance,pop edm,tropical house</t>
  </si>
  <si>
    <t>空に歌えば</t>
  </si>
  <si>
    <t>amazarashi</t>
  </si>
  <si>
    <t>anime,anime rock,j-pop,j-poprock,j-rock,japanese teen pop</t>
  </si>
  <si>
    <t>ANIMA</t>
  </si>
  <si>
    <t>ReoNa</t>
  </si>
  <si>
    <t>anime,j-pixie</t>
  </si>
  <si>
    <t>ないない</t>
  </si>
  <si>
    <t>Come Around Again</t>
  </si>
  <si>
    <t>Armin van Buuren,Billen Ted,JC Stewart</t>
  </si>
  <si>
    <t>dutch trance,edm,pop dance,progressive house,trance,australian pop,indie anthem-folk,uk pop</t>
  </si>
  <si>
    <t>Pepas - Robin Schulz Remix</t>
  </si>
  <si>
    <t>Wake Me Up</t>
  </si>
  <si>
    <t>Avicii</t>
  </si>
  <si>
    <t>dance pop,edm,pop,pop dance,pop rap</t>
  </si>
  <si>
    <t>Don't Be so Serious</t>
  </si>
  <si>
    <t>Low Roar</t>
  </si>
  <si>
    <t>icelandic indie</t>
  </si>
  <si>
    <t>I'll Keep Coming</t>
  </si>
  <si>
    <t>Blame (Tim Gunter Remix)</t>
  </si>
  <si>
    <t>graves,Tim Gunter,LocateEmilio</t>
  </si>
  <si>
    <t>bass trap,electronic trap,future bass,vapor twitch</t>
  </si>
  <si>
    <t>Better Days</t>
  </si>
  <si>
    <t>Arman Cekin,Faydee,Karra</t>
  </si>
  <si>
    <t>bass trap,desi pop,la pop</t>
  </si>
  <si>
    <t>Carry Me (feat. Julia Michaels)</t>
  </si>
  <si>
    <t>Kygo,Julia Michaels</t>
  </si>
  <si>
    <t>edm,pop,pop dance,tropical house,alt z,dance pop,electropop,post-teen pop</t>
  </si>
  <si>
    <t>Cutting Shapes</t>
  </si>
  <si>
    <t>Don Diablo</t>
  </si>
  <si>
    <t>dance pop,edm,electro house,future house,house,pop dance,progressive electro house,progressive house,tropical house</t>
  </si>
  <si>
    <t>Runaway</t>
  </si>
  <si>
    <t>AURORA</t>
  </si>
  <si>
    <t>art pop,norwegian pop</t>
  </si>
  <si>
    <t>Run Into Trouble</t>
  </si>
  <si>
    <t>Alok,Bastille</t>
  </si>
  <si>
    <t>electro house,pop nacional,slap house,metropopolis,modern rock,pop,pop rock</t>
  </si>
  <si>
    <t>Sirens</t>
  </si>
  <si>
    <t>Flume,Caroline Polachek</t>
  </si>
  <si>
    <t>australian dance,australian electropop,australian indie,downtempo,edm,art pop,dance pop,electropop,escape room,indie pop,indietronica,pop</t>
  </si>
  <si>
    <t>Find My Own Way - Klassic Remix</t>
  </si>
  <si>
    <t>Arrested Youth,Klassic</t>
  </si>
  <si>
    <t>modern alternative rock,modern rock,rock</t>
  </si>
  <si>
    <t>Ghost</t>
  </si>
  <si>
    <t>KYANU,Neptunica</t>
  </si>
  <si>
    <t>All 4 Nothing (I'm So In Love)</t>
  </si>
  <si>
    <t>Lauv</t>
  </si>
  <si>
    <t>dance pop,electropop,pop</t>
  </si>
  <si>
    <t>What It Feels Like</t>
  </si>
  <si>
    <t>Navos,Galantis,YOU</t>
  </si>
  <si>
    <t>deep groove house,house,pop dance,tropical house,uk dance,dance pop,edm,electro house,pop</t>
  </si>
  <si>
    <t>bb u ok? - LP Giobbi Remix</t>
  </si>
  <si>
    <t>San Holo,LP Giobbi</t>
  </si>
  <si>
    <t>edm,electronic trap,electropop,future bass,pop dance,pop edm,vapor twitch,electro house,house</t>
  </si>
  <si>
    <t>I Blame The World</t>
  </si>
  <si>
    <t>Sasha Alex Sloan</t>
  </si>
  <si>
    <t>alt z,electropop,pop</t>
  </si>
  <si>
    <t>Tell Me The Truth</t>
  </si>
  <si>
    <t>indie poptimism,modern rock</t>
  </si>
  <si>
    <t>Have Fun</t>
  </si>
  <si>
    <t>Aurora</t>
  </si>
  <si>
    <t>DROELOE</t>
  </si>
  <si>
    <t>bass trap,edm,electronic trap,electropop,future bass,pop edm,vapor soul,vapor twitch</t>
  </si>
  <si>
    <t>Smoke &amp; Fire</t>
  </si>
  <si>
    <t>Cuebrick,Karra</t>
  </si>
  <si>
    <t>pop edm,sky room,la pop</t>
  </si>
  <si>
    <t>LoveSick</t>
  </si>
  <si>
    <t>Rigby,Layne</t>
  </si>
  <si>
    <t>Plastic Dreams</t>
  </si>
  <si>
    <t>Khamsin,Kidswaste</t>
  </si>
  <si>
    <t>future bass,pop edm,vapor twitch,electropop,indie electropop,indie poptimism,vapor soul</t>
  </si>
  <si>
    <t>Join the Wired with Me</t>
  </si>
  <si>
    <t>onumi</t>
  </si>
  <si>
    <t>Round &amp; Round - Pilton Remix</t>
  </si>
  <si>
    <t>The Spacies,pilton</t>
  </si>
  <si>
    <t>Another Night (feat. Karra)</t>
  </si>
  <si>
    <t>Minnesota,Karra</t>
  </si>
  <si>
    <t>electronic trap,glitch hop,vapor twitch,la pop</t>
  </si>
  <si>
    <t>Salzburg</t>
  </si>
  <si>
    <t>Worakls</t>
  </si>
  <si>
    <t>deep minimal techno,high-tech minimal,minimal techno,new french touch,tropical house</t>
  </si>
  <si>
    <t>How It Hurts</t>
  </si>
  <si>
    <t>Malvae,Esther Veen</t>
  </si>
  <si>
    <t>Love Again</t>
  </si>
  <si>
    <t>AVAION</t>
  </si>
  <si>
    <t>Light Up</t>
  </si>
  <si>
    <t>nimino</t>
  </si>
  <si>
    <t>new french touch,vapor soul,vapor twitch</t>
  </si>
  <si>
    <t>Nobody Loves Me Like You</t>
  </si>
  <si>
    <t>Haunt</t>
  </si>
  <si>
    <t>Echos</t>
  </si>
  <si>
    <t>alt z,indie electropop,indie poptimism</t>
  </si>
  <si>
    <t>Getting High</t>
  </si>
  <si>
    <t>Biicla</t>
  </si>
  <si>
    <t>GROUNDHOG DAY</t>
  </si>
  <si>
    <t>Hahlweg,Koste</t>
  </si>
  <si>
    <t>Formidable</t>
  </si>
  <si>
    <t>Papaoutai</t>
  </si>
  <si>
    <t>Alors on danse - Radio Edit</t>
  </si>
  <si>
    <t>Radio Silence - KVMO Remix</t>
  </si>
  <si>
    <t>Snugs,Kvmo</t>
  </si>
  <si>
    <t>Runnin'</t>
  </si>
  <si>
    <t>Adam Lambert</t>
  </si>
  <si>
    <t>dance pop,idol,pop,post-teen pop</t>
  </si>
  <si>
    <t>human</t>
  </si>
  <si>
    <t>Christina Perri</t>
  </si>
  <si>
    <t>dance pop,neo mellow,pop,pop rock,post-teen pop,viral pop</t>
  </si>
  <si>
    <t>Cameo</t>
  </si>
  <si>
    <t>Kavinsky,Kareen Lomax</t>
  </si>
  <si>
    <t>Zenith</t>
  </si>
  <si>
    <t>Kavinsky,Prudence,Morgan Phalen</t>
  </si>
  <si>
    <t>Vigilante</t>
  </si>
  <si>
    <t>Outsider</t>
  </si>
  <si>
    <t>Kavinsky</t>
  </si>
  <si>
    <t>Horizon</t>
  </si>
  <si>
    <t>Plasma</t>
  </si>
  <si>
    <t>Kavinsky,Sébastien Tellier</t>
  </si>
  <si>
    <t>alternative dance,electro house,filter house,downtempo,electronica,french indie pop,french indietronica,french synthpop,new rave</t>
  </si>
  <si>
    <t>Trigger</t>
  </si>
  <si>
    <t>Reborn</t>
  </si>
  <si>
    <t>Kavinsky,Romuald</t>
  </si>
  <si>
    <t>Pulsar</t>
  </si>
  <si>
    <t>Give It To Me</t>
  </si>
  <si>
    <t>Timbaland,Justin Timberlake,Nelly Furtado</t>
  </si>
  <si>
    <t>dance pop,hip hop,hip pop,pop,pop rap,urban contemporary,canadian latin,canadian pop</t>
  </si>
  <si>
    <t>Turn Me On (feat. Vula)</t>
  </si>
  <si>
    <t>Run</t>
  </si>
  <si>
    <t>Morning After Dark (Featuring Nelly Furtado &amp; SoShy)</t>
  </si>
  <si>
    <t>Timbaland,Nelly Furtado,Soshy</t>
  </si>
  <si>
    <t>Apologize - feat. One Republic</t>
  </si>
  <si>
    <t>Timbaland,OneRepublic</t>
  </si>
  <si>
    <t>dance pop,hip hop,hip pop,pop,pop rap,urban contemporary,piano rock,pop rock</t>
  </si>
  <si>
    <t>Say It Right</t>
  </si>
  <si>
    <t>Nelly Furtado</t>
  </si>
  <si>
    <t>canadian latin,canadian pop,dance pop,pop,pop rap</t>
  </si>
  <si>
    <t>Promiscuous</t>
  </si>
  <si>
    <t>Nelly Furtado,Timbaland</t>
  </si>
  <si>
    <t>canadian latin,canadian pop,dance pop,pop,pop rap,hip hop,hip pop,urban contemporary</t>
  </si>
  <si>
    <t>Love Letter (feat. The Knocks)</t>
  </si>
  <si>
    <t>K-391,RØRY</t>
  </si>
  <si>
    <t>nordic house,pop dance</t>
  </si>
  <si>
    <t>Holy Water</t>
  </si>
  <si>
    <t>Besomorph,Lucifer</t>
  </si>
  <si>
    <t>alt z,slap house,traprun</t>
  </si>
  <si>
    <t>Say Nothing - Tchami Remix</t>
  </si>
  <si>
    <t>Flume,MAY-A,Tchami</t>
  </si>
  <si>
    <t>australian dance,australian electropop,australian indie,downtempo,edm,australian alternative pop,bass house,deep groove house,electro house,future house,house,pop dance,progressive house</t>
  </si>
  <si>
    <t>Danse</t>
  </si>
  <si>
    <t>St2</t>
  </si>
  <si>
    <t>Tristesse</t>
  </si>
  <si>
    <t>2 minutes</t>
  </si>
  <si>
    <t>Gris</t>
  </si>
  <si>
    <t>IZAID</t>
  </si>
  <si>
    <t>Happier Than Ever - Edit</t>
  </si>
  <si>
    <t>Billie Eilish</t>
  </si>
  <si>
    <t>art pop,electropop,pop</t>
  </si>
  <si>
    <t>Bully</t>
  </si>
  <si>
    <t>TeZATalks</t>
  </si>
  <si>
    <t>BEG</t>
  </si>
  <si>
    <t>STFD</t>
  </si>
  <si>
    <t>Goliath</t>
  </si>
  <si>
    <t>Woodkid</t>
  </si>
  <si>
    <t>chamber pop</t>
  </si>
  <si>
    <t>Shades Of Grey</t>
  </si>
  <si>
    <t>Oliver Heldens,Shaun Frank,Delaney Jane,Win &amp; Woo,Kiso</t>
  </si>
  <si>
    <t>dance pop,edm,electro house,future house,house,pop dance,progressive electro house,progressive house,tropical house,canadian electronic,pop edm,alt z,canadian electropop</t>
  </si>
  <si>
    <t>Moonlight</t>
  </si>
  <si>
    <t>XXXTENTACION</t>
  </si>
  <si>
    <t>emo rap,miami hip hop</t>
  </si>
  <si>
    <t>X</t>
  </si>
  <si>
    <t>Nicky Jam,J Balvin</t>
  </si>
  <si>
    <t>latin,latin hip hop,reggaeton,trap latino,reggaeton colombiano</t>
  </si>
  <si>
    <t>Wide Awake</t>
  </si>
  <si>
    <t>Katy Perry</t>
  </si>
  <si>
    <t>Part Of Me</t>
  </si>
  <si>
    <t>Firework</t>
  </si>
  <si>
    <t>Teenage Dream</t>
  </si>
  <si>
    <t>California Gurls</t>
  </si>
  <si>
    <t>Katy Perry,Snoop Dogg</t>
  </si>
  <si>
    <t>dance pop,pop,post-teen pop,g funk,gangster rap,hip hop,rap,west coast rap</t>
  </si>
  <si>
    <t>E.T.</t>
  </si>
  <si>
    <t>Katy Perry,Kanye West</t>
  </si>
  <si>
    <t>dance pop,pop,post-teen pop,chicago rap,rap</t>
  </si>
  <si>
    <t>7 rings</t>
  </si>
  <si>
    <t>Into You</t>
  </si>
  <si>
    <t>Blessed</t>
  </si>
  <si>
    <t>Besomorph,M.I.M.E,2Scratch</t>
  </si>
  <si>
    <t>alt z,slap house,traprun,bass trap</t>
  </si>
  <si>
    <t>Go Fuck Yourself</t>
  </si>
  <si>
    <t>Play The Part</t>
  </si>
  <si>
    <t>I Feel Like I'm Drowning</t>
  </si>
  <si>
    <t>I Remember</t>
  </si>
  <si>
    <t>Adam Pearce,XELA</t>
  </si>
  <si>
    <t>canadian electronic,melodic dubstep,pop edm</t>
  </si>
  <si>
    <t>Yours</t>
  </si>
  <si>
    <t>Nanomake</t>
  </si>
  <si>
    <t>Holding On</t>
  </si>
  <si>
    <t>Katdrop</t>
  </si>
  <si>
    <t>Shots - Broiler Remix</t>
  </si>
  <si>
    <t>Imagine Dragons,Broiler</t>
  </si>
  <si>
    <t>modern rock,rock,nordic house,norwegian pop,tropical house</t>
  </si>
  <si>
    <t>It's Been So Long</t>
  </si>
  <si>
    <t>The Living Tombstone</t>
  </si>
  <si>
    <t>fnaf</t>
  </si>
  <si>
    <t>Headlights (feat. KIDDO)</t>
  </si>
  <si>
    <t>Alok,Alan Walker,KIDDO</t>
  </si>
  <si>
    <t>electro house,pop nacional,slap house,scandipop</t>
  </si>
  <si>
    <t>DROELOE,Iris Penning</t>
  </si>
  <si>
    <t>bass trap,edm,electronic trap,electropop,future bass,pop edm,vapor soul,vapor twitch,dutch singer-songwriter</t>
  </si>
  <si>
    <t>Navigator</t>
  </si>
  <si>
    <t>MOONZz</t>
  </si>
  <si>
    <t>electropop,indie electropop,indie poptimism,pop edm</t>
  </si>
  <si>
    <t>Make Me (Cry)</t>
  </si>
  <si>
    <t>Noah Cyrus,Labrinth</t>
  </si>
  <si>
    <t>dance pop,pop,indie poptimism</t>
  </si>
  <si>
    <t>Again (feat. XXXTENTACION)</t>
  </si>
  <si>
    <t>Something In The Way</t>
  </si>
  <si>
    <t>Nirvana</t>
  </si>
  <si>
    <t>grunge,permanent wave,rock</t>
  </si>
  <si>
    <t>Still D.R.E.</t>
  </si>
  <si>
    <t>Dr. Dre,Snoop Dogg</t>
  </si>
  <si>
    <t>g funk,gangster rap,hip hop,rap,west coast rap</t>
  </si>
  <si>
    <t>Wild Thoughts (feat. Rihanna &amp; Bryson Tiller)</t>
  </si>
  <si>
    <t>DJ Khaled,Rihanna,Bryson Tiller</t>
  </si>
  <si>
    <t>dance pop,dirty south rap,hip hop,miami hip hop,pop,pop rap,rap,southern hip hop,trap,barbadian pop,urban contemporary,kentucky hip hop,r&amp;b</t>
  </si>
  <si>
    <t>I Need A Doctor</t>
  </si>
  <si>
    <t>Besomage,BRAN</t>
  </si>
  <si>
    <t>traprun</t>
  </si>
  <si>
    <t>Dr. Dre,Eminem,Skylar Grey</t>
  </si>
  <si>
    <t>g funk,gangster rap,hip hop,rap,west coast rap,detroit hip hop,piano rock</t>
  </si>
  <si>
    <t>Mauvaise journée</t>
  </si>
  <si>
    <t>Bonne journée</t>
  </si>
  <si>
    <t>Fils de joie</t>
  </si>
  <si>
    <t>Play Date</t>
  </si>
  <si>
    <t>Melanie Martinez</t>
  </si>
  <si>
    <t>Break You</t>
  </si>
  <si>
    <t>Christofi</t>
  </si>
  <si>
    <t>Love Me Right</t>
  </si>
  <si>
    <t>Yuppycult</t>
  </si>
  <si>
    <t>Dominic Strike</t>
  </si>
  <si>
    <t>No Deal</t>
  </si>
  <si>
    <t>Henrique</t>
  </si>
  <si>
    <t>Shadows</t>
  </si>
  <si>
    <t>PR1ME</t>
  </si>
  <si>
    <t>December Night</t>
  </si>
  <si>
    <t>Nowhere Nowhere</t>
  </si>
  <si>
    <t>Lightning - Sublab Remix</t>
  </si>
  <si>
    <t>Stonefox,Sublab</t>
  </si>
  <si>
    <t>chillstep,melodic dubstep,wave</t>
  </si>
  <si>
    <t>Burn - Ryan Riback Remix</t>
  </si>
  <si>
    <t>Marnik,ROOKIES,Ryan Riback</t>
  </si>
  <si>
    <t>electro house,deep tropical house,melbourne bounce</t>
  </si>
  <si>
    <t>Lost &amp; Found</t>
  </si>
  <si>
    <t>Feint,R7CKY,Skyelle</t>
  </si>
  <si>
    <t>chillstep,dancefloor dnb,edm,gaming edm,melodic dubstep</t>
  </si>
  <si>
    <t>Becky Hill,Galantis</t>
  </si>
  <si>
    <t>dance pop,edm,pop,pop dance,pop house,tropical house,uk dance,electro house</t>
  </si>
  <si>
    <t>Statues</t>
  </si>
  <si>
    <t>DROELOE,MOONZz</t>
  </si>
  <si>
    <t>bass trap,edm,electronic trap,electropop,future bass,pop edm,vapor soul,vapor twitch,indie electropop,indie poptimism</t>
  </si>
  <si>
    <t>Harlequin</t>
  </si>
  <si>
    <t>Catch Me If U Can</t>
  </si>
  <si>
    <t>Lucian,ELIZZA</t>
  </si>
  <si>
    <t>bass trap,pop edm,vapor twitch</t>
  </si>
  <si>
    <t>Children In The Dark</t>
  </si>
  <si>
    <t>AViVA</t>
  </si>
  <si>
    <t>alt z,vapor pop</t>
  </si>
  <si>
    <t>Papersky</t>
  </si>
  <si>
    <t>Survive Said The Prophet</t>
  </si>
  <si>
    <t>j-poprock,japanese alternative rock</t>
  </si>
  <si>
    <t>deja vu</t>
  </si>
  <si>
    <t>Olivia Rodrigo</t>
  </si>
  <si>
    <t>Let Me Down Easy</t>
  </si>
  <si>
    <t>Jane XØ,LöKii</t>
  </si>
  <si>
    <t>Dry Blood</t>
  </si>
  <si>
    <t>Highlnd,Alex Venegas</t>
  </si>
  <si>
    <t>melodic dubstep,pop edm,traprun</t>
  </si>
  <si>
    <t>National Anthem of the Ussr</t>
  </si>
  <si>
    <t>Les Choeurs de l'Armée Rouge</t>
  </si>
  <si>
    <t>musique militaire,russian folk</t>
  </si>
  <si>
    <t>Need To Feel Loved</t>
  </si>
  <si>
    <t>Darren Styles,Jelle van Dael</t>
  </si>
  <si>
    <t>happy hardcore,hardcore techno</t>
  </si>
  <si>
    <t>Shockwave,Ezenia</t>
  </si>
  <si>
    <t>euphoric hardstyle,hardstyle</t>
  </si>
  <si>
    <t>Thinkin</t>
  </si>
  <si>
    <t>Hades27</t>
  </si>
  <si>
    <t>Cold Shoulder</t>
  </si>
  <si>
    <t>8 Graves</t>
  </si>
  <si>
    <t>alt z,rebel blues</t>
  </si>
  <si>
    <t>Party Starter</t>
  </si>
  <si>
    <t>Flux Pavilion,Eliminate</t>
  </si>
  <si>
    <t>bass trap,brostep,classic dubstep,edm,electro house,electronic trap,melodic dubstep,pop dance,dubstep,gaming dubstep</t>
  </si>
  <si>
    <t>Somebody That I Used To Know</t>
  </si>
  <si>
    <t>Gotye,Kimbra</t>
  </si>
  <si>
    <t>australian pop,bergen indie,electropop,nz pop</t>
  </si>
  <si>
    <t>Stan</t>
  </si>
  <si>
    <t>Eminem,Dido</t>
  </si>
  <si>
    <t>detroit hip hop,hip hop,rap,pop rock</t>
  </si>
  <si>
    <t>In Da Club</t>
  </si>
  <si>
    <t>50 Cent</t>
  </si>
  <si>
    <t>east coast hip hop,gangster rap,hip hop,pop rap,queens hip hop,rap</t>
  </si>
  <si>
    <t>drivers license</t>
  </si>
  <si>
    <t>Sweet Nothing (feat. Florence Welch)</t>
  </si>
  <si>
    <t>Feel So Close - Radio Edit</t>
  </si>
  <si>
    <t>good 4 u</t>
  </si>
  <si>
    <t>abcdefu (angrier)</t>
  </si>
  <si>
    <t>abcdefu</t>
  </si>
  <si>
    <t>Future Holds</t>
  </si>
  <si>
    <t>Bastille,BIM</t>
  </si>
  <si>
    <t>Broken</t>
  </si>
  <si>
    <t>AViVA,The Tech Thieves</t>
  </si>
  <si>
    <t>Ruin Your Life</t>
  </si>
  <si>
    <t>Besomorph,RIELL</t>
  </si>
  <si>
    <t>Walk Me Home</t>
  </si>
  <si>
    <t>Said The Sky,ILLENIUM,Chelsea Cutler</t>
  </si>
  <si>
    <t>edm,electropop,future bass,melodic dubstep,pop dance,pop edm,tropical house,pop,alt z,indie poptimism</t>
  </si>
  <si>
    <t>Drop The Game</t>
  </si>
  <si>
    <t>Flume,Chet Faker</t>
  </si>
  <si>
    <t>australian dance,australian electropop,australian indie,downtempo,edm,art pop,indietronica</t>
  </si>
  <si>
    <t>Some Minds</t>
  </si>
  <si>
    <t>Flume,Andrew Wyatt</t>
  </si>
  <si>
    <t>australian dance,australian electropop,australian indie,downtempo,edm,nyc pop</t>
  </si>
  <si>
    <t>Nothing Stopping Me</t>
  </si>
  <si>
    <t>Vicetone,Kat Nestel</t>
  </si>
  <si>
    <t>edm,electro house,pop dance,pop edm,progressive electro house,tropical house</t>
  </si>
  <si>
    <t>Betterman</t>
  </si>
  <si>
    <t>Honors</t>
  </si>
  <si>
    <t>Regrets</t>
  </si>
  <si>
    <t>Arc North,Axel Johansson</t>
  </si>
  <si>
    <t>gaming edm,slap house,pop edm</t>
  </si>
  <si>
    <t>Beach N Chill</t>
  </si>
  <si>
    <t>Laisse tomber</t>
  </si>
  <si>
    <t>french hip hop,rap conscient</t>
  </si>
  <si>
    <t>Anunnaki</t>
  </si>
  <si>
    <t>Maudit (feat. Hamza)</t>
  </si>
  <si>
    <t>french hip hop,rap conscient,belgian hip hop,pop urbaine,rap belge,rap francais</t>
  </si>
  <si>
    <t>Rappeur conscient</t>
  </si>
  <si>
    <t>Peon (feat. Orelsan)</t>
  </si>
  <si>
    <t>french hip hop,rap conscient,old school rap francais</t>
  </si>
  <si>
    <t>La faux le fer</t>
  </si>
  <si>
    <t>Pandémie</t>
  </si>
  <si>
    <t>Lion</t>
  </si>
  <si>
    <t>Hearts &amp; Colors</t>
  </si>
  <si>
    <t>channel pop,neo mellow,viral pop</t>
  </si>
  <si>
    <t>Voices</t>
  </si>
  <si>
    <t>Prblm Chld,Jess Coppens</t>
  </si>
  <si>
    <t>Where Is The Love?</t>
  </si>
  <si>
    <t>The Time (Dirty Bit)</t>
  </si>
  <si>
    <t>In The Name Of Love - The Him Remix</t>
  </si>
  <si>
    <t>dance pop,dutch edm,edm,electro house,pop,pop dance,progressive house,tropical house,electropop,post-teen pop,big room,deep house,deep tropical house,house,pop edm</t>
  </si>
  <si>
    <t>King of Disappointment</t>
  </si>
  <si>
    <t>the lifeboat's empty!</t>
  </si>
  <si>
    <t>Chelsea Cutler</t>
  </si>
  <si>
    <t>alt z,electropop,indie poptimism,pop,tropical house</t>
  </si>
  <si>
    <t>Mr. Blue</t>
  </si>
  <si>
    <t>Omar LinX,Zeds Dead</t>
  </si>
  <si>
    <t>canadian hip hop,indie pop rap,brostep,canadian electronic,dubstep,edm,electro house,electronic trap,progressive electro house,vapor twitch</t>
  </si>
  <si>
    <t>Statement</t>
  </si>
  <si>
    <t>95</t>
  </si>
  <si>
    <t>Rock You Like a Hurricane - 2015 - Remaster</t>
  </si>
  <si>
    <t>Scorpions</t>
  </si>
  <si>
    <t>album rock,german hard rock,german metal,german rock,hard rock,metal,rock</t>
  </si>
  <si>
    <t>Still Loving You</t>
  </si>
  <si>
    <t>Wind Of Change</t>
  </si>
  <si>
    <t>Petit Boze (feat. Biffty)</t>
  </si>
  <si>
    <t>The Pines</t>
  </si>
  <si>
    <t>Roses &amp; Revolutions</t>
  </si>
  <si>
    <t>ANYTH1NG</t>
  </si>
  <si>
    <t>Aurora B.Polaris,LXST ANGELES</t>
  </si>
  <si>
    <t>All Our Little Talks</t>
  </si>
  <si>
    <t>Flipboitamidles</t>
  </si>
  <si>
    <t>Not Today</t>
  </si>
  <si>
    <t>LEVR,Akacia</t>
  </si>
  <si>
    <t>Afterlife</t>
  </si>
  <si>
    <t>NCT</t>
  </si>
  <si>
    <t>Lost Time</t>
  </si>
  <si>
    <t>Wild Cards</t>
  </si>
  <si>
    <t>Come With Me</t>
  </si>
  <si>
    <t>Coopex</t>
  </si>
  <si>
    <t>Breathe - GHOST DATA Remix</t>
  </si>
  <si>
    <t>Static,GHOST DATA</t>
  </si>
  <si>
    <t>future funk</t>
  </si>
  <si>
    <t>Turns to Dust</t>
  </si>
  <si>
    <t>Sound Surfer,Verso,Nilka</t>
  </si>
  <si>
    <t>Faded Away (feat. Icona Pop) - SWACQ Remix</t>
  </si>
  <si>
    <t>Sweater Beats,Icona Pop,SWACQ</t>
  </si>
  <si>
    <t>gauze pop,vapor twitch,candy pop,dance pop,edm,electropop,metropopolis,pop,pop dance,swedish electropop,swedish synthpop,big room,electro house,sky room</t>
  </si>
  <si>
    <t>The Pines - Evan Gartner Remix</t>
  </si>
  <si>
    <t>HUSH Epais Remix</t>
  </si>
  <si>
    <t>Biometrix,Charli Brix,Epais</t>
  </si>
  <si>
    <t>bass trap,traprun,uk dnb</t>
  </si>
  <si>
    <t>professional</t>
  </si>
  <si>
    <t>SAMAHTA,Hail Luna</t>
  </si>
  <si>
    <t>Steady 1234 (feat. Jasmine Thompson &amp; Skizzy Mars) - Justice Skolnik Remix</t>
  </si>
  <si>
    <t>Vice,Jasmine Thompson,Skizzy Mars,Justice Skolnik</t>
  </si>
  <si>
    <t>chicano rap,neo mellow,pop,viral pop,indie pop rap,pop rap,underground hip hop</t>
  </si>
  <si>
    <t>Thrones - Last Heroes Remix</t>
  </si>
  <si>
    <t>Satellite Empire,Last Heroes</t>
  </si>
  <si>
    <t>future bass,melodic dubstep,pop edm</t>
  </si>
  <si>
    <t>Wind of Change (feat. Brandon Boyd of Incubus &amp; Portugal. The Man)</t>
  </si>
  <si>
    <t>la indie,modern alternative rock,modern rock,pop rock,rock,stomp pop,alternative metal,alternative rock,funk metal,funk rock,nu metal,post-grunge,rap rock</t>
  </si>
  <si>
    <t>No Beef (feat. Miss Palmer) - Radio Edit</t>
  </si>
  <si>
    <t>Afrojack,Steve Aoki,Miss Palmer</t>
  </si>
  <si>
    <t>big room,dance pop,dutch house,edm,electro house,pop dance,pop rap,progressive house,tropical house</t>
  </si>
  <si>
    <t>Call Me</t>
  </si>
  <si>
    <t>Blondie</t>
  </si>
  <si>
    <t>candy pop,new wave,new wave pop,permanent wave,power pop,rock</t>
  </si>
  <si>
    <t>Heart Of Glass - Special Mix</t>
  </si>
  <si>
    <t>Day By Day</t>
  </si>
  <si>
    <t>Frank Walker,Two Feet</t>
  </si>
  <si>
    <t>edm,electro house,pop dance,pop edm,tropical house,indie poptimism,modern rock</t>
  </si>
  <si>
    <t>Who Would Have Thought</t>
  </si>
  <si>
    <t>Just A Gent,Arno Faraji</t>
  </si>
  <si>
    <t>aussietronica,bass trap,edm,electro house,electronic trap,electropop,future bass,melodic dubstep,vapor twitch,australian hip hop,west australian hip hop</t>
  </si>
  <si>
    <t>Shut Off The Lights</t>
  </si>
  <si>
    <t>Built to Last</t>
  </si>
  <si>
    <t>One Last Kiss</t>
  </si>
  <si>
    <t>Hikaru Utada</t>
  </si>
  <si>
    <t>anime,classic j-pop,j-pop,japanese singer-songwriter</t>
  </si>
  <si>
    <t>Giorgio by Moroder</t>
  </si>
  <si>
    <t>Daft Punk</t>
  </si>
  <si>
    <t>electro,filter house</t>
  </si>
  <si>
    <t>Beyond</t>
  </si>
  <si>
    <t>Angels - Radio Edit</t>
  </si>
  <si>
    <t>Love Today</t>
  </si>
  <si>
    <t>MIKA</t>
  </si>
  <si>
    <t>dance pop,europop,pop</t>
  </si>
  <si>
    <t>Lollipop</t>
  </si>
  <si>
    <t>Elle me dit</t>
  </si>
  <si>
    <t>Grace Kelly</t>
  </si>
  <si>
    <t>You Got The Love - twocolors Remix</t>
  </si>
  <si>
    <t>Moth To A Flame (with The Weeknd)</t>
  </si>
  <si>
    <t>You Got The Love - twocolors Remix Extended Mix</t>
  </si>
  <si>
    <t>End Of The World</t>
  </si>
  <si>
    <t>Excision,Dion Timmer,Donna Tella</t>
  </si>
  <si>
    <t>brostep,canadian electronic,edm,electro house,deathstep,dubstep,electronic trap,gaming dubstep,gaming edm,melodic dubstep</t>
  </si>
  <si>
    <t>Moth To A Flame (with The Weeknd) - Extended Mix</t>
  </si>
  <si>
    <t>Don’t Wake Me Up</t>
  </si>
  <si>
    <t>Jonas Blue,Why Don't We</t>
  </si>
  <si>
    <t>dance pop,edm,pop,pop dance,tropical house,uk dance,boy band,post-teen pop</t>
  </si>
  <si>
    <t>One Symphony</t>
  </si>
  <si>
    <t>Swedish House Mafia,Jacob Mühlrad</t>
  </si>
  <si>
    <t>Face To Face</t>
  </si>
  <si>
    <t>Don Diablo,WATTS</t>
  </si>
  <si>
    <t>Go Tell Them</t>
  </si>
  <si>
    <t>Arman Cekin,Paul Rey</t>
  </si>
  <si>
    <t>bass trap,eurovision,swedish pop</t>
  </si>
  <si>
    <t>Gassed Up</t>
  </si>
  <si>
    <t>Zeds Dead,Subtronics,Flowdan</t>
  </si>
  <si>
    <t>brostep,canadian electronic,dubstep,edm,electro house,electronic trap,progressive electro house,vapor twitch,grime</t>
  </si>
  <si>
    <t>See You Again</t>
  </si>
  <si>
    <t>Seven Lions,Jason Ross,Fiora</t>
  </si>
  <si>
    <t>dubstep,edm,electro house,future bass,melodic dubstep,pop dance,pop edm,progressive trance,progressive house,vocal trance</t>
  </si>
  <si>
    <t>Bring Me Home - Papa Ya Remix</t>
  </si>
  <si>
    <t>Sam Martin,Papa Ya</t>
  </si>
  <si>
    <t>Burn Butcher Burn - from The Witcher: Season 2 Soundtrack</t>
  </si>
  <si>
    <t>Joseph Trapanese,Joey Batey</t>
  </si>
  <si>
    <t>soundtrack</t>
  </si>
  <si>
    <t>Discover Love - Kaidro Remix</t>
  </si>
  <si>
    <t>Ryos,Envy Monroe,Kaidro</t>
  </si>
  <si>
    <t>big room,edm,electro house,pop dance,pop edm,progressive electro house,sky room</t>
  </si>
  <si>
    <t>On Again - Best Night Ever Remix</t>
  </si>
  <si>
    <t>Honors,Molly Kate Kestner,Best Night Ever</t>
  </si>
  <si>
    <t>canadian contemporary r&amp;b,lds youth</t>
  </si>
  <si>
    <t>Brave</t>
  </si>
  <si>
    <t>Fancy Cars</t>
  </si>
  <si>
    <t>pop edm,progressive electro house</t>
  </si>
  <si>
    <t>Sunken</t>
  </si>
  <si>
    <t>Inova</t>
  </si>
  <si>
    <t>arab trap,bass trap,traprun</t>
  </si>
  <si>
    <t>Imaginary Friends</t>
  </si>
  <si>
    <t>Veela,Eunoia</t>
  </si>
  <si>
    <t>chillstep,melodic dubstep</t>
  </si>
  <si>
    <t>Stronger (What Doesn't Kill You)</t>
  </si>
  <si>
    <t>Kelly Clarkson</t>
  </si>
  <si>
    <t>dance pop,neo mellow,pop,post-teen pop,talent show</t>
  </si>
  <si>
    <t>Take My Breath - Single Version</t>
  </si>
  <si>
    <t>The Weeknd</t>
  </si>
  <si>
    <t>canadian contemporary r&amp;b,canadian pop,pop</t>
  </si>
  <si>
    <t>My Universe</t>
  </si>
  <si>
    <t>Coldplay,BTS</t>
  </si>
  <si>
    <t>permanent wave,pop,k-pop,k-pop boy group</t>
  </si>
  <si>
    <t>Piercing Light</t>
  </si>
  <si>
    <t>League of Legends,Mako</t>
  </si>
  <si>
    <t>speedrun,video game music,edm,electropop,indie poptimism,pop dance,pop edm,tropical house</t>
  </si>
  <si>
    <t>Intro</t>
  </si>
  <si>
    <t>The xx</t>
  </si>
  <si>
    <t>downtempo,dream pop,indietronica</t>
  </si>
  <si>
    <t>Free Me</t>
  </si>
  <si>
    <t>アルケミラ</t>
  </si>
  <si>
    <t>Regal Lily</t>
  </si>
  <si>
    <t>j-poprock,j-rock,japanese alternative rock</t>
  </si>
  <si>
    <t>Akimbo</t>
  </si>
  <si>
    <t>Ziak</t>
  </si>
  <si>
    <t>drill francais</t>
  </si>
  <si>
    <t>Freeze Time - Price &amp; Takis Remix</t>
  </si>
  <si>
    <t>Manse,Alice Berg,Price &amp; Takis</t>
  </si>
  <si>
    <t>big room,edm,electro house,pop dance,pop edm,progressive electro house,progressive house,sky room,swedish electropop,canadian electronic</t>
  </si>
  <si>
    <t>Burned</t>
  </si>
  <si>
    <t>Fytch,Pauline Herr</t>
  </si>
  <si>
    <t>bass trap,filthstep,future bass,melodic dubstep,traprun</t>
  </si>
  <si>
    <t>How U Like Me Now</t>
  </si>
  <si>
    <t>Savoy,Roniit</t>
  </si>
  <si>
    <t>complextro,electro house,future bass,gaming edm,melodic dubstep,dark pop</t>
  </si>
  <si>
    <t>Spacetime (feat. NEVVE)</t>
  </si>
  <si>
    <t>Subtronics,Nevve</t>
  </si>
  <si>
    <t>dubstep,edm,electro house,electronic trap</t>
  </si>
  <si>
    <t>Becoming Insane</t>
  </si>
  <si>
    <t>Infected Mushroom</t>
  </si>
  <si>
    <t>Bermuda</t>
  </si>
  <si>
    <t>Sickick</t>
  </si>
  <si>
    <t>POP/STARS</t>
  </si>
  <si>
    <t>K/DA,Madison Beer,(G)I-DLE,Jaira Burns,League of Legends</t>
  </si>
  <si>
    <t>k-pop girl group,alt z,dance pop,electropop,pop,post-teen pop,k-pop,indie poptimism,speedrun,video game music</t>
  </si>
  <si>
    <t>Habit - T-Mass Remix</t>
  </si>
  <si>
    <t>Rain Man,Krysta Youngs,T-Mass</t>
  </si>
  <si>
    <t>pop edm,bossbeat,strut,bass trap,gaming edm,melodic dubstep,traprun</t>
  </si>
  <si>
    <t>Goodbye (from the series Arcane League of Legends)</t>
  </si>
  <si>
    <t>Ramsey,Arcane,League of Legends</t>
  </si>
  <si>
    <t>dark pop,indie electropop,speedrun,video game music</t>
  </si>
  <si>
    <t>Roses - Imanbek Remix</t>
  </si>
  <si>
    <t>Sweet but Psycho</t>
  </si>
  <si>
    <t>Ava Max</t>
  </si>
  <si>
    <t>Psycho (feat. Ty Dolla $ign)</t>
  </si>
  <si>
    <t>7 Years</t>
  </si>
  <si>
    <t>Lukas Graham</t>
  </si>
  <si>
    <t>danish pop,pop,scandipop</t>
  </si>
  <si>
    <t>See You Again (feat. Charlie Puth)</t>
  </si>
  <si>
    <t>We Are Young (feat. Janelle Monáe)</t>
  </si>
  <si>
    <t>One More Night</t>
  </si>
  <si>
    <t>Never Seen The Rain</t>
  </si>
  <si>
    <t>Kimi Ga Iru</t>
  </si>
  <si>
    <t>ACN Music.</t>
  </si>
  <si>
    <t>anime score</t>
  </si>
  <si>
    <t>Kujikesou Ni Naru Watashi Wo Sasaete Kudasai</t>
  </si>
  <si>
    <t>Yuujin a Kun Wo Watashi No Bansousha Ni Ninmei Shimasu</t>
  </si>
  <si>
    <t>Slow Nights</t>
  </si>
  <si>
    <t>Besomorph,Mougleta</t>
  </si>
  <si>
    <t>The Way You Move</t>
  </si>
  <si>
    <t>BEAUZ,Michael Lanza</t>
  </si>
  <si>
    <t>pop dance,pop edm</t>
  </si>
  <si>
    <t>My Galaxy</t>
  </si>
  <si>
    <t>Eminence,Q'Aila</t>
  </si>
  <si>
    <t>electro house,gaming edm,melodic dubstep</t>
  </si>
  <si>
    <t>Love Me</t>
  </si>
  <si>
    <t>WiDE AWAKE,Jacob Banks</t>
  </si>
  <si>
    <t>bass trap,traprun,modern alternative rock,uk contemporary r&amp;b</t>
  </si>
  <si>
    <t>Decoy World</t>
  </si>
  <si>
    <t>INTERCOM,Park Avenue</t>
  </si>
  <si>
    <t>Army</t>
  </si>
  <si>
    <t>Stereohats,Folded Dragons,Amanda Yang</t>
  </si>
  <si>
    <t>channel pop,viral pop</t>
  </si>
  <si>
    <t>Never Give Up</t>
  </si>
  <si>
    <t>Blvk Sheep,Yuneer Gainz</t>
  </si>
  <si>
    <t>Good For You</t>
  </si>
  <si>
    <t>Arman Cekin,Glaceo</t>
  </si>
  <si>
    <t>Sick Boy</t>
  </si>
  <si>
    <t>The Chainsmokers</t>
  </si>
  <si>
    <t>dance pop,edm,electropop,pop,pop dance,tropical house</t>
  </si>
  <si>
    <t>Wild Light</t>
  </si>
  <si>
    <t>Jef Miles</t>
  </si>
  <si>
    <t>Sick Boy - Owen Norton Remix</t>
  </si>
  <si>
    <t>The Chainsmokers,Owen Norton</t>
  </si>
  <si>
    <t>dance pop,edm,electropop,pop,pop dance,tropical house,uk dance</t>
  </si>
  <si>
    <t>Leave This World</t>
  </si>
  <si>
    <t>Xillions</t>
  </si>
  <si>
    <t>Rootkit,Bryan Finlay</t>
  </si>
  <si>
    <t>iDONTMIND</t>
  </si>
  <si>
    <t>Jordan Comolli,Jacy</t>
  </si>
  <si>
    <t>bass trap,electronic trap,traprun</t>
  </si>
  <si>
    <t>Alive</t>
  </si>
  <si>
    <t>Kalide,Deakin XD,Bianca</t>
  </si>
  <si>
    <t>Her</t>
  </si>
  <si>
    <t>Vincent</t>
  </si>
  <si>
    <t>electronic trap,electropop,future bass,melodic dubstep,pop edm,vapor twitch</t>
  </si>
  <si>
    <t>Nightmare</t>
  </si>
  <si>
    <t>Can't Get You out of My Head</t>
  </si>
  <si>
    <t>Kylie Minogue</t>
  </si>
  <si>
    <t>australian dance,australian pop,dance pop,electropop,eurodance,europop,new wave pop,pop</t>
  </si>
  <si>
    <t>Rise Up - Radio Edit</t>
  </si>
  <si>
    <t>Yves Larock</t>
  </si>
  <si>
    <t>Candide Crush</t>
  </si>
  <si>
    <t>Chills</t>
  </si>
  <si>
    <t>Mickey Valen,Joey Myron</t>
  </si>
  <si>
    <t>Meet Me</t>
  </si>
  <si>
    <t>Mickey Valen,Noé</t>
  </si>
  <si>
    <t>Ur Perfect I Hate It - Lenno Remix</t>
  </si>
  <si>
    <t>Mickey Valen,Emilia Ali,Lenno</t>
  </si>
  <si>
    <t>alt z,bass trap,pop edm,traprun,new french touch</t>
  </si>
  <si>
    <t>Pretty</t>
  </si>
  <si>
    <t>Astrid S,Dagny</t>
  </si>
  <si>
    <t>alt z,dance pop,electropop,norwegian pop,pop,post-teen pop,tropical house,indie poptimism</t>
  </si>
  <si>
    <t>Alien</t>
  </si>
  <si>
    <t>Galantis,Lucas &amp; Steve,ILIRA</t>
  </si>
  <si>
    <t>dance pop,edm,electro house,pop,pop dance,tropical house,pop edm,albanian pop</t>
  </si>
  <si>
    <t>Die For You</t>
  </si>
  <si>
    <t>VALORANT,Grabbitz</t>
  </si>
  <si>
    <t>Holly Drummond - Stronger (Mielo Remix)</t>
  </si>
  <si>
    <t>Holly Drummond,Mielo</t>
  </si>
  <si>
    <t>Ne reviens pas</t>
  </si>
  <si>
    <t>Gradur,Heuss L'enfoiré</t>
  </si>
  <si>
    <t>francoton,french hip hop,pop urbaine,rap francais</t>
  </si>
  <si>
    <t>La kiffance</t>
  </si>
  <si>
    <t>Naps</t>
  </si>
  <si>
    <t>francoton,french hip hop,pop urbaine,rap marseille</t>
  </si>
  <si>
    <t>Brûle</t>
  </si>
  <si>
    <t>Rumble In The Jungle - Radio Edit</t>
  </si>
  <si>
    <t>Oracle</t>
  </si>
  <si>
    <t>Tut Tut Child</t>
  </si>
  <si>
    <t>chillstep,complextro,edm,electro house,gaming edm,glitch,melodic dubstep</t>
  </si>
  <si>
    <t>Going</t>
  </si>
  <si>
    <t>Diamic,Veela</t>
  </si>
  <si>
    <t>chillstep</t>
  </si>
  <si>
    <t>Price &amp; Takis</t>
  </si>
  <si>
    <t>Ceasefire</t>
  </si>
  <si>
    <t>Speaker Of The House,HICARI</t>
  </si>
  <si>
    <t>pop edm,hopebeat</t>
  </si>
  <si>
    <t>Glimmer - William Black Remix</t>
  </si>
  <si>
    <t>LIONE,Heather Sommer,William Black</t>
  </si>
  <si>
    <t>future bass,melodic dubstep,pop edm,alt z,electropop,indie electropop,nyc pop,edm,pop dance</t>
  </si>
  <si>
    <t>Colourblind</t>
  </si>
  <si>
    <t>Sam Berson,LOST YOU</t>
  </si>
  <si>
    <t>Fly</t>
  </si>
  <si>
    <t>Egzod,Caiti Patton</t>
  </si>
  <si>
    <t>bass trap,traprun</t>
  </si>
  <si>
    <t>Way Back</t>
  </si>
  <si>
    <t>Vicetone,Cozi Zuehlsdorff</t>
  </si>
  <si>
    <t>Daddy chocolat</t>
  </si>
  <si>
    <t>Koba LaD,Gazo</t>
  </si>
  <si>
    <t>french hip hop,pop urbaine,rap francais,drill francais</t>
  </si>
  <si>
    <t>Oui ou non</t>
  </si>
  <si>
    <t>Angèle</t>
  </si>
  <si>
    <t>belgian pop,variete francaise</t>
  </si>
  <si>
    <t>Balance ton quoi</t>
  </si>
  <si>
    <t>Tout oublier</t>
  </si>
  <si>
    <t>Angèle,Roméo Elvis</t>
  </si>
  <si>
    <t>belgian pop,variete francaise,belgian hip hop,french hip hop</t>
  </si>
  <si>
    <t>Khapta</t>
  </si>
  <si>
    <t>Heuss L'enfoiré,Sofiane</t>
  </si>
  <si>
    <t>francoton,french hip hop,pop urbaine,rap francais,french pop,rap conscient</t>
  </si>
  <si>
    <t>Moulaga</t>
  </si>
  <si>
    <t>Heuss L'enfoiré,Jul</t>
  </si>
  <si>
    <t>francoton,french hip hop,pop urbaine,rap francais,rap marseille</t>
  </si>
  <si>
    <t>Petrouchka (feat. PLK)</t>
  </si>
  <si>
    <t>Soso Maness,PLK</t>
  </si>
  <si>
    <t>francoton,french hip hop,pop urbaine,rap francais,rap marseille,rap conscient</t>
  </si>
  <si>
    <t>Γ. Mosaïque solitaire</t>
  </si>
  <si>
    <t>Jour meilleur</t>
  </si>
  <si>
    <t>L'odeur de l'essence</t>
  </si>
  <si>
    <t>Du propre</t>
  </si>
  <si>
    <t>La terre est ronde</t>
  </si>
  <si>
    <t>La pluie (feat. Stromae)</t>
  </si>
  <si>
    <t>Orelsan,Stromae</t>
  </si>
  <si>
    <t>french hip hop,old school rap francais,rap conscient,belgian pop,g-house</t>
  </si>
  <si>
    <t>Basique</t>
  </si>
  <si>
    <t>JCVD</t>
  </si>
  <si>
    <t>Jul</t>
  </si>
  <si>
    <t>francoton,rap marseille</t>
  </si>
  <si>
    <t>Bande organisée</t>
  </si>
  <si>
    <t>Kofs,Soso Maness,Elams,Jul,SCH,Naps,Solda,Houari,13 Organisé</t>
  </si>
  <si>
    <t>Pic et pic, alcool et drame</t>
  </si>
  <si>
    <t>Premier Gaou - Original Radio Edit</t>
  </si>
  <si>
    <t>Magic System,Bob Sinclar</t>
  </si>
  <si>
    <t>afropop,francoton,french pop,zouglou,dance pop,disco house,edm,electro house,filter house,pop dance,tropical house,vocal house</t>
  </si>
  <si>
    <t>Magic in the Air (feat. Ahmed Chawki)</t>
  </si>
  <si>
    <t>Magic System,Chawki</t>
  </si>
  <si>
    <t>afropop,francoton,french pop,zouglou,moroccan pop</t>
  </si>
  <si>
    <t>Love Generation - Radio Edit</t>
  </si>
  <si>
    <t>Bob Sinclar,Gary Pine</t>
  </si>
  <si>
    <t>dance pop,disco house,edm,electro house,filter house,pop dance,tropical house,vocal house</t>
  </si>
  <si>
    <t>Rock This Party - Everybody Dance Now</t>
  </si>
  <si>
    <t>Bob Sinclar,Cutee B.,DollarMan,Big Ali,Makedah</t>
  </si>
  <si>
    <t>Beggin'</t>
  </si>
  <si>
    <t>Dubdogz,GHOSTT,Giana</t>
  </si>
  <si>
    <t>brazilian bass,brazilian edm</t>
  </si>
  <si>
    <t>Techno Prank</t>
  </si>
  <si>
    <t>Dubdogz</t>
  </si>
  <si>
    <t>Everybody Wants To Party</t>
  </si>
  <si>
    <t>Dubdogz,JØRD</t>
  </si>
  <si>
    <t>World Hold On (Radio Edit) [Vintage Culture &amp; Dubdogz Remix]</t>
  </si>
  <si>
    <t>Bob Sinclar,Vintage Culture,Dubdogz,Steve Edwards</t>
  </si>
  <si>
    <t>dance pop,disco house,edm,electro house,filter house,pop dance,tropical house,vocal house,brazilian edm,brazilian bass</t>
  </si>
  <si>
    <t>Higher Love</t>
  </si>
  <si>
    <t>Kygo,Whitney Houston</t>
  </si>
  <si>
    <t>edm,pop,pop dance,tropical house,dance pop,urban contemporary</t>
  </si>
  <si>
    <t>Frozen</t>
  </si>
  <si>
    <t>Madonna,Sickick</t>
  </si>
  <si>
    <t>dance pop,pop,bass trap</t>
  </si>
  <si>
    <t>Enemy - From the series Arcane League of Legends</t>
  </si>
  <si>
    <t>Mystery Of Me</t>
  </si>
  <si>
    <t>Waterfall (with RUNN)</t>
  </si>
  <si>
    <t>RIOT,Far Out,RUNN</t>
  </si>
  <si>
    <t>dubstep,electro house,bass trap,gaming edm,melodic dubstep,pop edm,traprun</t>
  </si>
  <si>
    <t>Fly Me To The Moon (Inspired By FINAL FANTASY XIV)</t>
  </si>
  <si>
    <t>Sia</t>
  </si>
  <si>
    <t>australian dance,australian pop,pop</t>
  </si>
  <si>
    <t>Psycho</t>
  </si>
  <si>
    <t>This Is Not a Christmas Song</t>
  </si>
  <si>
    <t>Story Of My Life (feat. Trippie Redd)</t>
  </si>
  <si>
    <t>ILLENIUM,Sueco,Trippie Redd</t>
  </si>
  <si>
    <t>edm,melodic dubstep,pop,pop dance,tropical house,cali rap,pop rap,melodic rap,rap,trap</t>
  </si>
  <si>
    <t>Riptide</t>
  </si>
  <si>
    <t>By My Side</t>
  </si>
  <si>
    <t>MitiS,Tedy</t>
  </si>
  <si>
    <t>chillstep,edm,filthstep,future bass,melodic dubstep,pop dance,pop edm</t>
  </si>
  <si>
    <t>Truest Lies - Retrovision Remix</t>
  </si>
  <si>
    <t>Far Out,RetroVision,Karra</t>
  </si>
  <si>
    <t>bass trap,gaming edm,melodic dubstep,pop edm,traprun,edm,electro house,la pop</t>
  </si>
  <si>
    <t>Meaning</t>
  </si>
  <si>
    <t>Neovaii</t>
  </si>
  <si>
    <t>Wildcard - Sex Whales Remix</t>
  </si>
  <si>
    <t>Mickey Valen,Feli Ferraro,Whales</t>
  </si>
  <si>
    <t>alt z,bass trap,pop edm,traprun,dubstep,gaming edm</t>
  </si>
  <si>
    <t>Prismo</t>
  </si>
  <si>
    <t>Dreaming - Acoustic</t>
  </si>
  <si>
    <t>Taska Black,Nevve</t>
  </si>
  <si>
    <t>Onward, Pt. 2</t>
  </si>
  <si>
    <t>Arc North,Dani Rosenoer</t>
  </si>
  <si>
    <t>gaming edm,slap house</t>
  </si>
  <si>
    <t>Different Now</t>
  </si>
  <si>
    <t>CAJOR,Tess Merenthe</t>
  </si>
  <si>
    <t>Voices in My Head</t>
  </si>
  <si>
    <t>Skan,Jody</t>
  </si>
  <si>
    <t>califormula (Tarro Remix)</t>
  </si>
  <si>
    <t>blackbear,Tarro</t>
  </si>
  <si>
    <t>electropop,pop,pop rap</t>
  </si>
  <si>
    <t>Icarus - R3hab &amp; Skytech Remix</t>
  </si>
  <si>
    <t>R3HAB,Skytech</t>
  </si>
  <si>
    <t>dance pop,dutch house,edm,electro house,pop,pop dance,progressive electro house,slap house,tropical house,big room</t>
  </si>
  <si>
    <t>Our Weapons (Abandoned Remix)</t>
  </si>
  <si>
    <t>DM Galaxy,Abandoned</t>
  </si>
  <si>
    <t>gaming edm,melodic dubstep</t>
  </si>
  <si>
    <t>Samurai (feat. Katy Tiz) - BKAYE Remix</t>
  </si>
  <si>
    <t>Vanic,Katy Tiz,BKAYE</t>
  </si>
  <si>
    <t>bass trap,electronic trap,future bass,indie electropop,pop edm,vapor twitch</t>
  </si>
  <si>
    <t>Ruins (BKAYE X Ben Maxwell Remix)</t>
  </si>
  <si>
    <t>Ella Isaacson,BKAYE,Ben Maxwell</t>
  </si>
  <si>
    <t>On the Run</t>
  </si>
  <si>
    <t>Dance Cartel,Benj Heard</t>
  </si>
  <si>
    <t>Let You Down</t>
  </si>
  <si>
    <t>Stonebank,Danyka Nadeau</t>
  </si>
  <si>
    <t>brostep,edm,electro house,gaming edm,melodic dubstep</t>
  </si>
  <si>
    <t>What Could Have Been feat. Ray Chen (from the series Arcane League of Legends)</t>
  </si>
  <si>
    <t>Sting,Ray Chen</t>
  </si>
  <si>
    <t>permanent wave,soft rock,sophisti-pop,taiwan classical performance,violin</t>
  </si>
  <si>
    <t>境界線</t>
  </si>
  <si>
    <t>Demain - Bigflo &amp; Oli X Petit Biscuit</t>
  </si>
  <si>
    <t>Bigflo &amp; Oli,Petit Biscuit</t>
  </si>
  <si>
    <t>francoton,french pop,rap conscient,tropical house</t>
  </si>
  <si>
    <t>Just Friends</t>
  </si>
  <si>
    <t>Hayden James,Boy Matthews</t>
  </si>
  <si>
    <t>aussietronica,edm,gauze pop,house,pop dance,tropical house,uk dance</t>
  </si>
  <si>
    <t>Le Malls,Lilianna Wilde</t>
  </si>
  <si>
    <t>Baianá</t>
  </si>
  <si>
    <t>Bakermat</t>
  </si>
  <si>
    <t>deep euro house,deep tropical house,minimal tech house,pop dance,tropical house</t>
  </si>
  <si>
    <t>No Bad Days</t>
  </si>
  <si>
    <t>Prends d'la vitesse</t>
  </si>
  <si>
    <t>SEB</t>
  </si>
  <si>
    <t>Play a Lot</t>
  </si>
  <si>
    <t>Jerry Folk,AERIN</t>
  </si>
  <si>
    <t>future bass,vapor soul,vapor twitch</t>
  </si>
  <si>
    <t>Falling On Your Sword</t>
  </si>
  <si>
    <t>Mickey Valen,neverwaves</t>
  </si>
  <si>
    <t>Misfit Toys (from the series Arcane League of Legends)</t>
  </si>
  <si>
    <t>Pusha T,Mako,Arcane,League of Legends</t>
  </si>
  <si>
    <t>gangster rap,hip hop,rap,southern hip hop,trap,virginia hip hop,edm,electropop,indie poptimism,pop dance,pop edm,tropical house,speedrun,video game music</t>
  </si>
  <si>
    <t>Shady Intentions (feat. Tori Levett)</t>
  </si>
  <si>
    <t>NGHTMRE,Zeds Dead,Tori Levett</t>
  </si>
  <si>
    <t>bass trap,brostep,edm,electro house,electronic trap,pop dance,canadian electronic,dubstep,progressive electro house,vapor twitch</t>
  </si>
  <si>
    <t>Just Breathing</t>
  </si>
  <si>
    <t>Golden - Twin Shadow Remix</t>
  </si>
  <si>
    <t>Zella Day,Twin Shadow</t>
  </si>
  <si>
    <t>alt z,electropop,gauze pop,indie poptimism,pop,alternative dance,art pop,chillwave,dream pop,indietronica,metropopolis,shimmer pop</t>
  </si>
  <si>
    <t>Alive (with Roland Clark)</t>
  </si>
  <si>
    <t>David Guetta,Jack Back,Fancy Inc,Roland Clark</t>
  </si>
  <si>
    <t>big room,dance pop,edm,pop,pop dance,pop rap,electro house,progressive electro house,brazilian bass,garage house,soulful house</t>
  </si>
  <si>
    <t>Don't Kick Me</t>
  </si>
  <si>
    <t>Elohim</t>
  </si>
  <si>
    <t>alt z,edm,electropop,future bass,indie electropop,indie poptimism,indietronica,la pop,vapor soul,vapor twitch</t>
  </si>
  <si>
    <t>Crossfire</t>
  </si>
  <si>
    <t>The Kill Romeos,Nevve</t>
  </si>
  <si>
    <t>Tension</t>
  </si>
  <si>
    <t>VINAI,Paradigm</t>
  </si>
  <si>
    <t>dance pop,edm,electro house,melbourne bounce international,pop dance,slap house,tropical house</t>
  </si>
  <si>
    <t>Until I Come Home</t>
  </si>
  <si>
    <t>Two Feet,grandson</t>
  </si>
  <si>
    <t>indie poptimism,modern rock,modern alternative rock,rock</t>
  </si>
  <si>
    <t>Missing You Sucks</t>
  </si>
  <si>
    <t>Clara Mae</t>
  </si>
  <si>
    <t>alt z,electropop,pop,post-teen pop,swedish pop</t>
  </si>
  <si>
    <t>Something Beautiful - Stripped</t>
  </si>
  <si>
    <t>Coming Home</t>
  </si>
  <si>
    <t>Arc North,Rival,Cadmium</t>
  </si>
  <si>
    <t>Close Your Eyes</t>
  </si>
  <si>
    <t>KSHMR,Tungevaag</t>
  </si>
  <si>
    <t>big room,edm,electro house,indian edm,pop dance,slap house,tropical house,dance pop,nordic house</t>
  </si>
  <si>
    <t>No More Bad Days</t>
  </si>
  <si>
    <t>Guns for Hire (from the series Arcane League of Legends)</t>
  </si>
  <si>
    <t>Grateful</t>
  </si>
  <si>
    <t>Take Me Home Tonight (feat. Caitlin Gare)</t>
  </si>
  <si>
    <t>Face My Fears</t>
  </si>
  <si>
    <t>Shadow Cliq</t>
  </si>
  <si>
    <t>Back Again</t>
  </si>
  <si>
    <t>Archie</t>
  </si>
  <si>
    <t>All on Me</t>
  </si>
  <si>
    <t>LöKii,Carly Paige</t>
  </si>
  <si>
    <t>Enough</t>
  </si>
  <si>
    <t>Kooma,Veela</t>
  </si>
  <si>
    <t>finnish indie,chillstep</t>
  </si>
  <si>
    <t>Carry Me Away</t>
  </si>
  <si>
    <t>Saint Louis</t>
  </si>
  <si>
    <t>Rise Above</t>
  </si>
  <si>
    <t>BONNIE X CLYDE</t>
  </si>
  <si>
    <t>edm,electra,electronic trap,future bass,pop dance,pop edm</t>
  </si>
  <si>
    <t>Asylum</t>
  </si>
  <si>
    <t>Qulinez,Nevve</t>
  </si>
  <si>
    <t>edm,electro house,progressive electro house</t>
  </si>
  <si>
    <t>All You Are</t>
  </si>
  <si>
    <t>Memtrix</t>
  </si>
  <si>
    <t>chillstep,drum and bass,electro house,melodic dubstep</t>
  </si>
  <si>
    <t>Square One</t>
  </si>
  <si>
    <t>Grandtheft,MAX</t>
  </si>
  <si>
    <t>bass trap,electronic trap,dance pop,electropop,pop,post-teen pop,viral pop</t>
  </si>
  <si>
    <t>Not About You</t>
  </si>
  <si>
    <t>Ameria,HYPRESSION</t>
  </si>
  <si>
    <t>Calamity</t>
  </si>
  <si>
    <t>4URA</t>
  </si>
  <si>
    <t>Don't Look Down</t>
  </si>
  <si>
    <t>Spektrem,Jesse Warren</t>
  </si>
  <si>
    <t>Telling Me</t>
  </si>
  <si>
    <t>Koven</t>
  </si>
  <si>
    <t>chillstep,edm,electro house,gaming edm,melodic dubstep</t>
  </si>
  <si>
    <t>Dynasties &amp; Dystopia (from the series Arcane League of Legends)</t>
  </si>
  <si>
    <t>Denzel Curry,Gizzle,Bren Joy,Arcane,League of Legends</t>
  </si>
  <si>
    <t>dark trap,drill,hip hop,miami hip hop,rap,underground hip hop,alternative r&amp;b,chill r&amp;b,indie r&amp;b,speedrun,video game music</t>
  </si>
  <si>
    <t>Santa Visits Everyone</t>
  </si>
  <si>
    <t>Moth To A Flame</t>
  </si>
  <si>
    <t>Besomorph,Anthony Keyrouz,HALUNA</t>
  </si>
  <si>
    <t>alt z,slap house,traprun,arab electronic,brazilian edm,edm,pop dance</t>
  </si>
  <si>
    <t>Changed</t>
  </si>
  <si>
    <t>Skan</t>
  </si>
  <si>
    <t>Mean It</t>
  </si>
  <si>
    <t>Manila Killa,Nick Lopez,San Holo</t>
  </si>
  <si>
    <t>electropop,future bass,indie electropop,melodic dubstep,pop edm,vapor soul,vapor twitch,edm,electronic trap,pop dance</t>
  </si>
  <si>
    <t>Everyday Oblivion</t>
  </si>
  <si>
    <t>Going Nowhere</t>
  </si>
  <si>
    <t>Taska Black,Dasha</t>
  </si>
  <si>
    <t>bass trap,edm,electronic trap,electropop,future bass,indie electropop,pop edm,vapor twitch,alt z</t>
  </si>
  <si>
    <t>The Itch</t>
  </si>
  <si>
    <t>NEFFEX,Josh A</t>
  </si>
  <si>
    <t>emo rap,pop rap,sad rap</t>
  </si>
  <si>
    <t>Nightlight</t>
  </si>
  <si>
    <t>ILLENIUM,Annika Wells</t>
  </si>
  <si>
    <t>edm,melodic dubstep,pop,pop dance,tropical house,la pop</t>
  </si>
  <si>
    <t>Friend</t>
  </si>
  <si>
    <t>FRND</t>
  </si>
  <si>
    <t>indie electropop,pop edm</t>
  </si>
  <si>
    <t>Raccoon City</t>
  </si>
  <si>
    <t>Aether,Sizzle Bird,Veela</t>
  </si>
  <si>
    <t>Taped up Heart (feat. Clara Mae)</t>
  </si>
  <si>
    <t>KREAM,Clara Mae</t>
  </si>
  <si>
    <t>dance pop,deep groove house,edm,electro house,house,pop dance,pop edm,tropical house,alt z,electropop,pop,post-teen pop,swedish pop</t>
  </si>
  <si>
    <t>Roots</t>
  </si>
  <si>
    <t>On Top Of The World</t>
  </si>
  <si>
    <t>Bleeding Out</t>
  </si>
  <si>
    <t>Radioactive</t>
  </si>
  <si>
    <t>Battle Cry</t>
  </si>
  <si>
    <t>Close To Me</t>
  </si>
  <si>
    <t>Ellie Goulding,Diplo,Swae Lee</t>
  </si>
  <si>
    <t>dance pop,edm,electropop,indietronica,metropopolis,pop,uk pop,electro house,house,moombahton,ninja,pop dance,tropical house,melodic rap,trap</t>
  </si>
  <si>
    <t>I Need Your Love (feat. Ellie Goulding)</t>
  </si>
  <si>
    <t>Outside (feat. Ellie Goulding)</t>
  </si>
  <si>
    <t>Lights - Bassnectar Remix</t>
  </si>
  <si>
    <t>Ellie Goulding,Bassnectar</t>
  </si>
  <si>
    <t>dance pop,edm,electropop,indietronica,metropopolis,pop,uk pop,bass music,breakbeat,brostep,electro house,electronic trap,glitch hop</t>
  </si>
  <si>
    <t>Lights</t>
  </si>
  <si>
    <t>Ellie Goulding</t>
  </si>
  <si>
    <t>dance pop,edm,electropop,indietronica,metropopolis,pop,uk pop</t>
  </si>
  <si>
    <t>Time Time</t>
  </si>
  <si>
    <t>Trei Degete,Squeezie,Myd,KronoMuzik</t>
  </si>
  <si>
    <t>chanson virale,filter house,french indie pop,french indietronica,indie soul,new french touch</t>
  </si>
  <si>
    <t>Offishal</t>
  </si>
  <si>
    <t>Ambiance Skandal</t>
  </si>
  <si>
    <t>Pegboard Nerds,Elizaveta</t>
  </si>
  <si>
    <t>brostep,danish electronic,edm,electro house,gaming edm,glitch,speedrun,deep indie singer-songwriter</t>
  </si>
  <si>
    <t>The Fear in Me</t>
  </si>
  <si>
    <t>Skrux</t>
  </si>
  <si>
    <t>chillstep,future bass,melodic dubstep,pop edm</t>
  </si>
  <si>
    <t>Doubt</t>
  </si>
  <si>
    <t>紅蓮華</t>
  </si>
  <si>
    <t>LiSA</t>
  </si>
  <si>
    <t>anime,anime rock,j-pixie</t>
  </si>
  <si>
    <t>The Pretender</t>
  </si>
  <si>
    <t>Hero - Infected Mushroom Remix</t>
  </si>
  <si>
    <t>Pegboard Nerds,Elizaveta,Infected Mushroom</t>
  </si>
  <si>
    <t>brostep,danish electronic,edm,electro house,gaming edm,glitch,speedrun,deep indie singer-songwriter,psychedelic trance</t>
  </si>
  <si>
    <t>Try This</t>
  </si>
  <si>
    <t>Pegboard Nerds</t>
  </si>
  <si>
    <t>brostep,danish electronic,edm,electro house,gaming edm,glitch,speedrun</t>
  </si>
  <si>
    <t>Pink Cloud</t>
  </si>
  <si>
    <t>Pegboard Nerds,Max Collins</t>
  </si>
  <si>
    <t>Imma Boss - Fraw Remix</t>
  </si>
  <si>
    <t>Can't Kill Me - smle Remix</t>
  </si>
  <si>
    <t>GARZA,Walker &amp; Royce,smle,Calica</t>
  </si>
  <si>
    <t>bass house,deep disco house,edm,electro house,house,future bass,pop edm,vapor twitch</t>
  </si>
  <si>
    <t>Go On Then, Love - Odea Remix</t>
  </si>
  <si>
    <t>Said The Sky,ODEA,The Maine</t>
  </si>
  <si>
    <t>edm,electropop,future bass,melodic dubstep,pop dance,pop edm,tropical house,modern alternative rock,modern rock,neon pop punk,pop emo,pop punk,pop rock,rock,tempe indie</t>
  </si>
  <si>
    <t>Tightrope</t>
  </si>
  <si>
    <t>2 MUCH (feat. Jasiah &amp; KA$HDAMI)</t>
  </si>
  <si>
    <t>Whethan,Jasiah,KA$HDAMI</t>
  </si>
  <si>
    <t>edm,electropop,hyperpop,indie poptimism,vapor twitch,dark trap,ohio hip hop,underground hip hop,vapor trap,viral rap,aesthetic rap,pluggnb</t>
  </si>
  <si>
    <t>Never A Good Time</t>
  </si>
  <si>
    <t>NOTD,The Band CAMINO</t>
  </si>
  <si>
    <t>alt z,dance pop,edm,electro house,electropop,pop,pop dance,tropical house,hopebeat,indie poptimism,modern alternative rock,modern rock,pop rock</t>
  </si>
  <si>
    <t>It's Not Too Late</t>
  </si>
  <si>
    <t>Skott</t>
  </si>
  <si>
    <t>alt z,electropop,indie electropop,indie poptimism,vapor soul</t>
  </si>
  <si>
    <t>RUN</t>
  </si>
  <si>
    <t>Besomorph,Tom Enzy</t>
  </si>
  <si>
    <t>alt z,slap house,traprun,pop dance</t>
  </si>
  <si>
    <t>i hope ur miserable until ur dead - Zeds Dead Remix</t>
  </si>
  <si>
    <t>Nessa Barrett,Zeds Dead</t>
  </si>
  <si>
    <t>alt z,electropop,pop,social media pop,brostep,canadian electronic,dubstep,edm,electro house,electronic trap,progressive electro house,vapor twitch</t>
  </si>
  <si>
    <t>World We Used To Know</t>
  </si>
  <si>
    <t>Alan Walker,Winona Oak</t>
  </si>
  <si>
    <t>electro house,alt z,electropop,pop,swedish pop</t>
  </si>
  <si>
    <t>Don't Wanna Let Myself Down</t>
  </si>
  <si>
    <t>Tokyo</t>
  </si>
  <si>
    <t>Annaland</t>
  </si>
  <si>
    <t>Bad Apple!! feat.nomico</t>
  </si>
  <si>
    <t>nomico</t>
  </si>
  <si>
    <t>touhou</t>
  </si>
  <si>
    <t>Dance Again</t>
  </si>
  <si>
    <t>Selena Gomez</t>
  </si>
  <si>
    <t>Late Night</t>
  </si>
  <si>
    <t>Line Of Sight (feat. WYNNE &amp; Mansionair)</t>
  </si>
  <si>
    <t>ODESZA,WYNNE,Mansionair</t>
  </si>
  <si>
    <t>chillwave,ninja,la pop,aussietronica,electropop,indietronica,modern rock,vapor soul</t>
  </si>
  <si>
    <t>A Moment Apart</t>
  </si>
  <si>
    <t>Do Better</t>
  </si>
  <si>
    <t>Feint</t>
  </si>
  <si>
    <t>You Make Me</t>
  </si>
  <si>
    <t>Hey Brother</t>
  </si>
  <si>
    <t>Addicted To You</t>
  </si>
  <si>
    <t>Don't Wait</t>
  </si>
  <si>
    <t>Laura Brehm</t>
  </si>
  <si>
    <t>chillstep,pop edm</t>
  </si>
  <si>
    <t>Hold On</t>
  </si>
  <si>
    <t>Malik Bash,Harley Bird</t>
  </si>
  <si>
    <t>gaming edm,la pop</t>
  </si>
  <si>
    <t>Sorry</t>
  </si>
  <si>
    <t>Boys Choir,Hart</t>
  </si>
  <si>
    <t>High Tide (feat. WILD)</t>
  </si>
  <si>
    <t>Creaky Jackals,WILD</t>
  </si>
  <si>
    <t>Never Say Never</t>
  </si>
  <si>
    <t>Draper,Hannah Jane Lewis</t>
  </si>
  <si>
    <t>chillstep,complextro,edm,electro house,future bass,gaming edm,melodic dubstep,pop edm,uk pop</t>
  </si>
  <si>
    <t>Fuse</t>
  </si>
  <si>
    <t>Last Heroes,Derek Joel,Oklusion</t>
  </si>
  <si>
    <t>Butterfly - HotSix Remix</t>
  </si>
  <si>
    <t>Danny Darko,Jova Radevska</t>
  </si>
  <si>
    <t>Your Love - Hoodboi Remix</t>
  </si>
  <si>
    <t>Whoa Music,Max Marshall,Hoodboi</t>
  </si>
  <si>
    <t>Clarity (Chill Mix)</t>
  </si>
  <si>
    <t>Wasted Penguinz</t>
  </si>
  <si>
    <t>Wildfire</t>
  </si>
  <si>
    <t>Fairlane,Nevve</t>
  </si>
  <si>
    <t>Echoes</t>
  </si>
  <si>
    <t>Solstis</t>
  </si>
  <si>
    <t>Let Love Win</t>
  </si>
  <si>
    <t>TheFatRat,Anjulie</t>
  </si>
  <si>
    <t>speedrun,canadian pop</t>
  </si>
  <si>
    <t>Love It When You Hurt Me</t>
  </si>
  <si>
    <t>Warbringer</t>
  </si>
  <si>
    <t>TheFatRat,Everen Maxwell,Lindsey Stirling</t>
  </si>
  <si>
    <t>speedrun,bow pop,pop violin</t>
  </si>
  <si>
    <t>Our Song</t>
  </si>
  <si>
    <t>TheFatRat,Cecilia Gault</t>
  </si>
  <si>
    <t>speedrun,hyperpop</t>
  </si>
  <si>
    <t>Pride &amp; Fear</t>
  </si>
  <si>
    <t>MONTERO (Call Me By Your Name)</t>
  </si>
  <si>
    <t>INDUSTRY BABY (feat. Jack Harlow)</t>
  </si>
  <si>
    <t>Loverboy - San Holo Version</t>
  </si>
  <si>
    <t>A-Wall,San Holo</t>
  </si>
  <si>
    <t>bedroom pop,edm,electronic trap,electropop,future bass,pop dance,pop edm,vapor twitch</t>
  </si>
  <si>
    <t>Legends Never Die</t>
  </si>
  <si>
    <t>League of Legends,Against The Current</t>
  </si>
  <si>
    <t>speedrun,video game music,neon pop punk,pixie,pop punk</t>
  </si>
  <si>
    <t>Enemy (with JID) - from the series Arcane League of Legends</t>
  </si>
  <si>
    <t>Imagine Dragons,JID,Arcane,League of Legends</t>
  </si>
  <si>
    <t>modern rock,rock,hip hop,rap,underground hip hop,speedrun,video game music</t>
  </si>
  <si>
    <t>Manifest It</t>
  </si>
  <si>
    <t>Insomnia - Radio Edit</t>
  </si>
  <si>
    <t>Faithless</t>
  </si>
  <si>
    <t>big beat,downtempo,electronica,trip hop</t>
  </si>
  <si>
    <t>Mistake</t>
  </si>
  <si>
    <t>Owsey,Ayelle</t>
  </si>
  <si>
    <t>chillstep,alternative r&amp;b,chill r&amp;b,indie electropop,vapor soul</t>
  </si>
  <si>
    <t>Stargazing (feat. Amelie)</t>
  </si>
  <si>
    <t>Severo,Amelie</t>
  </si>
  <si>
    <t>Rising Up</t>
  </si>
  <si>
    <t>Arlow,Alkyn</t>
  </si>
  <si>
    <t>Hollywood</t>
  </si>
  <si>
    <t>DNMO,Nevve</t>
  </si>
  <si>
    <t>Where Do We Go - VIP</t>
  </si>
  <si>
    <t>Mazare,RUNN</t>
  </si>
  <si>
    <t>dancefloor dnb,electro house,future bass,gaming edm,melodic dubstep,pop edm</t>
  </si>
  <si>
    <t>Feel That Way</t>
  </si>
  <si>
    <t>Ascence</t>
  </si>
  <si>
    <t>gaming edm,traprun</t>
  </si>
  <si>
    <t>Big Bad City</t>
  </si>
  <si>
    <t>Evalyn</t>
  </si>
  <si>
    <t>Home (feat. Jordi Davis, Katie Wright)</t>
  </si>
  <si>
    <t>Peter Kiemann,Jordi Davis,Katie Wright</t>
  </si>
  <si>
    <t>Away</t>
  </si>
  <si>
    <t>TWO LANES</t>
  </si>
  <si>
    <t>tropical house,uk dance</t>
  </si>
  <si>
    <t>Skeleton (feat. Nevve)</t>
  </si>
  <si>
    <t>Tails,inverness,Nevve</t>
  </si>
  <si>
    <t>future bass,vapor twitch,gaming edm</t>
  </si>
  <si>
    <t>Gill Chang,Maazel,Danni Carra</t>
  </si>
  <si>
    <t>future bass,indie electropop,pop edm,vapor twitch,gaming edm</t>
  </si>
  <si>
    <t>Lost Boys</t>
  </si>
  <si>
    <t>graves,Maazel</t>
  </si>
  <si>
    <t>bass trap,electronic trap,future bass,vapor twitch,gaming edm</t>
  </si>
  <si>
    <t>Elevated - Joe Mason Remix</t>
  </si>
  <si>
    <t>RKCB,Joe Mason</t>
  </si>
  <si>
    <t>alternative r&amp;b,electropop,indie electropop,indie poptimism,indie soul,vapor soul,vapor twitch</t>
  </si>
  <si>
    <t>Good Things</t>
  </si>
  <si>
    <t>Subtact</t>
  </si>
  <si>
    <t>electro house,future bass,gaming edm,melodic dubstep,pop edm</t>
  </si>
  <si>
    <t>Skins (feat. Blake Rose)</t>
  </si>
  <si>
    <t>Bad Decisions,Blake Rose</t>
  </si>
  <si>
    <t>alt z,australian electropop,electropop,pop</t>
  </si>
  <si>
    <t>Church - Hex Cougar Remix</t>
  </si>
  <si>
    <t>Alison Wonderland,Hex Cougar</t>
  </si>
  <si>
    <t>aussietronica,edm,electra,electro house,electronic trap,electropop,escape room,indietronica,vapor twitch,future bass,la pop,melodic dubstep,traprun</t>
  </si>
  <si>
    <t>Empty</t>
  </si>
  <si>
    <t>Subfer,Stella Smyth</t>
  </si>
  <si>
    <t>Hex Cougar,Jarell Perry</t>
  </si>
  <si>
    <t>future bass,la pop,melodic dubstep,traprun,vapor twitch</t>
  </si>
  <si>
    <t>Imaginary Friends - TELYKast Remix</t>
  </si>
  <si>
    <t>TELYKast,Molly Moore</t>
  </si>
  <si>
    <t>edm,pop dance,pop edm</t>
  </si>
  <si>
    <t>Fluorescent Light</t>
  </si>
  <si>
    <t>Crystal Skies,Karra</t>
  </si>
  <si>
    <t>edm,future bass,melodic dubstep,pop dance,pop edm,la pop</t>
  </si>
  <si>
    <t>The Light</t>
  </si>
  <si>
    <t>Tetrix Bass,Veela</t>
  </si>
  <si>
    <t>deep filthstep,chillstep</t>
  </si>
  <si>
    <t>Every Teardrop Is A Waterfall (Coldplay Vs. Swedish House Mafia)</t>
  </si>
  <si>
    <t>Coldplay,Swedish House Mafia</t>
  </si>
  <si>
    <t>permanent wave,pop,edm,pop dance,progressive electro house</t>
  </si>
  <si>
    <t>One (Your Name)</t>
  </si>
  <si>
    <t>Swedish House Mafia,Pharrell Williams</t>
  </si>
  <si>
    <t>edm,pop,pop dance,progressive electro house,hip hop,pop rap</t>
  </si>
  <si>
    <t>Champagne Showers</t>
  </si>
  <si>
    <t>LMFAO,Natalia Kills</t>
  </si>
  <si>
    <t>dance pop,pop,pop rap,candy pop,dark pop,electropop,escape room,post-teen pop</t>
  </si>
  <si>
    <t>Sorry For Party Rocking</t>
  </si>
  <si>
    <t>LMFAO</t>
  </si>
  <si>
    <t>Sexy And I Know It</t>
  </si>
  <si>
    <t>Party Rock Anthem</t>
  </si>
  <si>
    <t>LMFAO,Lauren Bennett,GoonRock</t>
  </si>
  <si>
    <t>Just Can’t Get Enough</t>
  </si>
  <si>
    <t>RITMO (Bad Boys For Life)</t>
  </si>
  <si>
    <t>Black Eyed Peas,J Balvin</t>
  </si>
  <si>
    <t>dance pop,pop,pop rap,latin,reggaeton,reggaeton colombiano,trap latino</t>
  </si>
  <si>
    <t>I Gotta Feeling</t>
  </si>
  <si>
    <t>Hangover</t>
  </si>
  <si>
    <t>Taio Cruz,Flo Rida</t>
  </si>
  <si>
    <t>dance pop,pop,pop rap,miami hip hop</t>
  </si>
  <si>
    <t>Break Your Heart</t>
  </si>
  <si>
    <t>Taio Cruz</t>
  </si>
  <si>
    <t>Dynamite</t>
  </si>
  <si>
    <t>Angel With a Shotgun</t>
  </si>
  <si>
    <t>The Cab</t>
  </si>
  <si>
    <t>modern rock,neon pop punk,pop punk,pop rock,post-teen pop,vegas indie</t>
  </si>
  <si>
    <t>Moonlight Shadow</t>
  </si>
  <si>
    <t>ItaloBrothers</t>
  </si>
  <si>
    <t>dance pop,eurodance,hands up,italo dance,pop dance</t>
  </si>
  <si>
    <t>Take a Hint</t>
  </si>
  <si>
    <t>Nightcore Reality</t>
  </si>
  <si>
    <t>nightcore,otacore</t>
  </si>
  <si>
    <t>Impossible</t>
  </si>
  <si>
    <t>Shontelle</t>
  </si>
  <si>
    <t>barbadian pop,dance pop,post-teen pop,urban contemporary</t>
  </si>
  <si>
    <t>Sean Paul,Sia</t>
  </si>
  <si>
    <t>dance pop,dancehall,pop,pop rap,australian dance,australian pop</t>
  </si>
  <si>
    <t>I See You</t>
  </si>
  <si>
    <t>ILLENIUM,Said The Sky</t>
  </si>
  <si>
    <t>edm,melodic dubstep,pop,pop dance,tropical house,electropop,future bass,pop edm</t>
  </si>
  <si>
    <t>ILLENIUM,William Black,Alna</t>
  </si>
  <si>
    <t>edm,melodic dubstep,pop,pop dance,tropical house,pop edm</t>
  </si>
  <si>
    <t>Hurts Like This</t>
  </si>
  <si>
    <t>ILLENIUM,BANNERS</t>
  </si>
  <si>
    <t>edm,melodic dubstep,pop,pop dance,tropical house,indie poptimism,modern rock,pop rock</t>
  </si>
  <si>
    <t>Blame Myself - ILLENIUM and Virtual Riot Remix</t>
  </si>
  <si>
    <t>ILLENIUM,Tori Kelly,Virtual Riot</t>
  </si>
  <si>
    <t>edm,melodic dubstep,pop,pop dance,tropical house,dance pop,brostep,complextro,dubstep,electro house,future bass,gaming dubstep</t>
  </si>
  <si>
    <t>Linkin Park</t>
  </si>
  <si>
    <t>alternative metal,nu metal,post-grunge,rap metal</t>
  </si>
  <si>
    <t>What I've Done</t>
  </si>
  <si>
    <t>Besomorph,Behmer,Lunis</t>
  </si>
  <si>
    <t>alt z,slap house,traprun,melbourne bounce international</t>
  </si>
  <si>
    <t>Cradles</t>
  </si>
  <si>
    <t>Besomorph</t>
  </si>
  <si>
    <t>Sweet Dreams</t>
  </si>
  <si>
    <t>Apologize</t>
  </si>
  <si>
    <t>Besomorph,Anthony Keyrouz,Lunis</t>
  </si>
  <si>
    <t>Survivor</t>
  </si>
  <si>
    <t>Besomage,Meric Again,RIELL</t>
  </si>
  <si>
    <t>Like That</t>
  </si>
  <si>
    <t>Disero,Joshua Smith</t>
  </si>
  <si>
    <t>canadian electronic,gaming edm,kelowna bc indie</t>
  </si>
  <si>
    <t>FWLR,Che'Nelle</t>
  </si>
  <si>
    <t>electro house,gaming edm,j-pop</t>
  </si>
  <si>
    <t>Through the Night (Direct Remix)</t>
  </si>
  <si>
    <t>Direct,Roniit</t>
  </si>
  <si>
    <t>chillstep,electro house,future bass,gaming edm,melodic dubstep,dark pop</t>
  </si>
  <si>
    <t>I Want Your Soul</t>
  </si>
  <si>
    <t>Mike Hawkins</t>
  </si>
  <si>
    <t>danish electronic</t>
  </si>
  <si>
    <t>One By One</t>
  </si>
  <si>
    <t>GG Magree</t>
  </si>
  <si>
    <t>What You Do To Me (feat. Oly)</t>
  </si>
  <si>
    <t>Not Your Dope,Oly</t>
  </si>
  <si>
    <t>bass trap,future bass,pop edm,traprun</t>
  </si>
  <si>
    <t>Falling</t>
  </si>
  <si>
    <t>Maduk,MVE</t>
  </si>
  <si>
    <t>chillstep,dancefloor dnb,drum and bass,dutch dnb,liquid funk</t>
  </si>
  <si>
    <t>Stand By You</t>
  </si>
  <si>
    <t>Maduk</t>
  </si>
  <si>
    <t>The End</t>
  </si>
  <si>
    <t>Maduk,Voicians</t>
  </si>
  <si>
    <t>chillstep,dancefloor dnb,drum and bass,dutch dnb,liquid funk,cyberpunk,future rock,german dnb</t>
  </si>
  <si>
    <t>Nothing More</t>
  </si>
  <si>
    <t>Still In Love</t>
  </si>
  <si>
    <t>Fire Away</t>
  </si>
  <si>
    <t>Maduk,Amanda Collis</t>
  </si>
  <si>
    <t>Everytime</t>
  </si>
  <si>
    <t>Maduk,Calixte</t>
  </si>
  <si>
    <t>Come Back To Me</t>
  </si>
  <si>
    <t>Alone</t>
  </si>
  <si>
    <t>Maduk,Marianna Ray</t>
  </si>
  <si>
    <t>Bringing Me Down</t>
  </si>
  <si>
    <t>Poison</t>
  </si>
  <si>
    <t>Maduk,Gid Sedgwick</t>
  </si>
  <si>
    <t>Ready Now</t>
  </si>
  <si>
    <t>Maduk,ANVY</t>
  </si>
  <si>
    <t>Eli Eli - Maduk Remix</t>
  </si>
  <si>
    <t>Misun,Maduk</t>
  </si>
  <si>
    <t>Our Love Will Grow</t>
  </si>
  <si>
    <t>Maduk,J Fitz,Ella Noël</t>
  </si>
  <si>
    <t>Transformations</t>
  </si>
  <si>
    <t>Maduk,Jelvin</t>
  </si>
  <si>
    <t>Colours</t>
  </si>
  <si>
    <t>Maduk,Diamond Eyes</t>
  </si>
  <si>
    <t>chillstep,dancefloor dnb,drum and bass,dutch dnb,liquid funk,gaming edm</t>
  </si>
  <si>
    <t>New Beginning</t>
  </si>
  <si>
    <t>Maduk,Lexurus,RIENK</t>
  </si>
  <si>
    <t>Pull The Trigger - Maduk Remix</t>
  </si>
  <si>
    <t>Flux Pavilion,Maduk</t>
  </si>
  <si>
    <t>bass trap,brostep,classic dubstep,edm,electro house,electronic trap,melodic dubstep,pop dance,chillstep,dancefloor dnb,drum and bass,dutch dnb,liquid funk</t>
  </si>
  <si>
    <t>Got Me Thinking</t>
  </si>
  <si>
    <t>Maduk,Veela</t>
  </si>
  <si>
    <t>Stay - Maduk Remix</t>
  </si>
  <si>
    <t>Delta Heavy,Dirty Audio,Holly,Maduk</t>
  </si>
  <si>
    <t>brostep,drum and bass,edm,electro house,bass trap,dubstep,electronic trap,gaming edm,chillstep,dancefloor dnb,dutch dnb,liquid funk</t>
  </si>
  <si>
    <t>Ghost Assassin - Original Mix</t>
  </si>
  <si>
    <t>Motions - Original Mix</t>
  </si>
  <si>
    <t>Maduk,Nymfo</t>
  </si>
  <si>
    <t>chillstep,dancefloor dnb,drum and bass,dutch dnb,liquid funk,drumfunk,neurofunk</t>
  </si>
  <si>
    <t>Paradise - Live</t>
  </si>
  <si>
    <t>Alan Walker,K-391,Boy In Space</t>
  </si>
  <si>
    <t>electro house,nordic house,pop dance,alt z,electropop,pop</t>
  </si>
  <si>
    <t>Don't Bring Me Down</t>
  </si>
  <si>
    <t>Forever</t>
  </si>
  <si>
    <t>Break My Heart</t>
  </si>
  <si>
    <t>Dua Lipa</t>
  </si>
  <si>
    <t>Blow Your Mind (Mwah)</t>
  </si>
  <si>
    <t>Just One Look</t>
  </si>
  <si>
    <t>Julia Michaels</t>
  </si>
  <si>
    <t>alt z,dance pop,electropop,pop,post-teen pop</t>
  </si>
  <si>
    <t>Rider</t>
  </si>
  <si>
    <t>Go Home</t>
  </si>
  <si>
    <t>Arc North</t>
  </si>
  <si>
    <t>Let Somebody Go</t>
  </si>
  <si>
    <t>Coldplay,Selena Gomez</t>
  </si>
  <si>
    <t>permanent wave,pop,dance pop,post-teen pop</t>
  </si>
  <si>
    <t>Perfect Season</t>
  </si>
  <si>
    <t>Undeniable (feat. X Ambassadors)</t>
  </si>
  <si>
    <t>Kygo,X Ambassadors</t>
  </si>
  <si>
    <t>edm,pop,pop dance,tropical house,modern alternative rock,modern rock,pop rap,pop rock,rock,stomp pop</t>
  </si>
  <si>
    <t>Starbright</t>
  </si>
  <si>
    <t>Dabin,Trella</t>
  </si>
  <si>
    <t>canadian electronic,edm,electropop,future bass,melodic dubstep,pop dance,pop edm,indie electropop,jacksonville indie</t>
  </si>
  <si>
    <t>How's It Supposed to Feel</t>
  </si>
  <si>
    <t>Wouldn’t Change A Thing</t>
  </si>
  <si>
    <t>ILLENIUM,Thirty Seconds To Mars</t>
  </si>
  <si>
    <t>edm,melodic dubstep,pop,pop dance,tropical house,modern rock,post-grunge,rock</t>
  </si>
  <si>
    <t>No Time To Die</t>
  </si>
  <si>
    <t>There for You</t>
  </si>
  <si>
    <t>Awoltalk,OLSO</t>
  </si>
  <si>
    <t>Hide and Seek - Falling North Remix</t>
  </si>
  <si>
    <t>SLUMBERJACK,Claire Ridgely,Falling North</t>
  </si>
  <si>
    <t>electronic trap,vapor twitch,montreal indie</t>
  </si>
  <si>
    <t>I Need You</t>
  </si>
  <si>
    <t>Folded Dragons,YAEVIN</t>
  </si>
  <si>
    <t>Escape</t>
  </si>
  <si>
    <t>Kaivaan,Hikaru Station</t>
  </si>
  <si>
    <t>kawaii future bass</t>
  </si>
  <si>
    <t>let me go</t>
  </si>
  <si>
    <t>ilo ilo</t>
  </si>
  <si>
    <t>When I'm Okay</t>
  </si>
  <si>
    <t>Crystal Knives,Sarah de Warren,Eru Matsumoto</t>
  </si>
  <si>
    <t>First Love</t>
  </si>
  <si>
    <t>Kaivon,Pauline Herr</t>
  </si>
  <si>
    <t>edm,electro house,electronic trap,electropop,future bass,melodic dubstep,pop edm,vapor twitch</t>
  </si>
  <si>
    <t>Golden Dreams</t>
  </si>
  <si>
    <t>BLU J</t>
  </si>
  <si>
    <t>Until The End</t>
  </si>
  <si>
    <t>Aero Chord,Fractal,Q'Aila</t>
  </si>
  <si>
    <t>bass trap,edm,gaming edm,traprun</t>
  </si>
  <si>
    <t>Made of Time</t>
  </si>
  <si>
    <t>Kill Paris,TRØVES,Emily Vaughn</t>
  </si>
  <si>
    <t>chillstep,complextro,edm,electro house,filthstep,future bass,gaming edm,melodic dubstep,pop edm,vapor twitch,alt z,electropop,indie electropop,indie poptimism</t>
  </si>
  <si>
    <t>Khamsin,MOONZz</t>
  </si>
  <si>
    <t>future bass,pop edm,vapor twitch,electropop,indie electropop,indie poptimism</t>
  </si>
  <si>
    <t>Without Me</t>
  </si>
  <si>
    <t>I am not a woman, I'm a god</t>
  </si>
  <si>
    <t>PTLD</t>
  </si>
  <si>
    <t>Vanic,LØLØ</t>
  </si>
  <si>
    <t>bass trap,electronic trap,future bass,indie electropop,pop edm,vapor twitch,alt z,canadian pop,pop punk</t>
  </si>
  <si>
    <t>Perfect</t>
  </si>
  <si>
    <t>Vanic,RUNN</t>
  </si>
  <si>
    <t>Somewhere Better</t>
  </si>
  <si>
    <t>Vanic,Lowell</t>
  </si>
  <si>
    <t>bass trap,electronic trap,future bass,indie electropop,pop edm,vapor twitch,canadian electropop,queercore</t>
  </si>
  <si>
    <t>Congratulations - Autograf Remix</t>
  </si>
  <si>
    <t>FITZ,Fitz and The Tantrums,Autograf</t>
  </si>
  <si>
    <t>la indie,modern alternative rock,modern rock,pop rock,rock,deep house,deep tropical house,edm,electropop,house,indie poptimism,nu disco,pop dance,pop edm,tropical house,vapor soul,vapor twitch</t>
  </si>
  <si>
    <t>Diamonds</t>
  </si>
  <si>
    <t>Martin Garrix,Julian Jordan,Tinie Tempah</t>
  </si>
  <si>
    <t>dance pop,dutch edm,edm,electro house,pop,pop dance,progressive house,tropical house,pop edm,progressive electro house,sky room,grime,house,pop rap</t>
  </si>
  <si>
    <t>Kids</t>
  </si>
  <si>
    <t>LUVE,Nevve</t>
  </si>
  <si>
    <t>Strength</t>
  </si>
  <si>
    <t>Bryce Fox</t>
  </si>
  <si>
    <t>Ghost Town - Arcando Remix</t>
  </si>
  <si>
    <t>Layto,Neoni,Arcando</t>
  </si>
  <si>
    <t>alt z,modern alternative rock,traprun</t>
  </si>
  <si>
    <t>Something Beautiful (feat. Masked Wolf)</t>
  </si>
  <si>
    <t>Tom Walker,Masked Wolf</t>
  </si>
  <si>
    <t>indie anthem-folk,modern rock,pop,pop rock,uk pop,australian hip hop</t>
  </si>
  <si>
    <t>Light Up The Sky (feat. Scott Stapp)</t>
  </si>
  <si>
    <t>Wooli,Trivecta,Scott Stapp</t>
  </si>
  <si>
    <t>brostep,dubstep,edm,electronic trap,gaming dubstep,melodic dubstep,chillstep,electro house,future bass,gaming edm,pop dance,pop edm,alternative metal,post-grunge</t>
  </si>
  <si>
    <t>Born Yesterday</t>
  </si>
  <si>
    <t>Arca,Sia</t>
  </si>
  <si>
    <t>ai,art pop,dance pop,deconstructed club,escape room,experimental pop,fluxwork,pop,australian dance,australian pop</t>
  </si>
  <si>
    <t>We're Screwed</t>
  </si>
  <si>
    <t>Godzilla (feat. Juice WRLD)</t>
  </si>
  <si>
    <t>Eminem,Juice WRLD</t>
  </si>
  <si>
    <t>detroit hip hop,hip hop,rap,chicago rap,melodic rap</t>
  </si>
  <si>
    <t>Rap God</t>
  </si>
  <si>
    <t>Heroes Tonight</t>
  </si>
  <si>
    <t>Janji,Johnning</t>
  </si>
  <si>
    <t>this is how you fall in love</t>
  </si>
  <si>
    <t>Jeremy Zucker,Chelsea Cutler</t>
  </si>
  <si>
    <t>electropop,pop,alt z,indie poptimism,tropical house</t>
  </si>
  <si>
    <t>Lie To Me</t>
  </si>
  <si>
    <t>RIELL</t>
  </si>
  <si>
    <t>Mood (feat. iann dior)</t>
  </si>
  <si>
    <t>24kGoldn,iann dior</t>
  </si>
  <si>
    <t>cali rap,pop rap,melodic rap</t>
  </si>
  <si>
    <t>GIRL LIKE ME</t>
  </si>
  <si>
    <t>Black Eyed Peas,Shakira</t>
  </si>
  <si>
    <t>dance pop,pop,pop rap,colombian pop,latin,latin pop</t>
  </si>
  <si>
    <t>Hanging On</t>
  </si>
  <si>
    <t>LVNDSCAPE</t>
  </si>
  <si>
    <t>deep house,deep tropical house,edm,electro house,pop dance,pop edm,tropical house</t>
  </si>
  <si>
    <t>Neverland</t>
  </si>
  <si>
    <t>Slashtaq,Kalu</t>
  </si>
  <si>
    <t>Light</t>
  </si>
  <si>
    <t>Mazcot,LEVR,BKelly,Blux</t>
  </si>
  <si>
    <t>We Are One</t>
  </si>
  <si>
    <t>Rameses B,Veela</t>
  </si>
  <si>
    <t>chillstep,complextro,edm,electro house,gaming edm,melodic dubstep</t>
  </si>
  <si>
    <t>On My High</t>
  </si>
  <si>
    <t>James Carter,TINGGI</t>
  </si>
  <si>
    <t>deep house,deep tropical house,edm,new french touch,pop dance,pop edm,tropical house</t>
  </si>
  <si>
    <t>Better Now</t>
  </si>
  <si>
    <t>KUURO</t>
  </si>
  <si>
    <t>bass trap,electro house,gaming edm</t>
  </si>
  <si>
    <t>Luude,TWERL,Lost Boy</t>
  </si>
  <si>
    <t>aussietronica,traprun</t>
  </si>
  <si>
    <t>I Just Wanna Know</t>
  </si>
  <si>
    <t>2Scratch</t>
  </si>
  <si>
    <t>The Edge</t>
  </si>
  <si>
    <t>Grant,Nevve</t>
  </si>
  <si>
    <t>edm,electro house,future bass,gaming edm,pop edm</t>
  </si>
  <si>
    <t>Baby Girl</t>
  </si>
  <si>
    <t>SMNM</t>
  </si>
  <si>
    <t>Never Been Better</t>
  </si>
  <si>
    <t>Steve Void</t>
  </si>
  <si>
    <t>pop edm,slap house</t>
  </si>
  <si>
    <t>Drink Over You</t>
  </si>
  <si>
    <t>T-Mass,yasaquarius</t>
  </si>
  <si>
    <t>bass trap,gaming edm,melodic dubstep,pop edm,traprun</t>
  </si>
  <si>
    <t>Slow Mo</t>
  </si>
  <si>
    <t>The Spacies</t>
  </si>
  <si>
    <t>Numb (feat. Johnning)</t>
  </si>
  <si>
    <t>Prefekt,Johnning</t>
  </si>
  <si>
    <t>Gone</t>
  </si>
  <si>
    <t>Kap Slap,EZI</t>
  </si>
  <si>
    <t>pop edm,alt z,electropop,indie electropop,indie poptimism,nyc pop</t>
  </si>
  <si>
    <t>Million Birds (feat. Elle Vee)</t>
  </si>
  <si>
    <t>Nurko,Elle Vee</t>
  </si>
  <si>
    <t>Diggin Da Blunt</t>
  </si>
  <si>
    <t>Maty Noyes</t>
  </si>
  <si>
    <t>alt z,electropop,indie electropop,indie poptimism,pop</t>
  </si>
  <si>
    <t>Ella</t>
  </si>
  <si>
    <t>Know</t>
  </si>
  <si>
    <t>Just A Gent,SADBOii</t>
  </si>
  <si>
    <t>Heartbreak Anthem (with David Guetta &amp; Little Mix) - Misha K &amp; Galantis Gold Rush VIP</t>
  </si>
  <si>
    <t>Galantis,Little Mix,Misha K,David Guetta</t>
  </si>
  <si>
    <t>dance pop,edm,electro house,pop,pop dance,tropical house,girl group,post-teen pop,talent show,uk pop,big room,pop rap</t>
  </si>
  <si>
    <t>Burn amor</t>
  </si>
  <si>
    <t>Bobby khane,Ekali,Jireel,Rnla</t>
  </si>
  <si>
    <t>canadian electronic,edm,electro house,electronic trap,electropop,future bass,indie electropop,melodic dubstep,pop dance,pop edm,vapor twitch,swedish drill,swedish hip hop,swedish pop,swedish reggae,swedish trap,swedish trap pop</t>
  </si>
  <si>
    <t>Good To Be Alive</t>
  </si>
  <si>
    <t>The Score</t>
  </si>
  <si>
    <t>Perfect (Remix) (feat. Lil Wayne &amp; A$AP Ferg)</t>
  </si>
  <si>
    <t>Logic,Lil Wayne,A$AP Ferg</t>
  </si>
  <si>
    <t>conscious hip hop,dmv rap,hip hop,pop rap,rap,new orleans rap,trap,gangster rap,southern hip hop,underground hip hop</t>
  </si>
  <si>
    <t>Here</t>
  </si>
  <si>
    <t>Lucian,Amanda Yang</t>
  </si>
  <si>
    <t>bass trap,pop edm,vapor twitch,channel pop,viral pop</t>
  </si>
  <si>
    <t>I am not a woman, I'm a god - Hot Chip Remix</t>
  </si>
  <si>
    <t>Last One Standing (feat. Polo G, Mozzy &amp; Eminem) - From Venom: Let There Be Carnage</t>
  </si>
  <si>
    <t>Skylar Grey,Polo G,Mozzy,Eminem</t>
  </si>
  <si>
    <t>piano rock,chicago rap,cali rap,pop rap,rap,sacramento hip hop,southern hip hop,trap,detroit hip hop,hip hop</t>
  </si>
  <si>
    <t>Here &amp; Now (Holding On)</t>
  </si>
  <si>
    <t>Vanic,Francis Skyes</t>
  </si>
  <si>
    <t>Devil On My Shoulder</t>
  </si>
  <si>
    <t>Pantheon</t>
  </si>
  <si>
    <t>Blastoyz,Dimibo,Jason Ross,Kill The Noise,Seven Lions,Trivecta,Wooli</t>
  </si>
  <si>
    <t>psychedelic trance,dubstep,edm,future bass,melodic dubstep,pop dance,pop edm,progressive house,progressive trance,brostep,electro house,electronic trap,fidget house,chillstep,gaming edm,gaming dubstep</t>
  </si>
  <si>
    <t>Firefly</t>
  </si>
  <si>
    <t>Jim Yosef</t>
  </si>
  <si>
    <t>Hate You</t>
  </si>
  <si>
    <t>Jim Yosef,RIELL</t>
  </si>
  <si>
    <t>Animal</t>
  </si>
  <si>
    <t>Not Afraid</t>
  </si>
  <si>
    <t>Never Be (feat. AXYL)</t>
  </si>
  <si>
    <t>Giraffe Squad,AXYL</t>
  </si>
  <si>
    <t>On the Hunt</t>
  </si>
  <si>
    <t>Neo Noir,Krigarè</t>
  </si>
  <si>
    <t>pop edm,dark pop</t>
  </si>
  <si>
    <t>Space (feat. Toito &amp; Karli)</t>
  </si>
  <si>
    <t>Famba,Toito,Karli</t>
  </si>
  <si>
    <t>halifax indie</t>
  </si>
  <si>
    <t>A Dream</t>
  </si>
  <si>
    <t>-6</t>
  </si>
  <si>
    <t>So Cold (feat. Lily Denning) [Bruer &amp; Bright Lies Remix]</t>
  </si>
  <si>
    <t>Mahalo,DLMT,Lily Denning,Bright Lies,BRUER</t>
  </si>
  <si>
    <t>deep groove house,house,pop edm,electro house,pop dance</t>
  </si>
  <si>
    <t>Mystery Card</t>
  </si>
  <si>
    <t>Harald Revery</t>
  </si>
  <si>
    <t>Star Spangled (Not Your Dope and Taptone Remix)</t>
  </si>
  <si>
    <t>REMMI,Taptone,Not Your Dope</t>
  </si>
  <si>
    <t>electropop,bass trap,future bass,pop edm,traprun</t>
  </si>
  <si>
    <t>Fracture</t>
  </si>
  <si>
    <t>ATLAST,Josh Rubin</t>
  </si>
  <si>
    <t>Lost in the Blue</t>
  </si>
  <si>
    <t>Sikdope,Nevve</t>
  </si>
  <si>
    <t>bass house,dubstep,edm,electro house,electronic trap,gaming dubstep</t>
  </si>
  <si>
    <t>Worth Fighting For</t>
  </si>
  <si>
    <t>Rico &amp; Miella,TELYKast</t>
  </si>
  <si>
    <t>nyc pop,edm,pop dance,pop edm</t>
  </si>
  <si>
    <t>Anywhere You Go</t>
  </si>
  <si>
    <t>NERVO,Timmy Trumpet</t>
  </si>
  <si>
    <t>australian dance,dance pop,edm,electra,electro house,house,pop dance,pop edm,progressive electro house,progressive house,tropical house,big room,melbourne bounce,melbourne bounce international</t>
  </si>
  <si>
    <t>Believer - Kaskade Remix</t>
  </si>
  <si>
    <t>Imagine Dragons,Kaskade</t>
  </si>
  <si>
    <t>modern rock,rock,edm,electro house,house,pop dance,progressive house,tropical house,vocal house</t>
  </si>
  <si>
    <t>Kataware Doki (Kimi No Na Wa Original Soundtrack)</t>
  </si>
  <si>
    <t>Theishter</t>
  </si>
  <si>
    <t>anime piano,otacore</t>
  </si>
  <si>
    <t>Trying to Feel Alive</t>
  </si>
  <si>
    <t>Porter Robinson</t>
  </si>
  <si>
    <t>complextro,edm,future bass,melodic dubstep,progressive electro house</t>
  </si>
  <si>
    <t>Blossom</t>
  </si>
  <si>
    <t>Unfold</t>
  </si>
  <si>
    <t>Porter Robinson,Totally Enormous Extinct Dinosaurs</t>
  </si>
  <si>
    <t>complextro,edm,future bass,melodic dubstep,progressive electro house,alternative dance,electronica,indietronica,new rave,oxford indie</t>
  </si>
  <si>
    <t>Something Comforting</t>
  </si>
  <si>
    <t>Mirror</t>
  </si>
  <si>
    <t>dullscythe</t>
  </si>
  <si>
    <t>Sweet Time</t>
  </si>
  <si>
    <t>Mother</t>
  </si>
  <si>
    <t>do-re-mi-fa-so-la-ti-do</t>
  </si>
  <si>
    <t>Musician</t>
  </si>
  <si>
    <t>Wind Tempos</t>
  </si>
  <si>
    <t>Get Your Wish</t>
  </si>
  <si>
    <t>Look at the Sky</t>
  </si>
  <si>
    <t>Nova</t>
  </si>
  <si>
    <t>Just A Gent,Jacknife</t>
  </si>
  <si>
    <t>aussietronica,bass trap,edm,electro house,electronic trap,electropop,future bass,melodic dubstep,vapor twitch,australian dance,dark clubbing</t>
  </si>
  <si>
    <t>Better Days - Galantis Remix</t>
  </si>
  <si>
    <t>Best Days</t>
  </si>
  <si>
    <t>Alessia Cara</t>
  </si>
  <si>
    <t>canadian contemporary r&amp;b,canadian pop,dance pop,pop,post-teen pop</t>
  </si>
  <si>
    <t>Bad Together</t>
  </si>
  <si>
    <t>Lucian,Catherine Sunday</t>
  </si>
  <si>
    <t>TIL I HEAR'EM SAY</t>
  </si>
  <si>
    <t>Control</t>
  </si>
  <si>
    <t>Matrix &amp; Futurebound,Max Marshall</t>
  </si>
  <si>
    <t>Don't Start Now</t>
  </si>
  <si>
    <t>Run It (feat. Rick Ross &amp; Rich Brian)</t>
  </si>
  <si>
    <t>DJ Snake,Rick Ross,Rich Brian</t>
  </si>
  <si>
    <t>dance pop,edm,electronic trap,pop,pop dance,pop rap,dirty south rap,gangster rap,hip hop,rap,southern hip hop,trap,indonesian hip hop</t>
  </si>
  <si>
    <t>Our City - Original Mix</t>
  </si>
  <si>
    <t>Kid Thomas,Shoffy,WoodzSTHLM</t>
  </si>
  <si>
    <t>alternative r&amp;b,chill pop,chill r&amp;b,electropop,indie electropop,indie poptimism,la pop,pop,vapor twitch</t>
  </si>
  <si>
    <t>Hypnotized</t>
  </si>
  <si>
    <t>DEAMN</t>
  </si>
  <si>
    <t>In Your Eyes</t>
  </si>
  <si>
    <t>Kozoro,Zeni,Koo Read</t>
  </si>
  <si>
    <t>Whisper</t>
  </si>
  <si>
    <t>N3WPORT</t>
  </si>
  <si>
    <t>gaming edm,melodic dubstep,pop edm,traprun</t>
  </si>
  <si>
    <t>A Different Way</t>
  </si>
  <si>
    <t>Naivs</t>
  </si>
  <si>
    <t>Had</t>
  </si>
  <si>
    <t>So Long (feat. Zada)</t>
  </si>
  <si>
    <t>Dropout,Zada</t>
  </si>
  <si>
    <t>Mr. Magician</t>
  </si>
  <si>
    <t>Subsurface,Leanne Louise</t>
  </si>
  <si>
    <t>Beggin (original version)</t>
  </si>
  <si>
    <t>Calling All Angels (with Quinn XCII)</t>
  </si>
  <si>
    <t>Chelsea Cutler,Quinn XCII</t>
  </si>
  <si>
    <t>alt z,electropop,indie poptimism,pop,tropical house,indie pop rap,pop rap</t>
  </si>
  <si>
    <t>Crash</t>
  </si>
  <si>
    <t>Lifeline</t>
  </si>
  <si>
    <t>Ways Of Love</t>
  </si>
  <si>
    <t>Bahari</t>
  </si>
  <si>
    <t>alt z,indie electropop,indie poptimism,la pop</t>
  </si>
  <si>
    <t>Enter Sandman</t>
  </si>
  <si>
    <t>Alessia Cara,The Warning</t>
  </si>
  <si>
    <t>canadian contemporary r&amp;b,canadian pop,dance pop,pop,post-teen pop,mexican metal,monterrey indie</t>
  </si>
  <si>
    <t>The Tech Thieves,Besomage,Meric Again</t>
  </si>
  <si>
    <t>Older</t>
  </si>
  <si>
    <t>Alec Benjamin</t>
  </si>
  <si>
    <t>alt z,dream smp,electropop,pop</t>
  </si>
  <si>
    <t>Rollercoaster</t>
  </si>
  <si>
    <t>Love Regenerator,Solardo,Calvin Harris</t>
  </si>
  <si>
    <t>house,deep groove house,pop dance,uk dance,dance pop,edm,electro house,pop,pop rap,progressive house</t>
  </si>
  <si>
    <t>THINK YOU RIGHT (feat. ericdoa &amp; glaive)</t>
  </si>
  <si>
    <t>Whethan,ericdoa,glaive</t>
  </si>
  <si>
    <t>edm,electropop,hyperpop,indie poptimism,vapor twitch,glitchcore,proto-hyperpop</t>
  </si>
  <si>
    <t>Belladonna</t>
  </si>
  <si>
    <t>ECHO (LET GO) - Radio Remix</t>
  </si>
  <si>
    <t>Breathe Carolina,IZII</t>
  </si>
  <si>
    <t>electropowerpop,neon pop punk,pop punk,screamo,trancecore</t>
  </si>
  <si>
    <t>Hopex</t>
  </si>
  <si>
    <t>bass trap,traprun,turkish trap</t>
  </si>
  <si>
    <t>Alarm</t>
  </si>
  <si>
    <t>Lookas,Krewella</t>
  </si>
  <si>
    <t>bass trap,electro house,electronic trap,future bass,dance pop,edm,electra,electropop,melodic dubstep,pop dance</t>
  </si>
  <si>
    <t>The Thrill - Porter Robinson Remix</t>
  </si>
  <si>
    <t>NERO,Porter Robinson</t>
  </si>
  <si>
    <t>drum and bass,edm,electro house,melodic dubstep,complextro,future bass,progressive electro house</t>
  </si>
  <si>
    <t>Long Way Home - Noah Neiman vs. Culture Code Remix</t>
  </si>
  <si>
    <t>Noah Neiman,Jay Bombay,Laci Kay,Culture Code</t>
  </si>
  <si>
    <t>progressive uplifting trance,filthstep,gaming edm,melodic dubstep,pop edm</t>
  </si>
  <si>
    <t>Stay</t>
  </si>
  <si>
    <t>Sibel,La Tartine</t>
  </si>
  <si>
    <t>Bigger Picture (Just a Gent Remix)</t>
  </si>
  <si>
    <t>Matthew Parker</t>
  </si>
  <si>
    <t>ccm,cedm,christian pop</t>
  </si>
  <si>
    <t>Vendetta White</t>
  </si>
  <si>
    <t>PAZ,Birds of New York</t>
  </si>
  <si>
    <t>Bring Back the Summer (feat. OLY) - LA Riots Remix</t>
  </si>
  <si>
    <t>Rain Man,Oly,LA Riots</t>
  </si>
  <si>
    <t>Yours Truly</t>
  </si>
  <si>
    <t>Mr FijiWiji,Danyka Nadeau</t>
  </si>
  <si>
    <t>Yours Truly - Vacant Remix</t>
  </si>
  <si>
    <t>Mr FijiWiji,Danyka Nadeau,Vacant</t>
  </si>
  <si>
    <t>chillstep,complextro,edm,electro house,future bass,gaming edm,melodic dubstep,substep,wave</t>
  </si>
  <si>
    <t>Koino Uta</t>
  </si>
  <si>
    <t>Yunomi,Tsukasa Yuzaki</t>
  </si>
  <si>
    <t>denpa-kei,japanese vtuber,kawaii future bass</t>
  </si>
  <si>
    <t>Masked Heroes</t>
  </si>
  <si>
    <t>Vexento</t>
  </si>
  <si>
    <t>Give Life Back to Music</t>
  </si>
  <si>
    <t>Within</t>
  </si>
  <si>
    <t>Don't Say</t>
  </si>
  <si>
    <t>Hoang,Nevve</t>
  </si>
  <si>
    <t>Somebody Say</t>
  </si>
  <si>
    <t>Xuitcasecity</t>
  </si>
  <si>
    <t>electropop,indie pop rap,pop edm,pop rap,sad rap</t>
  </si>
  <si>
    <t>Say Goodbye</t>
  </si>
  <si>
    <t>Cheat Codes</t>
  </si>
  <si>
    <t>dance pop,edm,electro house,electropop,pop,pop dance,tropical house</t>
  </si>
  <si>
    <t>Love Like The Sun</t>
  </si>
  <si>
    <t>Dennis Kruissen,David Benjamin</t>
  </si>
  <si>
    <t>dutch pop,dutch singer-songwriter</t>
  </si>
  <si>
    <t>Eyes Closed</t>
  </si>
  <si>
    <t>We Rabbitz</t>
  </si>
  <si>
    <t>What You Want</t>
  </si>
  <si>
    <t>PLVTINUM</t>
  </si>
  <si>
    <t>alt z,pop</t>
  </si>
  <si>
    <t>Driveway</t>
  </si>
  <si>
    <t>culpriit</t>
  </si>
  <si>
    <t>Savor Time - (Album Edit)</t>
  </si>
  <si>
    <t>The Pitcher,San Dae</t>
  </si>
  <si>
    <t>Know U Anymore (feat. Sarah Hyland)</t>
  </si>
  <si>
    <t>BoTalks,Sarah Hyland</t>
  </si>
  <si>
    <t>Keep Me from You (feat. ODA)</t>
  </si>
  <si>
    <t>MORTEN,ODA</t>
  </si>
  <si>
    <t>danish electronic,scandipop</t>
  </si>
  <si>
    <t>3AM</t>
  </si>
  <si>
    <t>MiNDTRiX,Alexis Donn</t>
  </si>
  <si>
    <t>gen z singer-songwriter</t>
  </si>
  <si>
    <t>God Must Be a Lonely Man</t>
  </si>
  <si>
    <t>Ashworth</t>
  </si>
  <si>
    <t>Natural Disaster - Win and Woo Remix</t>
  </si>
  <si>
    <t>Back to You</t>
  </si>
  <si>
    <t>KDrew</t>
  </si>
  <si>
    <t>brostep,complextro,edm,electro house,gaming edm,melodic dubstep</t>
  </si>
  <si>
    <t>Let You Go</t>
  </si>
  <si>
    <t>VIRTU</t>
  </si>
  <si>
    <t>Solar Power</t>
  </si>
  <si>
    <t>Lorde</t>
  </si>
  <si>
    <t>art pop,dance pop,electropop,metropopolis,nz pop,pop</t>
  </si>
  <si>
    <t>Save Your Tears (with Ariana Grande) (Remix)</t>
  </si>
  <si>
    <t>The Weeknd,Ariana Grande</t>
  </si>
  <si>
    <t>canadian contemporary r&amp;b,canadian pop,pop,dance pop</t>
  </si>
  <si>
    <t>Peaches (feat. Daniel Caesar &amp; Giveon)</t>
  </si>
  <si>
    <t>On The Floor - Radio Edit</t>
  </si>
  <si>
    <t>Jennifer Lopez,Pitbull</t>
  </si>
  <si>
    <t>dance pop,pop,pop rap,urban contemporary,latin,miami hip hop</t>
  </si>
  <si>
    <t>Palace - Justin Caruso Remix</t>
  </si>
  <si>
    <t>Hayley Kiyoko,Justin Caruso</t>
  </si>
  <si>
    <t>alt z,art pop,dance pop,electropop,indie pop,indie poptimism,pop,post-teen pop,pop dance,pop edm</t>
  </si>
  <si>
    <t>Poppy Seeds</t>
  </si>
  <si>
    <t>THIEVES,JayKode,Neon Hitch</t>
  </si>
  <si>
    <t>bass trap,electronic trap,electropop</t>
  </si>
  <si>
    <t>Tattoo</t>
  </si>
  <si>
    <t>Calmani &amp; Grey,Pearl Andersson</t>
  </si>
  <si>
    <t>Here For You - Remix</t>
  </si>
  <si>
    <t>Robby Burke,Trafton</t>
  </si>
  <si>
    <t>gone</t>
  </si>
  <si>
    <t>juuku,Natalie</t>
  </si>
  <si>
    <t>future bass,vapor twitch</t>
  </si>
  <si>
    <t>ADD - KC Audio Remix</t>
  </si>
  <si>
    <t>dwilly,Emilia Ali,KC Audio</t>
  </si>
  <si>
    <t>Long Way Home (feat. Allie Crystal)</t>
  </si>
  <si>
    <t>Gazzo,Allie Crystal</t>
  </si>
  <si>
    <t>Chemicals</t>
  </si>
  <si>
    <t>mark veins,STAHL</t>
  </si>
  <si>
    <t>drift phonk,wave</t>
  </si>
  <si>
    <t>Everything</t>
  </si>
  <si>
    <t>Lightyear</t>
  </si>
  <si>
    <t>I Want It All (Remix)</t>
  </si>
  <si>
    <t>Bonnie McKee,Vicetone</t>
  </si>
  <si>
    <t>candy pop,electropop,indie poptimism,post-teen pop,edm,electro house,pop dance,pop edm,progressive electro house,tropical house</t>
  </si>
  <si>
    <t>Daya</t>
  </si>
  <si>
    <t>alt z,dance pop,edm,electropop,pop,pop dance,post-teen pop,tropical house</t>
  </si>
  <si>
    <t>Sunny Days - BKAYE Remix</t>
  </si>
  <si>
    <t>Janelle Kroll,BKAYE</t>
  </si>
  <si>
    <t>Stay Right There</t>
  </si>
  <si>
    <t>Nora Van Elken</t>
  </si>
  <si>
    <t>deep house,tropical house</t>
  </si>
  <si>
    <t>Broken Parts</t>
  </si>
  <si>
    <t>Mokita,The Ready Set</t>
  </si>
  <si>
    <t>alt z,chill pop,chill r&amp;b,electropop,pop,neon pop punk,pixie,pop emo,pop punk,post-teen pop</t>
  </si>
  <si>
    <t>Out of Time</t>
  </si>
  <si>
    <t>WRATHE</t>
  </si>
  <si>
    <t>melodic dubstep,pop edm</t>
  </si>
  <si>
    <t>Play It Right</t>
  </si>
  <si>
    <t>Dmfb</t>
  </si>
  <si>
    <t>Outta Here (feat. Con Bro Chill)</t>
  </si>
  <si>
    <t>Papa Ya,Con Bro Chill</t>
  </si>
  <si>
    <t>Without the Sun - Club Mix</t>
  </si>
  <si>
    <t>Dash Berlin,Luca Perra</t>
  </si>
  <si>
    <t>big room,dutch trance,edm,pop dance,progressive house,trance,uplifting trance</t>
  </si>
  <si>
    <t>ILIVEHERE.</t>
  </si>
  <si>
    <t>Over and Past (feat. Maria)</t>
  </si>
  <si>
    <t>Celani,Maria</t>
  </si>
  <si>
    <t>I Won't Forget This</t>
  </si>
  <si>
    <t>Whales,Omri</t>
  </si>
  <si>
    <t>bass trap,dubstep,gaming edm</t>
  </si>
  <si>
    <t>Fractions</t>
  </si>
  <si>
    <t>Juniper Vale</t>
  </si>
  <si>
    <t>Levitating (feat. DaBaby)</t>
  </si>
  <si>
    <t>Dua Lipa,DaBaby</t>
  </si>
  <si>
    <t>dance pop,pop,uk pop,north carolina hip hop,rap,trap</t>
  </si>
  <si>
    <t>Time Is On Your Side - Radio Edit</t>
  </si>
  <si>
    <t>Stadiumx,Dzasko,Delaney Jane</t>
  </si>
  <si>
    <t>edm,electro house,pop dance,pop edm,progressive electro house,progressive house,sky room,alt z,canadian electropop</t>
  </si>
  <si>
    <t>Hope That It's You</t>
  </si>
  <si>
    <t>Akari,Annamarie Rosanio</t>
  </si>
  <si>
    <t>Start A Riot - Thundatraxx Remix</t>
  </si>
  <si>
    <t>BANNERS,Thundatraxx</t>
  </si>
  <si>
    <t>indie poptimism,modern rock,pop,pop rock,deep tropical house</t>
  </si>
  <si>
    <t>Keep You Safe</t>
  </si>
  <si>
    <t>Ark Patrol,Veronika Redd</t>
  </si>
  <si>
    <t>Runaway (feat. REGN)</t>
  </si>
  <si>
    <t>Felix Cartal,REGN</t>
  </si>
  <si>
    <t>canadian electronic,edm,electro house,electropop,indie poptimism,pop dance,pop edm,tropical house,indie electropop</t>
  </si>
  <si>
    <t>Reconcile</t>
  </si>
  <si>
    <t>Gent &amp; Jawns,LIZ</t>
  </si>
  <si>
    <t>arab trap,bass trap,electronic trap,moombahton,electropop,escape room,hyperpop,pink noise,proto-hyperpop</t>
  </si>
  <si>
    <t>Space Between Us</t>
  </si>
  <si>
    <t>Ellusive,Eny</t>
  </si>
  <si>
    <t>Jakoban,D!avalo,Gaby Henshaw</t>
  </si>
  <si>
    <t>Better</t>
  </si>
  <si>
    <t>Ryan Moe,Lolaby</t>
  </si>
  <si>
    <t>Despotem,Laurien Van Buuren</t>
  </si>
  <si>
    <t>Damn Thing (feat. Trove)</t>
  </si>
  <si>
    <t>ThatBehavior,TRØVES</t>
  </si>
  <si>
    <t>Drive</t>
  </si>
  <si>
    <t>EQRIC,RIELL</t>
  </si>
  <si>
    <t>Too Close</t>
  </si>
  <si>
    <t>AWAY,Midoca,Dark Waves</t>
  </si>
  <si>
    <t>bass trap,future bass,traprun,indie electropop,indie poptimism,vapor pop</t>
  </si>
  <si>
    <t>Wrong (feat. Emilia Ali)</t>
  </si>
  <si>
    <t>Farout,Emilia Ali</t>
  </si>
  <si>
    <t>Moving On</t>
  </si>
  <si>
    <t>sober rob,Karra</t>
  </si>
  <si>
    <t>future bass,vapor twitch,la pop</t>
  </si>
  <si>
    <t>Levitating</t>
  </si>
  <si>
    <t>Keeps Me High</t>
  </si>
  <si>
    <t>Anevo</t>
  </si>
  <si>
    <t>deep uplifting trance,future bass,gaming edm,pop edm</t>
  </si>
  <si>
    <t>Ani Kuni</t>
  </si>
  <si>
    <t>Polo &amp; Pan</t>
  </si>
  <si>
    <t>dark disco,electro-pop francais,french indietronica,new french touch</t>
  </si>
  <si>
    <t>Dorothy</t>
  </si>
  <si>
    <t>Memories</t>
  </si>
  <si>
    <t>Beautiful Mistakes (feat. Megan Thee Stallion)</t>
  </si>
  <si>
    <t>Maroon 5,Megan Thee Stallion</t>
  </si>
  <si>
    <t>pop,dance pop,houston rap,trap queen</t>
  </si>
  <si>
    <t>Don't Kill My High (feat. Wiz Khalifa &amp; Social House) - Ashworth Remix</t>
  </si>
  <si>
    <t>Lost Kings,Wiz Khalifa,Social House,Ashworth</t>
  </si>
  <si>
    <t>dance pop,edm,pop,pop dance,pop edm,pop rap,tropical house,hip hop,pittsburgh rap,rap,southern hip hop,trap,la pop</t>
  </si>
  <si>
    <t>A Thousand Miles</t>
  </si>
  <si>
    <t>Beach House - Ashworth Remix</t>
  </si>
  <si>
    <t>The Chainsmokers,Ashworth</t>
  </si>
  <si>
    <t>dance pop,edm,electropop,pop,pop dance,tropical house,la pop</t>
  </si>
  <si>
    <t>Treat You Better - Ashworth Remix</t>
  </si>
  <si>
    <t>Shawn Mendes,Ashworth</t>
  </si>
  <si>
    <t>canadian pop,pop,viral pop,la pop</t>
  </si>
  <si>
    <t>Cold - R3hab &amp; Khrebto Remix</t>
  </si>
  <si>
    <t>Maroon 5,Future,R3HAB,Khrebto</t>
  </si>
  <si>
    <t>pop,atl hip hop,rap,southern hip hop,trap,dance pop,dutch house,edm,electro house,pop dance,progressive electro house,slap house,tropical house,russian edm</t>
  </si>
  <si>
    <t>Cold (feat. Future)</t>
  </si>
  <si>
    <t>Maroon 5,Future</t>
  </si>
  <si>
    <t>pop,atl hip hop,rap,southern hip hop,trap</t>
  </si>
  <si>
    <t>Cold - Ashworth Remix</t>
  </si>
  <si>
    <t>Immortal Flame</t>
  </si>
  <si>
    <t>Panda Eyes,Teminite,Anna Yvette</t>
  </si>
  <si>
    <t>edm,gaming edm,speedrun,gaming dubstep</t>
  </si>
  <si>
    <t>Raincoat - Ashworth Remix</t>
  </si>
  <si>
    <t>Timeflies,SHY Martin,Ashworth</t>
  </si>
  <si>
    <t>dance pop,indie pop rap,pop,pop dance,pop rap,pop rock,post-teen pop,tropical house,alt z,electropop,swedish electropop,la pop</t>
  </si>
  <si>
    <t>Young &amp; Broken</t>
  </si>
  <si>
    <t>No Riddim,Megan Lee</t>
  </si>
  <si>
    <t>Chameleon</t>
  </si>
  <si>
    <t>Grey,Asia</t>
  </si>
  <si>
    <t>Born to Lose (feat. Gia Koka)</t>
  </si>
  <si>
    <t>No Sleep,Gia Koka</t>
  </si>
  <si>
    <t>Warrior - Zephure Remix</t>
  </si>
  <si>
    <t>Steve James,Lights,Zephure</t>
  </si>
  <si>
    <t>pop edm,canadian folk,canadian pop,electropop,indie poptimism</t>
  </si>
  <si>
    <t>Help Me Lose My Mind</t>
  </si>
  <si>
    <t>Disclosure,London Grammar</t>
  </si>
  <si>
    <t>edm,house,pop,uk dance,metropopolis,nottingham indie</t>
  </si>
  <si>
    <t>Zoom Zoom</t>
  </si>
  <si>
    <t>All Eyes On Me (Song Only)</t>
  </si>
  <si>
    <t>Feels So Good</t>
  </si>
  <si>
    <t>Yntendo,Sam F,Aviella</t>
  </si>
  <si>
    <t>Before You Go</t>
  </si>
  <si>
    <t>Aweeden</t>
  </si>
  <si>
    <t>Under Electric Skies (Uprize &amp; Serion Remix)</t>
  </si>
  <si>
    <t>Nytrix</t>
  </si>
  <si>
    <t>Titans</t>
  </si>
  <si>
    <t>Major Lazer,Sia,Labrinth,Diplo</t>
  </si>
  <si>
    <t>dance pop,edm,electro house,moombahton,pop,pop dance,pop rap,tropical house,australian dance,australian pop,indie poptimism,house,ninja</t>
  </si>
  <si>
    <t>Eté 90</t>
  </si>
  <si>
    <t>Canopée</t>
  </si>
  <si>
    <t>Nanã</t>
  </si>
  <si>
    <t>The Scientist</t>
  </si>
  <si>
    <t>Lay It Down</t>
  </si>
  <si>
    <t>ILLENIUM,Krewella,SLANDER</t>
  </si>
  <si>
    <t>edm,melodic dubstep,pop,pop dance,tropical house,dance pop,electra,electro house,electropop,dubstep</t>
  </si>
  <si>
    <t>Hymn for the Weekend</t>
  </si>
  <si>
    <t>Fix You</t>
  </si>
  <si>
    <t>A Sky Full of Stars</t>
  </si>
  <si>
    <t>Something Just Like This</t>
  </si>
  <si>
    <t>The Chainsmokers,Coldplay</t>
  </si>
  <si>
    <t>dance pop,edm,electropop,pop,pop dance,tropical house,permanent wave</t>
  </si>
  <si>
    <t>Who R U?</t>
  </si>
  <si>
    <t>PatrickReza,Notelle</t>
  </si>
  <si>
    <t>la pop,dark pop</t>
  </si>
  <si>
    <t>Falling Down</t>
  </si>
  <si>
    <t>Wild Cards,James Delaney</t>
  </si>
  <si>
    <t>Poppies</t>
  </si>
  <si>
    <t>KNGDAVD</t>
  </si>
  <si>
    <t>Find Me</t>
  </si>
  <si>
    <t>The Wolf</t>
  </si>
  <si>
    <t>SIAMES</t>
  </si>
  <si>
    <t>pop argentino</t>
  </si>
  <si>
    <t>Waves</t>
  </si>
  <si>
    <t>Luna Shadows</t>
  </si>
  <si>
    <t>言って。</t>
  </si>
  <si>
    <t>Yorushika</t>
  </si>
  <si>
    <t>j-pop</t>
  </si>
  <si>
    <t>Ani Kuni - Edit</t>
  </si>
  <si>
    <t>Umbrella (with Marnik)</t>
  </si>
  <si>
    <t>Hard Lights,Moonshine,Marnik,Ember Island</t>
  </si>
  <si>
    <t>slap house,electro house,swedish electropop</t>
  </si>
  <si>
    <t>Ride With Me (feat. Kid Ink)</t>
  </si>
  <si>
    <t>Goosebumps - Remix</t>
  </si>
  <si>
    <t>By Your Side (feat. Tom Grennan)</t>
  </si>
  <si>
    <t>Your Love (9PM)</t>
  </si>
  <si>
    <t>ATB,Topic,A7S</t>
  </si>
  <si>
    <t>german dance,german techno,german trance,trance,dance pop,edm,electro house,pop dance,pop edm,tropical house,scandipop</t>
  </si>
  <si>
    <t>Alan Walker,Imanbek</t>
  </si>
  <si>
    <t>electro house,dance pop,edm,pop dance,slap house,tropical house</t>
  </si>
  <si>
    <t>Cover Me In Sunshine</t>
  </si>
  <si>
    <t>P!nk,Willow Sage Hart</t>
  </si>
  <si>
    <t>dance pop,pop,show tunes</t>
  </si>
  <si>
    <t>Hypnotic</t>
  </si>
  <si>
    <t>Zella Day</t>
  </si>
  <si>
    <t>alt z,electropop,gauze pop,indie poptimism,pop</t>
  </si>
  <si>
    <t>main actor</t>
  </si>
  <si>
    <t>美波</t>
  </si>
  <si>
    <t>anime</t>
  </si>
  <si>
    <t>Blame Myself</t>
  </si>
  <si>
    <t>ILLENIUM,Tori Kelly</t>
  </si>
  <si>
    <t>edm,melodic dubstep,pop,pop dance,tropical house,dance pop</t>
  </si>
  <si>
    <t>Fragments</t>
  </si>
  <si>
    <t>ILLENIUM,Natalie Taylor</t>
  </si>
  <si>
    <t>edm,melodic dubstep,pop,pop dance,tropical house</t>
  </si>
  <si>
    <t>Open Eyes (feat. Bright Lights)</t>
  </si>
  <si>
    <t>Kyle Tree,Bright Lights</t>
  </si>
  <si>
    <t>All I Need</t>
  </si>
  <si>
    <t>Vanze,Balco,Fransis Derelle,Brenton Mattheus</t>
  </si>
  <si>
    <t>Best Thing</t>
  </si>
  <si>
    <t>Louis Vivet,Gavrielle</t>
  </si>
  <si>
    <t>Farewell</t>
  </si>
  <si>
    <t>Unique (feat. Clara Mae)</t>
  </si>
  <si>
    <t>Headhunterz,Conro,Clara Mae</t>
  </si>
  <si>
    <t>classic hardstyle,euphoric hardstyle,melbourne bounce international,rawstyle,canadian electronic,edm,electro house,future bass,gaming edm,pop edm,alt z,electropop,pop,post-teen pop,swedish pop</t>
  </si>
  <si>
    <t>Surfacing</t>
  </si>
  <si>
    <t>Ship Wrek,Akame</t>
  </si>
  <si>
    <t>bass house,deep groove house,electro house</t>
  </si>
  <si>
    <t>LEOWI,Aviella</t>
  </si>
  <si>
    <t>Low - R3HAB Remix</t>
  </si>
  <si>
    <t>Greyson Chance,R3HAB</t>
  </si>
  <si>
    <t>alt z,dance pop,electropop,pop,pop rock,post-teen pop,viral pop,dutch house,edm,electro house,pop dance,progressive electro house,slap house,tropical house</t>
  </si>
  <si>
    <t>With You</t>
  </si>
  <si>
    <t>Griffin Stoller,Molly Moore</t>
  </si>
  <si>
    <t>Deep</t>
  </si>
  <si>
    <t>Cadmium,Jon Becker,Veronica Bravo</t>
  </si>
  <si>
    <t>I Won’t Back Down Now</t>
  </si>
  <si>
    <t>RØGUENETHVN,Joshua Francois,Blair Lee</t>
  </si>
  <si>
    <t>Safety</t>
  </si>
  <si>
    <t>Other,Brandon Banks</t>
  </si>
  <si>
    <t>alternative r&amp;b,chill r&amp;b,indie r&amp;b,la pop,trap soul</t>
  </si>
  <si>
    <t>Higher Road</t>
  </si>
  <si>
    <t>Danrell,Alec King</t>
  </si>
  <si>
    <t>Hold (Candyland Remix)</t>
  </si>
  <si>
    <t>Elephante,Jessica Jarrell,Candyland</t>
  </si>
  <si>
    <t>edm,electropop,future bass,pop dance,pop edm,tropical house,complextro</t>
  </si>
  <si>
    <t>Alone (feat. Anjulie &amp; Jeffrey Jey) - Triangle Remix</t>
  </si>
  <si>
    <t>Marnik,KSHMR,Anjulie,Jeffrey Jey,Triangle</t>
  </si>
  <si>
    <t>electro house,big room,edm,indian edm,pop dance,slap house,tropical house,canadian pop</t>
  </si>
  <si>
    <t>ホロネス</t>
  </si>
  <si>
    <t>ライラック</t>
  </si>
  <si>
    <t>カワキヲアメク</t>
  </si>
  <si>
    <t>Adrenaline</t>
  </si>
  <si>
    <t>VENIICE,Miles Away,Karra</t>
  </si>
  <si>
    <t>future bass,melodic dubstep,pop edm,la pop</t>
  </si>
  <si>
    <t>Junkie</t>
  </si>
  <si>
    <t>Nevve,Kill Paris,Monstre!</t>
  </si>
  <si>
    <t>chillstep,complextro,edm,electro house,filthstep,future bass,gaming edm,melodic dubstep,pop edm,vapor twitch</t>
  </si>
  <si>
    <t>Drifters</t>
  </si>
  <si>
    <t>Evix</t>
  </si>
  <si>
    <t>Sway</t>
  </si>
  <si>
    <t>Syn Cole,Nevve</t>
  </si>
  <si>
    <t>dance pop,deep house,deep tropical house,edm,electro house,house,pop dance,pop edm,progressive electro house,tropical house</t>
  </si>
  <si>
    <t>Superhuman - Culture Code Remix</t>
  </si>
  <si>
    <t>Juventa,Kelly Sweet,Culture Code</t>
  </si>
  <si>
    <t>melodic dubstep,progressive house,progressive uplifting trance,uplifting trance,filthstep,gaming edm,pop edm</t>
  </si>
  <si>
    <t>Good Enough?</t>
  </si>
  <si>
    <t>Grem,Bianca Mae</t>
  </si>
  <si>
    <t>Lost Control (feat. Kédo Rebelle &amp; MEL)</t>
  </si>
  <si>
    <t>DAMSTERAM,JRND,MEL,Kédo Rebelle</t>
  </si>
  <si>
    <t>The Door</t>
  </si>
  <si>
    <t>Axel Boy,Laura Brehm</t>
  </si>
  <si>
    <t>bass house,brostep,dubstep,electro house,chillstep,pop edm</t>
  </si>
  <si>
    <t>Deep End - Trivecta Remix</t>
  </si>
  <si>
    <t>STANDERWICK,HALIENE,Trivecta</t>
  </si>
  <si>
    <t>progressive trance,uplifting trance,chillstep,dubstep,edm,electro house,future bass,gaming edm,melodic dubstep,pop dance,pop edm</t>
  </si>
  <si>
    <t>Sleepless</t>
  </si>
  <si>
    <t>Dzeko,Jonas Hahn,Richard Craker</t>
  </si>
  <si>
    <t>canadian electronic,electro house</t>
  </si>
  <si>
    <t>Heart Of Steel</t>
  </si>
  <si>
    <t>Raiden,Bright Lights</t>
  </si>
  <si>
    <t>korean electronic</t>
  </si>
  <si>
    <t>On Again</t>
  </si>
  <si>
    <t>Start Over</t>
  </si>
  <si>
    <t>ellis,Laura Brehm</t>
  </si>
  <si>
    <t>electro house,gaming edm,pop edm,chillstep</t>
  </si>
  <si>
    <t>みずいろレインドロップ</t>
  </si>
  <si>
    <t>暁Records</t>
  </si>
  <si>
    <t>Heavenly Side</t>
  </si>
  <si>
    <t>ILLENIUM,Matt Maeson</t>
  </si>
  <si>
    <t>edm,melodic dubstep,pop,pop dance,tropical house,modern rock</t>
  </si>
  <si>
    <t>Marching Bands - Vanze Remix</t>
  </si>
  <si>
    <t>Neon Dreams,Kardinal Offishall</t>
  </si>
  <si>
    <t>canadian pop,south african pop,canadian old school hip hop,pop rap,toronto rap</t>
  </si>
  <si>
    <t>Lost In Paradise (Jujutsu Kaisen)</t>
  </si>
  <si>
    <t>Miura Jam</t>
  </si>
  <si>
    <t>otacore</t>
  </si>
  <si>
    <t>don't let me fall</t>
  </si>
  <si>
    <t>Asaa,liam ello,Esydia</t>
  </si>
  <si>
    <t>Crystal Cave</t>
  </si>
  <si>
    <t>Flower Dance Pt.2</t>
  </si>
  <si>
    <t>DJ Okawari,Emily Styler</t>
  </si>
  <si>
    <t>ambeat</t>
  </si>
  <si>
    <t>Bluebird Story feat.Jumelles</t>
  </si>
  <si>
    <t>DJ Okawari,Jumelles</t>
  </si>
  <si>
    <t>Isolate</t>
  </si>
  <si>
    <t>Rootkit,Joe Erickson</t>
  </si>
  <si>
    <t>Brave Shine</t>
  </si>
  <si>
    <t>Aimer</t>
  </si>
  <si>
    <t>anime,anime rock,j-pixie,j-pop,j-poprock</t>
  </si>
  <si>
    <t>Rodeo</t>
  </si>
  <si>
    <t>Sound System</t>
  </si>
  <si>
    <t>James Egbert,Nina Storey</t>
  </si>
  <si>
    <t>complextro,electro house,ectofolk</t>
  </si>
  <si>
    <t>Ukiyo</t>
  </si>
  <si>
    <t>Tyzo Bloom</t>
  </si>
  <si>
    <t>electropop,indie electropop,la pop,vapor soul,vapor twitch</t>
  </si>
  <si>
    <t>Search Party - JayKode Remix</t>
  </si>
  <si>
    <t>Sam Bruno,JayKode</t>
  </si>
  <si>
    <t>MONEY</t>
  </si>
  <si>
    <t>ISAAC LEE</t>
  </si>
  <si>
    <t>Harmony - VAGO Remix</t>
  </si>
  <si>
    <t>CloZee,VAGO</t>
  </si>
  <si>
    <t>downtempo bass,electra,vapor twitch</t>
  </si>
  <si>
    <t>Hum</t>
  </si>
  <si>
    <t>Diamond Eyes</t>
  </si>
  <si>
    <t>Apollo Rising,Tazor,Talia Aoude</t>
  </si>
  <si>
    <t>Location - N2N &amp; Vasta Remix</t>
  </si>
  <si>
    <t>AXSHN,N2N,Vasta</t>
  </si>
  <si>
    <t>Fly Away</t>
  </si>
  <si>
    <t>Elle Vee,Nurko</t>
  </si>
  <si>
    <t>Bleed It Out (feat. Nea)</t>
  </si>
  <si>
    <t>Kasbo,Nea</t>
  </si>
  <si>
    <t>edm,electropop,future bass,indie poptimism,pop dance,pop edm,swedish electropop,tropical house,vapor soul,vapor twitch,scandipop</t>
  </si>
  <si>
    <t>Anything You Want</t>
  </si>
  <si>
    <t>MOONZz,HYDDE</t>
  </si>
  <si>
    <t>Where I'm Going</t>
  </si>
  <si>
    <t>Miles Away,Ronak</t>
  </si>
  <si>
    <t>Lying to Me (Not Your Dope Remix)</t>
  </si>
  <si>
    <t>Josh Dreon,Not Your Dope</t>
  </si>
  <si>
    <t>Is There Still Anything That Love Can Do?</t>
  </si>
  <si>
    <t>RADWIMPS</t>
  </si>
  <si>
    <t>j-pop,j-rock,japanese emo,visual kei</t>
  </si>
  <si>
    <t>Grand Escape (Movie Edit) [feat. Toko Miura]</t>
  </si>
  <si>
    <t>RADWIMPS,Toko Miura</t>
  </si>
  <si>
    <t>Saved by the Summer - Nebbra Remix</t>
  </si>
  <si>
    <t>GoodLuck,Nebbra</t>
  </si>
  <si>
    <t>cape town indie,south african pop,south african pop dance,new french touch</t>
  </si>
  <si>
    <t>If I Lose Myself</t>
  </si>
  <si>
    <t>If I Lose Myself - Alesso vs OneRepublic</t>
  </si>
  <si>
    <t>OneRepublic,Alesso</t>
  </si>
  <si>
    <t>dance pop,piano rock,pop,pop rock,edm,electro house,pop dance,tropical house</t>
  </si>
  <si>
    <t>You Can Get It</t>
  </si>
  <si>
    <t>Arkells,K.Flay</t>
  </si>
  <si>
    <t>canadian indie,canadian rock,hamilton on indie,electropop,escape room,hip pop,modern rock,pop,rock</t>
  </si>
  <si>
    <t>unravel</t>
  </si>
  <si>
    <t>TK from Ling tosite sigure</t>
  </si>
  <si>
    <t>anime,j-poprock,j-rock</t>
  </si>
  <si>
    <t>Sparkle - Original Version</t>
  </si>
  <si>
    <t>Work</t>
  </si>
  <si>
    <t>Rihanna,Drake</t>
  </si>
  <si>
    <t>barbadian pop,dance pop,pop,urban contemporary,canadian hip hop,canadian pop,hip hop,rap,toronto rap</t>
  </si>
  <si>
    <t>Cold Green Eyes - Original Mix</t>
  </si>
  <si>
    <t>Station Earth,Roos Denayer</t>
  </si>
  <si>
    <t>Lone Black</t>
  </si>
  <si>
    <t>Sinners</t>
  </si>
  <si>
    <t>Tommy Trash,Daisy Guttridge</t>
  </si>
  <si>
    <t>aussietronica,australian dance,edm,electro house,progressive electro house</t>
  </si>
  <si>
    <t>Watashi No Uso (Your Lie in April Original Soundtrack)</t>
  </si>
  <si>
    <t>Uso to Honto</t>
  </si>
  <si>
    <t>Nandemonaiya - movie ver.</t>
  </si>
  <si>
    <t>Circles</t>
  </si>
  <si>
    <t>Veela,Tevlo</t>
  </si>
  <si>
    <t>By Your Side</t>
  </si>
  <si>
    <t>MAGNUS,Aviella</t>
  </si>
  <si>
    <t>Blinded (feat. James Delaney)</t>
  </si>
  <si>
    <t>The Way Out</t>
  </si>
  <si>
    <t>CUTTS</t>
  </si>
  <si>
    <t>This Time</t>
  </si>
  <si>
    <t>Murtagh,Noctilucent</t>
  </si>
  <si>
    <t>Fall for You</t>
  </si>
  <si>
    <t>Felix Palmqvist,Loé</t>
  </si>
  <si>
    <t>Bring Me Down (feat. Addie Nicole)</t>
  </si>
  <si>
    <t>BEAUZ,GhostDragon,Addie Nicole</t>
  </si>
  <si>
    <t>pop dance,pop edm,melodic dubstep</t>
  </si>
  <si>
    <t>Turn to Dust</t>
  </si>
  <si>
    <t>Toy Box,GABBY BÜKO</t>
  </si>
  <si>
    <t>future bass,melodic dubstep,vapor twitch</t>
  </si>
  <si>
    <t>Without You (feat. Delaney Kai)</t>
  </si>
  <si>
    <t>Eminence,Kyoto Black,Delaney Kai</t>
  </si>
  <si>
    <t>Night Caller</t>
  </si>
  <si>
    <t>Project Nightfall,Abandoned,InfiNoise</t>
  </si>
  <si>
    <t>gaming edm,melodic dubstep,progressive trance</t>
  </si>
  <si>
    <t>Decoy World - VIP</t>
  </si>
  <si>
    <t>Feki,Polarheart</t>
  </si>
  <si>
    <t>indie electropop,indie poptimism,vapor soul</t>
  </si>
  <si>
    <t>Sparkle - movie ver.</t>
  </si>
  <si>
    <t>Grand Escape (feat. Toko Miura)</t>
  </si>
  <si>
    <t>Wild And Broken (feat. RBBTS)</t>
  </si>
  <si>
    <t>Seven Lions,Trivecta,Blanke,RBBTS</t>
  </si>
  <si>
    <t>dubstep,edm,electro house,future bass,melodic dubstep,pop dance,pop edm,progressive trance,chillstep,gaming edm</t>
  </si>
  <si>
    <t>Pick Your Battles - VIP Mix</t>
  </si>
  <si>
    <t>Petit Biscuit,Diplo</t>
  </si>
  <si>
    <t>tropical house,edm,electro house,house,moombahton,ninja,pop,pop dance</t>
  </si>
  <si>
    <t>Speak of the Devil (feat. The Score)</t>
  </si>
  <si>
    <t>Magic Whatever,The Score</t>
  </si>
  <si>
    <t>Shadows (feat. Zoe A'dore)</t>
  </si>
  <si>
    <t>Camikaze,Zoe A'dore</t>
  </si>
  <si>
    <t>australian alternative pop</t>
  </si>
  <si>
    <t>Paralyzed (feat. Jeffrey James)</t>
  </si>
  <si>
    <t>Arcando,Jeffrey James</t>
  </si>
  <si>
    <t>Virtual Paradise</t>
  </si>
  <si>
    <t>AK,Lynx,Veela</t>
  </si>
  <si>
    <t>Adara</t>
  </si>
  <si>
    <t>Take It Easy - Matstubs Remix</t>
  </si>
  <si>
    <t>Jetta,Matstubs</t>
  </si>
  <si>
    <t>metropopolis,bass trap,traprun</t>
  </si>
  <si>
    <t>The Girl - Mr FijiWiji Remix</t>
  </si>
  <si>
    <t>Hellberg,Cozi Zuehlsdorff,Mr FijiWiji</t>
  </si>
  <si>
    <t>chillstep,complextro,edm,electro house,gaming edm,melodic dubstep,pop edm,future bass</t>
  </si>
  <si>
    <t>City Lights</t>
  </si>
  <si>
    <t>PALASTIC,Nevve</t>
  </si>
  <si>
    <t>austrian pop</t>
  </si>
  <si>
    <t>When I'm Gone</t>
  </si>
  <si>
    <t>Speaker Of The House,Melody Noel</t>
  </si>
  <si>
    <t>For the Moment (feat. Fletcher Mills)</t>
  </si>
  <si>
    <t>WE ARE FURY,Fletcher Mills</t>
  </si>
  <si>
    <t>bass trap,future bass,melodic dubstep,pop edm,traprun,german r&amp;b</t>
  </si>
  <si>
    <t>All Night (feat. Trevor Jackson)</t>
  </si>
  <si>
    <t>Codeko,Trevor Jackson</t>
  </si>
  <si>
    <t>gaming edm,pop edm,alternative r&amp;b,indie r&amp;b,pop r&amp;b,r&amp;b</t>
  </si>
  <si>
    <t>Conscious</t>
  </si>
  <si>
    <t>Leon Lour</t>
  </si>
  <si>
    <t>Throwing Gold (tofû remix)</t>
  </si>
  <si>
    <t>tofû</t>
  </si>
  <si>
    <t>Go! Go! Maniac (From K-On!!)</t>
  </si>
  <si>
    <t>Ho - Kago Tea Time</t>
  </si>
  <si>
    <t>anime,anime rock,seinen</t>
  </si>
  <si>
    <t>Utauyo!! Miracle (From K-On!!)</t>
  </si>
  <si>
    <t>Cagayake! Girls (From K-On!)</t>
  </si>
  <si>
    <t>Sakurakou K-ON Bu</t>
  </si>
  <si>
    <t>anime,j-pixie,seinen</t>
  </si>
  <si>
    <t>Solstis,Simona Shao</t>
  </si>
  <si>
    <t>Explorers</t>
  </si>
  <si>
    <t>Hey Baby (Drop It to the Floor) (feat. T-Pain)</t>
  </si>
  <si>
    <t>Pitbull,T-Pain</t>
  </si>
  <si>
    <t>dance pop,latin,miami hip hop,pop,pop rap,hip hop,r&amp;b,rap,southern hip hop,urban contemporary</t>
  </si>
  <si>
    <t>Sweat (Snoop Dogg Vs. David Guetta)</t>
  </si>
  <si>
    <t>Snoop Dogg,David Guetta</t>
  </si>
  <si>
    <t>g funk,gangster rap,hip hop,rap,west coast rap,big room,dance pop,edm,pop,pop dance,pop rap</t>
  </si>
  <si>
    <t>The Sweet Escape</t>
  </si>
  <si>
    <t>Gwen Stefani,Akon</t>
  </si>
  <si>
    <t>dance pop,hip pop,pop,post-teen pop,urban contemporary</t>
  </si>
  <si>
    <t>Lost in the Moment</t>
  </si>
  <si>
    <t>RUBIKA,Kat Adamou</t>
  </si>
  <si>
    <t>Fuwa Fuwa Time</t>
  </si>
  <si>
    <t>Answers</t>
  </si>
  <si>
    <t>Astrale,Jessica Endara</t>
  </si>
  <si>
    <t>Rain (feat. Brenton Mattheus)</t>
  </si>
  <si>
    <t>Mendum,Brenton Mattheus</t>
  </si>
  <si>
    <t>Plastic</t>
  </si>
  <si>
    <t>StayLoose,MADI,Pink Slip</t>
  </si>
  <si>
    <t>As I Am</t>
  </si>
  <si>
    <t>Zaitex</t>
  </si>
  <si>
    <t>Our Weapons (feat. Q'AILA) [Ben Walter Remix]</t>
  </si>
  <si>
    <t>DM Galaxy,Q'Aila,Ben Walter</t>
  </si>
  <si>
    <t>HYLO,Akacia</t>
  </si>
  <si>
    <t>Don't Say Lazy (From K-On!)</t>
  </si>
  <si>
    <t>Gotta Leave</t>
  </si>
  <si>
    <t>Herrin,tofû,JORDY</t>
  </si>
  <si>
    <t>pop edm,alt z,electropop,gen z singer-songwriter</t>
  </si>
  <si>
    <t>Never Coming Down (Virtu Remix) [feat. Lostboycrow]</t>
  </si>
  <si>
    <t>Midoca,Virtu,Lostboycrow</t>
  </si>
  <si>
    <t>complextro,alt z,electropop,indie electropop,indie poptimism,indietronica</t>
  </si>
  <si>
    <t>Ego</t>
  </si>
  <si>
    <t>Syence,Gazzo</t>
  </si>
  <si>
    <t>Cold Clockwork feat. Duchess</t>
  </si>
  <si>
    <t>Camikaze,Duchess</t>
  </si>
  <si>
    <t>Love Is a Bitch</t>
  </si>
  <si>
    <t>High Enough</t>
  </si>
  <si>
    <t>Justin Caruso,Rosie Darling</t>
  </si>
  <si>
    <t>electropop,pop dance,pop edm,alt z</t>
  </si>
  <si>
    <t>You (Itro Remix)</t>
  </si>
  <si>
    <t>Alex Ferro,Itro</t>
  </si>
  <si>
    <t>James Mercy,Keaton Vegades</t>
  </si>
  <si>
    <t>High Enough - Lenny Remix</t>
  </si>
  <si>
    <t>Justin Caruso,Rosie Darling,Lenny Official</t>
  </si>
  <si>
    <t>Payphone</t>
  </si>
  <si>
    <t>Maroon 5,Wiz Khalifa</t>
  </si>
  <si>
    <t>pop,dance pop,hip hop,pittsburgh rap,pop rap,rap,southern hip hop,trap</t>
  </si>
  <si>
    <t>Sugar</t>
  </si>
  <si>
    <t>Maps</t>
  </si>
  <si>
    <t>LIHO</t>
  </si>
  <si>
    <t>Super 8</t>
  </si>
  <si>
    <t>XIE</t>
  </si>
  <si>
    <t>Sinners - Blanke Remix</t>
  </si>
  <si>
    <t>Tommy Trash,Daisy Guttridge,Blanke</t>
  </si>
  <si>
    <t>aussietronica,australian dance,edm,electro house,progressive electro house,dubstep,future bass,melodic dubstep</t>
  </si>
  <si>
    <t>Easy Go - Pham Remix</t>
  </si>
  <si>
    <t>Grandtheft,Delaney Jane,Pham</t>
  </si>
  <si>
    <t>bass trap,electronic trap,alt z,canadian electropop</t>
  </si>
  <si>
    <t>Riot Call (feat. Nevve)</t>
  </si>
  <si>
    <t>QUIX,Nevve</t>
  </si>
  <si>
    <t>bass trap,dubstep,electro house,electronic trap,vapor twitch</t>
  </si>
  <si>
    <t>Dirty Secrets - Price &amp; Takis Remix</t>
  </si>
  <si>
    <t>NEW CITY,Price &amp; Takis</t>
  </si>
  <si>
    <t>canadian electropop,canadian electronic</t>
  </si>
  <si>
    <t>Fractions - Noble Remix</t>
  </si>
  <si>
    <t>Youth - K?d Remix</t>
  </si>
  <si>
    <t>Manila Killa,SATICA,k?d</t>
  </si>
  <si>
    <t>electropop,future bass,indie electropop,melodic dubstep,pop edm,vapor soul,vapor twitch,electro house</t>
  </si>
  <si>
    <t>The Wolf (Savoy Live Version)</t>
  </si>
  <si>
    <t>Savoy,Bright Lights</t>
  </si>
  <si>
    <t>complextro,electro house,future bass,gaming edm,melodic dubstep</t>
  </si>
  <si>
    <t>Gemini</t>
  </si>
  <si>
    <t>Xan Griffin,WILD</t>
  </si>
  <si>
    <t>Living in a Dream</t>
  </si>
  <si>
    <t>Quinn Karter,Natalie Major</t>
  </si>
  <si>
    <t>VINAI,Ray Dalton</t>
  </si>
  <si>
    <t>Weekends</t>
  </si>
  <si>
    <t>Ookay</t>
  </si>
  <si>
    <t>dubstep,edm,electronic trap,future bass,pop edm,vapor twitch</t>
  </si>
  <si>
    <t>Nevolimte</t>
  </si>
  <si>
    <t>Salva,Vanic</t>
  </si>
  <si>
    <t>glitch hop,purple sound</t>
  </si>
  <si>
    <t>Head In The Clouds (feat. Nevve)</t>
  </si>
  <si>
    <t>Bear Grillz,Nevve</t>
  </si>
  <si>
    <t>brostep,dubstep,edm,electro house,electronic trap,gaming dubstep,melodic dubstep</t>
  </si>
  <si>
    <t>On My Way</t>
  </si>
  <si>
    <t>Jerry Folk,FENGSEL,Bearson</t>
  </si>
  <si>
    <t>future bass,vapor soul,vapor twitch,norwegian pop</t>
  </si>
  <si>
    <t>Too Bizarre (with Swae Lee &amp; Siiickbrain)</t>
  </si>
  <si>
    <t>Living in a Dream (feat. Natalie Major) [Just A Gent &amp; Luceo Remix]</t>
  </si>
  <si>
    <t>Quinn Karter,Just A Gent,Luceo,Natalie Major</t>
  </si>
  <si>
    <t>aussietronica,bass trap,edm,electro house,electronic trap,electropop,future bass,melodic dubstep,vapor twitch,indie electropop</t>
  </si>
  <si>
    <t>Feelings</t>
  </si>
  <si>
    <t>SHY Martin</t>
  </si>
  <si>
    <t>alt z,electropop,pop,swedish electropop</t>
  </si>
  <si>
    <t>Deep Nights</t>
  </si>
  <si>
    <t>Lies</t>
  </si>
  <si>
    <t>oath sign</t>
  </si>
  <si>
    <t>Her - Xavi Remix</t>
  </si>
  <si>
    <t>VALENTINE,Xavi</t>
  </si>
  <si>
    <t>Adam Turley</t>
  </si>
  <si>
    <t>Sweet Amnesia</t>
  </si>
  <si>
    <t>KoKo ,Emeryld</t>
  </si>
  <si>
    <t>Devil In Disguise (ft. Syon &amp; Yung Fusion)</t>
  </si>
  <si>
    <t>Marc Benjamin,JPB,Syon,Yung Fusion</t>
  </si>
  <si>
    <t>big room,dance pop,deep house,dutch edm,edm,electro house,pop dance,pop edm,slap house,tropical house,gaming edm</t>
  </si>
  <si>
    <t>Lost Control (feat. Bianca)</t>
  </si>
  <si>
    <t>Tyron Hapi,Bianca</t>
  </si>
  <si>
    <t>pop edm,sky room,tropical house</t>
  </si>
  <si>
    <t>Serious - TWO LANES Remix</t>
  </si>
  <si>
    <t>Midnight Kids,Matthew Koma,TWO LANES</t>
  </si>
  <si>
    <t>edm,electropop,pop dance,pop edm,tropical house,uk dance</t>
  </si>
  <si>
    <t>Fire In The Dark ft. LØ</t>
  </si>
  <si>
    <t>Barely Royal</t>
  </si>
  <si>
    <t>Emperor (feat. Rosendale)</t>
  </si>
  <si>
    <t>PL4YFIELDS,CryJaxx,Anxious,Rosendale</t>
  </si>
  <si>
    <t>Illuminate</t>
  </si>
  <si>
    <t>Duumu,Slyleaf</t>
  </si>
  <si>
    <t>edm,electro house,future bass,gaming edm,melodic dubstep,pop edm</t>
  </si>
  <si>
    <t>Just Like Gold - Blaikz &amp; BlackBonez Radio Edit</t>
  </si>
  <si>
    <t>Fytch,Naika,Blaikz,BlackBonez</t>
  </si>
  <si>
    <t>Try (feat. RØRY)</t>
  </si>
  <si>
    <t>MitiS,RØRY</t>
  </si>
  <si>
    <t>Something Better</t>
  </si>
  <si>
    <t>Audien,Lady A</t>
  </si>
  <si>
    <t>edm,electro house,electropop,pop dance,pop edm,progressive electro house,progressive house,tropical house,contemporary country,country,country dawn,country pop,country road,neo mellow</t>
  </si>
  <si>
    <t>Audien,Ruby Prophet</t>
  </si>
  <si>
    <t>edm,electro house,electropop,pop dance,pop edm,progressive electro house,progressive house,tropical house,dutch pop</t>
  </si>
  <si>
    <t>IGNITE</t>
  </si>
  <si>
    <t>Eir Aoi</t>
  </si>
  <si>
    <t>ADAMAS</t>
  </si>
  <si>
    <t>crossing field</t>
  </si>
  <si>
    <t>Greenlights</t>
  </si>
  <si>
    <t>Love Outta Me</t>
  </si>
  <si>
    <t>TH2C</t>
  </si>
  <si>
    <t>Enjoy the Ride</t>
  </si>
  <si>
    <t>Come &amp; Get It</t>
  </si>
  <si>
    <t>We Go Down</t>
  </si>
  <si>
    <t>Daybreak - Edit</t>
  </si>
  <si>
    <t>OVERWERK</t>
  </si>
  <si>
    <t>canadian electronic,complextro,edm,electro house</t>
  </si>
  <si>
    <t>Control (feat. Nick Nikon)</t>
  </si>
  <si>
    <t>OVERWERK,Nick Nikon</t>
  </si>
  <si>
    <t>Toccata</t>
  </si>
  <si>
    <t>Canon</t>
  </si>
  <si>
    <t>Tove Styrke</t>
  </si>
  <si>
    <t>electropop,swedish electropop,swedish pop,swedish synthpop</t>
  </si>
  <si>
    <t>Live Your Life</t>
  </si>
  <si>
    <t>T.I.,Rihanna</t>
  </si>
  <si>
    <t>atl hip hop,dance pop,dirty south rap,gangster rap,hip hop,pop rap,rap,southern hip hop,trap,barbadian pop,pop,urban contemporary</t>
  </si>
  <si>
    <t>Sideways</t>
  </si>
  <si>
    <t>ILLENIUM,Valerie Broussard,Nurko</t>
  </si>
  <si>
    <t>edm,melodic dubstep,pop,pop dance,tropical house,alt z,bossbeat,modern alternative pop,future bass,pop edm</t>
  </si>
  <si>
    <t>Blue Skies - Anevo Remix</t>
  </si>
  <si>
    <t>SIIGHTS,Anevo</t>
  </si>
  <si>
    <t>irish pop,deep uplifting trance,future bass,gaming edm,pop edm</t>
  </si>
  <si>
    <t>Blue Skies - Revoke Remix</t>
  </si>
  <si>
    <t>Lenka,REVOKE</t>
  </si>
  <si>
    <t>Grind Me Down</t>
  </si>
  <si>
    <t>Lilianna Wilde</t>
  </si>
  <si>
    <t>Light It Up</t>
  </si>
  <si>
    <t>Fareoh,Drama B</t>
  </si>
  <si>
    <t>gaming edm,progressive electro house,deep underground hip hop</t>
  </si>
  <si>
    <t>Fight for You</t>
  </si>
  <si>
    <t>Fareoh</t>
  </si>
  <si>
    <t>gaming edm,progressive electro house</t>
  </si>
  <si>
    <t>I Don't Wanna Be Alone</t>
  </si>
  <si>
    <t>James Meyers</t>
  </si>
  <si>
    <t>Lucid Dreaming</t>
  </si>
  <si>
    <t>Nick Gunner,DNAKM</t>
  </si>
  <si>
    <t>Ivan Reys,Stinie Whizz</t>
  </si>
  <si>
    <t>Tre Sera,Matthew Grant</t>
  </si>
  <si>
    <t>Rollin with the Flow</t>
  </si>
  <si>
    <t>Geek Boy,Abi F Jones</t>
  </si>
  <si>
    <t>Breathe - Last Heroes &amp; Crystal Skies Remix</t>
  </si>
  <si>
    <t>Last Heroes,Laura Brehm,Crystal Skies</t>
  </si>
  <si>
    <t>future bass,melodic dubstep,pop edm,chillstep,edm,pop dance</t>
  </si>
  <si>
    <t>Famous</t>
  </si>
  <si>
    <t>Fareoh,Lilianna Wilde</t>
  </si>
  <si>
    <t>gaming edm,progressive electro house,indie electropop</t>
  </si>
  <si>
    <t>OVRBRD - Zookëper Remix</t>
  </si>
  <si>
    <t>HARIZ</t>
  </si>
  <si>
    <t>Tuen,Anki</t>
  </si>
  <si>
    <t>Lies - Cloudsz Remix</t>
  </si>
  <si>
    <t>Sleeplust,Cloudsz</t>
  </si>
  <si>
    <t>charlotte nc indie,future bass,vapor twitch</t>
  </si>
  <si>
    <t>Breathe Me (Levi Niha Remix)</t>
  </si>
  <si>
    <t>Sean Mackey,Levi Niha</t>
  </si>
  <si>
    <t>Right Here - Arc North &amp; Synchron Remix</t>
  </si>
  <si>
    <t>Keys N Krates,KRANE,Arc North,Synchron</t>
  </si>
  <si>
    <t>bass trap,edm,electro house,electronic trap,livetronica,vapor twitch,future bass,pop edm,traprun,gaming edm,slap house</t>
  </si>
  <si>
    <t>Living Out Loud (feat. KARRA)</t>
  </si>
  <si>
    <t>JayKode,Karra</t>
  </si>
  <si>
    <t>bass trap,electronic trap,la pop</t>
  </si>
  <si>
    <t>Levitate (Tofû Remix)</t>
  </si>
  <si>
    <t>Nola Wren,tofû</t>
  </si>
  <si>
    <t>indie electropop,indie poptimism</t>
  </si>
  <si>
    <t>Love Back On</t>
  </si>
  <si>
    <t>Summer Was Fun,Emelie Cyréus</t>
  </si>
  <si>
    <t>electro house,gaming edm,pop edm</t>
  </si>
  <si>
    <t>Uncover You</t>
  </si>
  <si>
    <t>Fairlane,Ilsey</t>
  </si>
  <si>
    <t>Soundwave - Radio Edit</t>
  </si>
  <si>
    <t>R3HAB,Trevor Guthrie</t>
  </si>
  <si>
    <t>dance pop,dutch house,edm,electro house,pop,pop dance,progressive electro house,slap house,tropical house,canadian pop</t>
  </si>
  <si>
    <t>Sincerely</t>
  </si>
  <si>
    <t>Stephen</t>
  </si>
  <si>
    <t>indie poptimism,la pop</t>
  </si>
  <si>
    <t>Remembering Myself</t>
  </si>
  <si>
    <t>Blood (with Foy Vance)</t>
  </si>
  <si>
    <t>ILLENIUM,Foy Vance</t>
  </si>
  <si>
    <t>edm,melodic dubstep,pop,pop dance,tropical house,acoustic pop,british singer-songwriter,indie folk,irish singer-songwriter,neo mellow,new americana,stomp and holler,uk americana</t>
  </si>
  <si>
    <t>Til the Sun Rise Up (feat. Akon)</t>
  </si>
  <si>
    <t>Bob Sinclar,Akon</t>
  </si>
  <si>
    <t>Symphony</t>
  </si>
  <si>
    <t>Sick Individuals,Nevve</t>
  </si>
  <si>
    <t>big room,dutch house,edm,electro house,pop dance,pop edm,progressive electro house,progressive house,tropical house</t>
  </si>
  <si>
    <t>Omen In The Rain - Seven Lions Remix</t>
  </si>
  <si>
    <t>Myon,Alissa Feudo,Seven Lions</t>
  </si>
  <si>
    <t>edm,progressive house,progressive trance,trance,uplifting trance,dubstep,electro house,future bass,melodic dubstep,pop dance,pop edm</t>
  </si>
  <si>
    <t>Together We're Screwed</t>
  </si>
  <si>
    <t>Robotaki,Nevve</t>
  </si>
  <si>
    <t>Bigger Than Me</t>
  </si>
  <si>
    <t>Tasha Baxter,Au5</t>
  </si>
  <si>
    <t>chillstep,complextro,dubstep,edm,electro house,future bass,gaming edm,melodic dubstep,pop edm</t>
  </si>
  <si>
    <t>Saying Yes (Remix)</t>
  </si>
  <si>
    <t>Trias,Hopex,Calli Boom</t>
  </si>
  <si>
    <t>Fall Hard</t>
  </si>
  <si>
    <t>BRUER</t>
  </si>
  <si>
    <t>Endless</t>
  </si>
  <si>
    <t>Slow Hours</t>
  </si>
  <si>
    <t>Stay Strong - Original Mix</t>
  </si>
  <si>
    <t>Venemy,BH</t>
  </si>
  <si>
    <t>Walkin' After Midnight (Remix)</t>
  </si>
  <si>
    <t>Ki:Theory,Wildfire</t>
  </si>
  <si>
    <t>Breathe</t>
  </si>
  <si>
    <t>inverness,William Bolton</t>
  </si>
  <si>
    <t>Before U I Didn't Exist</t>
  </si>
  <si>
    <t>What Am I Doing Wrong?</t>
  </si>
  <si>
    <t>Clasio,Rosenfeld</t>
  </si>
  <si>
    <t>Don't You Know</t>
  </si>
  <si>
    <t>Jagsy,Rosendale,Sachi</t>
  </si>
  <si>
    <t>Fire - Price &amp; Takis Remix</t>
  </si>
  <si>
    <t>3LAU,Said The Sky,Price &amp; Takis</t>
  </si>
  <si>
    <t>edm,electro house,electronic trap,electropop,mashup,pop dance,pop edm,progressive electro house,progressive house,tropical house,future bass,melodic dubstep,canadian electronic</t>
  </si>
  <si>
    <t>River Flows in You</t>
  </si>
  <si>
    <t>Yiruma</t>
  </si>
  <si>
    <t>korean instrumental,neo-classical,new age piano</t>
  </si>
  <si>
    <t>The Golden Age</t>
  </si>
  <si>
    <t>I Love You</t>
  </si>
  <si>
    <t>Iron</t>
  </si>
  <si>
    <t>Run Boy Run</t>
  </si>
  <si>
    <t>L'amour toujours - Radio Edit</t>
  </si>
  <si>
    <t>Dzeko &amp; Torres,Delaney Jane</t>
  </si>
  <si>
    <t>edm,electro house,progressive electro house,alt z,canadian electropop</t>
  </si>
  <si>
    <t>Echo</t>
  </si>
  <si>
    <t>Pep &amp; Rash,POLINA</t>
  </si>
  <si>
    <t>dutch edm,electro house,future house,house</t>
  </si>
  <si>
    <t>After Dark</t>
  </si>
  <si>
    <t>Mr.Kitty</t>
  </si>
  <si>
    <t>weirdcore</t>
  </si>
  <si>
    <t>Sad Story (Out Of Luck)</t>
  </si>
  <si>
    <t>Merk &amp; Kremont,Ady Suleiman</t>
  </si>
  <si>
    <t>electro house,indie soul,uk contemporary r&amp;b</t>
  </si>
  <si>
    <t>One On One</t>
  </si>
  <si>
    <t>Tujamo,Sorana</t>
  </si>
  <si>
    <t>dance pop,edm,electro house,pop dance,progressive electro house,tropical house,romanian pop</t>
  </si>
  <si>
    <t>Words</t>
  </si>
  <si>
    <t>Feint,Laura Brehm</t>
  </si>
  <si>
    <t>chillstep,dancefloor dnb,edm,gaming edm,melodic dubstep,pop edm</t>
  </si>
  <si>
    <t>Matter (BLU J)</t>
  </si>
  <si>
    <t>BLU J,Shallows</t>
  </si>
  <si>
    <t>future house,indie electropop</t>
  </si>
  <si>
    <t>Matches - Subtact Remix</t>
  </si>
  <si>
    <t>Ephixa,Stephen Walking,Aaron Richards,Subtact</t>
  </si>
  <si>
    <t>canadian electronic,chillstep,complextro,edm,electro house,future bass,gaming edm,melodic dubstep,pop edm</t>
  </si>
  <si>
    <t>Junkie - DNMO Remix</t>
  </si>
  <si>
    <t>Kill Paris,Nevve,Monstre!,DNMO</t>
  </si>
  <si>
    <t>chillstep,complextro,edm,electro house,filthstep,future bass,gaming edm,melodic dubstep,pop edm,vapor twitch,uk dance</t>
  </si>
  <si>
    <t>Pretty Stranger (VIP)</t>
  </si>
  <si>
    <t>No Sleep</t>
  </si>
  <si>
    <t>Replay</t>
  </si>
  <si>
    <t>Trinix,Moze</t>
  </si>
  <si>
    <t>Crossfire, Part II (feat. Talib Kweli &amp; KillaGraham)</t>
  </si>
  <si>
    <t>Stephen,Talib Kweli,KillaGraham</t>
  </si>
  <si>
    <t>indie poptimism,la pop,alternative hip hop,conscious hip hop,east coast hip hop,hardcore hip hop,hip hop,southern hip hop</t>
  </si>
  <si>
    <t>Sub Urban</t>
  </si>
  <si>
    <t>modern indie pop</t>
  </si>
  <si>
    <t>Resistance</t>
  </si>
  <si>
    <t>Muse</t>
  </si>
  <si>
    <t>modern rock,permanent wave,rock</t>
  </si>
  <si>
    <t>Je t’aime de ouf</t>
  </si>
  <si>
    <t>Wejdene</t>
  </si>
  <si>
    <t>Pursuit Of Happiness - Extended Steve Aoki Remix</t>
  </si>
  <si>
    <t>hip hop,ohio hip hop,rap,alternative dance,indietronica,modern rock,rock,new rave,dance pop,edm,electro house,pop dance,pop rap,tropical house</t>
  </si>
  <si>
    <t>Pursuit Of Happiness (Nightmare)</t>
  </si>
  <si>
    <t>Kid Cudi,MGMT,Ratatat</t>
  </si>
  <si>
    <t>hip hop,ohio hip hop,rap,alternative dance,indietronica,modern rock,rock,new rave</t>
  </si>
  <si>
    <t>Uprising</t>
  </si>
  <si>
    <t>Seen</t>
  </si>
  <si>
    <t>Anikdote,The FifthGuys,Veronica Bravo</t>
  </si>
  <si>
    <t>If We Were Alone</t>
  </si>
  <si>
    <t>Kap Slap</t>
  </si>
  <si>
    <t>Worth Fighting For (Otero Remix)</t>
  </si>
  <si>
    <t>Rico &amp; Miella,TELYKast,Otero</t>
  </si>
  <si>
    <t>My Head &amp; My Heart</t>
  </si>
  <si>
    <t>Wish You Were Mine - Radio Edit</t>
  </si>
  <si>
    <t>Philip George</t>
  </si>
  <si>
    <t>deep groove house,house,pop dance,tropical house,uk dance</t>
  </si>
  <si>
    <t>Magenta Riddim</t>
  </si>
  <si>
    <t>In the Trees</t>
  </si>
  <si>
    <t>Stalgia</t>
  </si>
  <si>
    <t>When to Love You (feat. Chelsea Cutler)</t>
  </si>
  <si>
    <t>Andrew Luce,Chelsea Cutler</t>
  </si>
  <si>
    <t>Day 'N' Nite (Nightmare)</t>
  </si>
  <si>
    <t>Kid Cudi</t>
  </si>
  <si>
    <t>hip hop,ohio hip hop,rap</t>
  </si>
  <si>
    <t>Disarm You (feat. Ilsey) - Grey Remix</t>
  </si>
  <si>
    <t>Kaskade,Ilsey,Grey</t>
  </si>
  <si>
    <t>edm,electro house,house,pop dance,progressive house,tropical house,vocal house</t>
  </si>
  <si>
    <t>We Can Get High (with Yellow Claw)</t>
  </si>
  <si>
    <t>Galantis,Yellow Claw</t>
  </si>
  <si>
    <t>dance pop,edm,electro house,pop,pop dance,tropical house,bass trap,electronic trap</t>
  </si>
  <si>
    <t>DJ Turn It Up</t>
  </si>
  <si>
    <t>Yellow Claw</t>
  </si>
  <si>
    <t>bass trap,edm,electro house,electronic trap,pop dance</t>
  </si>
  <si>
    <t>Hotel Room Service</t>
  </si>
  <si>
    <t>Pitbull</t>
  </si>
  <si>
    <t>dance pop,latin,miami hip hop,pop,pop rap</t>
  </si>
  <si>
    <t>Watch Me</t>
  </si>
  <si>
    <t>Zookëper</t>
  </si>
  <si>
    <t>electro house,pop edm</t>
  </si>
  <si>
    <t>Ain't You</t>
  </si>
  <si>
    <t>Aexcit</t>
  </si>
  <si>
    <t>deep tropical house,german dance,pop edm</t>
  </si>
  <si>
    <t>Stay (feat. Njomza &amp; Bipolar Sunshine)</t>
  </si>
  <si>
    <t>Devault,Njomza,Bipolar Sunshine</t>
  </si>
  <si>
    <t>future bass,vapor twitch,gauze pop</t>
  </si>
  <si>
    <t>Take a Walk - Cashew Kid Remix</t>
  </si>
  <si>
    <t>James Droll,TRØVES,Cashew Kid</t>
  </si>
  <si>
    <t>Pillow</t>
  </si>
  <si>
    <t>Blonde Maze,Half an Orange</t>
  </si>
  <si>
    <t>indie electropop,vapor soul,gaming edm</t>
  </si>
  <si>
    <t>In the Dark</t>
  </si>
  <si>
    <t>Close 2 U (feat. Harvie) (feat. Harvie) - Leon Lour Remix</t>
  </si>
  <si>
    <t>EMBRZ,Harvie,Leon Lour</t>
  </si>
  <si>
    <t>tropical house,vapor soul,pop edm</t>
  </si>
  <si>
    <t>Stranger (feat. Elliphant) - Faux Tales Remix</t>
  </si>
  <si>
    <t>Peking Duk,Faux Tales,Elliphant</t>
  </si>
  <si>
    <t>aussietronica,australian electropop,australian pop,edm,chillstep,melodic dubstep,swedish indie pop</t>
  </si>
  <si>
    <t>Pressure (feat. Tove Lo)</t>
  </si>
  <si>
    <t>Martin Garrix,Tove Lo</t>
  </si>
  <si>
    <t>dance pop,dutch edm,edm,electro house,pop,pop dance,progressive house,tropical house,art pop,electropop,metropopolis,swedish electropop,swedish pop,swedish synthpop</t>
  </si>
  <si>
    <t>Voices (feat. TZAR)</t>
  </si>
  <si>
    <t>Brooks,KSHMR,Tzar</t>
  </si>
  <si>
    <t>edm,electro house,future house,pop dance,pop edm,progressive electro house,progressive house,big room,indian edm,slap house,tropical house</t>
  </si>
  <si>
    <t>POWER</t>
  </si>
  <si>
    <t>Five More Hours</t>
  </si>
  <si>
    <t>Deorro,Chris Brown</t>
  </si>
  <si>
    <t>dance pop,edm,electro house,melbourne bounce,melbourne bounce international,pop dance,progressive electro house,pop,pop rap,r&amp;b,rap</t>
  </si>
  <si>
    <t>Burn - Original Mix</t>
  </si>
  <si>
    <t>Joseph Crawford,The Burgs</t>
  </si>
  <si>
    <t>Antidote - Rami Remix</t>
  </si>
  <si>
    <t>Kiso,Cosmos &amp; Creature,offrami</t>
  </si>
  <si>
    <t>deep tropical house,pop edm,tropical house,la pop</t>
  </si>
  <si>
    <t>Take My Hand</t>
  </si>
  <si>
    <t>AkaHendy,PRZM</t>
  </si>
  <si>
    <t>Lost It</t>
  </si>
  <si>
    <t>Virtual Riot,Pearl Andersson</t>
  </si>
  <si>
    <t>brostep,complextro,dubstep,edm,electro house,future bass,gaming dubstep,melodic dubstep</t>
  </si>
  <si>
    <t>Let Me Go</t>
  </si>
  <si>
    <t>Paris Blohm,Karra</t>
  </si>
  <si>
    <t>edm,electro house,pop dance,pop edm,progressive electro house,sky room,la pop</t>
  </si>
  <si>
    <t>Heartache</t>
  </si>
  <si>
    <t>Sky</t>
  </si>
  <si>
    <t>Versailles</t>
  </si>
  <si>
    <t>Axollo,MAJRO</t>
  </si>
  <si>
    <t>dutch edm,gaming edm</t>
  </si>
  <si>
    <t>Find You</t>
  </si>
  <si>
    <t>Badrapper,Konoba</t>
  </si>
  <si>
    <t>aussietronica,belgian pop</t>
  </si>
  <si>
    <t>New Beginnings (feat. DNAKM) - Nick Gunner Remix</t>
  </si>
  <si>
    <t>D I V I N I T Y,OIÜ,Nick Gunner,DNAKM</t>
  </si>
  <si>
    <t>melodic dubstep,dark clubbing</t>
  </si>
  <si>
    <t>The Heist</t>
  </si>
  <si>
    <t>Barren Gates</t>
  </si>
  <si>
    <t>bass trap,gaming edm,traprun</t>
  </si>
  <si>
    <t>Gimme More</t>
  </si>
  <si>
    <t>Ez Quew,Vince Johnson,Oscar Del Amor,Sarah de Warren</t>
  </si>
  <si>
    <t>In My Head (feat. Sands &amp; Simona Shao)</t>
  </si>
  <si>
    <t>Solstis,SANDS,Simona Shao</t>
  </si>
  <si>
    <t>Colors Of Your Heart</t>
  </si>
  <si>
    <t>MRVLZ</t>
  </si>
  <si>
    <t>Take Me High</t>
  </si>
  <si>
    <t>Dan Farber</t>
  </si>
  <si>
    <t>Heroes</t>
  </si>
  <si>
    <t>Nonsens,Tobias Stenkjær</t>
  </si>
  <si>
    <t>danish electronic,electro house,electronic trap,gaming edm,danish singer-songwriter</t>
  </si>
  <si>
    <t>Pins &amp; Needles - Xan Griffin Remix</t>
  </si>
  <si>
    <t>888,Xan Griffin</t>
  </si>
  <si>
    <t>indie poptimism,modern alternative rock,future bass,melodic dubstep,pop edm</t>
  </si>
  <si>
    <t>Caught Fire</t>
  </si>
  <si>
    <t>Mercy X,Ashley Lawless</t>
  </si>
  <si>
    <t>Time - Alan Walker Remix - Extended Version</t>
  </si>
  <si>
    <t>Alan Walker,Hans Zimmer</t>
  </si>
  <si>
    <t>electro house,german soundtrack,orchestral soundtrack,soundtrack</t>
  </si>
  <si>
    <t>Some People (ton désir) (feat. DJ Oriska) - Radio Edit</t>
  </si>
  <si>
    <t>Ocean Drive,DJ Oriska</t>
  </si>
  <si>
    <t>First Time</t>
  </si>
  <si>
    <t>ILLENIUM,iann dior</t>
  </si>
  <si>
    <t>edm,melodic dubstep,pop,pop dance,tropical house,melodic rap,pop rap</t>
  </si>
  <si>
    <t>What You Know</t>
  </si>
  <si>
    <t>Two Door Cinema Club</t>
  </si>
  <si>
    <t>indietronica,irish rock,modern alternative rock,modern rock,northern irish indie,rock</t>
  </si>
  <si>
    <t>Pumped Up Kicks</t>
  </si>
  <si>
    <t>Foster The People</t>
  </si>
  <si>
    <t>indietronica,modern rock,rock</t>
  </si>
  <si>
    <t>Time to Pretend</t>
  </si>
  <si>
    <t>alternative dance,indietronica,modern rock,rock</t>
  </si>
  <si>
    <t>I Can't Resist - Nebbra Remix</t>
  </si>
  <si>
    <t>The Great Escape,Nebbra</t>
  </si>
  <si>
    <t>Little Poor Me</t>
  </si>
  <si>
    <t>Who We Want to Be</t>
  </si>
  <si>
    <t>Tom Day</t>
  </si>
  <si>
    <t>ambient post-rock,chillstep</t>
  </si>
  <si>
    <t>Unforgettable</t>
  </si>
  <si>
    <t>D-WAYZZ,Elle Vee</t>
  </si>
  <si>
    <t>Lost (feat. Marie St. Charles)</t>
  </si>
  <si>
    <t>Sound Remedy,Marie St. Charles</t>
  </si>
  <si>
    <t>chillstep,future bass,pop edm,vapor twitch</t>
  </si>
  <si>
    <t>Time to Share</t>
  </si>
  <si>
    <t>Alone Tonight</t>
  </si>
  <si>
    <t>Dirtier Blonde,Kirsten Collins</t>
  </si>
  <si>
    <t>teen pop</t>
  </si>
  <si>
    <t>Down The Line</t>
  </si>
  <si>
    <t>Anki,TRØVES</t>
  </si>
  <si>
    <t>Take It Closer (feat. Vikki Gilmore)</t>
  </si>
  <si>
    <t>Rain Man,Vikki Gilmore</t>
  </si>
  <si>
    <t>Demons</t>
  </si>
  <si>
    <t>Rival,Max Hurrell,Veronica Bravo</t>
  </si>
  <si>
    <t>Right Now</t>
  </si>
  <si>
    <t>Gave it All (Prismo Remix)</t>
  </si>
  <si>
    <t>Satellite Mode,Prismo</t>
  </si>
  <si>
    <t>indie electropop,bass trap,traprun</t>
  </si>
  <si>
    <t>Lost with You</t>
  </si>
  <si>
    <t>Far Out,Ruby Chase</t>
  </si>
  <si>
    <t>bass trap,gaming edm,melodic dubstep,pop edm,traprun,high vibe</t>
  </si>
  <si>
    <t>I'm Gonna Show You Crazy</t>
  </si>
  <si>
    <t>Bebe Rexha</t>
  </si>
  <si>
    <t>dance pop,electropop,pop,post-teen pop</t>
  </si>
  <si>
    <t>Ride</t>
  </si>
  <si>
    <t>Cappa,Jon Santana</t>
  </si>
  <si>
    <t>Into The Light - Awakend &amp; Herrin Remix</t>
  </si>
  <si>
    <t>Emilia Ali,Awakend,Herrin</t>
  </si>
  <si>
    <t>Teenage Crime - Christofi Remix</t>
  </si>
  <si>
    <t>Adrian Lux,Christofi</t>
  </si>
  <si>
    <t>edm,progressive electro house</t>
  </si>
  <si>
    <t>Live Forever</t>
  </si>
  <si>
    <t>Self Control</t>
  </si>
  <si>
    <t>DallasK</t>
  </si>
  <si>
    <t>complextro,pop edm</t>
  </si>
  <si>
    <t>TFLM,Nadro,Anikdote,Timmy Commerford</t>
  </si>
  <si>
    <t>Ride With You (feat. Leah Culver)</t>
  </si>
  <si>
    <t>YULTRON,Leah Culver</t>
  </si>
  <si>
    <t>Let It Burn</t>
  </si>
  <si>
    <t>Bombs Away,Backchat</t>
  </si>
  <si>
    <t>australian dance,melbourne bounce international</t>
  </si>
  <si>
    <t>Dreweybear,Meggie York</t>
  </si>
  <si>
    <t>Be Free</t>
  </si>
  <si>
    <t>Morfil</t>
  </si>
  <si>
    <t>Assassin - Hippie Sabotage Remix</t>
  </si>
  <si>
    <t>Au/Ra,Hippie Sabotage</t>
  </si>
  <si>
    <t>alt z,deep pop edm,electropop,indie poptimism,pop,edm,electronic trap</t>
  </si>
  <si>
    <t>Photograph</t>
  </si>
  <si>
    <t>Kai Wachi</t>
  </si>
  <si>
    <t>brostep,deathstep,dubstep,edm,electronic trap</t>
  </si>
  <si>
    <t>Robin Hustin,TobiMorrow,Jex</t>
  </si>
  <si>
    <t>dutch edm,gaming edm,sky room</t>
  </si>
  <si>
    <t>Whole Again</t>
  </si>
  <si>
    <t>FIRST</t>
  </si>
  <si>
    <t>A Different Way (with Lauv)</t>
  </si>
  <si>
    <t>DJ Snake,Lauv</t>
  </si>
  <si>
    <t>dance pop,edm,electronic trap,pop,pop dance,pop rap,electropop</t>
  </si>
  <si>
    <t>Fake</t>
  </si>
  <si>
    <t>HIGHSOCIETY,Amy Kirkpatrick</t>
  </si>
  <si>
    <t>traprun,vocal trance</t>
  </si>
  <si>
    <t>Out of Time (feat. Eric Lumiere) - Sagan Remix</t>
  </si>
  <si>
    <t>Shane 54,Cubicore,Eric Lumiere,Sagan</t>
  </si>
  <si>
    <t>pop edm,progressive trance,acoustic cover,electro house,future house,sky room,ukrainian edm</t>
  </si>
  <si>
    <t>Sleepless - Radio Edit</t>
  </si>
  <si>
    <t>CAZZETTE,The High</t>
  </si>
  <si>
    <t>complextro,edm,electro house,pop dance,pop edm,progressive electro house,progressive house,tropical house</t>
  </si>
  <si>
    <t>To The Stars</t>
  </si>
  <si>
    <t>Braken</t>
  </si>
  <si>
    <t>Flight</t>
  </si>
  <si>
    <t>1000°C</t>
  </si>
  <si>
    <t>Lomepal,Roméo Elvis</t>
  </si>
  <si>
    <t>french hip hop,rap conscient,belgian hip hop</t>
  </si>
  <si>
    <t>Enfants terribles</t>
  </si>
  <si>
    <t>Columbine,Lujipeka,Foda C</t>
  </si>
  <si>
    <t>Les prélis</t>
  </si>
  <si>
    <t>Broken Love</t>
  </si>
  <si>
    <t>Shavi</t>
  </si>
  <si>
    <t>deep pop edm,deep tropical house,pop edm</t>
  </si>
  <si>
    <t>Intimate</t>
  </si>
  <si>
    <t>L D R U,Elk Road</t>
  </si>
  <si>
    <t>australian dance,aussietronica</t>
  </si>
  <si>
    <t>The Wonder</t>
  </si>
  <si>
    <t>Cosmos &amp; Creature</t>
  </si>
  <si>
    <t>Chemicals - Radio Edit</t>
  </si>
  <si>
    <t>Tiësto,Don Diablo,Thomas Troelsen</t>
  </si>
  <si>
    <t>Nothing</t>
  </si>
  <si>
    <t>Huskai,Whales</t>
  </si>
  <si>
    <t>Found A Way</t>
  </si>
  <si>
    <t>Eliminate,Ryan Curtis</t>
  </si>
  <si>
    <t>dubstep,edm,electro house,electronic trap,gaming dubstep,melodic dubstep</t>
  </si>
  <si>
    <t>I Don't Wanna Be Your Friend</t>
  </si>
  <si>
    <t>Alex France,Tommy Crimi</t>
  </si>
  <si>
    <t>CRAZY LOVE</t>
  </si>
  <si>
    <t>HYFY</t>
  </si>
  <si>
    <t>Angel Falls</t>
  </si>
  <si>
    <t>Frank Walker,Sterling Fox</t>
  </si>
  <si>
    <t>edm,electro house,pop dance,pop edm,tropical house</t>
  </si>
  <si>
    <t>Touch (feat. Paul Williams)</t>
  </si>
  <si>
    <t>Daft Punk,Paul Williams</t>
  </si>
  <si>
    <t>Begin (feat. Wales)</t>
  </si>
  <si>
    <t>Shallou,Wales</t>
  </si>
  <si>
    <t>electropop,indie poptimism,new french touch,tropical house,vapor soul,vapor pop</t>
  </si>
  <si>
    <t>Aftergold</t>
  </si>
  <si>
    <t>Big Wild,Tove Styrke</t>
  </si>
  <si>
    <t>indie poptimism,vapor soul,electropop,swedish electropop,swedish pop,swedish synthpop</t>
  </si>
  <si>
    <t>To Ü (feat. AlunaGeorge)</t>
  </si>
  <si>
    <t>Jack Ü,Skrillex,Diplo,Aluna,AlunaGeorge</t>
  </si>
  <si>
    <t>edm,electro house,pop dance,brostep,complextro,electro,house,moombahton,ninja,pop,tropical house,electropop</t>
  </si>
  <si>
    <t>Take Ü There (feat. Kiesza)</t>
  </si>
  <si>
    <t>Jack Ü,Skrillex,Diplo,Kiesza</t>
  </si>
  <si>
    <t>edm,electro house,pop dance,brostep,complextro,electro,house,moombahton,ninja,pop,tropical house,electropop,pop edm</t>
  </si>
  <si>
    <t>Holdin' On - Skrillex &amp; Nero Remix</t>
  </si>
  <si>
    <t>I See MONSTAS,NERO,Skrillex</t>
  </si>
  <si>
    <t>drum and bass,edm,electro house,melodic dubstep,brostep,complextro,electro</t>
  </si>
  <si>
    <t>-3</t>
  </si>
  <si>
    <t>Miracle</t>
  </si>
  <si>
    <t>CHVRCHES</t>
  </si>
  <si>
    <t>dance pop,electropop,indie pop,metropopolis,neo-synthpop,shimmer pop</t>
  </si>
  <si>
    <t>Cry for You</t>
  </si>
  <si>
    <t>September</t>
  </si>
  <si>
    <t>dance pop,electropop,eurodance,europop,swedish electropop,swedish pop</t>
  </si>
  <si>
    <t>Cache-Cache</t>
  </si>
  <si>
    <t>Pierre, feuille, papier, ciseaux</t>
  </si>
  <si>
    <t>Columbine,Lujipeka,Chaps</t>
  </si>
  <si>
    <t>Don't Leave</t>
  </si>
  <si>
    <t>Snakehips,MØ</t>
  </si>
  <si>
    <t>edm,electropop,pop,pop dance,tropical house,art pop,dance pop,danish pop</t>
  </si>
  <si>
    <t>Fever</t>
  </si>
  <si>
    <t>Dua Lipa,Angèle</t>
  </si>
  <si>
    <t>dance pop,pop,uk pop,belgian pop,variete francaise</t>
  </si>
  <si>
    <t>Physical</t>
  </si>
  <si>
    <t>Last Dance</t>
  </si>
  <si>
    <t>Hotter Than Hell</t>
  </si>
  <si>
    <t>Lost on You</t>
  </si>
  <si>
    <t>LP</t>
  </si>
  <si>
    <t>la pop,women's music</t>
  </si>
  <si>
    <t>you were good to me</t>
  </si>
  <si>
    <t>Where I'll Be Waiting</t>
  </si>
  <si>
    <t>Rich Edwards,Cozi Zuehlsdorff</t>
  </si>
  <si>
    <t>Friends Don't Lie</t>
  </si>
  <si>
    <t>Whales,Earsley</t>
  </si>
  <si>
    <t>Young</t>
  </si>
  <si>
    <t>Mazcot,Napless</t>
  </si>
  <si>
    <t>Mr. Watson (BKAYE Remix)</t>
  </si>
  <si>
    <t>Cruel Youth,BKAYE</t>
  </si>
  <si>
    <t>electropop,indie poptimism</t>
  </si>
  <si>
    <t>Born to Be A King</t>
  </si>
  <si>
    <t>Jo Cohen,KinG!</t>
  </si>
  <si>
    <t>Waiting For You</t>
  </si>
  <si>
    <t>Unlike Pluto,Joanna Jones</t>
  </si>
  <si>
    <t>Be Somebody</t>
  </si>
  <si>
    <t>Medii,Heather Sommer</t>
  </si>
  <si>
    <t>pop edm,alt z,electropop,indie electropop,nyc pop</t>
  </si>
  <si>
    <t>Kazlo,Viiq</t>
  </si>
  <si>
    <t>Coyote</t>
  </si>
  <si>
    <t>Too Late</t>
  </si>
  <si>
    <t>Folded Dragons,Aloma Steele</t>
  </si>
  <si>
    <t>Can't Feel My Face</t>
  </si>
  <si>
    <t>The Hills</t>
  </si>
  <si>
    <t>Blazed</t>
  </si>
  <si>
    <t>Le Malls,Beckii Power</t>
  </si>
  <si>
    <t>Vampire</t>
  </si>
  <si>
    <t>Dead Robot,Saphir</t>
  </si>
  <si>
    <t>Soldier</t>
  </si>
  <si>
    <t>Jauz,Krewella</t>
  </si>
  <si>
    <t>bass house,brostep,edm,electro house,electronic trap,pop dance,vapor twitch,dance pop,electra,electropop,melodic dubstep</t>
  </si>
  <si>
    <t>Losin' Myself</t>
  </si>
  <si>
    <t>Savi,Ida da Silva</t>
  </si>
  <si>
    <t>melodipop</t>
  </si>
  <si>
    <t>Dream State</t>
  </si>
  <si>
    <t>Kozah</t>
  </si>
  <si>
    <t>Sleep Alone (feat. Ella Boh)</t>
  </si>
  <si>
    <t>Ella Boh,Max Styler</t>
  </si>
  <si>
    <t>brostep,deep groove house,edm,electro house,house,pop edm</t>
  </si>
  <si>
    <t>Hard To Love - Midnight Kids Remix</t>
  </si>
  <si>
    <t>Matthew Koma,Midnight Kids</t>
  </si>
  <si>
    <t>pop edm,edm,electropop,pop dance</t>
  </si>
  <si>
    <t>Already Dying</t>
  </si>
  <si>
    <t>Ben Walter,Ashley Apollodor</t>
  </si>
  <si>
    <t>Wild Streets</t>
  </si>
  <si>
    <t>EMDI,VAYAN,Barren Gates,Joseph Feinstein</t>
  </si>
  <si>
    <t>bass trap,gaming edm,traprun,meditation</t>
  </si>
  <si>
    <t>Come Back - Revoke Remix</t>
  </si>
  <si>
    <t>Sarcastic Sounds,REVOKE</t>
  </si>
  <si>
    <t>lo-fi beats,lo-fi chill,sad lo-fi</t>
  </si>
  <si>
    <t>Infinite High - Bee's Knees Remix</t>
  </si>
  <si>
    <t>Infinite High</t>
  </si>
  <si>
    <t>Loneliness</t>
  </si>
  <si>
    <t>Baby</t>
  </si>
  <si>
    <t>Living (feat. Alex Clare)</t>
  </si>
  <si>
    <t>Bakermat,Alex Clare</t>
  </si>
  <si>
    <t>deep euro house,deep tropical house,minimal tech house,pop dance,tropical house,modern alternative rock</t>
  </si>
  <si>
    <t>Roi</t>
  </si>
  <si>
    <t>Videoclub</t>
  </si>
  <si>
    <t>french indie pop,french synthpop</t>
  </si>
  <si>
    <t>WILD</t>
  </si>
  <si>
    <t>folk-pop,indiecoustica,pop rock,stomp and holler</t>
  </si>
  <si>
    <t>Amour plastique</t>
  </si>
  <si>
    <t>Buzzcut Season</t>
  </si>
  <si>
    <t>Tennis Court</t>
  </si>
  <si>
    <t>Black Heart</t>
  </si>
  <si>
    <t>Dark Heart</t>
  </si>
  <si>
    <t>Love Is Alive</t>
  </si>
  <si>
    <t>Louis The Child,Elohim</t>
  </si>
  <si>
    <t>edm,electro house,electropop,pop,pop dance,tropical house,alt z,future bass,indie electropop,indie poptimism,indietronica,la pop,vapor soul,vapor twitch</t>
  </si>
  <si>
    <t>Green Light</t>
  </si>
  <si>
    <t>Perfect Places</t>
  </si>
  <si>
    <t>Team</t>
  </si>
  <si>
    <t>Royals</t>
  </si>
  <si>
    <t>One Day (Vandaag) - Radio Edit</t>
  </si>
  <si>
    <t>Netzwerk (Falls Like Rain)</t>
  </si>
  <si>
    <t>Klangkarussell</t>
  </si>
  <si>
    <t>austrian pop,deep house,tropical house</t>
  </si>
  <si>
    <t>Sonnentanz - Sun Don't Shine</t>
  </si>
  <si>
    <t>Klangkarussell,Will Heard</t>
  </si>
  <si>
    <t>austrian pop,deep house,tropical house,uk contemporary r&amp;b</t>
  </si>
  <si>
    <t>Zedd,Matthew Koma,Miriam Bryant</t>
  </si>
  <si>
    <t>complextro,dance pop,edm,electro house,electropop,german techno,pop,pop dance,pop rap,tropical house,pop edm,swedish idol pop,swedish pop,swedish pop rap</t>
  </si>
  <si>
    <t>Clearest Blue</t>
  </si>
  <si>
    <t>The Mother We Share</t>
  </si>
  <si>
    <t>Leave A Trace</t>
  </si>
  <si>
    <t>For Ever</t>
  </si>
  <si>
    <t>Booyah - Original Mix</t>
  </si>
  <si>
    <t>Showtek,We Are Loud,Sonny Wilson</t>
  </si>
  <si>
    <t>classic hardstyle,edm,electro house,euphoric hardstyle,pop dance,progressive electro house,dutch edm</t>
  </si>
  <si>
    <t>The Curse of the Sad Mummy</t>
  </si>
  <si>
    <t>League of Legends</t>
  </si>
  <si>
    <t>speedrun,video game music</t>
  </si>
  <si>
    <t>Used To This (feat. MOONZz)</t>
  </si>
  <si>
    <t>Autolaser,PLS&amp;TY,MOONZz</t>
  </si>
  <si>
    <t>future bass,vapor twitch,electropop,indie electropop,indie poptimism,pop edm</t>
  </si>
  <si>
    <t>Count on You - if found Remix</t>
  </si>
  <si>
    <t>Morgin Madison,if found</t>
  </si>
  <si>
    <t>In Love with Nobody</t>
  </si>
  <si>
    <t>Jackal</t>
  </si>
  <si>
    <t>bass trap,electronic trap,vapor twitch</t>
  </si>
  <si>
    <t>show me</t>
  </si>
  <si>
    <t>San Holo</t>
  </si>
  <si>
    <t>edm,electronic trap,electropop,future bass,pop dance,pop edm,vapor twitch</t>
  </si>
  <si>
    <t>Babylon (feat. Denzel Curry)</t>
  </si>
  <si>
    <t>Ekali,Denzel Curry</t>
  </si>
  <si>
    <t>canadian electronic,edm,electro house,electronic trap,electropop,future bass,indie electropop,melodic dubstep,pop dance,pop edm,vapor twitch,dark trap,drill,hip hop,miami hip hop,rap,underground hip hop</t>
  </si>
  <si>
    <t>Boombox Cartel,Nevve</t>
  </si>
  <si>
    <t>bass trap,edm,electro house,electronic trap,pop dance,vapor twitch</t>
  </si>
  <si>
    <t>IM GONE</t>
  </si>
  <si>
    <t>JOYRYDE</t>
  </si>
  <si>
    <t>bass house,edm,electro house,electronic trap</t>
  </si>
  <si>
    <t>Run Away with Me - feat. Radiochaser</t>
  </si>
  <si>
    <t>Flyboy,Radiochaser</t>
  </si>
  <si>
    <t>As We Fall</t>
  </si>
  <si>
    <t>CRose,Elisabeth Vleurinck</t>
  </si>
  <si>
    <t>Never Done This</t>
  </si>
  <si>
    <t>twocolors</t>
  </si>
  <si>
    <t>dance pop,edm,pop dance,pop edm,tropical house</t>
  </si>
  <si>
    <t>Dabin,Lowell</t>
  </si>
  <si>
    <t>canadian electronic,edm,electropop,future bass,melodic dubstep,pop dance,pop edm,canadian electropop,queercore</t>
  </si>
  <si>
    <t>HERE'S YOUR SONG</t>
  </si>
  <si>
    <t>Chloe Lilac</t>
  </si>
  <si>
    <t>alt z,indie electropop,indie pop</t>
  </si>
  <si>
    <t>Tongue In The Bag</t>
  </si>
  <si>
    <t>MIDDLE OF THE NIGHT</t>
  </si>
  <si>
    <t>Elley Duhé</t>
  </si>
  <si>
    <t>Only Now (feat. Tyler Graves)</t>
  </si>
  <si>
    <t>Seven Lions,Tyler Graves</t>
  </si>
  <si>
    <t>dubstep,edm,electro house,future bass,melodic dubstep,pop dance,pop edm,progressive trance</t>
  </si>
  <si>
    <t>Beautiful Heartbeat - Deorro Remix</t>
  </si>
  <si>
    <t>MORTEN,Frida Sundemo,Deorro</t>
  </si>
  <si>
    <t>danish electronic,scandipop,indie singer-songwriter,swedish synthpop,dance pop,edm,electro house,melbourne bounce,melbourne bounce international,pop dance,progressive electro house</t>
  </si>
  <si>
    <t>Boom (feat. MOTi, Ty Dolla $ign, Wizkid &amp; Kranium)</t>
  </si>
  <si>
    <t>Major Lazer,MOTi,Ty Dolla $ign,WizKid,Kranium</t>
  </si>
  <si>
    <t>dance pop,edm,electro house,moombahton,pop,pop dance,pop rap,tropical house,house,hip hop,r&amp;b,southern hip hop,trap,trap soul,afro dancehall,afropop,azonto,nigerian hip hop,nigerian pop,basshall,dancehall</t>
  </si>
  <si>
    <t>Iyaz</t>
  </si>
  <si>
    <t>dance pop,pop rap</t>
  </si>
  <si>
    <t>Work - R3hab Remix</t>
  </si>
  <si>
    <t>Rihanna,Drake,R3HAB</t>
  </si>
  <si>
    <t>barbadian pop,dance pop,pop,urban contemporary,canadian hip hop,canadian pop,hip hop,rap,toronto rap,dutch house,edm,electro house,pop dance,progressive electro house,slap house,tropical house</t>
  </si>
  <si>
    <t>What’s Done Is Done</t>
  </si>
  <si>
    <t>Seven Lions,HALIENE</t>
  </si>
  <si>
    <t>Lost / Intro</t>
  </si>
  <si>
    <t>OTR</t>
  </si>
  <si>
    <t>indie electropop,vapor soul,vapor twitch</t>
  </si>
  <si>
    <t>Felix Cartal,Lights</t>
  </si>
  <si>
    <t>canadian electronic,edm,electro house,electropop,indie poptimism,pop dance,pop edm,tropical house,canadian folk,canadian pop</t>
  </si>
  <si>
    <t>The Cops</t>
  </si>
  <si>
    <t>K.Flay</t>
  </si>
  <si>
    <t>electropop,escape room,hip pop,modern rock,pop,rock</t>
  </si>
  <si>
    <t>The Beauty In What Is</t>
  </si>
  <si>
    <t>Hans Zimmer</t>
  </si>
  <si>
    <t>german soundtrack,orchestral soundtrack,soundtrack</t>
  </si>
  <si>
    <t>Cornfield Chase</t>
  </si>
  <si>
    <t>Black Widow</t>
  </si>
  <si>
    <t>Iggy Azalea,Rita Ora</t>
  </si>
  <si>
    <t>australian hip hop,dance pop,hip pop,pop,pop rap,post-teen pop,edm,tropical house,uk pop</t>
  </si>
  <si>
    <t>Time</t>
  </si>
  <si>
    <t>Memories (feat. Kid Cudi) - 2021 Remix</t>
  </si>
  <si>
    <t>Throw It All Away</t>
  </si>
  <si>
    <t>Madnap,smle,Aviella</t>
  </si>
  <si>
    <t>future bass,edm,pop edm,vapor twitch</t>
  </si>
  <si>
    <t>Someone to Forget</t>
  </si>
  <si>
    <t>MRNX</t>
  </si>
  <si>
    <t>Stand Off</t>
  </si>
  <si>
    <t>MEMBA,Ehiorobo</t>
  </si>
  <si>
    <t>bass trap,electronic trap,future bass,indian edm,traprun,vapor twitch,neo r&amp;b</t>
  </si>
  <si>
    <t>If It Kills Me (feat. Blackbear) (DM Galaxy Remix)</t>
  </si>
  <si>
    <t>Jack Novak,DM Galaxy,blackbear</t>
  </si>
  <si>
    <t>gaming edm,melodic dubstep,electropop,pop,pop rap</t>
  </si>
  <si>
    <t>White Noise</t>
  </si>
  <si>
    <t>Danrell,Ella Isaacson</t>
  </si>
  <si>
    <t>Feel the Fire - Breath Vocal Mix</t>
  </si>
  <si>
    <t>pluko,pronouncedyea</t>
  </si>
  <si>
    <t>bass trap,edm,electronic trap,electropop,future bass,vapor twitch,pop edm</t>
  </si>
  <si>
    <t>Breath</t>
  </si>
  <si>
    <t>Kamikaze</t>
  </si>
  <si>
    <t>MØ</t>
  </si>
  <si>
    <t>art pop,dance pop,danish pop,electropop,pop,tropical house</t>
  </si>
  <si>
    <t>This One's for You (feat. Zara Larsson) (Official Song UEFA EURO 2016)</t>
  </si>
  <si>
    <t>David Guetta</t>
  </si>
  <si>
    <t>big room,dance pop,edm,pop,pop dance,pop rap</t>
  </si>
  <si>
    <t>Reason</t>
  </si>
  <si>
    <t>Villent</t>
  </si>
  <si>
    <t>All I'm After</t>
  </si>
  <si>
    <t>JAMEO</t>
  </si>
  <si>
    <t>Out Of It - FLYES Remix</t>
  </si>
  <si>
    <t>MOTHICA,FLYES</t>
  </si>
  <si>
    <t>alt z,electropop,pop,social media pop,vapor soul</t>
  </si>
  <si>
    <t>Disowned</t>
  </si>
  <si>
    <t>Pill</t>
  </si>
  <si>
    <t>Heuse,Zeus X Crona,Emma Sameth</t>
  </si>
  <si>
    <t>bass trap,gaming edm,melodic dubstep,traprun,indian edm,la pop</t>
  </si>
  <si>
    <t>Hahlweg,Midoca</t>
  </si>
  <si>
    <t>Go to Sleep (feat. Kailee Morgue) (feat. Kailee Morgue) - Oshi Remix</t>
  </si>
  <si>
    <t>Bearson,Kailee Morgue,Oshi</t>
  </si>
  <si>
    <t>norwegian pop,alt z,dark pop,electropop,indie electropop,indie pop,indie poptimism,pop,social media pop,future bass,vapor twitch</t>
  </si>
  <si>
    <t>Higher Places</t>
  </si>
  <si>
    <t>Griffin Stoller</t>
  </si>
  <si>
    <t>Aubade - Exclusion Remix</t>
  </si>
  <si>
    <t>Satellite Empire,Exclusion</t>
  </si>
  <si>
    <t>Jinco</t>
  </si>
  <si>
    <t>Out of Here</t>
  </si>
  <si>
    <t>Midsplit,Tilsen</t>
  </si>
  <si>
    <t>pop edm,slap house,canadian pop</t>
  </si>
  <si>
    <t>Fatal</t>
  </si>
  <si>
    <t>Alter.</t>
  </si>
  <si>
    <t>Bubbles</t>
  </si>
  <si>
    <t>Elon Dust,Melissa Heart</t>
  </si>
  <si>
    <t>Start Over - Frank Pole Remix</t>
  </si>
  <si>
    <t>ellis,Laura Brehm,Frank Pole</t>
  </si>
  <si>
    <t>electro house,gaming edm,pop edm,chillstep,deep tropical house</t>
  </si>
  <si>
    <t>Soft Spoken</t>
  </si>
  <si>
    <t>Hearts on Fire</t>
  </si>
  <si>
    <t>ILLENIUM,Dabin,Lights</t>
  </si>
  <si>
    <t>edm,melodic dubstep,pop,pop dance,tropical house,canadian electronic,electropop,future bass,pop edm,canadian folk,canadian pop,indie poptimism</t>
  </si>
  <si>
    <t>Dynasty - Elephante Remix</t>
  </si>
  <si>
    <t>MIIA,Elephante</t>
  </si>
  <si>
    <t>Nocturnal</t>
  </si>
  <si>
    <t>Biometrix</t>
  </si>
  <si>
    <t>Live This Nightmare - NGHTMRE Remix</t>
  </si>
  <si>
    <t>The Griswolds,NGHTMRE</t>
  </si>
  <si>
    <t>indie poptimism,modern rock,shimmer pop,bass trap,brostep,edm,electro house,electronic trap,pop dance</t>
  </si>
  <si>
    <t>Peace of Mind</t>
  </si>
  <si>
    <t>It's Different,Taptone,Josh Rubin</t>
  </si>
  <si>
    <t>bass trap,gaming edm</t>
  </si>
  <si>
    <t>Every Every (Telykast Remix)</t>
  </si>
  <si>
    <t>MOONZz,TELYKast</t>
  </si>
  <si>
    <t>electropop,indie electropop,indie poptimism,pop edm,edm,pop dance</t>
  </si>
  <si>
    <t>Room to Fall</t>
  </si>
  <si>
    <t>Marshmello,Flux Pavilion,Elohim</t>
  </si>
  <si>
    <t>brostep,dance pop,edm,pop,pop dance,progressive electro house,bass trap,classic dubstep,electro house,electronic trap,melodic dubstep,alt z,electropop,future bass,indie electropop,indie poptimism,indietronica,la pop,vapor soul,vapor twitch</t>
  </si>
  <si>
    <t>Children</t>
  </si>
  <si>
    <t>Shuba Music</t>
  </si>
  <si>
    <t>melodic dubstep,traprun</t>
  </si>
  <si>
    <t>Wicked Game</t>
  </si>
  <si>
    <t>Ursine Vulpine,Annaca</t>
  </si>
  <si>
    <t>Gangsta's Paradise</t>
  </si>
  <si>
    <t>Coolio,L.V.</t>
  </si>
  <si>
    <t>Prayer In C (Robin Schulz Remix) [Radio Edit]</t>
  </si>
  <si>
    <t>Lilly Wood and The Prick</t>
  </si>
  <si>
    <t>french indie pop,french rock</t>
  </si>
  <si>
    <t>Someone Like You</t>
  </si>
  <si>
    <t>Adele</t>
  </si>
  <si>
    <t>british soul,pop,pop soul,uk pop</t>
  </si>
  <si>
    <t>Rolling in the Deep</t>
  </si>
  <si>
    <t>Set Fire to the Rain</t>
  </si>
  <si>
    <t>Bad Karma</t>
  </si>
  <si>
    <t>Axel Thesleff</t>
  </si>
  <si>
    <t>bass trap,finnish edm</t>
  </si>
  <si>
    <t>Pull Up Dat</t>
  </si>
  <si>
    <t>Lucian</t>
  </si>
  <si>
    <t>Found Myself</t>
  </si>
  <si>
    <t>Taska Black,Tessa Dixson</t>
  </si>
  <si>
    <t>bass trap,edm,electronic trap,electropop,future bass,indie electropop,pop edm,vapor twitch,belgian indie</t>
  </si>
  <si>
    <t>Higher - Jerry Folk Remix</t>
  </si>
  <si>
    <t>Lemaitre,Maty Noyes,Jerry Folk</t>
  </si>
  <si>
    <t>norwegian pop,alt z,electropop,indie electropop,indie poptimism,pop,future bass,vapor soul,vapor twitch</t>
  </si>
  <si>
    <t>Be Like You (feat. Broods)</t>
  </si>
  <si>
    <t>Whethan,BROODS</t>
  </si>
  <si>
    <t>edm,electropop,hyperpop,indie poptimism,vapor twitch,art pop,auckland indie,etherpop,indie pop,indietronica,metropopolis,nz pop,pop,vapor soul</t>
  </si>
  <si>
    <t>Rocket Girl (Feat. Betty Who)</t>
  </si>
  <si>
    <t>Lemaitre,Betty Who</t>
  </si>
  <si>
    <t>norwegian pop,australian dance,dance pop,electropop,indie poptimism,metropopolis,pop</t>
  </si>
  <si>
    <t>Eyes Wide Open</t>
  </si>
  <si>
    <t>Lemaitre</t>
  </si>
  <si>
    <t>It's Not This</t>
  </si>
  <si>
    <t>Bearson,Lemaitre,josh pan</t>
  </si>
  <si>
    <t>norwegian pop,electronic trap,future bass,vapor twitch</t>
  </si>
  <si>
    <t>norwegian pop,alt z,electropop,indie electropop,indie poptimism,pop</t>
  </si>
  <si>
    <t>Closer</t>
  </si>
  <si>
    <t>Lemaitre,Jennie A.</t>
  </si>
  <si>
    <t>Porcelain - AWAY Remix</t>
  </si>
  <si>
    <t>Skott,AWAY</t>
  </si>
  <si>
    <t>alt z,electropop,indie electropop,indie poptimism,vapor soul,bass trap,future bass,traprun</t>
  </si>
  <si>
    <t>Bad</t>
  </si>
  <si>
    <t>Oski,Anuka</t>
  </si>
  <si>
    <t>bass trap,dubstep,electro house,electronic trap,vapor twitch,indie electropop</t>
  </si>
  <si>
    <t>Best - Parker Remix</t>
  </si>
  <si>
    <t>Borgore,Parker</t>
  </si>
  <si>
    <t>brostep,classic dubstep,dubstep,edm,electro house,electronic trap</t>
  </si>
  <si>
    <t>Worth It</t>
  </si>
  <si>
    <t>Outr3ach,J-Marin,Kaitlin Grace</t>
  </si>
  <si>
    <t>canadian electronic,traprun</t>
  </si>
  <si>
    <t>I Let You Run Away</t>
  </si>
  <si>
    <t>yesyes</t>
  </si>
  <si>
    <t>I Let You Run Away - WALSTON Remix</t>
  </si>
  <si>
    <t>Do Bad Well (feat. Nevve)</t>
  </si>
  <si>
    <t>KSHMR,Nevve</t>
  </si>
  <si>
    <t>big room,edm,electro house,indian edm,pop dance,slap house,tropical house</t>
  </si>
  <si>
    <t>Secrets</t>
  </si>
  <si>
    <t>Tiësto,KSHMR,VASSY</t>
  </si>
  <si>
    <t>big room,brostep,dance pop,dutch edm,edm,house,pop,pop dance,slap house,trance,tropical house,electro house,indian edm,australian dance</t>
  </si>
  <si>
    <t>Dharma</t>
  </si>
  <si>
    <t>Headhunterz,KSHMR</t>
  </si>
  <si>
    <t>classic hardstyle,euphoric hardstyle,melbourne bounce international,rawstyle,big room,edm,electro house,indian edm,pop dance,slap house,tropical house</t>
  </si>
  <si>
    <t>Paper Thin</t>
  </si>
  <si>
    <t>ILLENIUM,Tom DeLonge,Angels &amp; Airwaves</t>
  </si>
  <si>
    <t>edm,melodic dubstep,pop,pop dance,tropical house,san diego indie,pop punk,socal pop punk</t>
  </si>
  <si>
    <t>Only Girl (In The World)</t>
  </si>
  <si>
    <t>What's My Name?</t>
  </si>
  <si>
    <t>S&amp;M</t>
  </si>
  <si>
    <t>Fractures (Trivecta Remix) [feat. Nevve]</t>
  </si>
  <si>
    <t>ILLENIUM,Trivecta,Nevve</t>
  </si>
  <si>
    <t>edm,melodic dubstep,pop,pop dance,tropical house,chillstep,dubstep,electro house,future bass,gaming edm,pop edm</t>
  </si>
  <si>
    <t>Takeaway</t>
  </si>
  <si>
    <t>The Chainsmokers,ILLENIUM,Lennon Stella</t>
  </si>
  <si>
    <t>dance pop,edm,electropop,pop,pop dance,tropical house,melodic dubstep,alt z,canadian pop</t>
  </si>
  <si>
    <t>Call You Mine</t>
  </si>
  <si>
    <t>The Chainsmokers,Bebe Rexha</t>
  </si>
  <si>
    <t>dance pop,edm,electropop,pop,pop dance,tropical house,post-teen pop</t>
  </si>
  <si>
    <t>Cheap Thrills (feat. Sean Paul)</t>
  </si>
  <si>
    <t>Sia,Sean Paul</t>
  </si>
  <si>
    <t>australian dance,australian pop,pop,dance pop,dancehall,pop rap</t>
  </si>
  <si>
    <t>Till the World Ends</t>
  </si>
  <si>
    <t>Britney Spears</t>
  </si>
  <si>
    <t>All of Me</t>
  </si>
  <si>
    <t>John Legend</t>
  </si>
  <si>
    <t>neo soul,pop,pop soul,r&amp;b,urban contemporary</t>
  </si>
  <si>
    <t>The Days</t>
  </si>
  <si>
    <t>Hailee Steinfeld</t>
  </si>
  <si>
    <t>Levels - Radio Edit</t>
  </si>
  <si>
    <t>Friend Of Mine (feat. Vargas &amp; Lagola)</t>
  </si>
  <si>
    <t>Avicii,Vargas &amp; Lagola</t>
  </si>
  <si>
    <t>dance pop,edm,pop,pop dance,pop rap,swedish pop</t>
  </si>
  <si>
    <t>You Be Love (feat. Billy Raffoul)</t>
  </si>
  <si>
    <t>Avicii,Billy Raffoul</t>
  </si>
  <si>
    <t>What Would I Change It To (feat. Aluna)</t>
  </si>
  <si>
    <t>Avicii,Aluna</t>
  </si>
  <si>
    <t>dance pop,edm,pop,pop dance,pop rap,electro house,house,tropical house</t>
  </si>
  <si>
    <t>Lonely Together (feat. Rita Ora)</t>
  </si>
  <si>
    <t>Avicii,Rita Ora</t>
  </si>
  <si>
    <t>dance pop,edm,pop,pop dance,pop rap,post-teen pop,tropical house,uk pop</t>
  </si>
  <si>
    <t>Medicine</t>
  </si>
  <si>
    <t>Sound Remedy</t>
  </si>
  <si>
    <t>King</t>
  </si>
  <si>
    <t>Years &amp; Years</t>
  </si>
  <si>
    <t>dance pop,edm,gauze pop,pop,pop dance,tropical house</t>
  </si>
  <si>
    <t>Desire - Gryffin Remix</t>
  </si>
  <si>
    <t>Years &amp; Years,Gryffin</t>
  </si>
  <si>
    <t>Dancin - Krono Remix</t>
  </si>
  <si>
    <t>Seeb,Neev</t>
  </si>
  <si>
    <t>dance pop,edm,electro house,norwegian pop,pop,pop dance,pop edm,tropical house,portuguese rock</t>
  </si>
  <si>
    <t>Tell Me Why</t>
  </si>
  <si>
    <t>Multi-interprètes</t>
  </si>
  <si>
    <t>Anything Could Happen</t>
  </si>
  <si>
    <t>Heads Will Roll</t>
  </si>
  <si>
    <t>Yeah Yeah Yeahs</t>
  </si>
  <si>
    <t>alternative dance,alternative rock,dance-punk,indie rock,modern rock,new rave</t>
  </si>
  <si>
    <t>Eyes on Fire - Zeds Dead Remix Re-Recorded</t>
  </si>
  <si>
    <t>Blue Foundation,Kirstine Stubbe Teglbjærg,Zeds Dead</t>
  </si>
  <si>
    <t>dream pop,electronica,brostep,canadian electronic,dubstep,edm,electro house,electronic trap,progressive electro house,vapor twitch</t>
  </si>
  <si>
    <t>Ghost Assassin - VIP</t>
  </si>
  <si>
    <t>Talking Body</t>
  </si>
  <si>
    <t>Tove Lo</t>
  </si>
  <si>
    <t>art pop,dance pop,electropop,metropopolis,pop,swedish electropop,swedish pop,swedish synthpop</t>
  </si>
  <si>
    <t>Whenever (feat. Conor Maynard)</t>
  </si>
  <si>
    <t>Kris Kross Amsterdam,The Boy Next Door,Conor Maynard</t>
  </si>
  <si>
    <t>dutch house,dutch pop,basshall,dance pop,pop,post-teen pop,uk pop</t>
  </si>
  <si>
    <t>Weightless</t>
  </si>
  <si>
    <t>smle,Nick Smith</t>
  </si>
  <si>
    <t>edm,future bass,pop edm,vapor twitch</t>
  </si>
  <si>
    <t>QUEEN OF THE FREAKS</t>
  </si>
  <si>
    <t>Pick Your Battles</t>
  </si>
  <si>
    <t>Waiting For You (feat. RUNN)</t>
  </si>
  <si>
    <t>Trivecta,Last Heroes,RUNN</t>
  </si>
  <si>
    <t>chillstep,dubstep,edm,electro house,future bass,gaming edm,melodic dubstep,pop dance,pop edm</t>
  </si>
  <si>
    <t>Treasure Map</t>
  </si>
  <si>
    <t>Be There</t>
  </si>
  <si>
    <t>Home - it's different remix</t>
  </si>
  <si>
    <t>MAX,It's Different</t>
  </si>
  <si>
    <t>dance pop,electropop,pop,post-teen pop,viral pop,bass trap,gaming edm</t>
  </si>
  <si>
    <t>Close To The Sun</t>
  </si>
  <si>
    <t>Raging</t>
  </si>
  <si>
    <t>Raging (feat. Kodaline)</t>
  </si>
  <si>
    <t>Kygo,Kodaline</t>
  </si>
  <si>
    <t>edm,pop,pop dance,tropical house,irish pop,modern rock,pop rock</t>
  </si>
  <si>
    <t>Shape Of My Heart</t>
  </si>
  <si>
    <t>Sting</t>
  </si>
  <si>
    <t>permanent wave,soft rock,sophisti-pop</t>
  </si>
  <si>
    <t>Fragile</t>
  </si>
  <si>
    <t>DJ Okawari,Celeina Ann</t>
  </si>
  <si>
    <t>Four Water</t>
  </si>
  <si>
    <t>DJ Okawari</t>
  </si>
  <si>
    <t>Luv Letter</t>
  </si>
  <si>
    <t>Pump It</t>
  </si>
  <si>
    <t>WOW (feat. Sabrina Carpenter) - Remix</t>
  </si>
  <si>
    <t>Zara Larsson,Sabrina Carpenter</t>
  </si>
  <si>
    <t>dance pop,edm,electropop,pop,pop dance,post-teen pop,scandipop,swedish electropop,swedish pop,tropical house,alt z</t>
  </si>
  <si>
    <t>Souvenir</t>
  </si>
  <si>
    <t>People You Know</t>
  </si>
  <si>
    <t>Crowded Room (feat. 6LACK)</t>
  </si>
  <si>
    <t>Selena Gomez,6LACK</t>
  </si>
  <si>
    <t>dance pop,pop,post-teen pop,alternative r&amp;b,atl hip hop,hip hop,melodic rap,r&amp;b,rap,trap</t>
  </si>
  <si>
    <t>Shades Of Grey - Radio Mix</t>
  </si>
  <si>
    <t>Oliver Heldens,Shaun Frank,Delaney Jane</t>
  </si>
  <si>
    <t>Marijuana Breath</t>
  </si>
  <si>
    <t>Adam Jensen</t>
  </si>
  <si>
    <t>bossbeat,modern alternative rock,modern rock,rebel blues,rock</t>
  </si>
  <si>
    <t>I Can Hold a Grudge Like Nobody's Business</t>
  </si>
  <si>
    <t>The Mystic</t>
  </si>
  <si>
    <t>Glory</t>
  </si>
  <si>
    <t>Born For This</t>
  </si>
  <si>
    <t>Chosen One</t>
  </si>
  <si>
    <t>Valley Of Wolves</t>
  </si>
  <si>
    <t>bossbeat,modern alternative rock,rebel blues</t>
  </si>
  <si>
    <t>Lions Inside</t>
  </si>
  <si>
    <t>Burn Fast (Win &amp; Woo Remix)</t>
  </si>
  <si>
    <t>Win and Woo,Bryce Fox</t>
  </si>
  <si>
    <t>deep tropical house,edm,electropop,future bass,indie electropop,indie poptimism,pop dance,pop edm,vapor twitch,modern alternative rock,modern rock,rebel blues</t>
  </si>
  <si>
    <t>My Friends Are Robots</t>
  </si>
  <si>
    <t>Arrested Youth</t>
  </si>
  <si>
    <t>Crossfire, Pt. II</t>
  </si>
  <si>
    <t>We Found Love</t>
  </si>
  <si>
    <t>Rihanna,Calvin Harris</t>
  </si>
  <si>
    <t>barbadian pop,dance pop,pop,urban contemporary,edm,electro house,house,pop rap,progressive house,uk dance</t>
  </si>
  <si>
    <t>This Is Love</t>
  </si>
  <si>
    <t>will.i.am,Eva Simons</t>
  </si>
  <si>
    <t>dance pop,pop,pop rap,dutch pop,electropop</t>
  </si>
  <si>
    <t>#thatPOWER</t>
  </si>
  <si>
    <t>will.i.am,Justin Bieber</t>
  </si>
  <si>
    <t>dance pop,pop,pop rap,canadian pop</t>
  </si>
  <si>
    <t>Scream &amp; Shout</t>
  </si>
  <si>
    <t>will.i.am,Britney Spears</t>
  </si>
  <si>
    <t>dance pop,pop,pop rap,post-teen pop</t>
  </si>
  <si>
    <t>So Slow - Stripped</t>
  </si>
  <si>
    <t>Vanic,K.Flay</t>
  </si>
  <si>
    <t>bass trap,electronic trap,future bass,indie electropop,pop edm,vapor twitch,electropop,escape room,hip pop,modern rock,pop,rock</t>
  </si>
  <si>
    <t>Hot Stuff</t>
  </si>
  <si>
    <t>Kygo,Donna Summer</t>
  </si>
  <si>
    <t>edm,pop,pop dance,tropical house,disco,hi-nrg,new wave pop</t>
  </si>
  <si>
    <t>Lose You To Love Me - Demo Version</t>
  </si>
  <si>
    <t>Fighting For</t>
  </si>
  <si>
    <t>Nick Double,EWAVE</t>
  </si>
  <si>
    <t>Beautiful Heartbeat (feat. Frida Sundemo &amp; Deorro) - Deorro Remix</t>
  </si>
  <si>
    <t>Gold Wings</t>
  </si>
  <si>
    <t>Shaun Frank,Krewella</t>
  </si>
  <si>
    <t>canadian electronic,pop edm,dance pop,edm,electra,electro house,electropop,melodic dubstep,pop dance</t>
  </si>
  <si>
    <t>See the Stars</t>
  </si>
  <si>
    <t>Daniel Rosty,Sash_S</t>
  </si>
  <si>
    <t>All We Know</t>
  </si>
  <si>
    <t>Leonail,Svniivan</t>
  </si>
  <si>
    <t>We Won't Leave You</t>
  </si>
  <si>
    <t>Steve Void,Syence</t>
  </si>
  <si>
    <t>pop edm,slap house,indie electropop</t>
  </si>
  <si>
    <t>Burn Fast</t>
  </si>
  <si>
    <t>I Follow Rivers</t>
  </si>
  <si>
    <t>Helion,Mike Emilio,Vigiland,SUD</t>
  </si>
  <si>
    <t>melbourne bounce international,russelater,dance pop,edm,electronic trap,pop dance,pop rap,tropical house</t>
  </si>
  <si>
    <t>I Follow Rivers - The Magician Remix</t>
  </si>
  <si>
    <t>Lykke Li,The Magician</t>
  </si>
  <si>
    <t>art pop,electropop,pop,swedish electropop,swedish indie pop,swedish pop,belgian edm,deep house,edm,house,pop dance,tropical house</t>
  </si>
  <si>
    <t>American Dream</t>
  </si>
  <si>
    <t>Mia Vaile</t>
  </si>
  <si>
    <t>Hold feat. Daniela Andrade - Original Mix</t>
  </si>
  <si>
    <t>Dabin,Daniela Andrade</t>
  </si>
  <si>
    <t>canadian electronic,edm,electropop,future bass,melodic dubstep,pop dance,pop edm,canadian contemporary r&amp;b,folk-pop</t>
  </si>
  <si>
    <t>It's Time</t>
  </si>
  <si>
    <t>We are the Hearts</t>
  </si>
  <si>
    <t>EXGF</t>
  </si>
  <si>
    <t>Freed From Desire - Radio Edit</t>
  </si>
  <si>
    <t>Gala</t>
  </si>
  <si>
    <t>eurodance,europop,hip house</t>
  </si>
  <si>
    <t>Lovefool</t>
  </si>
  <si>
    <t>Sad (feat. Afrojack)</t>
  </si>
  <si>
    <t>Chico Rose,Afrojack</t>
  </si>
  <si>
    <t>edm,electro house,pop dance,pop edm,slap house,tropical house,big room,dance pop,dutch house,pop rap,progressive house</t>
  </si>
  <si>
    <t>Sexy Chick</t>
  </si>
  <si>
    <t>Galwaro,Helion,LIINII</t>
  </si>
  <si>
    <t>Freed from Desire (feat. Indiiana)</t>
  </si>
  <si>
    <t>Drenchill,Indiiana</t>
  </si>
  <si>
    <t>deep house,pop dance,pop edm,tropical house</t>
  </si>
  <si>
    <t>Alors On Danse - DubDogz Remix</t>
  </si>
  <si>
    <t>Stromae,Dubdogz</t>
  </si>
  <si>
    <t>belgian pop,g-house,brazilian bass,brazilian edm</t>
  </si>
  <si>
    <t>Tokyo Drift (Fast &amp; Furious) - From The Fast And The Furious: Tokyo Drift Soundtrack</t>
  </si>
  <si>
    <t>Teriyaki Boyz</t>
  </si>
  <si>
    <t>japanese old school hip hop</t>
  </si>
  <si>
    <t>Tokyo Drift</t>
  </si>
  <si>
    <t>KVSH</t>
  </si>
  <si>
    <t>brazilian edm,trance brasileiro</t>
  </si>
  <si>
    <t>Midnight City</t>
  </si>
  <si>
    <t>Player1</t>
  </si>
  <si>
    <t>Pump It Up - Dastic Remix</t>
  </si>
  <si>
    <t>Danko,Dastic</t>
  </si>
  <si>
    <t>slap house,big room,edm,electro house,pop dance,pop edm,progressive electro house</t>
  </si>
  <si>
    <t>Gaullin</t>
  </si>
  <si>
    <t>edm,lithuanian edm,lithuanian electronic,pop dance,tropical house</t>
  </si>
  <si>
    <t>Lose You To Love Me</t>
  </si>
  <si>
    <t>Rare</t>
  </si>
  <si>
    <t>Seek Bromance</t>
  </si>
  <si>
    <t>Tim Berg</t>
  </si>
  <si>
    <t>edm,pop dance,progressive electro house</t>
  </si>
  <si>
    <t>In Your Arms</t>
  </si>
  <si>
    <t>Aiobahn,Ralph Larenzo</t>
  </si>
  <si>
    <t>future bass,kawaii future bass</t>
  </si>
  <si>
    <t>Us Against The World</t>
  </si>
  <si>
    <t>Darren Styles</t>
  </si>
  <si>
    <t>Eroge</t>
  </si>
  <si>
    <t>Kotori</t>
  </si>
  <si>
    <t>No Time for Caution</t>
  </si>
  <si>
    <t>Where We're Going</t>
  </si>
  <si>
    <t>S.T.A.Y.</t>
  </si>
  <si>
    <t>Dash Berlin,Bo Bruce</t>
  </si>
  <si>
    <t>big room,dutch trance,edm,pop dance,progressive house,trance,uplifting trance,vocal trance</t>
  </si>
  <si>
    <t>Freesol (Dabin Remix)</t>
  </si>
  <si>
    <t>Seven Lions,Skyler Stonestreet,Dabin</t>
  </si>
  <si>
    <t>dubstep,edm,electro house,future bass,melodic dubstep,pop dance,pop edm,progressive trance,canadian electronic,electropop</t>
  </si>
  <si>
    <t>The Only Way Is Up</t>
  </si>
  <si>
    <t>Martin Garrix,Tiësto</t>
  </si>
  <si>
    <t>dance pop,dutch edm,edm,electro house,pop,pop dance,progressive house,tropical house,big room,brostep,house,slap house,trance</t>
  </si>
  <si>
    <t>My Love (feat. Jess Glynne)</t>
  </si>
  <si>
    <t>Gold Skies (feat. Aleesia)</t>
  </si>
  <si>
    <t>Sander van Doorn,Martin Garrix,DVBBS,Aleesia</t>
  </si>
  <si>
    <t>dutch trance,edm,electro house,house,pop dance,progressive electro house,progressive house,trance,dance pop,dutch edm,pop,tropical house,canadian electronic,pop edm,slap house,canadian pop,deep dance pop</t>
  </si>
  <si>
    <t>Hideaway</t>
  </si>
  <si>
    <t>Kiesza</t>
  </si>
  <si>
    <t>electropop,pop edm</t>
  </si>
  <si>
    <t>AnyTime</t>
  </si>
  <si>
    <t>C.U.B.A</t>
  </si>
  <si>
    <t>Lowdown</t>
  </si>
  <si>
    <t>Vicetone</t>
  </si>
  <si>
    <t>127</t>
  </si>
  <si>
    <t>Better With You</t>
  </si>
  <si>
    <t>3LAU,Justin Caruso,Iselin</t>
  </si>
  <si>
    <t>edm,electro house,electronic trap,electropop,mashup,pop dance,pop edm,progressive electro house,progressive house,tropical house,norwegian pop</t>
  </si>
  <si>
    <t>Far Out</t>
  </si>
  <si>
    <t>JVNA</t>
  </si>
  <si>
    <t>electra,future bass,melodic dubstep,pop edm</t>
  </si>
  <si>
    <t>Last Friday Night (T.G.I.F.)</t>
  </si>
  <si>
    <t>Roar</t>
  </si>
  <si>
    <t>Dark Horse</t>
  </si>
  <si>
    <t>Katy Perry,Juicy J</t>
  </si>
  <si>
    <t>dance pop,pop,post-teen pop,crunk,dirty south rap,gangster rap,hip hop,memphis hip hop,pop rap,rap,southern hip hop,trap</t>
  </si>
  <si>
    <t>I Knew You Were Trouble.</t>
  </si>
  <si>
    <t>Taylor Swift</t>
  </si>
  <si>
    <t>A Sweeter Place (feat. Kid Cudi)</t>
  </si>
  <si>
    <t>Selena Gomez,Kid Cudi</t>
  </si>
  <si>
    <t>dance pop,pop,post-teen pop,hip hop,ohio hip hop,rap</t>
  </si>
  <si>
    <t>Cry (with John Martin)</t>
  </si>
  <si>
    <t>Gryffin,John Martin</t>
  </si>
  <si>
    <t>dance pop,edm,pop,pop dance,tropical house,pop edm</t>
  </si>
  <si>
    <t>Good Life (with G-Eazy &amp; Kehlani)</t>
  </si>
  <si>
    <t>G-Eazy,Kehlani</t>
  </si>
  <si>
    <t>indie pop rap,oakland hip hop,pop,pop rap,rap,alternative r&amp;b,dance pop,r&amp;b</t>
  </si>
  <si>
    <t>We Are Beautiful (Radio Edit) [feat. Hubert Tubbs]</t>
  </si>
  <si>
    <t>Panzer Flower,Hubert Tubbs</t>
  </si>
  <si>
    <t>Bang!</t>
  </si>
  <si>
    <t>AJR</t>
  </si>
  <si>
    <t>Bdy</t>
  </si>
  <si>
    <t>Feel Good Inc.</t>
  </si>
  <si>
    <t>Gorillaz</t>
  </si>
  <si>
    <t>alternative hip hop</t>
  </si>
  <si>
    <t>Clint Eastwood</t>
  </si>
  <si>
    <t>I Love It (feat. Charli XCX)</t>
  </si>
  <si>
    <t>Icona Pop,Charli XCX</t>
  </si>
  <si>
    <t>candy pop,dance pop,edm,electropop,metropopolis,pop,pop dance,swedish electropop,swedish synthpop,art pop,uk pop</t>
  </si>
  <si>
    <t>Be Like That - feat. Swae Lee &amp; Khalid</t>
  </si>
  <si>
    <t>Kane Brown,Swae Lee,Khalid</t>
  </si>
  <si>
    <t>black americana,contemporary country,country road,melodic rap,trap,pop,pop r&amp;b</t>
  </si>
  <si>
    <t>Tick Tock (feat. 24kGoldn)</t>
  </si>
  <si>
    <t>Clean Bandit,Mabel,24kGoldn</t>
  </si>
  <si>
    <t>dance pop,edm,pop,pop dance,tropical house,uk dance,uk funky,post-teen pop,uk pop,cali rap,pop rap</t>
  </si>
  <si>
    <t>Forever By Your Side</t>
  </si>
  <si>
    <t>Awakend,Azuria Sky</t>
  </si>
  <si>
    <t>Addicted</t>
  </si>
  <si>
    <t>MVRE,AXYL</t>
  </si>
  <si>
    <t>Beautiful Story, Ugly Life</t>
  </si>
  <si>
    <t>Midoca</t>
  </si>
  <si>
    <t>Anywhere I Go</t>
  </si>
  <si>
    <t>10 Million Thoughts</t>
  </si>
  <si>
    <t>Robi,Catas</t>
  </si>
  <si>
    <t>Sun Comes Up (feat. James Arthur) - Leon Lour Remix</t>
  </si>
  <si>
    <t>Rudimental,James Arthur,Leon Lour</t>
  </si>
  <si>
    <t>dance pop,edm,house,pop,pop dance,tropical house,uk dance,uk funky,talent show,uk pop,pop edm</t>
  </si>
  <si>
    <t>Senseless (feat. Tyler Graves) - Nurko Remix</t>
  </si>
  <si>
    <t>Seven Lions,Tyler Graves,Nurko</t>
  </si>
  <si>
    <t>Gnarly (feat. Lil Pump)</t>
  </si>
  <si>
    <t>Our Story - Hourglass Finale</t>
  </si>
  <si>
    <t>What You're Made Of (feat. Kiesza) - From Azur Lane Original Video Game Soundtrack</t>
  </si>
  <si>
    <t>Lindsey Stirling,Kiesza</t>
  </si>
  <si>
    <t>bow pop,pop violin,electropop,pop edm</t>
  </si>
  <si>
    <t>Kids (feat. MKLA)</t>
  </si>
  <si>
    <t>KSHMR,Stefy De Cicco,MKLA</t>
  </si>
  <si>
    <t>In Flames</t>
  </si>
  <si>
    <t>Dabin,Lexi Norton</t>
  </si>
  <si>
    <t>canadian electronic,edm,electropop,future bass,melodic dubstep,pop dance,pop edm</t>
  </si>
  <si>
    <t>Teeth</t>
  </si>
  <si>
    <t>Invincible - Manila Killa Remix</t>
  </si>
  <si>
    <t>Big Wild,iDA HAWK,Manila Killa</t>
  </si>
  <si>
    <t>indie poptimism,vapor soul,electropop,future bass,indie electropop,melodic dubstep,pop edm,vapor twitch</t>
  </si>
  <si>
    <t>WOW</t>
  </si>
  <si>
    <t>Drugs (We5 Remix)</t>
  </si>
  <si>
    <t>Just Breathe</t>
  </si>
  <si>
    <t>Rival,Cadmium,Jon Becker</t>
  </si>
  <si>
    <t>Essenger</t>
  </si>
  <si>
    <t>Now (feat. Lexie)</t>
  </si>
  <si>
    <t>BOXINBOX,Lionsize,Lexie</t>
  </si>
  <si>
    <t>Bring Me To Life</t>
  </si>
  <si>
    <t>Levianth,Harley Bird,Veronica Bravo</t>
  </si>
  <si>
    <t>bass trap,traprun,la pop</t>
  </si>
  <si>
    <t>Count on Me</t>
  </si>
  <si>
    <t>Charzrd,Ghaspar,Geriel</t>
  </si>
  <si>
    <t>Gravity</t>
  </si>
  <si>
    <t>Cherry Beach</t>
  </si>
  <si>
    <t>-4</t>
  </si>
  <si>
    <t>Weekend</t>
  </si>
  <si>
    <t>Louis The Child,Icona Pop</t>
  </si>
  <si>
    <t>edm,electro house,electropop,pop,pop dance,tropical house,candy pop,dance pop,metropopolis,swedish electropop,swedish synthpop</t>
  </si>
  <si>
    <t>Weekend - Tarro Remix</t>
  </si>
  <si>
    <t>Louis The Child,Icona Pop,Tarro</t>
  </si>
  <si>
    <t>Our Story - Radio Edit</t>
  </si>
  <si>
    <t>Smoke Filled Room</t>
  </si>
  <si>
    <t>Bdy - Joe Mason Remix</t>
  </si>
  <si>
    <t>Stalgia,Joe Mason</t>
  </si>
  <si>
    <t>Surrender</t>
  </si>
  <si>
    <t>Cash Cash</t>
  </si>
  <si>
    <t>dance pop,edm,electro house,electropop,electropowerpop,pop,pop dance,pop edm,tropical house</t>
  </si>
  <si>
    <t>Funny - Stripped</t>
  </si>
  <si>
    <t>Jasmine Thompson,Zedd</t>
  </si>
  <si>
    <t>neo mellow,pop,viral pop,complextro,dance pop,edm,electro house,electropop,german techno,pop dance,pop rap,tropical house</t>
  </si>
  <si>
    <t>You Can Be My Light (feat. Monika Santucci)</t>
  </si>
  <si>
    <t>Trivecta,Nurko,Monika Santucci</t>
  </si>
  <si>
    <t>Last Hurrah</t>
  </si>
  <si>
    <t>Folded Dragons,Amanda Yang,YAEVIN,EthanUno</t>
  </si>
  <si>
    <t>Thirteen Years</t>
  </si>
  <si>
    <t>jbst:arc,Kayla Beck</t>
  </si>
  <si>
    <t>Slow (feat. Kevin Underground)</t>
  </si>
  <si>
    <t>Rich Edwards,Kevin Underground</t>
  </si>
  <si>
    <t>Final Call</t>
  </si>
  <si>
    <t>RUBIKA,Linn Sandin,Airmow</t>
  </si>
  <si>
    <t>Feel Something</t>
  </si>
  <si>
    <t>Anevo,Kayla Diamond</t>
  </si>
  <si>
    <t>deep uplifting trance,future bass,gaming edm,pop edm,canadian pop</t>
  </si>
  <si>
    <t>What We Were</t>
  </si>
  <si>
    <t>Fusionnfire</t>
  </si>
  <si>
    <t>recluse</t>
  </si>
  <si>
    <t>vowl.,Brock Wilson</t>
  </si>
  <si>
    <t>drift phonk,traprun,vapor twitch,wave</t>
  </si>
  <si>
    <t>Alive - Acoustic</t>
  </si>
  <si>
    <t>Dabin,RUNN</t>
  </si>
  <si>
    <t>Temperature</t>
  </si>
  <si>
    <t>Sean Paul</t>
  </si>
  <si>
    <t>dance pop,dancehall,pop,pop rap</t>
  </si>
  <si>
    <t>OTR,Au/Ra</t>
  </si>
  <si>
    <t>indie electropop,vapor soul,vapor twitch,alt z,deep pop edm,electropop,indie poptimism,pop</t>
  </si>
  <si>
    <t>OTR,WYNNE</t>
  </si>
  <si>
    <t>indie electropop,vapor soul,vapor twitch,la pop</t>
  </si>
  <si>
    <t>OTR,Panama</t>
  </si>
  <si>
    <t>indie electropop,vapor soul,vapor twitch,australian indie</t>
  </si>
  <si>
    <t>Rebel</t>
  </si>
  <si>
    <t>OTR,LOWES</t>
  </si>
  <si>
    <t>Downtown</t>
  </si>
  <si>
    <t>Allie X</t>
  </si>
  <si>
    <t>alt z,art pop,canadian electropop,canadian pop,dance pop,dark pop,electropop,escape room,indie poptimism,metropopolis,pop,post-teen pop,tropical house,vapor soul</t>
  </si>
  <si>
    <t>Hold (feat. Daniela Andrade)</t>
  </si>
  <si>
    <t>New</t>
  </si>
  <si>
    <t>Sit Still, Look Pretty</t>
  </si>
  <si>
    <t>Hide Away</t>
  </si>
  <si>
    <t>Stay The Night - Featuring Hayley Williams Of Paramore</t>
  </si>
  <si>
    <t>Zedd,Hayley Williams</t>
  </si>
  <si>
    <t>complextro,dance pop,edm,electro house,electropop,german techno,pop,pop dance,pop rap,tropical house,art pop,indie pop</t>
  </si>
  <si>
    <t>Right Away</t>
  </si>
  <si>
    <t>Solar Skinner</t>
  </si>
  <si>
    <t>These Roots</t>
  </si>
  <si>
    <t>Grey,Stephen</t>
  </si>
  <si>
    <t>Haunted</t>
  </si>
  <si>
    <t>smle,Seann Bowe</t>
  </si>
  <si>
    <t>Meltdown</t>
  </si>
  <si>
    <t>Ponette</t>
  </si>
  <si>
    <t>Up in Flames</t>
  </si>
  <si>
    <t>Sinner's Heist,Emma Sameth</t>
  </si>
  <si>
    <t>Glad</t>
  </si>
  <si>
    <t>Wasback,Elle Vee</t>
  </si>
  <si>
    <t>Beatcore,Ashley Apollodor</t>
  </si>
  <si>
    <t>future bass,gaming edm,melodic dubstep,pop edm</t>
  </si>
  <si>
    <t>Don't Wanna Fall</t>
  </si>
  <si>
    <t>Seven Lions,Last Heroes,HALIENE</t>
  </si>
  <si>
    <t>We'll Meet Again</t>
  </si>
  <si>
    <t>TheFatRat,Laura Brehm</t>
  </si>
  <si>
    <t>speedrun,chillstep,pop edm</t>
  </si>
  <si>
    <t>Past Life (with Selena Gomez)</t>
  </si>
  <si>
    <t>Trevor Daniel,Selena Gomez</t>
  </si>
  <si>
    <t>alternative r&amp;b,melodic rap,pop,pop rap,dance pop,post-teen pop</t>
  </si>
  <si>
    <t>Funny</t>
  </si>
  <si>
    <t>Zedd,Jasmine Thompson</t>
  </si>
  <si>
    <t>complextro,dance pop,edm,electro house,electropop,german techno,pop,pop dance,pop rap,tropical house,neo mellow,viral pop</t>
  </si>
  <si>
    <t>Lonely (with Chandler Leighton)</t>
  </si>
  <si>
    <t>ILLENIUM,Chandler Leighton</t>
  </si>
  <si>
    <t>edm,melodic dubstep,pop,pop dance,tropical house,alt z,la pop</t>
  </si>
  <si>
    <t>Can't Wait</t>
  </si>
  <si>
    <t>Jim Yosef,Anna Yvette</t>
  </si>
  <si>
    <t>Navarra,Swedish Red Elephant</t>
  </si>
  <si>
    <t>swedish tropical house</t>
  </si>
  <si>
    <t>Red Line</t>
  </si>
  <si>
    <t>Anna Yvette</t>
  </si>
  <si>
    <t>In Time</t>
  </si>
  <si>
    <t>DROELOE,Belle Doron</t>
  </si>
  <si>
    <t>Only Be Me</t>
  </si>
  <si>
    <t>Back When (1997)</t>
  </si>
  <si>
    <t>Sunburn</t>
  </si>
  <si>
    <t>Just Now (2017)</t>
  </si>
  <si>
    <t>I CAN'T WAIT</t>
  </si>
  <si>
    <t>Bam Bam</t>
  </si>
  <si>
    <t>Gavin Moss,Yall,Dalvin</t>
  </si>
  <si>
    <t>Oh Man</t>
  </si>
  <si>
    <t>Jain</t>
  </si>
  <si>
    <t>Alright</t>
  </si>
  <si>
    <t>Feu de bois</t>
  </si>
  <si>
    <t>Smog</t>
  </si>
  <si>
    <t>Vitrine</t>
  </si>
  <si>
    <t>Vald,Damso</t>
  </si>
  <si>
    <t>french hip hop,rap conscient,belgian hip hop,pop urbaine,rap belge</t>
  </si>
  <si>
    <t>Ma meilleure amie</t>
  </si>
  <si>
    <t>Dragon</t>
  </si>
  <si>
    <t>Vald,Sofiane</t>
  </si>
  <si>
    <t>french hip hop,rap conscient,francoton,french pop,pop urbaine,rap francais</t>
  </si>
  <si>
    <t>Désaccordé</t>
  </si>
  <si>
    <t>Rappel</t>
  </si>
  <si>
    <t>Mia Vaile,James Mercy</t>
  </si>
  <si>
    <t>Tongue Tied (with YUNGBLUD &amp; blackbear) - Duke &amp; Jones Remix</t>
  </si>
  <si>
    <t>Marshmello,YUNGBLUD,blackbear,Duke &amp; Jones</t>
  </si>
  <si>
    <t>brostep,dance pop,edm,pop,pop dance,progressive electro house,british indie rock,modern rock,rock,electropop,pop rap,uk dance</t>
  </si>
  <si>
    <t>To Ü (feat. AlunaGeorge) - Oliver Remix</t>
  </si>
  <si>
    <t>Jack Ü,Skrillex,Diplo,AlunaGeorge,Oliver</t>
  </si>
  <si>
    <t>edm,electro house,pop dance,brostep,complextro,electro,house,moombahton,ninja,pop,tropical house,electropop,alternative dance,filter house,nu disco</t>
  </si>
  <si>
    <t>Shelter (feat. Melanie Fontana)</t>
  </si>
  <si>
    <t>Jason Ross,Melanie Fontana</t>
  </si>
  <si>
    <t>dubstep,edm,future bass,melodic dubstep,pop dance,pop edm,progressive house,progressive trance</t>
  </si>
  <si>
    <t>Moments</t>
  </si>
  <si>
    <t>MitiS,Adara</t>
  </si>
  <si>
    <t>Dum Dee Dum (Jikay Remix)</t>
  </si>
  <si>
    <t>Keys N Krates,JiKay</t>
  </si>
  <si>
    <t>bass trap,edm,electro house,electronic trap,livetronica,vapor twitch</t>
  </si>
  <si>
    <t>San Francisco</t>
  </si>
  <si>
    <t>Neptunica,Ellipso,Emy Perez</t>
  </si>
  <si>
    <t>german dance,slap house</t>
  </si>
  <si>
    <t>Foreign Place</t>
  </si>
  <si>
    <t>Neptunica,Xhara</t>
  </si>
  <si>
    <t>Neptunica,ROLLUPHILLS</t>
  </si>
  <si>
    <t>german dance,channel pop</t>
  </si>
  <si>
    <t>Lean On (feat. MØ &amp; DJ Snake)</t>
  </si>
  <si>
    <t>Major Lazer,MØ,DJ Snake</t>
  </si>
  <si>
    <t>dance pop,edm,electro house,moombahton,pop,pop dance,pop rap,tropical house,art pop,danish pop,electropop,electronic trap</t>
  </si>
  <si>
    <t>Stitches</t>
  </si>
  <si>
    <t>Shawn Mendes</t>
  </si>
  <si>
    <t>canadian pop,pop,viral pop</t>
  </si>
  <si>
    <t>Treat You Better</t>
  </si>
  <si>
    <t>There's Nothing Holdin' Me Back</t>
  </si>
  <si>
    <t>We Don't Talk Anymore (feat. Selena Gomez)</t>
  </si>
  <si>
    <t>Charlie Puth,Selena Gomez</t>
  </si>
  <si>
    <t>dance pop,pop,viral pop,post-teen pop</t>
  </si>
  <si>
    <t>Downtown - Extended Mix</t>
  </si>
  <si>
    <t>Ranked,Lox Chatterbox,Issa Hater,SCR</t>
  </si>
  <si>
    <t>Commando</t>
  </si>
  <si>
    <t>Julie Bergan</t>
  </si>
  <si>
    <t>norwegian pop,tropical house</t>
  </si>
  <si>
    <t>Galactica</t>
  </si>
  <si>
    <t>Markus Gardeweg,Neptunica</t>
  </si>
  <si>
    <t>pop house,german dance</t>
  </si>
  <si>
    <t>RUNN</t>
  </si>
  <si>
    <t>Heads Will Roll - A-Trak Remix</t>
  </si>
  <si>
    <t>Yeah Yeah Yeahs,A-Trak</t>
  </si>
  <si>
    <t>alternative dance,alternative rock,dance-punk,indie rock,modern rock,new rave,canadian electronic,disco house,edm,electro house,electronic trap,turntablism</t>
  </si>
  <si>
    <t>Take Me - Not Your Dope Remix</t>
  </si>
  <si>
    <t>JiKay,MNKN,Gaby Henshaw,Not Your Dope</t>
  </si>
  <si>
    <t>electronic trap,bass trap,future bass,pop edm,traprun</t>
  </si>
  <si>
    <t>Dont Let Me Go - DJ Maca Atomix Remix</t>
  </si>
  <si>
    <t>XOMA,DJ Maca Atomix</t>
  </si>
  <si>
    <t>Make You Mine</t>
  </si>
  <si>
    <t>Aire Atlantica,Ameria</t>
  </si>
  <si>
    <t>Sweet Liar</t>
  </si>
  <si>
    <t>Powerful - BOXINBOX &amp; Lionsize Remix</t>
  </si>
  <si>
    <t>Major Lazer,Ellie Goulding,Tarrus Riley,BOXINBOX,Lionsize</t>
  </si>
  <si>
    <t>dance pop,edm,electro house,moombahton,pop,pop dance,pop rap,tropical house,electropop,indietronica,metropopolis,uk pop,dancehall,lovers rock,modern reggae,reggae,roots reggae,bass trap,traprun</t>
  </si>
  <si>
    <t>Bloom</t>
  </si>
  <si>
    <t>Dabin,Dia Frampton</t>
  </si>
  <si>
    <t>Forget It</t>
  </si>
  <si>
    <t>BoTalks,Caroline Pennell</t>
  </si>
  <si>
    <t>pop edm,indie poptimism</t>
  </si>
  <si>
    <t>Run Wild (feat. Ina)</t>
  </si>
  <si>
    <t>Ralvero,Ina</t>
  </si>
  <si>
    <t>dutch house,electro house,progressive electro house,finnish pop</t>
  </si>
  <si>
    <t>Covered in Roses</t>
  </si>
  <si>
    <t>Mark The Beast,Akylla</t>
  </si>
  <si>
    <t>Flute - Radio Mix</t>
  </si>
  <si>
    <t>New World Sound,Thomas Newson</t>
  </si>
  <si>
    <t>melbourne bounce international,electro house,progressive electro house,sky room</t>
  </si>
  <si>
    <t>Jump</t>
  </si>
  <si>
    <t>Tomsize,Simeon</t>
  </si>
  <si>
    <t>Until Dawn</t>
  </si>
  <si>
    <t>Jaeger</t>
  </si>
  <si>
    <t>Youth - Adventure Club Remix</t>
  </si>
  <si>
    <t>Foxes,Adventure Club</t>
  </si>
  <si>
    <t>art pop,dance pop,electropop,indie poptimism,metropopolis,tropical house,uk pop,brostep,canadian electronic,edm,electro house,electronic trap,filthstep,future bass,melodic dubstep,pop dance,pop edm</t>
  </si>
  <si>
    <t>Crave You - Adventure Club Remix</t>
  </si>
  <si>
    <t>Flight Facilities</t>
  </si>
  <si>
    <t>alternative dance,aussietronica,australian dance,indie soul,nu disco</t>
  </si>
  <si>
    <t>Limitless (feat. Delaney Jane)</t>
  </si>
  <si>
    <t>Adventure Club,Delaney Jane</t>
  </si>
  <si>
    <t>brostep,canadian electronic,edm,electro house,electronic trap,electropop,filthstep,future bass,melodic dubstep,pop dance,pop edm,alt z,canadian electropop</t>
  </si>
  <si>
    <t>Gold (feat. Yuna)</t>
  </si>
  <si>
    <t>Adventure Club,Yuna</t>
  </si>
  <si>
    <t>brostep,canadian electronic,edm,electro house,electronic trap,electropop,filthstep,future bass,melodic dubstep,pop dance,pop edm,alternative r&amp;b,malaysian pop</t>
  </si>
  <si>
    <t>Rise &amp; Fall (feat. Krewella)</t>
  </si>
  <si>
    <t>Adventure Club</t>
  </si>
  <si>
    <t>brostep,canadian electronic,edm,electro house,electronic trap,electropop,filthstep,future bass,melodic dubstep,pop dance,pop edm</t>
  </si>
  <si>
    <t>Starboy</t>
  </si>
  <si>
    <t>The Weeknd,Daft Punk</t>
  </si>
  <si>
    <t>canadian contemporary r&amp;b,canadian pop,pop,electro,filter house</t>
  </si>
  <si>
    <t>Blinding Lights</t>
  </si>
  <si>
    <t>Back To U</t>
  </si>
  <si>
    <t>SLANDER,William Black</t>
  </si>
  <si>
    <t>dubstep,edm,pop dance,melodic dubstep,pop edm</t>
  </si>
  <si>
    <t>Call Me, I Still Love You - Extended Version</t>
  </si>
  <si>
    <t>Be Kind (with Halsey)</t>
  </si>
  <si>
    <t>Marshmello,Halsey</t>
  </si>
  <si>
    <t>brostep,dance pop,edm,pop,pop dance,progressive electro house,electropop,etherpop,indie poptimism</t>
  </si>
  <si>
    <t>Modern Loneliness - Ritviz Remix</t>
  </si>
  <si>
    <t>Lauv,Ritviz</t>
  </si>
  <si>
    <t>dance pop,electropop,pop,desi hip hop,desi pop,hindi indie,indian edm</t>
  </si>
  <si>
    <t>Todema</t>
  </si>
  <si>
    <t>I Leave Again</t>
  </si>
  <si>
    <t>Petit Biscuit,Shallou</t>
  </si>
  <si>
    <t>tropical house,electropop,indie poptimism,new french touch,vapor soul</t>
  </si>
  <si>
    <t>So Slow</t>
  </si>
  <si>
    <t>The Truth</t>
  </si>
  <si>
    <t>Kygo,Valerie Broussard</t>
  </si>
  <si>
    <t>edm,pop,pop dance,tropical house,alt z,bossbeat,modern alternative pop</t>
  </si>
  <si>
    <t>We Would Never Do</t>
  </si>
  <si>
    <t>Get Away</t>
  </si>
  <si>
    <t>Jaxxtone</t>
  </si>
  <si>
    <t>Fire</t>
  </si>
  <si>
    <t>3LAU,Said The Sky,NÉONHÈART</t>
  </si>
  <si>
    <t>edm,electro house,electronic trap,electropop,mashup,pop dance,pop edm,progressive electro house,progressive house,tropical house,future bass,melodic dubstep,indie electropop</t>
  </si>
  <si>
    <t>Colors - Radio Edit</t>
  </si>
  <si>
    <t>Tritonal,Paris Blohm,Sterling Fox</t>
  </si>
  <si>
    <t>edm,electro house,melodic dubstep,pop dance,pop edm,progressive electro house,progressive house,progressive trance,trance,tropical house,uplifting trance,sky room</t>
  </si>
  <si>
    <t>Into Dust</t>
  </si>
  <si>
    <t>Paris Blohm,Elle Vee</t>
  </si>
  <si>
    <t>edm,electro house,pop dance,pop edm,progressive electro house,sky room</t>
  </si>
  <si>
    <t>Throw Me A Line</t>
  </si>
  <si>
    <t>Highlnd,greisun</t>
  </si>
  <si>
    <t>YDU (pluko Remix)</t>
  </si>
  <si>
    <t>Opia,pluko</t>
  </si>
  <si>
    <t>vapor soul,bass trap,edm,electronic trap,electropop,future bass,vapor twitch</t>
  </si>
  <si>
    <t>Never Gone</t>
  </si>
  <si>
    <t>Said The Sky,Kerli</t>
  </si>
  <si>
    <t>edm,electropop,future bass,melodic dubstep,pop dance,pop edm,tropical house,candy pop,dark pop,estonian pop,indie poptimism,metropopolis</t>
  </si>
  <si>
    <t>Risk It All</t>
  </si>
  <si>
    <t>Out There,Blake Rose</t>
  </si>
  <si>
    <t>traprun,alt z,australian electropop,electropop,pop</t>
  </si>
  <si>
    <t>Je m’en fous (feat. Personne)</t>
  </si>
  <si>
    <t>I'm the One</t>
  </si>
  <si>
    <t>DJ Khaled,Justin Bieber,Quavo,Chance the Rapper,Lil Wayne</t>
  </si>
  <si>
    <t>dance pop,dirty south rap,hip hop,miami hip hop,pop,pop rap,rap,southern hip hop,trap,canadian pop,atl hip hop,melodic rap,chicago rap,conscious hip hop,new orleans rap</t>
  </si>
  <si>
    <t>Jubel - Radio Edit</t>
  </si>
  <si>
    <t>Klingande</t>
  </si>
  <si>
    <t>deep house,deep tropical house,edm,pop dance,tropical house</t>
  </si>
  <si>
    <t>Memories (feat. Kid Cudi)</t>
  </si>
  <si>
    <t>911</t>
  </si>
  <si>
    <t>R3HAB,Timmy Trumpet</t>
  </si>
  <si>
    <t>dance pop,dutch house,edm,electro house,pop,pop dance,progressive electro house,slap house,tropical house,australian dance,big room,melbourne bounce,melbourne bounce international</t>
  </si>
  <si>
    <t>Infinity - Dubdogz &amp; Bhaskar Edit</t>
  </si>
  <si>
    <t>Dubdogz,Bhaskar</t>
  </si>
  <si>
    <t>brazilian bass,brazilian edm,brazilian house</t>
  </si>
  <si>
    <t>Summer Days (feat. Macklemore &amp; Patrick Stump of Fall Out Boy)</t>
  </si>
  <si>
    <t>dance pop,dutch edm,edm,electro house,pop,pop dance,progressive house,tropical house,pop rap,seattle hip hop,emo,modern rock,rock</t>
  </si>
  <si>
    <t>Alone (feat. Anjulie &amp; Jeffrey Jey)</t>
  </si>
  <si>
    <t>Marnik,KSHMR,Anjulie,Jeffrey Jey</t>
  </si>
  <si>
    <t>Thinkin' Bout Myself</t>
  </si>
  <si>
    <t>CMC$,CADE</t>
  </si>
  <si>
    <t>vapor twitch,pop edm</t>
  </si>
  <si>
    <t>Why We Lose</t>
  </si>
  <si>
    <t>Cartoon,Coleman Trapp</t>
  </si>
  <si>
    <t>gaming edm,new school turkce rap</t>
  </si>
  <si>
    <t>Never Giving Up On You</t>
  </si>
  <si>
    <t>Dynasty</t>
  </si>
  <si>
    <t>Elephante,MIIA</t>
  </si>
  <si>
    <t>edm,electropop,future bass,pop dance,pop edm,tropical house,norwegian pop</t>
  </si>
  <si>
    <t>Watch Me Fall</t>
  </si>
  <si>
    <t>The Lifted,Ashliann</t>
  </si>
  <si>
    <t>Mr Sandman (feat. Ashliann)</t>
  </si>
  <si>
    <t>Turn Back Time</t>
  </si>
  <si>
    <t>Meric</t>
  </si>
  <si>
    <t>After Dawn</t>
  </si>
  <si>
    <t>Jaeger,Meric Again</t>
  </si>
  <si>
    <t>Take Off (feat. Paul Rey)</t>
  </si>
  <si>
    <t>Meric Again,Paul Rey</t>
  </si>
  <si>
    <t>eurovision,swedish pop</t>
  </si>
  <si>
    <t>Breathe 2.0</t>
  </si>
  <si>
    <t>MIA (Dead Robot Remix)</t>
  </si>
  <si>
    <t>Anarbor,Dead Robot</t>
  </si>
  <si>
    <t>modern rock,neon pop punk,pop emo,pop punk,rock</t>
  </si>
  <si>
    <t>Where I Won't Be Found</t>
  </si>
  <si>
    <t>Seven Lions,NÉONHÈART</t>
  </si>
  <si>
    <t>dubstep,edm,electro house,future bass,melodic dubstep,pop dance,pop edm,progressive trance,indie electropop</t>
  </si>
  <si>
    <t>Without You My Love</t>
  </si>
  <si>
    <t>Seven Lions,Rico &amp; Miella</t>
  </si>
  <si>
    <t>dubstep,edm,electro house,future bass,melodic dubstep,pop dance,pop edm,progressive trance,nyc pop</t>
  </si>
  <si>
    <t>Without You My Love (Trivecta Remix)</t>
  </si>
  <si>
    <t>Seven Lions,Rico &amp; Miella,Trivecta</t>
  </si>
  <si>
    <t>dubstep,edm,electro house,future bass,melodic dubstep,pop dance,pop edm,progressive trance,nyc pop,chillstep,gaming edm</t>
  </si>
  <si>
    <t>All I Ever Wanted - Radio Edit</t>
  </si>
  <si>
    <t>Basshunter</t>
  </si>
  <si>
    <t>dance pop,eurodance,europop</t>
  </si>
  <si>
    <t>DotA - Radio Edit</t>
  </si>
  <si>
    <t>Blow Up</t>
  </si>
  <si>
    <t>All These Thoughts</t>
  </si>
  <si>
    <t>Things Are Gonna Get Better</t>
  </si>
  <si>
    <t>Struggle</t>
  </si>
  <si>
    <t>Potions</t>
  </si>
  <si>
    <t>SLANDER,Said The Sky,JT Roach</t>
  </si>
  <si>
    <t>dubstep,edm,pop dance,electropop,future bass,melodic dubstep,pop edm,tropical house</t>
  </si>
  <si>
    <t>Love Is Gone</t>
  </si>
  <si>
    <t>SLANDER,Dylan Matthew</t>
  </si>
  <si>
    <t>dubstep,edm,pop dance</t>
  </si>
  <si>
    <t>Rihanna,Mikky Ekko</t>
  </si>
  <si>
    <t>barbadian pop,dance pop,pop,urban contemporary,nashville indie</t>
  </si>
  <si>
    <t>Umbrella</t>
  </si>
  <si>
    <t>Rihanna,JAY-Z</t>
  </si>
  <si>
    <t>barbadian pop,dance pop,pop,urban contemporary,east coast hip hop,hip hop,rap</t>
  </si>
  <si>
    <t>Ritual</t>
  </si>
  <si>
    <t>Tiësto,Jonas Blue,Rita Ora</t>
  </si>
  <si>
    <t>big room,brostep,dance pop,dutch edm,edm,house,pop,pop dance,slap house,trance,tropical house,uk dance,pop rap,post-teen pop,uk pop</t>
  </si>
  <si>
    <t>Ciao Adios</t>
  </si>
  <si>
    <t>Anne-Marie</t>
  </si>
  <si>
    <t>dance pop,pop,pop dance,post-teen pop,tropical house,uk pop</t>
  </si>
  <si>
    <t>So Am I</t>
  </si>
  <si>
    <t>Kings &amp; Queens</t>
  </si>
  <si>
    <t>Abyss</t>
  </si>
  <si>
    <t>Skan,Tenka</t>
  </si>
  <si>
    <t>Tell Me</t>
  </si>
  <si>
    <t>Take/Five</t>
  </si>
  <si>
    <t>bass trap,electronic trap,traprun,vapor twitch</t>
  </si>
  <si>
    <t>I Still Miss U</t>
  </si>
  <si>
    <t>Otherwise Fine</t>
  </si>
  <si>
    <t>Blue Skies - REVOKE Remix</t>
  </si>
  <si>
    <t>Lenka,Damian Taylor,John Spiker</t>
  </si>
  <si>
    <t>Matisse &amp; Sadko,Hanne Mjøen</t>
  </si>
  <si>
    <t>edm,electro house,pop dance,pop edm,progressive electro house,progressive house,russian edm,melodipop,norwegian pop</t>
  </si>
  <si>
    <t>156</t>
  </si>
  <si>
    <t>Dreams</t>
  </si>
  <si>
    <t>The FifthGuys,SEELO,Mona V</t>
  </si>
  <si>
    <t>10 Victoria's Secret Models - Whethan Remix</t>
  </si>
  <si>
    <t>MAX,Whethan</t>
  </si>
  <si>
    <t>dance pop,electropop,pop,post-teen pop,viral pop</t>
  </si>
  <si>
    <t>Tristam</t>
  </si>
  <si>
    <t>Alarm - Marshmello Remix</t>
  </si>
  <si>
    <t>Anne-Marie,Marshmello</t>
  </si>
  <si>
    <t>dance pop,pop,pop dance,post-teen pop,tropical house,uk pop,brostep,edm,progressive electro house</t>
  </si>
  <si>
    <t>O.G</t>
  </si>
  <si>
    <t>TroyBoi</t>
  </si>
  <si>
    <t>bass trap,edm,electro house,electronic trap</t>
  </si>
  <si>
    <t>In Your Arms (with X Ambassadors) - Stripped</t>
  </si>
  <si>
    <t>The Pressure</t>
  </si>
  <si>
    <t>Do You?</t>
  </si>
  <si>
    <t>Where Are You Now (feat. Bright Lights)</t>
  </si>
  <si>
    <t>Zeds Dead,Dirtyphonics,Bright Lights</t>
  </si>
  <si>
    <t>brostep,canadian electronic,dubstep,edm,electro house,electronic trap,progressive electro house,vapor twitch,complextro,drum and bass,french dnb,gaming dubstep,jump up,melodic dubstep</t>
  </si>
  <si>
    <t>Overkill</t>
  </si>
  <si>
    <t>RIOT</t>
  </si>
  <si>
    <t>dubstep,electro house</t>
  </si>
  <si>
    <t>Wake Up</t>
  </si>
  <si>
    <t>Kayzo,RIOT</t>
  </si>
  <si>
    <t>brostep,dubstep,edm,electro house,electronic trap</t>
  </si>
  <si>
    <t>Another Me (with Dylan Matthew)</t>
  </si>
  <si>
    <t>Seven Lions,Excision,Wooli,Dylan Matthew</t>
  </si>
  <si>
    <t>dubstep,edm,electro house,future bass,melodic dubstep,pop dance,pop edm,progressive trance,brostep,canadian electronic,electronic trap,gaming dubstep</t>
  </si>
  <si>
    <t>Bring The Madness - Noisestorm Remix</t>
  </si>
  <si>
    <t>Pegboard Nerds,Excision,Mayor Apeshit,Noisestorm</t>
  </si>
  <si>
    <t>brostep,danish electronic,edm,electro house,gaming edm,glitch,speedrun,canadian electronic,chillstep,complextro,dancefloor dnb</t>
  </si>
  <si>
    <t>Unicorn Zombie Apocalypse</t>
  </si>
  <si>
    <t>Borgore,Sikdope</t>
  </si>
  <si>
    <t>brostep,classic dubstep,dubstep,edm,electro house,electronic trap,bass house,gaming dubstep</t>
  </si>
  <si>
    <t>Neck And Neck - DNMO Remix</t>
  </si>
  <si>
    <t>Zeds Dead,Dragonette,DNMO</t>
  </si>
  <si>
    <t>brostep,canadian electronic,dubstep,edm,electro house,electronic trap,progressive electro house,vapor twitch,canadian electropop,canadian pop,dance rock,electropop,metropopolis,neo-synthpop,uk dance</t>
  </si>
  <si>
    <t>Rescue</t>
  </si>
  <si>
    <t>Zeds Dead,Dion Timmer,Delaney Jane</t>
  </si>
  <si>
    <t>brostep,canadian electronic,dubstep,edm,electro house,electronic trap,progressive electro house,vapor twitch,deathstep,gaming dubstep,gaming edm,melodic dubstep,alt z,canadian electropop</t>
  </si>
  <si>
    <t>Death &amp; Desire (feat. Harrison)</t>
  </si>
  <si>
    <t>Knife Party,Harrison</t>
  </si>
  <si>
    <t>australian dance,brostep,complextro,edm,electro house,moombahton</t>
  </si>
  <si>
    <t>Centipede</t>
  </si>
  <si>
    <t>Knife Party</t>
  </si>
  <si>
    <t>Bonfire</t>
  </si>
  <si>
    <t>Coming Over (feat. James Hersey)</t>
  </si>
  <si>
    <t>Dillon Francis,Kygo,James Hersey</t>
  </si>
  <si>
    <t>brostep,dance pop,edm,electro house,electronic trap,electropop,house,moombahton,pop,pop dance,slap house,tropical house</t>
  </si>
  <si>
    <t>Get Low</t>
  </si>
  <si>
    <t>Dillon Francis,DJ Snake</t>
  </si>
  <si>
    <t>brostep,dance pop,edm,electro house,electronic trap,electropop,house,moombahton,pop,pop dance,slap house,tropical house,pop rap</t>
  </si>
  <si>
    <t>Would You Ever</t>
  </si>
  <si>
    <t>Skrillex,Poo Bear</t>
  </si>
  <si>
    <t>brostep,complextro,edm,electro,pop r&amp;b</t>
  </si>
  <si>
    <t>Never Be Like You</t>
  </si>
  <si>
    <t>Flume,kai</t>
  </si>
  <si>
    <t>australian dance,australian electropop,australian indie,downtempo,edm</t>
  </si>
  <si>
    <t>Never Be Like You - Disclosure Remix</t>
  </si>
  <si>
    <t>Mind (feat. Kai)</t>
  </si>
  <si>
    <t>HUMBLE. - SKRILLEX REMIX</t>
  </si>
  <si>
    <t>Skrillex,Kendrick Lamar</t>
  </si>
  <si>
    <t>brostep,complextro,edm,electro,conscious hip hop,hip hop,rap,west coast rap</t>
  </si>
  <si>
    <t>HUMBLE.</t>
  </si>
  <si>
    <t>Nobody Compares To You (feat. Katie Pearlman)</t>
  </si>
  <si>
    <t>Gryffin,Katie Pearlman</t>
  </si>
  <si>
    <t>dance pop,edm,pop,pop dance,tropical house,gen z singer-songwriter</t>
  </si>
  <si>
    <t>Tie Me Down (with Elley Duhé)</t>
  </si>
  <si>
    <t>Gryffin,Elley Duhé</t>
  </si>
  <si>
    <t>dance pop,edm,pop,pop dance,tropical house,alt z</t>
  </si>
  <si>
    <t>Just For A Moment (feat. Iselin)</t>
  </si>
  <si>
    <t>Gryffin,Iselin</t>
  </si>
  <si>
    <t>dance pop,edm,pop,pop dance,tropical house,norwegian pop</t>
  </si>
  <si>
    <t>All You Need To Know (feat. Calle Lehmann)</t>
  </si>
  <si>
    <t>Gryffin,SLANDER,Calle Lehmann</t>
  </si>
  <si>
    <t>dance pop,edm,pop,pop dance,tropical house,dubstep</t>
  </si>
  <si>
    <t>Body Back (feat. Maia Wright)</t>
  </si>
  <si>
    <t>Gryffin,Maia Wright</t>
  </si>
  <si>
    <t>dance pop,edm,pop,pop dance,tropical house,vocal trance</t>
  </si>
  <si>
    <t>Like It Is</t>
  </si>
  <si>
    <t>Kygo,Zara Larsson,Tyga</t>
  </si>
  <si>
    <t>edm,pop,pop dance,tropical house,dance pop,electropop,post-teen pop,scandipop,swedish electropop,swedish pop,hip hop,pop rap,rap,southern hip hop,trap</t>
  </si>
  <si>
    <t>Feel Me</t>
  </si>
  <si>
    <t>1000 Nights</t>
  </si>
  <si>
    <t>FRENSHIP</t>
  </si>
  <si>
    <t>electropop,indie poptimism,la pop,pop dance,pop rock,tropical house</t>
  </si>
  <si>
    <t>Here at Last</t>
  </si>
  <si>
    <t>William Black,Rico &amp; Miella</t>
  </si>
  <si>
    <t>edm,melodic dubstep,pop dance,pop edm,nyc pop</t>
  </si>
  <si>
    <t>Wasted On You</t>
  </si>
  <si>
    <t>William Black,Sara Skinner</t>
  </si>
  <si>
    <t>edm,melodic dubstep,pop dance,pop edm</t>
  </si>
  <si>
    <t>Take Me</t>
  </si>
  <si>
    <t>William Black,Matte,RUNN</t>
  </si>
  <si>
    <t>Back Together</t>
  </si>
  <si>
    <t>William Black,RUNN</t>
  </si>
  <si>
    <t>Contagious</t>
  </si>
  <si>
    <t>Grant,RUNN</t>
  </si>
  <si>
    <t>Demons (feat. RUNN)</t>
  </si>
  <si>
    <t>Bear Grillz,RUNN</t>
  </si>
  <si>
    <t>Trivecta,Amidy,RØRY</t>
  </si>
  <si>
    <t>Boyfriend</t>
  </si>
  <si>
    <t>Gunning For You (feat. Nevve)</t>
  </si>
  <si>
    <t>Miso &amp; Memories</t>
  </si>
  <si>
    <t>Just A Gent,Xavi,Akira Flay</t>
  </si>
  <si>
    <t>Heading Home</t>
  </si>
  <si>
    <t>Alan Walker,Ruben</t>
  </si>
  <si>
    <t>electro house,norwegian pop,tropical house</t>
  </si>
  <si>
    <t>Leave It All Behind (feat. Fagin)</t>
  </si>
  <si>
    <t>Trivecta,Fagin</t>
  </si>
  <si>
    <t>Obsession</t>
  </si>
  <si>
    <t>SNBRN</t>
  </si>
  <si>
    <t>Potions - TYNAN Remix</t>
  </si>
  <si>
    <t>SLANDER,Said The Sky,JT Roach,TYNAN</t>
  </si>
  <si>
    <t>dubstep,edm,pop dance,electropop,future bass,melodic dubstep,pop edm,tropical house,brostep,electro house,electronic trap,gaming dubstep</t>
  </si>
  <si>
    <t>I'll Wait</t>
  </si>
  <si>
    <t>Kygo,Sasha Alex Sloan</t>
  </si>
  <si>
    <t>edm,pop,pop dance,tropical house,alt z,electropop</t>
  </si>
  <si>
    <t>Feel Something (With I Prevail)</t>
  </si>
  <si>
    <t>ILLENIUM,Excision,I Prevail</t>
  </si>
  <si>
    <t>edm,melodic dubstep,pop,pop dance,tropical house,brostep,canadian electronic,electro house,nu-metalcore</t>
  </si>
  <si>
    <t>Chlorine</t>
  </si>
  <si>
    <t>The Way I Are</t>
  </si>
  <si>
    <t>Timbaland,Keri Hilson,D.O.E.</t>
  </si>
  <si>
    <t>dance pop,hip hop,hip pop,pop,pop rap,urban contemporary,post-teen pop,r&amp;b</t>
  </si>
  <si>
    <t>Show Yourself</t>
  </si>
  <si>
    <t>Idina Menzel,Evan Rachel Wood</t>
  </si>
  <si>
    <t>hollywood,show tunes</t>
  </si>
  <si>
    <t>Into the Unknown</t>
  </si>
  <si>
    <t>Idina Menzel,AURORA</t>
  </si>
  <si>
    <t>hollywood,show tunes,art pop,norwegian pop</t>
  </si>
  <si>
    <t>Ahrix</t>
  </si>
  <si>
    <t>Ignite</t>
  </si>
  <si>
    <t>Alan Walker,Julie Bergan,K-391,SEUNGRI</t>
  </si>
  <si>
    <t>electro house,norwegian pop,tropical house,nordic house,pop dance,k-pop</t>
  </si>
  <si>
    <t>Critical Crystal - Bd Mix</t>
  </si>
  <si>
    <t>Seiryu</t>
  </si>
  <si>
    <t>rhythm game</t>
  </si>
  <si>
    <t>Blue Dragon</t>
  </si>
  <si>
    <t>End of Time</t>
  </si>
  <si>
    <t>K-391,Alan Walker,Ahrix</t>
  </si>
  <si>
    <t>nordic house,pop dance,electro house,gaming edm</t>
  </si>
  <si>
    <t>Unholy - Original Mix</t>
  </si>
  <si>
    <t>Wolfgang Gartner,Bobby Saint</t>
  </si>
  <si>
    <t>complextro,edm,electro house,house,barbadian pop</t>
  </si>
  <si>
    <t>Ghosts</t>
  </si>
  <si>
    <t>Jacob Tillberg,Johnning</t>
  </si>
  <si>
    <t>Sun Comes Up (feat. James Arthur)</t>
  </si>
  <si>
    <t>Rudimental,James Arthur</t>
  </si>
  <si>
    <t>dance pop,edm,house,pop,pop dance,tropical house,uk dance,uk funky,talent show,uk pop</t>
  </si>
  <si>
    <t>Casanova</t>
  </si>
  <si>
    <t>Mind Games</t>
  </si>
  <si>
    <t>Often</t>
  </si>
  <si>
    <t>Intro (Infected)</t>
  </si>
  <si>
    <t>Wonderwall</t>
  </si>
  <si>
    <t>beatlesque,britpop,madchester,permanent wave,rock</t>
  </si>
  <si>
    <t>Whole</t>
  </si>
  <si>
    <t>Chime,Adam Tell</t>
  </si>
  <si>
    <t>dubstep,electro house,future bass,gaming dubstep,gaming edm,melodic dubstep</t>
  </si>
  <si>
    <t>Erase Me</t>
  </si>
  <si>
    <t>Said The Sky,NÉONHÈART</t>
  </si>
  <si>
    <t>edm,electropop,future bass,melodic dubstep,pop dance,pop edm,tropical house,indie electropop</t>
  </si>
  <si>
    <t>Instant Crush (feat. Julian Casablancas)</t>
  </si>
  <si>
    <t>If I Had A Heart</t>
  </si>
  <si>
    <t>Karin Dreijer Andersson,Fever Ray</t>
  </si>
  <si>
    <t>alternative dance,art pop,dark pop,electronica,electropop,swedish electropop,swedish synth,swedish synthpop</t>
  </si>
  <si>
    <t>everything i wanted</t>
  </si>
  <si>
    <t>Looking Back</t>
  </si>
  <si>
    <t>Panda Eyes,Mindy</t>
  </si>
  <si>
    <t>Congratulations</t>
  </si>
  <si>
    <t>Don Diablo,Brando</t>
  </si>
  <si>
    <t>Out Of The Dark</t>
  </si>
  <si>
    <t>RBYN</t>
  </si>
  <si>
    <t>Uppermost</t>
  </si>
  <si>
    <t>complextro,electro house,new french touch</t>
  </si>
  <si>
    <t>Beautiful Light</t>
  </si>
  <si>
    <t>Flashback</t>
  </si>
  <si>
    <t>Keep The Lights On</t>
  </si>
  <si>
    <t>PsoGnar</t>
  </si>
  <si>
    <t>Dead Flowers</t>
  </si>
  <si>
    <t>Nightlane,Jordyn Kane</t>
  </si>
  <si>
    <t>Even LA</t>
  </si>
  <si>
    <t>Snareskin,Twan Ray</t>
  </si>
  <si>
    <t>Freeze Time - Halcyon Remix</t>
  </si>
  <si>
    <t>Manse,Alice Berg</t>
  </si>
  <si>
    <t>big room,edm,electro house,pop dance,pop edm,progressive electro house,progressive house,sky room,swedish electropop</t>
  </si>
  <si>
    <t>Believe</t>
  </si>
  <si>
    <t>Elliot Berger,Laura Brehm</t>
  </si>
  <si>
    <t>chillstep,gaming edm,melodic dubstep,pop edm</t>
  </si>
  <si>
    <t>Skies</t>
  </si>
  <si>
    <t>Raphael Leto</t>
  </si>
  <si>
    <t>Infinity Love</t>
  </si>
  <si>
    <t>Together</t>
  </si>
  <si>
    <t>Raphael Leto,DYSTOPIA</t>
  </si>
  <si>
    <t>Lose My Mind (feat. DNAKM)</t>
  </si>
  <si>
    <t>Raphael Leto,DNAKM</t>
  </si>
  <si>
    <t>show me - Duumu Remix</t>
  </si>
  <si>
    <t>San Holo,Duumu</t>
  </si>
  <si>
    <t>edm,electronic trap,electropop,future bass,pop dance,pop edm,vapor twitch,electro house,gaming edm,melodic dubstep</t>
  </si>
  <si>
    <t>Save My Grave</t>
  </si>
  <si>
    <t>Zeds Dead,DNMO,GG Magree</t>
  </si>
  <si>
    <t>brostep,canadian electronic,dubstep,edm,electro house,electronic trap,progressive electro house,vapor twitch,uk dance</t>
  </si>
  <si>
    <t>More Than OK (with Clara Mae)</t>
  </si>
  <si>
    <t>R3HAB,Clara Mae,Frank Walker</t>
  </si>
  <si>
    <t>dance pop,dutch house,edm,electro house,pop,pop dance,progressive electro house,slap house,tropical house,alt z,electropop,post-teen pop,swedish pop,pop edm</t>
  </si>
  <si>
    <t>Smile Without U (feat. Nevve)</t>
  </si>
  <si>
    <t>Fairy Tale</t>
  </si>
  <si>
    <t>Ekali,Elohim</t>
  </si>
  <si>
    <t>canadian electronic,edm,electro house,electronic trap,electropop,future bass,indie electropop,melodic dubstep,pop dance,pop edm,vapor twitch,alt z,indie poptimism,indietronica,la pop,vapor soul</t>
  </si>
  <si>
    <t>Forever Yours - Avicii Tribute</t>
  </si>
  <si>
    <t>Kygo,Avicii,Sandro Cavazza</t>
  </si>
  <si>
    <t>edm,pop,pop dance,tropical house,dance pop,pop rap,swedish pop</t>
  </si>
  <si>
    <t>RAISE MY SWORD</t>
  </si>
  <si>
    <t>GALNERYUS</t>
  </si>
  <si>
    <t>j-metal,japanese power metal,neo classical metal,power metal,visual kei</t>
  </si>
  <si>
    <t>Freak Like Me (feat. Melody Thornton)</t>
  </si>
  <si>
    <t>Harrison,Melody Thornton</t>
  </si>
  <si>
    <t>Tell Me Why - Radio Edit</t>
  </si>
  <si>
    <t>On &amp; On</t>
  </si>
  <si>
    <t>Alok,Dynoro</t>
  </si>
  <si>
    <t>electro house,pop nacional,slap house,edm,pop dance,tropical house</t>
  </si>
  <si>
    <t>Alok,Harrison</t>
  </si>
  <si>
    <t>electro house,pop nacional,slap house</t>
  </si>
  <si>
    <t>Favorite Part Of Me</t>
  </si>
  <si>
    <t>Astrid S</t>
  </si>
  <si>
    <t>alt z,dance pop,electropop,norwegian pop,pop,post-teen pop,tropical house</t>
  </si>
  <si>
    <t>a.i.ngel (Become God)</t>
  </si>
  <si>
    <t>Virtual Self</t>
  </si>
  <si>
    <t>Wait Anymore</t>
  </si>
  <si>
    <t>Kiss Somebody</t>
  </si>
  <si>
    <t>Julie Bergan,Seeb</t>
  </si>
  <si>
    <t>norwegian pop,tropical house,dance pop,edm,electro house,pop,pop dance,pop edm</t>
  </si>
  <si>
    <t>Alone (feat. Anjulie &amp; Jeffrey Jey) - Club Mix</t>
  </si>
  <si>
    <t>Cellophane</t>
  </si>
  <si>
    <t>Ella Vos</t>
  </si>
  <si>
    <t>alt z,electropop,indie electropop,indie poptimism,la pop</t>
  </si>
  <si>
    <t>Houndin</t>
  </si>
  <si>
    <t>beauty is not a need, she is an ecstasy [respirate]</t>
  </si>
  <si>
    <t>Crywolf,Charity Vance</t>
  </si>
  <si>
    <t>chillstep,edm,indie poptimism,melodic dubstep</t>
  </si>
  <si>
    <t>Stay Forever (feat. STRFKR)</t>
  </si>
  <si>
    <t>Whethan,STRFKR</t>
  </si>
  <si>
    <t>edm,electropop,hyperpop,indie poptimism,vapor twitch,chillwave,indie rock,indietronica,modern rock</t>
  </si>
  <si>
    <t>isohel</t>
  </si>
  <si>
    <t>EDEN</t>
  </si>
  <si>
    <t>Hard To Say Goodbye (feat. Chloe Angelides)</t>
  </si>
  <si>
    <t>Ekali,ILLENIUM,Chloe Angelides</t>
  </si>
  <si>
    <t>canadian electronic,edm,electro house,electronic trap,electropop,future bass,indie electropop,melodic dubstep,pop dance,pop edm,vapor twitch,pop,tropical house</t>
  </si>
  <si>
    <t>Draper</t>
  </si>
  <si>
    <t>chillstep,complextro,edm,electro house,future bass,gaming edm,melodic dubstep,pop edm</t>
  </si>
  <si>
    <t>Whispers (feat. Avonlea)</t>
  </si>
  <si>
    <t>Oshi,Avonlea</t>
  </si>
  <si>
    <t>Kiss Me When You Go</t>
  </si>
  <si>
    <t>Waysons,Shel Bee</t>
  </si>
  <si>
    <t>gaming edm,swiss techno</t>
  </si>
  <si>
    <t>Peter Kiemann,Kalide,Bianca</t>
  </si>
  <si>
    <t>Anthem</t>
  </si>
  <si>
    <t>Daza,Barbara Olfers</t>
  </si>
  <si>
    <t>Chance</t>
  </si>
  <si>
    <t>will crockford,Akacia</t>
  </si>
  <si>
    <t>Crazy in Love</t>
  </si>
  <si>
    <t>Sekai</t>
  </si>
  <si>
    <t>Painting With Dreams (Nothing Like Them)</t>
  </si>
  <si>
    <t>Tritonal,SHY Martin</t>
  </si>
  <si>
    <t>edm,electro house,melodic dubstep,pop dance,pop edm,progressive electro house,progressive house,progressive trance,trance,tropical house,uplifting trance,alt z,electropop,pop,swedish electropop</t>
  </si>
  <si>
    <t>Tritonal,Jenaux,Adam Lambert</t>
  </si>
  <si>
    <t>edm,electro house,melodic dubstep,pop dance,pop edm,progressive electro house,progressive house,progressive trance,trance,tropical house,uplifting trance,dance pop,idol,pop,post-teen pop</t>
  </si>
  <si>
    <t>Blackout</t>
  </si>
  <si>
    <t>Tritonal,Steph Jones</t>
  </si>
  <si>
    <t>edm,electro house,melodic dubstep,pop dance,pop edm,progressive electro house,progressive house,progressive trance,trance,tropical house,uplifting trance</t>
  </si>
  <si>
    <t>Waiting 4 U</t>
  </si>
  <si>
    <t>Tritonal</t>
  </si>
  <si>
    <t>Getaway</t>
  </si>
  <si>
    <t>Tritonal,Angel Taylor</t>
  </si>
  <si>
    <t>edm,electro house,melodic dubstep,pop dance,pop edm,progressive electro house,progressive house,progressive trance,trance,tropical house,uplifting trance,acoustic pop</t>
  </si>
  <si>
    <t>Unique</t>
  </si>
  <si>
    <t>YVR</t>
  </si>
  <si>
    <t>Ashes</t>
  </si>
  <si>
    <t>Lux Holm</t>
  </si>
  <si>
    <t>The One (with Londin Thompson)</t>
  </si>
  <si>
    <t>Dreweybear,Londin Thompson</t>
  </si>
  <si>
    <t>Getting Closer</t>
  </si>
  <si>
    <t>Almost Weekend,Lux Holm,Harley Bird</t>
  </si>
  <si>
    <t>pop edm,la pop</t>
  </si>
  <si>
    <t>Falling For You</t>
  </si>
  <si>
    <t>Lux Holm,Alvaro Delgado,Harley Bird</t>
  </si>
  <si>
    <t>Take You Away</t>
  </si>
  <si>
    <t>Lux Holm,Glaceo</t>
  </si>
  <si>
    <t>Paranoid</t>
  </si>
  <si>
    <t>Right Here Right Now</t>
  </si>
  <si>
    <t>No Sense</t>
  </si>
  <si>
    <t>Levianth,VVSV,SAN-G</t>
  </si>
  <si>
    <t>bass trap,traprun,arab trap</t>
  </si>
  <si>
    <t>Cruel</t>
  </si>
  <si>
    <t>Tobu</t>
  </si>
  <si>
    <t>Sera</t>
  </si>
  <si>
    <t>Midsplit,A-SHO</t>
  </si>
  <si>
    <t>pop edm,slap house,canadian electronic</t>
  </si>
  <si>
    <t>So Fire (feat. Max Landry)</t>
  </si>
  <si>
    <t>DIVISION,Capree,Max Landry</t>
  </si>
  <si>
    <t>Better for You</t>
  </si>
  <si>
    <t>DIVISION</t>
  </si>
  <si>
    <t>Never See Tomorrow</t>
  </si>
  <si>
    <t>All of Me (feat. Logic, ROZES)</t>
  </si>
  <si>
    <t>Big Gigantic,Logic,ROZES</t>
  </si>
  <si>
    <t>edm,electronic trap,electropop,vapor twitch,conscious hip hop,dmv rap,hip hop,pop rap,rap,indie poptimism,pop edm</t>
  </si>
  <si>
    <t>PS GFY</t>
  </si>
  <si>
    <t>GRiZ,Cherub</t>
  </si>
  <si>
    <t>edm,electropop,jamtronica,jazztronica,livetronica</t>
  </si>
  <si>
    <t>Griztronics</t>
  </si>
  <si>
    <t>GRiZ,Subtronics</t>
  </si>
  <si>
    <t>edm,electropop,jamtronica,jazztronica,livetronica,dubstep,electro house,electronic trap</t>
  </si>
  <si>
    <t>Requiem for a Dream</t>
  </si>
  <si>
    <t>Scott Benson Band</t>
  </si>
  <si>
    <t>epicore</t>
  </si>
  <si>
    <t>ANGEL VOICES</t>
  </si>
  <si>
    <t>Ghost Voices</t>
  </si>
  <si>
    <t>Particle Arts</t>
  </si>
  <si>
    <t>EON BREAK</t>
  </si>
  <si>
    <t>Do I Wanna Know?</t>
  </si>
  <si>
    <t>Arctic Monkeys</t>
  </si>
  <si>
    <t>garage rock,permanent wave,rock,sheffield indie</t>
  </si>
  <si>
    <t>Take Me Home (feat. Bebe Rexha)</t>
  </si>
  <si>
    <t>Cash Cash,Bebe Rexha</t>
  </si>
  <si>
    <t>dance pop,edm,electro house,electropop,electropowerpop,pop,pop dance,pop edm,tropical house,post-teen pop</t>
  </si>
  <si>
    <t>Millionaire (feat. Nelly)</t>
  </si>
  <si>
    <t>Digital Farm Animals,Cash Cash,Nelly</t>
  </si>
  <si>
    <t>uk dance,dance pop,edm,electro house,electropop,electropowerpop,pop,pop dance,pop edm,tropical house,gangster rap,hip hop,pop rap,rap,southern hip hop,st louis rap,urban contemporary</t>
  </si>
  <si>
    <t>Still Looking - CESQEAUX Remix</t>
  </si>
  <si>
    <t>San Holo,Cesqeaux</t>
  </si>
  <si>
    <t>edm,electronic trap,electropop,future bass,pop dance,pop edm,vapor twitch,bass trap,electro house</t>
  </si>
  <si>
    <t>How to Love (feat. Sofia Reyes)</t>
  </si>
  <si>
    <t>Cash Cash,Sofía Reyes</t>
  </si>
  <si>
    <t>dance pop,edm,electro house,electropop,electropowerpop,pop,pop dance,pop edm,tropical house,latin,latin pop,mexican pop,reggaeton,trap latino</t>
  </si>
  <si>
    <t>Anything</t>
  </si>
  <si>
    <t>Villms,Karra</t>
  </si>
  <si>
    <t>Follow the Signs</t>
  </si>
  <si>
    <t>Laura Brehm,Draper</t>
  </si>
  <si>
    <t>chillstep,pop edm,complextro,edm,electro house,future bass,gaming edm,melodic dubstep</t>
  </si>
  <si>
    <t>Pressure</t>
  </si>
  <si>
    <t>Draper,Laura Brehm</t>
  </si>
  <si>
    <t>All I See</t>
  </si>
  <si>
    <t>Every Breath I Take</t>
  </si>
  <si>
    <t>NGHTIME!,Cammie Robinson</t>
  </si>
  <si>
    <t>Never Gonna Stop (feat. Aviella)</t>
  </si>
  <si>
    <t>Aash Mehta,Aviella</t>
  </si>
  <si>
    <t>Loko</t>
  </si>
  <si>
    <t>Nitti Gritti,Ookay</t>
  </si>
  <si>
    <t>dubstep,edm,electro house,electronic trap,future bass,pop edm,vapor twitch</t>
  </si>
  <si>
    <t>Favorite Part Of Me - R3HAB Remix</t>
  </si>
  <si>
    <t>Astrid S,R3HAB</t>
  </si>
  <si>
    <t>alt z,dance pop,electropop,norwegian pop,pop,post-teen pop,tropical house,dutch house,edm,electro house,pop dance,progressive electro house,slap house</t>
  </si>
  <si>
    <t>Oops!... I Did It Again</t>
  </si>
  <si>
    <t>why mona,Unlike Pluto,Joanna Jones</t>
  </si>
  <si>
    <t>la pop,indie poptimism,modern alternative rock,modern rock</t>
  </si>
  <si>
    <t>Like This</t>
  </si>
  <si>
    <t>Popeska</t>
  </si>
  <si>
    <t>Bulletproof (with XYLØ)</t>
  </si>
  <si>
    <t>The Score,XYLØ</t>
  </si>
  <si>
    <t>modern alternative rock,modern rock,rock,alt z,electropop,indie electropop,indie poptimism,la pop,pop,vapor soul</t>
  </si>
  <si>
    <t>Rushing Back - Instrumental</t>
  </si>
  <si>
    <t>Flume,Vera Blue</t>
  </si>
  <si>
    <t>australian dance,australian electropop,australian indie,downtempo,edm,australian pop</t>
  </si>
  <si>
    <t>Rushing Back</t>
  </si>
  <si>
    <t>Bumpy Teeth</t>
  </si>
  <si>
    <t>Zeds Dead,Subtronics</t>
  </si>
  <si>
    <t>brostep,canadian electronic,dubstep,edm,electro house,electronic trap,progressive electro house,vapor twitch</t>
  </si>
  <si>
    <t>What I Want</t>
  </si>
  <si>
    <t>JPB</t>
  </si>
  <si>
    <t>Fuckboy</t>
  </si>
  <si>
    <t>Neptunica,IIVES</t>
  </si>
  <si>
    <t>Alone, Pt. II</t>
  </si>
  <si>
    <t>Alan Walker,Ava Max</t>
  </si>
  <si>
    <t>electro house,dance pop,pop</t>
  </si>
  <si>
    <t>Swiggity</t>
  </si>
  <si>
    <t>IZECOLD</t>
  </si>
  <si>
    <t>Kanye</t>
  </si>
  <si>
    <t>The Chainsmokers,sirenXX</t>
  </si>
  <si>
    <t>dance pop,edm,electropop,pop,pop dance,tropical house,indie poptimism</t>
  </si>
  <si>
    <t>Push The Feeling On - Mk Dub Revisited Edit</t>
  </si>
  <si>
    <t>Nightcrawlers,MK</t>
  </si>
  <si>
    <t>disco house,hip house,vocal house,dance pop,deep groove house,house,pop dance,tropical house</t>
  </si>
  <si>
    <t>Afrojack,David Guetta,Ester Dean</t>
  </si>
  <si>
    <t>This Feeling</t>
  </si>
  <si>
    <t>The Chainsmokers,Kelsea Ballerini</t>
  </si>
  <si>
    <t>dance pop,edm,electropop,pop,pop dance,tropical house,contemporary country,country</t>
  </si>
  <si>
    <t>The Spark</t>
  </si>
  <si>
    <t>Afrojack,Spree Wilson</t>
  </si>
  <si>
    <t>big room,dance pop,dutch house,edm,electro house,pop dance,pop rap,progressive house,tropical house,soul flow</t>
  </si>
  <si>
    <t>Wrabel</t>
  </si>
  <si>
    <t>alt z,australian pop,electropop,indie poptimism,indiecoustica,neo mellow,pop,pop rock</t>
  </si>
  <si>
    <t>Rhythm Of The Night - Original Mix</t>
  </si>
  <si>
    <t>Fedde Le Grand</t>
  </si>
  <si>
    <t>dance pop,deep house,disco house,dutch house,edm,electro house,house,pop dance,progressive electro house,progressive house,tropical house,vocal house</t>
  </si>
  <si>
    <t>Let Me Think About It - Radio Edit</t>
  </si>
  <si>
    <t>Ida Corr,Fedde Le Grand</t>
  </si>
  <si>
    <t>scandipop,dance pop,deep house,disco house,dutch house,edm,electro house,house,pop dance,progressive electro house,progressive house,tropical house,vocal house</t>
  </si>
  <si>
    <t>Dreamer</t>
  </si>
  <si>
    <t>Axwell /\ Ingrosso</t>
  </si>
  <si>
    <t>Reload - Radio Edit</t>
  </si>
  <si>
    <t>Sebastian Ingrosso,Tommy Trash,John Martin</t>
  </si>
  <si>
    <t>dance pop,edm,electro house,pop dance,progressive electro house,progressive house,aussietronica,australian dance,pop edm</t>
  </si>
  <si>
    <t>Ten Feet Tall</t>
  </si>
  <si>
    <t>Afrojack,Wrabel</t>
  </si>
  <si>
    <t>big room,dance pop,dutch house,edm,electro house,pop dance,pop rap,progressive house,tropical house,alt z,australian pop,electropop,indie poptimism,indiecoustica,neo mellow,pop,pop rock</t>
  </si>
  <si>
    <t>Get Up (Rattle) [feat. Far East Movement] - Vocal Edit</t>
  </si>
  <si>
    <t>Bingo Players,Far East Movement</t>
  </si>
  <si>
    <t>big room,dance pop,dutch house,edm,electro house,house,pop dance,progressive electro house,progressive house,asian american hip hop,pop rap</t>
  </si>
  <si>
    <t>Don't You Worry Child</t>
  </si>
  <si>
    <t>Swedish House Mafia,John Martin</t>
  </si>
  <si>
    <t>edm,pop,pop dance,progressive electro house,pop edm</t>
  </si>
  <si>
    <t>We Won't Be Alone</t>
  </si>
  <si>
    <t>Vagrant</t>
  </si>
  <si>
    <t>Feint,Veela</t>
  </si>
  <si>
    <t>Snake Eyes</t>
  </si>
  <si>
    <t>Feint,CoMa</t>
  </si>
  <si>
    <t>Don't Call Me Up</t>
  </si>
  <si>
    <t>electropop,indie poptimism,la pop,pop dance,pop rock,tropical house,nyc pop</t>
  </si>
  <si>
    <t>Yall</t>
  </si>
  <si>
    <t>With You - Prismo Remix</t>
  </si>
  <si>
    <t>Haywyre,Prismo</t>
  </si>
  <si>
    <t>canadian electronic,complextro,edm,electro house,future bass,gaming edm,vapor twitch,bass trap,traprun</t>
  </si>
  <si>
    <t>SUCKER</t>
  </si>
  <si>
    <t>Tyzo Bloom,GiGi Grombacher</t>
  </si>
  <si>
    <t>Wildfire - Mielo Remix</t>
  </si>
  <si>
    <t>Slow Magic,Mielo</t>
  </si>
  <si>
    <t>chillwave,future bass,gauze pop,indie dream pop,vapor soul,vapor twitch</t>
  </si>
  <si>
    <t>Get It Right (feat. MØ)</t>
  </si>
  <si>
    <t>Diplo,MØ</t>
  </si>
  <si>
    <t>edm,electro house,house,moombahton,ninja,pop,pop dance,tropical house,art pop,dance pop,danish pop,electropop</t>
  </si>
  <si>
    <t>Final Song</t>
  </si>
  <si>
    <t>Changes - Original Mix</t>
  </si>
  <si>
    <t>Faul &amp; Wad,PNAU</t>
  </si>
  <si>
    <t>tropical house,alternative dance,aussietronica,australian dance,australian electropop</t>
  </si>
  <si>
    <t>Heathens</t>
  </si>
  <si>
    <t>Old Town Road - Remix</t>
  </si>
  <si>
    <t>Lil Nas X,Billy Ray Cyrus</t>
  </si>
  <si>
    <t>lgbtq+ hip hop,pop,country,country rock</t>
  </si>
  <si>
    <t>No Lie</t>
  </si>
  <si>
    <t>Sean Paul,Dua Lipa</t>
  </si>
  <si>
    <t>dance pop,dancehall,pop,pop rap,uk pop</t>
  </si>
  <si>
    <t>Counting Stars</t>
  </si>
  <si>
    <t>Freal Luv (feat. Chanyeol &amp; Tinashe)</t>
  </si>
  <si>
    <t>Far East Movement,Marshmello,CHANYEOL,Tinashe</t>
  </si>
  <si>
    <t>asian american hip hop,dance pop,pop rap,brostep,edm,pop,pop dance,progressive electro house,k-pop,alternative r&amp;b,electropop,metropopolis,post-teen pop,r&amp;b,urban contemporary</t>
  </si>
  <si>
    <t>Live My Life</t>
  </si>
  <si>
    <t>Far East Movement,Justin Bieber</t>
  </si>
  <si>
    <t>asian american hip hop,dance pop,pop rap,canadian pop,pop</t>
  </si>
  <si>
    <t>Turn Up The Love</t>
  </si>
  <si>
    <t>Far East Movement,Cover Drive</t>
  </si>
  <si>
    <t>asian american hip hop,dance pop,pop rap,barbadian pop</t>
  </si>
  <si>
    <t>Like A G6</t>
  </si>
  <si>
    <t>Far East Movement,The Cataracs,DEV</t>
  </si>
  <si>
    <t>asian american hip hop,dance pop,pop rap,electropop</t>
  </si>
  <si>
    <t>French Montana,Swae Lee</t>
  </si>
  <si>
    <t>gangster rap,hip hop,pop rap,rap,southern hip hop,trap,melodic rap</t>
  </si>
  <si>
    <t>Fast Car</t>
  </si>
  <si>
    <t>Jonas Blue,Dakota</t>
  </si>
  <si>
    <t>dance pop,edm,pop,pop dance,tropical house,uk dance</t>
  </si>
  <si>
    <t>Vance Joy</t>
  </si>
  <si>
    <t>folk-pop,modern rock,pop,pop rock</t>
  </si>
  <si>
    <t>Airplanes (feat. Hayley Williams of Paramore)</t>
  </si>
  <si>
    <t>B.o.B,Hayley Williams</t>
  </si>
  <si>
    <t>atl hip hop,dance pop,hip hop,pop,pop rap,rap,southern hip hop,art pop,indie pop</t>
  </si>
  <si>
    <t>Rockabye (feat. Sean Paul &amp; Anne-Marie)</t>
  </si>
  <si>
    <t>Clean Bandit,Sean Paul,Anne-Marie</t>
  </si>
  <si>
    <t>dance pop,edm,pop,pop dance,tropical house,uk dance,uk funky,dancehall,pop rap,post-teen pop,uk pop</t>
  </si>
  <si>
    <t>rockstar (feat. 21 Savage)</t>
  </si>
  <si>
    <t>Post Malone,21 Savage</t>
  </si>
  <si>
    <t>dfw rap,melodic rap,rap,atl hip hop,trap</t>
  </si>
  <si>
    <t>Down By The River</t>
  </si>
  <si>
    <t>Milky Chance</t>
  </si>
  <si>
    <t>german pop</t>
  </si>
  <si>
    <t>Stolen Dance</t>
  </si>
  <si>
    <t>Never Go Back</t>
  </si>
  <si>
    <t>Dennis Lloyd</t>
  </si>
  <si>
    <t>israeli pop</t>
  </si>
  <si>
    <t>Nevermind</t>
  </si>
  <si>
    <t>M83</t>
  </si>
  <si>
    <t>french shoegaze,french synthpop,indietronica,metropopolis,neo-synthpop</t>
  </si>
  <si>
    <t>Outro</t>
  </si>
  <si>
    <t>Wait</t>
  </si>
  <si>
    <t>More Than You Know</t>
  </si>
  <si>
    <t>Sunset Lover</t>
  </si>
  <si>
    <t>Petit Biscuit</t>
  </si>
  <si>
    <t>Lucid Dreams</t>
  </si>
  <si>
    <t>Juice WRLD</t>
  </si>
  <si>
    <t>chicago rap,melodic rap</t>
  </si>
  <si>
    <t>Give Me Your Love</t>
  </si>
  <si>
    <t>Sigala,John Newman,Nile Rodgers</t>
  </si>
  <si>
    <t>dance pop,edm,house,pop,pop dance,tropical house,disco</t>
  </si>
  <si>
    <t>Love Me Again</t>
  </si>
  <si>
    <t>John Newman</t>
  </si>
  <si>
    <t>Stereo Hearts (feat. Adam Levine)</t>
  </si>
  <si>
    <t>Gym Class Heroes,Adam Levine</t>
  </si>
  <si>
    <t>dance pop,pop rap,deep talent show</t>
  </si>
  <si>
    <t>Call On Me - Ryan Riback Remix</t>
  </si>
  <si>
    <t>Starley,Ryan Riback</t>
  </si>
  <si>
    <t>aussietronica,dance pop,pop dance,tropical house,melbourne bounce</t>
  </si>
  <si>
    <t>Au DD</t>
  </si>
  <si>
    <t>PNL</t>
  </si>
  <si>
    <t>I Like Me Better</t>
  </si>
  <si>
    <t>Señorita</t>
  </si>
  <si>
    <t>Shawn Mendes,Camila Cabello</t>
  </si>
  <si>
    <t>canadian pop,pop,viral pop,dance pop,post-teen pop</t>
  </si>
  <si>
    <t>Hundred Miles</t>
  </si>
  <si>
    <t>Yall,Gabriela Richardson</t>
  </si>
  <si>
    <t>You Don't Know Me - Radio Edit</t>
  </si>
  <si>
    <t>Jax Jones,RAYE</t>
  </si>
  <si>
    <t>dance pop,edm,electro house,house,pop,pop dance,pop rap,tropical house,uk dance,post-teen pop,uk contemporary r&amp;b,uk pop</t>
  </si>
  <si>
    <t>hate u love u</t>
  </si>
  <si>
    <t>Olivia O'Brien</t>
  </si>
  <si>
    <t>Way down We Go</t>
  </si>
  <si>
    <t>KALEO</t>
  </si>
  <si>
    <t>icelandic indie,icelandic rock,modern alternative rock,modern rock</t>
  </si>
  <si>
    <t>Flower Dance</t>
  </si>
  <si>
    <t>Pola</t>
  </si>
  <si>
    <t>Jabberwocky,Cappagli</t>
  </si>
  <si>
    <t>Ignition</t>
  </si>
  <si>
    <t>Jabberwocky,Owlle</t>
  </si>
  <si>
    <t>french indie pop,french indietronica,new french touch,tropical house,electro-pop francais</t>
  </si>
  <si>
    <t>Fog</t>
  </si>
  <si>
    <t>Jabberwocky,Ana Zimmer</t>
  </si>
  <si>
    <t>Spacewalk</t>
  </si>
  <si>
    <t>Jabberwocky,BLOW</t>
  </si>
  <si>
    <t>Fortune</t>
  </si>
  <si>
    <t>Krewella,Diskord</t>
  </si>
  <si>
    <t>Across The Room (feat. Leon Bridges)</t>
  </si>
  <si>
    <t>ODESZA,Leon Bridges</t>
  </si>
  <si>
    <t>chillwave,ninja,modern blues</t>
  </si>
  <si>
    <t>Across The Room - Tycho Remix</t>
  </si>
  <si>
    <t>ODESZA,Leon Bridges,Tycho</t>
  </si>
  <si>
    <t>chillwave,ninja,modern blues,downtempo,electronica,indietronica,intelligent dance music</t>
  </si>
  <si>
    <t>Ødyssey,Breana Marin</t>
  </si>
  <si>
    <t>The River</t>
  </si>
  <si>
    <t>Axel Johansson</t>
  </si>
  <si>
    <t>Wish You Well</t>
  </si>
  <si>
    <t>Sigala,Becky Hill</t>
  </si>
  <si>
    <t>dance pop,edm,house,pop,pop dance,tropical house,pop house,uk dance</t>
  </si>
  <si>
    <t>New World</t>
  </si>
  <si>
    <t>Krewella,Yellow Claw,Taylor Bennett</t>
  </si>
  <si>
    <t>dance pop,edm,electra,electro house,electropop,melodic dubstep,pop dance,bass trap,electronic trap,chicago rap,drill,lgbtq+ hip hop,underground hip hop</t>
  </si>
  <si>
    <t>I'm Not Alone - 2019 Edit</t>
  </si>
  <si>
    <t>Slide (feat. Frank Ocean &amp; Migos)</t>
  </si>
  <si>
    <t>Calvin Harris,Frank Ocean,Migos</t>
  </si>
  <si>
    <t>dance pop,edm,electro house,house,pop,pop rap,progressive house,uk dance,alternative r&amp;b,hip hop,lgbtq+ hip hop,neo soul,atl hip hop,rap,trap</t>
  </si>
  <si>
    <t>Blame (feat. John Newman)</t>
  </si>
  <si>
    <t>Sky Fracture - VIP</t>
  </si>
  <si>
    <t>Getsix,Miss Lina</t>
  </si>
  <si>
    <t>Nothing Lasts</t>
  </si>
  <si>
    <t>Taska Black,Pauline Herr</t>
  </si>
  <si>
    <t>11:50</t>
  </si>
  <si>
    <t>Danger,LIL BRAIN</t>
  </si>
  <si>
    <t>darksynth,electro house,filter house</t>
  </si>
  <si>
    <t>Heartbeat Song - Skrux Remix</t>
  </si>
  <si>
    <t>United We Dance - Vicetone Edit</t>
  </si>
  <si>
    <t>126</t>
  </si>
  <si>
    <t>Alibi</t>
  </si>
  <si>
    <t>Happy Alone (feat. V. Bozeman)</t>
  </si>
  <si>
    <t>Matrix &amp; Futurebound,V. Bozeman</t>
  </si>
  <si>
    <t>Au/Ra,Alan Walker,Death Stranding: Timefall</t>
  </si>
  <si>
    <t>alt z,deep pop edm,electropop,indie poptimism,pop,electro house,video game music</t>
  </si>
  <si>
    <t>Spectrum (Say My Name) - Calvin Harris Remix</t>
  </si>
  <si>
    <t>Florence + The Machine,Calvin Harris</t>
  </si>
  <si>
    <t>baroque pop,pop,uk alternative pop,dance pop,edm,electro house,house,pop rap,progressive house,uk dance</t>
  </si>
  <si>
    <t>Play Me Like A Violin</t>
  </si>
  <si>
    <t>Feel It (feat. CXLOE &amp; Khamsin) - Vincent Remix</t>
  </si>
  <si>
    <t>KRANE,CXLOE,Khamsin,Vincent</t>
  </si>
  <si>
    <t>bass trap,electronic trap,future bass,pop edm,traprun,vapor twitch,alt z,australian alternative pop,australian electropop,australian pop,indie electropop,electropop,melodic dubstep</t>
  </si>
  <si>
    <t>Careful</t>
  </si>
  <si>
    <t>JayKode,Sam Bruno</t>
  </si>
  <si>
    <t>bass trap,electronic trap</t>
  </si>
  <si>
    <t>Like You Love Me</t>
  </si>
  <si>
    <t>Conro,Disero,ALICE FRANCE</t>
  </si>
  <si>
    <t>canadian electronic,edm,electro house,future bass,gaming edm,pop edm</t>
  </si>
  <si>
    <t>Pretty Stranger</t>
  </si>
  <si>
    <t>William Black</t>
  </si>
  <si>
    <t>LMK (Let Me Know)</t>
  </si>
  <si>
    <t>Xandar</t>
  </si>
  <si>
    <t>Chasing Light</t>
  </si>
  <si>
    <t>MEMBA,MOTHICA</t>
  </si>
  <si>
    <t>bass trap,electronic trap,future bass,indian edm,traprun,vapor twitch,alt z,electropop,pop,social media pop,vapor soul</t>
  </si>
  <si>
    <t>MIIA</t>
  </si>
  <si>
    <t>Feel The Fire - Breath Vocal Mix</t>
  </si>
  <si>
    <t>Sky Fracture</t>
  </si>
  <si>
    <t>Getsix</t>
  </si>
  <si>
    <t>Rise Up</t>
  </si>
  <si>
    <t>TheFatRat</t>
  </si>
  <si>
    <t>Dear Winter 2.0</t>
  </si>
  <si>
    <t>You Don't Know</t>
  </si>
  <si>
    <t>Lost Kings,Katelyn Tarver</t>
  </si>
  <si>
    <t>dance pop,edm,pop,pop dance,pop edm,pop rap,tropical house,alt z,post-teen pop,viral pop</t>
  </si>
  <si>
    <t>Hear Me Now</t>
  </si>
  <si>
    <t>Alok,Bruno Martini,Zeeba</t>
  </si>
  <si>
    <t>electro house,pop nacional,slap house,brazilian edm,edm,nova mpb</t>
  </si>
  <si>
    <t>Break The Silence</t>
  </si>
  <si>
    <t>Richard Caddock,WRLD,Nitro Fun,Slippy,Subtact</t>
  </si>
  <si>
    <t>gaming edm,complextro,edm,electro house,future bass,speedrun,melodic dubstep,pop edm</t>
  </si>
  <si>
    <t>Tunnel Vision</t>
  </si>
  <si>
    <t>Best For You (feat. Selah Ford)</t>
  </si>
  <si>
    <t>Trivecta,Selah Ford</t>
  </si>
  <si>
    <t>Phoenix</t>
  </si>
  <si>
    <t>League of Legends,Cailin Russo,Chrissy Costanza</t>
  </si>
  <si>
    <t>speedrun,video game music,la pop</t>
  </si>
  <si>
    <t>Needed Me</t>
  </si>
  <si>
    <t>Ember Island</t>
  </si>
  <si>
    <t>Where Are Ü Now (with Justin Bieber) - Ember Island Remix</t>
  </si>
  <si>
    <t>Jack Ü,Skrillex,Diplo,Justin Bieber,Ember Island</t>
  </si>
  <si>
    <t>edm,electro house,pop dance,brostep,complextro,electro,house,moombahton,ninja,pop,tropical house,canadian pop,swedish electropop</t>
  </si>
  <si>
    <t>Flames</t>
  </si>
  <si>
    <t>David Guetta,Sia</t>
  </si>
  <si>
    <t>big room,dance pop,edm,pop,pop dance,pop rap,australian dance,australian pop</t>
  </si>
  <si>
    <t>The Greatest (feat. Kendrick Lamar)</t>
  </si>
  <si>
    <t>Sia,Kendrick Lamar</t>
  </si>
  <si>
    <t>australian dance,australian pop,pop,conscious hip hop,hip hop,rap,west coast rap</t>
  </si>
  <si>
    <t>Cheap Thrills</t>
  </si>
  <si>
    <t>Chandelier</t>
  </si>
  <si>
    <t>Feel Again feat. Harley Bird</t>
  </si>
  <si>
    <t>Culture Code,Harley Bird</t>
  </si>
  <si>
    <t>filthstep,gaming edm,melodic dubstep,pop edm,la pop</t>
  </si>
  <si>
    <t>Make Me Move</t>
  </si>
  <si>
    <t>Culture Code,Karra</t>
  </si>
  <si>
    <t>Poseidon - Original Edit</t>
  </si>
  <si>
    <t>Neptunica</t>
  </si>
  <si>
    <t>ADGRMS,Jackswan,Burnheart</t>
  </si>
  <si>
    <t>indian edm</t>
  </si>
  <si>
    <t>Static</t>
  </si>
  <si>
    <t>Say Or Do</t>
  </si>
  <si>
    <t>Airmow,RIELL</t>
  </si>
  <si>
    <t>All They Wanna Be - Madison Mars Future Mix</t>
  </si>
  <si>
    <t>Madison Mars,Caslin</t>
  </si>
  <si>
    <t>edm,electro house,house,pop dance,pop edm,progressive electro house,progressive house,tropical house</t>
  </si>
  <si>
    <t>Your Eyes</t>
  </si>
  <si>
    <t>Kids In Love</t>
  </si>
  <si>
    <t>The Immature Kids</t>
  </si>
  <si>
    <t>The Girl</t>
  </si>
  <si>
    <t>Hellberg,Cozi Zuehlsdorff</t>
  </si>
  <si>
    <t>chillstep,complextro,edm,electro house,gaming edm,melodic dubstep,pop edm</t>
  </si>
  <si>
    <t>Saving Light</t>
  </si>
  <si>
    <t>Gareth Emery,STANDERWICK,HALIENE</t>
  </si>
  <si>
    <t>edm,pop dance,progressive electro house,progressive house,trance,uplifting trance,progressive trance</t>
  </si>
  <si>
    <t>Grind &amp; Hustle</t>
  </si>
  <si>
    <t>Golden Throne</t>
  </si>
  <si>
    <t>The Tech Thieves</t>
  </si>
  <si>
    <t>Lemon Fight,Jessica Reynoso</t>
  </si>
  <si>
    <t>Pop It!</t>
  </si>
  <si>
    <t>Subspace</t>
  </si>
  <si>
    <t>Come Alive</t>
  </si>
  <si>
    <t>Saint Clue,RUBIKA,Linn Sandin,Moses Stone</t>
  </si>
  <si>
    <t>Each Other</t>
  </si>
  <si>
    <t>Notaker,Eric Lumiere</t>
  </si>
  <si>
    <t>complextro,edm,electro house,future bass,gaming edm,acoustic cover</t>
  </si>
  <si>
    <t>Sunrise</t>
  </si>
  <si>
    <t>RUBIKA,Tom Bradley</t>
  </si>
  <si>
    <t>Comin' Back</t>
  </si>
  <si>
    <t>RAMSSEY</t>
  </si>
  <si>
    <t>ØRĒNDA</t>
  </si>
  <si>
    <t>More Than Words</t>
  </si>
  <si>
    <t>Culture Code,RØRY</t>
  </si>
  <si>
    <t>Trust</t>
  </si>
  <si>
    <t>Yonetro,Ericovich</t>
  </si>
  <si>
    <t>pop edm,traprun</t>
  </si>
  <si>
    <t>Starry Eyes - Jaydon Lewis Remix</t>
  </si>
  <si>
    <t>Young Bombs,Jaydon Lewis</t>
  </si>
  <si>
    <t>edm,pop dance,pop edm,tropical house</t>
  </si>
  <si>
    <t>Steal Your Heart - Culture Code Remix</t>
  </si>
  <si>
    <t>BRKLYN,Lenachka,Culture Code</t>
  </si>
  <si>
    <t>pop edm,indie poptimism,vapor pop,filthstep,gaming edm,melodic dubstep</t>
  </si>
  <si>
    <t>Gambit</t>
  </si>
  <si>
    <t>MayTrix</t>
  </si>
  <si>
    <t>Saving Light - INTERCOM Remix</t>
  </si>
  <si>
    <t>Gareth Emery,STANDERWICK,HALIENE,INTERCOM</t>
  </si>
  <si>
    <t>edm,pop dance,progressive electro house,progressive house,trance,uplifting trance,progressive trance,gaming edm</t>
  </si>
  <si>
    <t>New World (feat. Micah Martin)</t>
  </si>
  <si>
    <t>Refeci,Robbie Koex,Micah Martin</t>
  </si>
  <si>
    <t>danish electronic,deep tropical house,melbourne bounce international,tropical house</t>
  </si>
  <si>
    <t>No Fear Anymore</t>
  </si>
  <si>
    <t>Julian Calor,Ava Silver</t>
  </si>
  <si>
    <t>complextro,electro house,future bass,gaming edm,pop edm,sky room</t>
  </si>
  <si>
    <t>Fate</t>
  </si>
  <si>
    <t>AFRIK,romi</t>
  </si>
  <si>
    <t>Drowning</t>
  </si>
  <si>
    <t>Snake City</t>
  </si>
  <si>
    <t>Breathing</t>
  </si>
  <si>
    <t>Jake Kaiser</t>
  </si>
  <si>
    <t>Defiant</t>
  </si>
  <si>
    <t>Maazel</t>
  </si>
  <si>
    <t>You're Not Alone (feat. Kiiara)</t>
  </si>
  <si>
    <t>Don Diablo,Kiiara</t>
  </si>
  <si>
    <t>dance pop,edm,electro house,future house,house,pop dance,progressive electro house,progressive house,tropical house,alt z,electropop,indie poptimism,pop</t>
  </si>
  <si>
    <t>Somebody Else</t>
  </si>
  <si>
    <t>Daniel Chase</t>
  </si>
  <si>
    <t>Nowhere</t>
  </si>
  <si>
    <t>Caleb Welch,Eliza Roe</t>
  </si>
  <si>
    <t>Searching For You</t>
  </si>
  <si>
    <t>Hurshel</t>
  </si>
  <si>
    <t>chinese electropop</t>
  </si>
  <si>
    <t>Aero Chord,Nevve</t>
  </si>
  <si>
    <t>Speed &amp; Momentum</t>
  </si>
  <si>
    <t>Bihler</t>
  </si>
  <si>
    <t>Rmx of a Rmx</t>
  </si>
  <si>
    <t>Owe You Something</t>
  </si>
  <si>
    <t>Show Up</t>
  </si>
  <si>
    <t>Virtual Riot,Virus Syndicate</t>
  </si>
  <si>
    <t>brostep,complextro,dubstep,edm,electro house,future bass,gaming dubstep,melodic dubstep,grime</t>
  </si>
  <si>
    <t>Toluca Lake</t>
  </si>
  <si>
    <t>Tep No</t>
  </si>
  <si>
    <t>deep house,deep tropical house,indie poptimism,indie soul,new french touch,tropical house,vapor soul</t>
  </si>
  <si>
    <t>The Spectre</t>
  </si>
  <si>
    <t>Alan Walker</t>
  </si>
  <si>
    <t>Speed of Light - Pt. 2</t>
  </si>
  <si>
    <t>Pegboard Nerds,Taylor Bennett,Skylr</t>
  </si>
  <si>
    <t>brostep,danish electronic,edm,electro house,gaming edm,glitch,speedrun,chicago rap,drill,lgbtq+ hip hop,underground hip hop</t>
  </si>
  <si>
    <t>Akira</t>
  </si>
  <si>
    <t>Ekali,KRANE</t>
  </si>
  <si>
    <t>canadian electronic,edm,electro house,electronic trap,electropop,future bass,indie electropop,melodic dubstep,pop dance,pop edm,vapor twitch,bass trap,traprun</t>
  </si>
  <si>
    <t>Mild Blood</t>
  </si>
  <si>
    <t>Broken Back</t>
  </si>
  <si>
    <t>french indie pop,new french touch,tropical house</t>
  </si>
  <si>
    <t>RIVA (Restart the Game) - Radio Edit</t>
  </si>
  <si>
    <t>Klingande,Broken Back</t>
  </si>
  <si>
    <t>deep house,deep tropical house,edm,pop dance,tropical house,french indie pop,new french touch</t>
  </si>
  <si>
    <t>Spartan</t>
  </si>
  <si>
    <t>Deep Thoughts</t>
  </si>
  <si>
    <t>Fear</t>
  </si>
  <si>
    <t>Cold in the Water</t>
  </si>
  <si>
    <t>Flirt</t>
  </si>
  <si>
    <t>Play</t>
  </si>
  <si>
    <t>Careless</t>
  </si>
  <si>
    <t>Life</t>
  </si>
  <si>
    <t>Cold</t>
  </si>
  <si>
    <t>Destiny</t>
  </si>
  <si>
    <t>Fight Back</t>
  </si>
  <si>
    <t>Rumors</t>
  </si>
  <si>
    <t>Fransis Derelle,LINDZ,Yøungbløød</t>
  </si>
  <si>
    <t>This Is Nightlife (Video Edit)</t>
  </si>
  <si>
    <t>Heroes (we could be)</t>
  </si>
  <si>
    <t>Alesso,Tove Lo</t>
  </si>
  <si>
    <t>dance pop,edm,electro house,pop,pop dance,tropical house,art pop,electropop,metropopolis,swedish electropop,swedish pop,swedish synthpop</t>
  </si>
  <si>
    <t>Anti Hit Sale</t>
  </si>
  <si>
    <t>Hit Sale (feat. Roméo Elvis)</t>
  </si>
  <si>
    <t>Afraid, Unafraid</t>
  </si>
  <si>
    <t>SLUMBERJACK,Sydnee Carter</t>
  </si>
  <si>
    <t>electronic trap,vapor twitch,channel pop,indie anthem-folk</t>
  </si>
  <si>
    <t>Only</t>
  </si>
  <si>
    <t>NF,Sasha Alex Sloan</t>
  </si>
  <si>
    <t>hip hop,pop rap,rap,alt z,electropop,pop</t>
  </si>
  <si>
    <t>Build The Cities - Rootkit Remix</t>
  </si>
  <si>
    <t>Karma Fields,Kerli,Rootkit</t>
  </si>
  <si>
    <t>canadian electronic,complextro,electro house,gaming edm,candy pop,dark pop,electropop,estonian pop,indie poptimism,metropopolis,chillstep,edm,future bass,melodic dubstep</t>
  </si>
  <si>
    <t>Once Again</t>
  </si>
  <si>
    <t>Matsirt</t>
  </si>
  <si>
    <t>Razor Sharp</t>
  </si>
  <si>
    <t>Pegboard Nerds,Tristam</t>
  </si>
  <si>
    <t>brostep,danish electronic,edm,electro house,gaming edm,glitch,speedrun,dancefloor dnb,melodic dubstep</t>
  </si>
  <si>
    <t>Till It's Over</t>
  </si>
  <si>
    <t>Destination Calabria - Radio Edit</t>
  </si>
  <si>
    <t>Alex Gaudino,Crystal Waters</t>
  </si>
  <si>
    <t>disco house,electro house,vocal house,diva house,hip house</t>
  </si>
  <si>
    <t>Share My Dreams - Radio Edit</t>
  </si>
  <si>
    <t>MYNGA</t>
  </si>
  <si>
    <t>deep tropical house,tropical house</t>
  </si>
  <si>
    <t>Build The Cities (Empire of Sound)</t>
  </si>
  <si>
    <t>Tristam,Karma Fields,Kerli</t>
  </si>
  <si>
    <t>brostep,dancefloor dnb,edm,electro house,gaming edm,melodic dubstep,canadian electronic,complextro,candy pop,dark pop,electropop,estonian pop,indie poptimism,metropopolis</t>
  </si>
  <si>
    <t>Cinema (feat. Gary Go) - Skrillex Remix</t>
  </si>
  <si>
    <t>Benny Benassi,Gary Go</t>
  </si>
  <si>
    <t>edm,electro house,pop dance</t>
  </si>
  <si>
    <t>Kyoto (feat. Sirah)</t>
  </si>
  <si>
    <t>First of the Year (Equinox)</t>
  </si>
  <si>
    <t>Weekends!!! (feat. Sirah)</t>
  </si>
  <si>
    <t>Strobe - Radio Edit</t>
  </si>
  <si>
    <t>deadmau5</t>
  </si>
  <si>
    <t>canadian electronic,edm,electro house,pop dance,progressive house</t>
  </si>
  <si>
    <t>Ghosts 'n' Stuff</t>
  </si>
  <si>
    <t>deadmau5,Rob Swire</t>
  </si>
  <si>
    <t>Opus</t>
  </si>
  <si>
    <t>Call on Me - Radio Mix</t>
  </si>
  <si>
    <t>Guardian Angel</t>
  </si>
  <si>
    <t>Joe Ghost,Kevin Acero,Joyia</t>
  </si>
  <si>
    <t>Say It Ain't So</t>
  </si>
  <si>
    <t>Joe Ghost</t>
  </si>
  <si>
    <t>Feel It Too (feat. Danny Fernandes)</t>
  </si>
  <si>
    <t>MOTi,Joe Ghost,Danny Fernandes</t>
  </si>
  <si>
    <t>dance pop,edm,electro house,house,pop dance,tropical house,canadian electronic,canadian pop</t>
  </si>
  <si>
    <t>Dreamin (with blackbear)</t>
  </si>
  <si>
    <t>The Score,blackbear</t>
  </si>
  <si>
    <t>modern alternative rock,modern rock,rock,electropop,pop,pop rap</t>
  </si>
  <si>
    <t>This Is What It Feels Like</t>
  </si>
  <si>
    <t>Armin van Buuren,Trevor Guthrie</t>
  </si>
  <si>
    <t>dutch trance,edm,pop dance,progressive house,trance,canadian pop</t>
  </si>
  <si>
    <t>Salop(e)</t>
  </si>
  <si>
    <t>Worry</t>
  </si>
  <si>
    <t>Felix Cartal,Victoria Zaro</t>
  </si>
  <si>
    <t>canadian electronic,edm,electro house,electropop,indie poptimism,pop dance,pop edm,tropical house</t>
  </si>
  <si>
    <t>Something Strange</t>
  </si>
  <si>
    <t>Vicetone,Haley Reinhart</t>
  </si>
  <si>
    <t>edm,electro house,pop dance,pop edm,progressive electro house,tropical house,idol</t>
  </si>
  <si>
    <t>Nothing Stopping Me (feat. Kat Nestel)</t>
  </si>
  <si>
    <t>Walk Thru Fire</t>
  </si>
  <si>
    <t>Astronomia</t>
  </si>
  <si>
    <t>Vicetone,Tony Igy</t>
  </si>
  <si>
    <t>edm,electro house,pop dance,pop edm,progressive electro house,tropical house,russian dance</t>
  </si>
  <si>
    <t>Nevada</t>
  </si>
  <si>
    <t>Adieu bientôt</t>
  </si>
  <si>
    <t>C'est pas grave</t>
  </si>
  <si>
    <t>Wing$</t>
  </si>
  <si>
    <t>Macklemore &amp; Ryan Lewis</t>
  </si>
  <si>
    <t>dance pop,pop,pop rap,seattle hip hop</t>
  </si>
  <si>
    <t>Thrift Shop (feat. Wanz)</t>
  </si>
  <si>
    <t>Macklemore &amp; Ryan Lewis,Wanz</t>
  </si>
  <si>
    <t>Can't Hold Us (feat. Ray Dalton)</t>
  </si>
  <si>
    <t>Macklemore &amp; Ryan Lewis,Ray Dalton</t>
  </si>
  <si>
    <t>Glorious (feat. Skylar Grey)</t>
  </si>
  <si>
    <t>Macklemore,Skylar Grey</t>
  </si>
  <si>
    <t>pop rap,seattle hip hop,piano rock</t>
  </si>
  <si>
    <t>These Days (feat. Jess Glynne, Macklemore &amp; Dan Caplen)</t>
  </si>
  <si>
    <t>Rudimental,Jess Glynne,Macklemore,Dan Caplen</t>
  </si>
  <si>
    <t>dance pop,edm,house,pop,pop dance,tropical house,uk dance,uk funky,post-teen pop,uk pop,pop rap,seattle hip hop,neo soul,uk contemporary r&amp;b</t>
  </si>
  <si>
    <t>AWOLNATION</t>
  </si>
  <si>
    <t>la indie,modern alternative rock,modern rock,pop rock,rock,stomp pop</t>
  </si>
  <si>
    <t>Sail</t>
  </si>
  <si>
    <t>FML</t>
  </si>
  <si>
    <t>Make Me Fade</t>
  </si>
  <si>
    <t>Close To Me (feat. Rendell Stovall)</t>
  </si>
  <si>
    <t>Trinix,Rendell Stovall</t>
  </si>
  <si>
    <t>Want Me</t>
  </si>
  <si>
    <t>Jimmy Hardwind,Mike Archangelo</t>
  </si>
  <si>
    <t>They're Just Ghosts</t>
  </si>
  <si>
    <t>Motion Blur,Peter Jessy</t>
  </si>
  <si>
    <t>Lie</t>
  </si>
  <si>
    <t>Julius Dreisig</t>
  </si>
  <si>
    <t>We Are</t>
  </si>
  <si>
    <t>Jo Cohen,Whales</t>
  </si>
  <si>
    <t>gaming edm,bass trap,dubstep</t>
  </si>
  <si>
    <t>Million Voices</t>
  </si>
  <si>
    <t>Speechless (feat. Erika Sirola)</t>
  </si>
  <si>
    <t>Robin Schulz,Erika Sirola</t>
  </si>
  <si>
    <t>dance pop,deep euro house,deep house,edm,german dance,pop,pop dance,tropical house,finnish pop</t>
  </si>
  <si>
    <t>Call You Mine (feat. Bebe Rexha)</t>
  </si>
  <si>
    <t>Martin Garrix,Troye Sivan</t>
  </si>
  <si>
    <t>dance pop,dutch edm,edm,electro house,pop,pop dance,progressive house,tropical house,australian pop,viral pop</t>
  </si>
  <si>
    <t>Kaskade,Meghan Trainor</t>
  </si>
  <si>
    <t>edm,electro house,house,pop dance,progressive house,tropical house,vocal house,dance pop,hip pop,pop,post-teen pop</t>
  </si>
  <si>
    <t>Bloodhound</t>
  </si>
  <si>
    <t>It's Strange (feat. K.Flay)</t>
  </si>
  <si>
    <t>Louis The Child,K.Flay</t>
  </si>
  <si>
    <t>edm,electro house,electropop,pop,pop dance,tropical house,escape room,hip pop,modern rock,rock</t>
  </si>
  <si>
    <t>MYRNE,Lost Boy</t>
  </si>
  <si>
    <t>edm,electro house,future bass,gaming edm,melodic dubstep,pop edm,singaporean electronic,singaporean pop,vapor twitch</t>
  </si>
  <si>
    <t>Hurts (feat. Louis The Child &amp; Whethan)</t>
  </si>
  <si>
    <t>Wafia,Louis The Child,Whethan</t>
  </si>
  <si>
    <t>australian pop,edm,electro house,electropop,pop,pop dance,tropical house,hyperpop,indie poptimism,vapor twitch</t>
  </si>
  <si>
    <t>Nightcall</t>
  </si>
  <si>
    <t>6.24</t>
  </si>
  <si>
    <t>Danger</t>
  </si>
  <si>
    <t>4:30</t>
  </si>
  <si>
    <t>0:59</t>
  </si>
  <si>
    <t>come thru</t>
  </si>
  <si>
    <t>Waterfall</t>
  </si>
  <si>
    <t>Gazzo</t>
  </si>
  <si>
    <t>A Summer This Fine</t>
  </si>
  <si>
    <t>xander.</t>
  </si>
  <si>
    <t>Sick of Love (ReImagined) [feat. Beth Duck]</t>
  </si>
  <si>
    <t>Lucian,Beth Duck</t>
  </si>
  <si>
    <t>U GOT ME</t>
  </si>
  <si>
    <t>THIEVES,CATZE</t>
  </si>
  <si>
    <t>alright</t>
  </si>
  <si>
    <t>Rad Cat,Dutch Melrose</t>
  </si>
  <si>
    <t>Talk - 7 Skies Remix</t>
  </si>
  <si>
    <t>Salvatore Ganacci,7 Skies</t>
  </si>
  <si>
    <t>basshall,moombahton,progressive house,progressive trance,uplifting trance</t>
  </si>
  <si>
    <t>Happiest Man on Earth - Radio Edit</t>
  </si>
  <si>
    <t>Eurodancer</t>
  </si>
  <si>
    <t>Mangoo</t>
  </si>
  <si>
    <t>swedish eurodance</t>
  </si>
  <si>
    <t>Identity</t>
  </si>
  <si>
    <t>Ryos,Elle Vee</t>
  </si>
  <si>
    <t>Give Me The Night</t>
  </si>
  <si>
    <t>Good Time - R3HAB Remix</t>
  </si>
  <si>
    <t>Ocean Park Standoff,R3HAB</t>
  </si>
  <si>
    <t>la pop,pop rock,dance pop,dutch house,edm,electro house,pop,pop dance,progressive electro house,slap house,tropical house</t>
  </si>
  <si>
    <t>Oxygen</t>
  </si>
  <si>
    <t>Battleground - Radio Edit</t>
  </si>
  <si>
    <t>MIKVH,Laurell</t>
  </si>
  <si>
    <t>Ryos,Sara Skinner</t>
  </si>
  <si>
    <t>Tilt</t>
  </si>
  <si>
    <t>When I Was Me - ShiShi Remix</t>
  </si>
  <si>
    <t>Ryan Brahms,ShiShi</t>
  </si>
  <si>
    <t>Honestly</t>
  </si>
  <si>
    <t>Airia,J12</t>
  </si>
  <si>
    <t>pop edm,vapor soul</t>
  </si>
  <si>
    <t>Sandcastles - ToWonder X Severo Remix</t>
  </si>
  <si>
    <t>Adam Jensen,ToWonder,Severo</t>
  </si>
  <si>
    <t>bossbeat,modern alternative rock,modern rock,rebel blues,rock,pop edm</t>
  </si>
  <si>
    <t>Tom Wilson,MAJRO</t>
  </si>
  <si>
    <t>Out of Sight</t>
  </si>
  <si>
    <t>Matt Komo,Emily Zeck</t>
  </si>
  <si>
    <t>Find Someone - DROELOE Remix</t>
  </si>
  <si>
    <t>A R I Z O N A,DROELOE</t>
  </si>
  <si>
    <t>electropop,indie poptimism,pop,pop dance,tropical house,bass trap,edm,electronic trap,future bass,pop edm,vapor soul,vapor twitch</t>
  </si>
  <si>
    <t>Good Vibes - Radio Edit</t>
  </si>
  <si>
    <t>PLS&amp;TY,Cosmos &amp; Creature</t>
  </si>
  <si>
    <t>Andromedik</t>
  </si>
  <si>
    <t>Lipless,Mahalo,Carly Paige</t>
  </si>
  <si>
    <t>deep groove house,house,pop edm,la pop</t>
  </si>
  <si>
    <t>Hold Onto Me</t>
  </si>
  <si>
    <t>Awakend,Herrin,Sara Skinner</t>
  </si>
  <si>
    <t>Danny Olson,Jadelyn</t>
  </si>
  <si>
    <t>Pull the Trigger - Regions Remix</t>
  </si>
  <si>
    <t>Flux Pavilion,Cammie Robinson,Regions</t>
  </si>
  <si>
    <t>bass trap,brostep,classic dubstep,edm,electro house,electronic trap,melodic dubstep,pop dance</t>
  </si>
  <si>
    <t>In Between</t>
  </si>
  <si>
    <t>LZRD</t>
  </si>
  <si>
    <t>The Antidote</t>
  </si>
  <si>
    <t>Stupeflip</t>
  </si>
  <si>
    <t>chanson humoristique,french hip hop,french reggae,french rock,rap conscient</t>
  </si>
  <si>
    <t>The Story Of Gods And Men</t>
  </si>
  <si>
    <t>Skip the Use</t>
  </si>
  <si>
    <t>french indie pop,french rock,rock independant francais</t>
  </si>
  <si>
    <t>Birds Are Born To Fly</t>
  </si>
  <si>
    <t>Nameless World</t>
  </si>
  <si>
    <t>We Light the Sunshine - Trinix Remix</t>
  </si>
  <si>
    <t>Just Need Your Love</t>
  </si>
  <si>
    <t>Hyphen Hyphen</t>
  </si>
  <si>
    <t>french indie pop,french indietronica,new french touch,nice indie</t>
  </si>
  <si>
    <t>Djon maya maï (feat. Victor Démé)</t>
  </si>
  <si>
    <t>All in You (feat. Anna Kova)</t>
  </si>
  <si>
    <t>Synapson,Anna Kova</t>
  </si>
  <si>
    <t>french indie pop,french synthpop,new french touch,tropical house</t>
  </si>
  <si>
    <t>Fireball (feat. Broken Back)</t>
  </si>
  <si>
    <t>Synapson,Broken Back</t>
  </si>
  <si>
    <t>Halcyon Birds</t>
  </si>
  <si>
    <t>Never Not</t>
  </si>
  <si>
    <t>Let Go</t>
  </si>
  <si>
    <t>Lucian,Cassidy King</t>
  </si>
  <si>
    <t>bass trap,pop edm,vapor twitch,alt z</t>
  </si>
  <si>
    <t>Alive (Trivecta Remix)</t>
  </si>
  <si>
    <t>Dabin,RUNN,Trivecta</t>
  </si>
  <si>
    <t>canadian electronic,edm,electropop,future bass,melodic dubstep,pop dance,pop edm,chillstep,dubstep,electro house,gaming edm</t>
  </si>
  <si>
    <t>K-391,Alan Walker,Tungevaag,Mangoo</t>
  </si>
  <si>
    <t>nordic house,pop dance,electro house,big room,dance pop,edm,tropical house,swedish eurodance</t>
  </si>
  <si>
    <t>Dead To Me - Original Mix</t>
  </si>
  <si>
    <t>Whales,Fraxo,Lox Chatterbox</t>
  </si>
  <si>
    <t>bass trap,dubstep,gaming edm,traprun</t>
  </si>
  <si>
    <t>Never Gonna Catch Me</t>
  </si>
  <si>
    <t>El Speaker,Skan</t>
  </si>
  <si>
    <t>Can't Give It Up</t>
  </si>
  <si>
    <t>Skan,Highdiwaan</t>
  </si>
  <si>
    <t>Give It to Dem</t>
  </si>
  <si>
    <t>Skan,Drama B,Highdiwaan</t>
  </si>
  <si>
    <t>Living Hell (feat. Blvkstn)</t>
  </si>
  <si>
    <t>Skan,Lox Chatterbox,M.I.M.E,Blvkstn</t>
  </si>
  <si>
    <t>Almost Back (with Phoebe Ryan)</t>
  </si>
  <si>
    <t>Kaskade,Phoebe Ryan,LöKii</t>
  </si>
  <si>
    <t>edm,electro house,house,pop dance,progressive house,tropical house,vocal house,alt z,electropop,indie electropop,indie poptimism</t>
  </si>
  <si>
    <t>Ocean</t>
  </si>
  <si>
    <t>White Noise (R3hab Remix)</t>
  </si>
  <si>
    <t>Ella Vos,R3HAB</t>
  </si>
  <si>
    <t>alt z,electropop,indie electropop,indie poptimism,la pop,dance pop,dutch house,edm,electro house,pop,pop dance,progressive electro house,slap house,tropical house</t>
  </si>
  <si>
    <t>ISOU</t>
  </si>
  <si>
    <t>SHAED</t>
  </si>
  <si>
    <t>electropop,pop</t>
  </si>
  <si>
    <t>Trampoline - Jauz Remix</t>
  </si>
  <si>
    <t>SHAED,Jauz</t>
  </si>
  <si>
    <t>electropop,pop,bass house,brostep,edm,electro house,electronic trap,pop dance,vapor twitch</t>
  </si>
  <si>
    <t>Warrior Concerto</t>
  </si>
  <si>
    <t>The Glitch Mob</t>
  </si>
  <si>
    <t>edm,electro house,glitch,glitch hop,indietronica</t>
  </si>
  <si>
    <t>RISE</t>
  </si>
  <si>
    <t>League of Legends,The Glitch Mob,Mako,The Word Alive</t>
  </si>
  <si>
    <t>speedrun,video game music,edm,electro house,glitch,glitch hop,indietronica,electropop,indie poptimism,pop dance,pop edm,tropical house,melodic metalcore,metalcore,post-screamo,screamo,trancecore</t>
  </si>
  <si>
    <t>We Can Make The World Stop</t>
  </si>
  <si>
    <t>Fortune Days</t>
  </si>
  <si>
    <t>YUCK</t>
  </si>
  <si>
    <t>JOYRYDE,Gold</t>
  </si>
  <si>
    <t>Blind Spots</t>
  </si>
  <si>
    <t>Bishu</t>
  </si>
  <si>
    <t>bass trap,edm,electro house,future bass,gaming edm,pop edm,traprun</t>
  </si>
  <si>
    <t>AUTO</t>
  </si>
  <si>
    <t>Wave Racer</t>
  </si>
  <si>
    <t>australian indie,future bass,kawaii future bass,vapor twitch</t>
  </si>
  <si>
    <t>Levitate</t>
  </si>
  <si>
    <t>Flume,Reo Cragun</t>
  </si>
  <si>
    <t>australian dance,australian electropop,australian indie,downtempo,edm,canadian hip hop,trap soul,underground hip hop</t>
  </si>
  <si>
    <t>Out Here</t>
  </si>
  <si>
    <t>Mumbai Power</t>
  </si>
  <si>
    <t>Skrillex,BEAM</t>
  </si>
  <si>
    <t>brostep,complextro,edm,electro,trap soul</t>
  </si>
  <si>
    <t>Leave Me Alone</t>
  </si>
  <si>
    <t>Jewel</t>
  </si>
  <si>
    <t>Flume</t>
  </si>
  <si>
    <t>Bishu,Mister Blonde</t>
  </si>
  <si>
    <t>No Fronts</t>
  </si>
  <si>
    <t>Way Up</t>
  </si>
  <si>
    <t>Get To Know Me</t>
  </si>
  <si>
    <t>Wilted</t>
  </si>
  <si>
    <t>Besomorph,Biometrix,Bolshiee,Adam Ward</t>
  </si>
  <si>
    <t>Besomorph,Luchi</t>
  </si>
  <si>
    <t>Redemption</t>
  </si>
  <si>
    <t>Besomorph,Coopex,RIELL</t>
  </si>
  <si>
    <t>Besomorph,N3WPORT,Whoshafee</t>
  </si>
  <si>
    <t>alt z,slap house,traprun,gaming edm,melodic dubstep,pop edm,indian edm</t>
  </si>
  <si>
    <t>Alibi (Far Out Remix)</t>
  </si>
  <si>
    <t>Krewella,Far Out</t>
  </si>
  <si>
    <t>dance pop,edm,electra,electro house,electropop,melodic dubstep,pop dance,bass trap,gaming edm,pop edm,traprun</t>
  </si>
  <si>
    <t>Live for the Night</t>
  </si>
  <si>
    <t>Far Out,Karra</t>
  </si>
  <si>
    <t>bass trap,gaming edm,melodic dubstep,pop edm,traprun,la pop</t>
  </si>
  <si>
    <t>Sunny</t>
  </si>
  <si>
    <t>Papa Ya</t>
  </si>
  <si>
    <t>Lose Myself</t>
  </si>
  <si>
    <t>k?d,Phil Good</t>
  </si>
  <si>
    <t>electro house,future bass,indie electropop,la pop</t>
  </si>
  <si>
    <t>You're On (feat. Kyan)</t>
  </si>
  <si>
    <t>Madeon,Kyan</t>
  </si>
  <si>
    <t>complextro,edm,electro house,electropop,filter house,future bass,nantes indie,pop dance,uk contemporary r&amp;b</t>
  </si>
  <si>
    <t>I Wish (My Taylor Swift)</t>
  </si>
  <si>
    <t>The Knocks,Matthew Koma</t>
  </si>
  <si>
    <t>alternative dance,edm,indie poptimism,nu disco,tropical house,pop edm</t>
  </si>
  <si>
    <t>DEAD TO ME</t>
  </si>
  <si>
    <t>blackbear</t>
  </si>
  <si>
    <t>HIGH1X</t>
  </si>
  <si>
    <t>hot girl bummer</t>
  </si>
  <si>
    <t>Eyes on Fire</t>
  </si>
  <si>
    <t>Blue Foundation</t>
  </si>
  <si>
    <t>dream pop,electronica</t>
  </si>
  <si>
    <t>Nasty</t>
  </si>
  <si>
    <t>Datsik,Virtual Riot</t>
  </si>
  <si>
    <t>breakbeat,brostep,canadian electronic,edm,electro house,electronic trap,filthstep,complextro,dubstep,future bass,gaming dubstep,melodic dubstep</t>
  </si>
  <si>
    <t>Warriors of the Night</t>
  </si>
  <si>
    <t>Do or Die (feat. Childish Gambino)</t>
  </si>
  <si>
    <t>Flux Pavilion,Childish Gambino</t>
  </si>
  <si>
    <t>bass trap,brostep,classic dubstep,edm,electro house,electronic trap,melodic dubstep,pop dance,atl hip hop,hip hop,rap</t>
  </si>
  <si>
    <t>I Still Can't Stop</t>
  </si>
  <si>
    <t>Flux Pavilion</t>
  </si>
  <si>
    <t>1919</t>
  </si>
  <si>
    <t>High Klassified,Zach Zoya</t>
  </si>
  <si>
    <t>canadian hip hop,rap montrealais,substep,vapor twitch,hip hop quebecois</t>
  </si>
  <si>
    <t>All This</t>
  </si>
  <si>
    <t>Point Point</t>
  </si>
  <si>
    <t>future bass,new french touch,vapor twitch</t>
  </si>
  <si>
    <t>Take Three</t>
  </si>
  <si>
    <t>Jerry Folk</t>
  </si>
  <si>
    <t>Automatic</t>
  </si>
  <si>
    <t>ZHU,AlunaGeorge</t>
  </si>
  <si>
    <t>edm,electro house,electropop,house,tropical house</t>
  </si>
  <si>
    <t>My Life</t>
  </si>
  <si>
    <t>ZHU,Tame Impala</t>
  </si>
  <si>
    <t>edm,electro house,australian psych,neo-psychedelic</t>
  </si>
  <si>
    <t>Infinity 2008 - Klaas Vocal Edit</t>
  </si>
  <si>
    <t>Guru Josh Project,Klaas</t>
  </si>
  <si>
    <t>acid house,edm,german dance,pop dance,pop house</t>
  </si>
  <si>
    <t>Tears (feat. Louisa Johnson)</t>
  </si>
  <si>
    <t>Clean Bandit,Louisa Johnson</t>
  </si>
  <si>
    <t>dance pop,edm,pop,pop dance,tropical house,uk dance,uk funky,uk pop</t>
  </si>
  <si>
    <t>Rather Be (feat. Jess Glynne)</t>
  </si>
  <si>
    <t>Clean Bandit,Jess Glynne</t>
  </si>
  <si>
    <t>dance pop,edm,pop,pop dance,tropical house,uk dance,uk funky,post-teen pop,uk pop</t>
  </si>
  <si>
    <t>Mama (feat. Ellie Goulding)</t>
  </si>
  <si>
    <t>Clean Bandit,Ellie Goulding</t>
  </si>
  <si>
    <t>dance pop,edm,pop,pop dance,tropical house,uk dance,uk funky,electropop,indietronica,metropopolis,uk pop</t>
  </si>
  <si>
    <t>Symphony (feat. Zara Larsson)</t>
  </si>
  <si>
    <t>Clean Bandit,Zara Larsson</t>
  </si>
  <si>
    <t>dance pop,edm,pop,pop dance,tropical house,uk dance,uk funky,electropop,post-teen pop,scandipop,swedish electropop,swedish pop</t>
  </si>
  <si>
    <t>Solo (feat. Demi Lovato)</t>
  </si>
  <si>
    <t>Clean Bandit,Demi Lovato</t>
  </si>
  <si>
    <t>dance pop,edm,pop,pop dance,tropical house,uk dance,uk funky,post-teen pop</t>
  </si>
  <si>
    <t>I Don’t Wanna Live Forever (Fifty Shades Darker)</t>
  </si>
  <si>
    <t>ZAYN,Taylor Swift</t>
  </si>
  <si>
    <t>dance pop,electropop,pop,post-teen pop,uk pop</t>
  </si>
  <si>
    <t>Dusk Till Dawn (feat. Sia) - Radio Edit</t>
  </si>
  <si>
    <t>ZAYN,Sia</t>
  </si>
  <si>
    <t>dance pop,electropop,pop,post-teen pop,uk pop,australian dance,australian pop</t>
  </si>
  <si>
    <t>Like I Do</t>
  </si>
  <si>
    <t>David Guetta,Martin Garrix,Brooks</t>
  </si>
  <si>
    <t>big room,dance pop,edm,pop,pop dance,pop rap,dutch edm,electro house,progressive house,tropical house,future house,pop edm,progressive electro house</t>
  </si>
  <si>
    <t>Invincible</t>
  </si>
  <si>
    <t>Borgeous</t>
  </si>
  <si>
    <t>edm,electro house,pop dance,pop edm,progressive electro house,progressive house,tropical house</t>
  </si>
  <si>
    <t>R3HAB,VINAI</t>
  </si>
  <si>
    <t>dance pop,dutch house,edm,electro house,pop,pop dance,progressive electro house,slap house,tropical house,melbourne bounce international</t>
  </si>
  <si>
    <t>Symbolism</t>
  </si>
  <si>
    <t>Electro-Light</t>
  </si>
  <si>
    <t>gaming edm,speedrun</t>
  </si>
  <si>
    <t>Krys Talk</t>
  </si>
  <si>
    <t>Cetus</t>
  </si>
  <si>
    <t>Lensko</t>
  </si>
  <si>
    <t>Light It Up (feat. Nyla &amp; Fuse ODG) [Remix]</t>
  </si>
  <si>
    <t>Major Lazer,Nyla,Fuse ODG</t>
  </si>
  <si>
    <t>dance pop,edm,electro house,moombahton,pop,pop dance,pop rap,tropical house,afro dancehall,azonto</t>
  </si>
  <si>
    <t>Places</t>
  </si>
  <si>
    <t>Martin Solveig,Ina Wroldsen</t>
  </si>
  <si>
    <t>dance pop,disco house,edm,electro house,filter house,house,pop dance,tropical house,vocal house,norwegian pop</t>
  </si>
  <si>
    <t>THE HIVE</t>
  </si>
  <si>
    <t>KLOUD</t>
  </si>
  <si>
    <t>bass trap,dark clubbing,traprun</t>
  </si>
  <si>
    <t>Eastern Odyssey,Lucian</t>
  </si>
  <si>
    <t>Out of My Mind</t>
  </si>
  <si>
    <t>How To Be Human</t>
  </si>
  <si>
    <t>Flux Pavilion,Next to Neon,A:M</t>
  </si>
  <si>
    <t>bass trap,brostep,classic dubstep,edm,electro house,electronic trap,melodic dubstep,pop dance,swedish synthpop</t>
  </si>
  <si>
    <t>Summer Luv (feat. Crystal Fighters)</t>
  </si>
  <si>
    <t>Whethan,The Knocks,Crystal Fighters</t>
  </si>
  <si>
    <t>edm,electropop,hyperpop,indie poptimism,vapor twitch,alternative dance,nu disco,tropical house,new rave</t>
  </si>
  <si>
    <t>The Night Out</t>
  </si>
  <si>
    <t>Martin Solveig</t>
  </si>
  <si>
    <t>Mama</t>
  </si>
  <si>
    <t>Jonas Blue,William Singe</t>
  </si>
  <si>
    <t>dance pop,edm,pop,pop dance,tropical house,uk dance,chill r&amp;b,pop r&amp;b,r&amp;b,urban contemporary</t>
  </si>
  <si>
    <t>Perfect Strangers</t>
  </si>
  <si>
    <t>Jonas Blue,JP Cooper</t>
  </si>
  <si>
    <t>dance pop,edm,pop,pop dance,tropical house,uk dance,neo mellow,uk pop</t>
  </si>
  <si>
    <t>Calvin Harris,Frank Ocean,Migos,Funk Wav</t>
  </si>
  <si>
    <t>Feels (feat. Pharrell Williams, Katy Perry &amp; Big Sean)</t>
  </si>
  <si>
    <t>Calvin Harris,Pharrell Williams,Katy Perry,Big Sean,Funk Wav</t>
  </si>
  <si>
    <t>dance pop,edm,electro house,house,pop,pop rap,progressive house,uk dance,hip hop,post-teen pop,detroit hip hop,rap,southern hip hop,trap</t>
  </si>
  <si>
    <t>How Deep Is Your Love</t>
  </si>
  <si>
    <t>Calvin Harris,Disciples</t>
  </si>
  <si>
    <t>dance pop,edm,electro house,house,pop,pop rap,progressive house,uk dance,deep groove house,disco house,pop dance,tropical house</t>
  </si>
  <si>
    <t>This Is What You Came For (feat. Rihanna)</t>
  </si>
  <si>
    <t>Calvin Harris,Rihanna</t>
  </si>
  <si>
    <t>dance pop,edm,electro house,house,pop,pop rap,progressive house,uk dance,barbadian pop,urban contemporary</t>
  </si>
  <si>
    <t>Summer</t>
  </si>
  <si>
    <t>Pursuit Of Happiness - Extended Steve Aoki Remix (Explicit)</t>
  </si>
  <si>
    <t>Shooting Stars</t>
  </si>
  <si>
    <t>Bag Raiders</t>
  </si>
  <si>
    <t>alternative dance,australian dance,filter house,indietronica,new rave,nu disco</t>
  </si>
  <si>
    <t>Promises (with Sam Smith)</t>
  </si>
  <si>
    <t>Calvin Harris,Sam Smith,Jessie Reyez</t>
  </si>
  <si>
    <t>dance pop,edm,electro house,house,pop,pop rap,progressive house,uk dance,uk pop,canadian contemporary r&amp;b,canadian pop,r&amp;b</t>
  </si>
  <si>
    <t>Rise</t>
  </si>
  <si>
    <t>Jonas Blue,Jack &amp; Jack</t>
  </si>
  <si>
    <t>dance pop,edm,pop,pop dance,tropical house,uk dance,post-teen pop,social media pop,teen pop</t>
  </si>
  <si>
    <t>Seve - Radio Edit</t>
  </si>
  <si>
    <t>Tez Cadey</t>
  </si>
  <si>
    <t>deep tropical house,new french touch,tropical house</t>
  </si>
  <si>
    <t>VIZE</t>
  </si>
  <si>
    <t>dance pop,edm,german dance,pop dance,slap house,tropical house</t>
  </si>
  <si>
    <t>Five Hours</t>
  </si>
  <si>
    <t>Deorro</t>
  </si>
  <si>
    <t>dance pop,edm,electro house,melbourne bounce,melbourne bounce international,pop dance,progressive electro house</t>
  </si>
  <si>
    <t>No Money</t>
  </si>
  <si>
    <t>Sun Goes Down (feat. Jasmine Thompson) - Radio Mix</t>
  </si>
  <si>
    <t>Robin Schulz,Jasmine Thompson</t>
  </si>
  <si>
    <t>dance pop,deep euro house,deep house,edm,german dance,pop,pop dance,tropical house,neo mellow,viral pop</t>
  </si>
  <si>
    <t>Baby I'm Yours (feat. Irfane)</t>
  </si>
  <si>
    <t>FRIENDS</t>
  </si>
  <si>
    <t>Marshmello,Anne-Marie</t>
  </si>
  <si>
    <t>brostep,dance pop,edm,pop,pop dance,progressive electro house,post-teen pop,tropical house,uk pop</t>
  </si>
  <si>
    <t>Under Control (feat. Hurts)</t>
  </si>
  <si>
    <t>Calvin Harris,Alesso,Hurts</t>
  </si>
  <si>
    <t>dance pop,edm,electro house,house,pop,pop rap,progressive house,uk dance,pop dance,tropical house,metropopolis,neo-synthpop</t>
  </si>
  <si>
    <t>Middle</t>
  </si>
  <si>
    <t>DJ Snake,Bipolar Sunshine</t>
  </si>
  <si>
    <t>dance pop,edm,electronic trap,pop,pop dance,pop rap,gauze pop</t>
  </si>
  <si>
    <t>Roses (feat. ROZES) - Lookas Remix</t>
  </si>
  <si>
    <t>The Chainsmokers,ROZES,Lookas</t>
  </si>
  <si>
    <t>dance pop,edm,electropop,pop,pop dance,tropical house,indie poptimism,pop edm,bass trap,electro house,electronic trap,future bass</t>
  </si>
  <si>
    <t>Until You Were Gone</t>
  </si>
  <si>
    <t>The Chainsmokers,Tritonal,Emily Warren</t>
  </si>
  <si>
    <t>dance pop,edm,electropop,pop,pop dance,tropical house,electro house,melodic dubstep,pop edm,progressive electro house,progressive house,progressive trance,trance,uplifting trance,nyc pop</t>
  </si>
  <si>
    <t>Roses</t>
  </si>
  <si>
    <t>The Chainsmokers,ROZES</t>
  </si>
  <si>
    <t>dance pop,edm,electropop,pop,pop dance,tropical house,indie poptimism,pop edm</t>
  </si>
  <si>
    <t>Don't Let Me Down</t>
  </si>
  <si>
    <t>The Chainsmokers,Daya</t>
  </si>
  <si>
    <t>dance pop,edm,electropop,pop,pop dance,tropical house,alt z,post-teen pop</t>
  </si>
  <si>
    <t>Hope</t>
  </si>
  <si>
    <t>The Chainsmokers,Winona Oak</t>
  </si>
  <si>
    <t>dance pop,edm,electropop,pop,pop dance,tropical house,alt z,swedish pop</t>
  </si>
  <si>
    <t>Paris</t>
  </si>
  <si>
    <t>The Chainsmokers,Halsey</t>
  </si>
  <si>
    <t>dance pop,edm,electropop,pop,pop dance,tropical house,etherpop,indie poptimism</t>
  </si>
  <si>
    <t>Save Yourself</t>
  </si>
  <si>
    <t>Vanic,Gloria Kim</t>
  </si>
  <si>
    <t>Cannonball (feat. Jocelyn Alice)</t>
  </si>
  <si>
    <t>Vanic,Jocelyn Alice</t>
  </si>
  <si>
    <t>bass trap,electronic trap,future bass,indie electropop,pop edm,vapor twitch,canadian electropop</t>
  </si>
  <si>
    <t>Fly by Night (feat. Noé)</t>
  </si>
  <si>
    <t>Lucian,Noé</t>
  </si>
  <si>
    <t>Wicked Winds</t>
  </si>
  <si>
    <t>Mazde</t>
  </si>
  <si>
    <t>Lucid Dream</t>
  </si>
  <si>
    <t>Owl City</t>
  </si>
  <si>
    <t>indietronica,modern rock,pop,pop rock</t>
  </si>
  <si>
    <t>Fireflies</t>
  </si>
  <si>
    <t>Apollo</t>
  </si>
  <si>
    <t>Lookas</t>
  </si>
  <si>
    <t>bass trap,electro house,electronic trap,future bass</t>
  </si>
  <si>
    <t>Limelight (NGHTMRE Remix)</t>
  </si>
  <si>
    <t>Just A Gent,NGHTMRE</t>
  </si>
  <si>
    <t>aussietronica,bass trap,edm,electro house,electronic trap,electropop,future bass,melodic dubstep,vapor twitch,brostep,pop dance</t>
  </si>
  <si>
    <t>So Long (feat. Madi)</t>
  </si>
  <si>
    <t>Slushii,MADI</t>
  </si>
  <si>
    <t>brostep,edm,electro house,electronic trap,future bass,pop dance</t>
  </si>
  <si>
    <t>Twinbow</t>
  </si>
  <si>
    <t>Slushii,Marshmello</t>
  </si>
  <si>
    <t>brostep,edm,electro house,electronic trap,future bass,pop dance,dance pop,pop,progressive electro house</t>
  </si>
  <si>
    <t>There x2</t>
  </si>
  <si>
    <t>WANT U</t>
  </si>
  <si>
    <t>ARMNHMR,ASHR,Lilianna Wilde</t>
  </si>
  <si>
    <t>edm,future bass,melodic dubstep,pop dance,pop edm,indie electropop</t>
  </si>
  <si>
    <t>Fallen (feat. Desiree Dawson) (WILLIAM BLACK Remix)</t>
  </si>
  <si>
    <t>ARMNHMR,Desiree Dawson,William Black</t>
  </si>
  <si>
    <t>edm,future bass,melodic dubstep,pop dance,pop edm,canadian folk</t>
  </si>
  <si>
    <t>Gorgeous (&amp; Blanke with Bipolar Sunshine)</t>
  </si>
  <si>
    <t>ILLENIUM,Blanke,Bipolar Sunshine</t>
  </si>
  <si>
    <t>edm,melodic dubstep,pop,pop dance,tropical house,dubstep,electro house,future bass,gauze pop</t>
  </si>
  <si>
    <t>In Your Arms (with X Ambassadors)</t>
  </si>
  <si>
    <t>Pray (feat. Kameron)</t>
  </si>
  <si>
    <t>ILLENIUM,Kameron</t>
  </si>
  <si>
    <t>Sad Songs (&amp; Said The Sky with Annika Wells)</t>
  </si>
  <si>
    <t>ILLENIUM,Said The Sky,Annika Wells</t>
  </si>
  <si>
    <t>edm,melodic dubstep,pop,pop dance,tropical house,electropop,future bass,pop edm,la pop</t>
  </si>
  <si>
    <t>Takeaway (with ILLENIUM &amp; Lennon Stella)</t>
  </si>
  <si>
    <t>Every Piece Of Me (with Echos)</t>
  </si>
  <si>
    <t>ILLENIUM,Echos</t>
  </si>
  <si>
    <t>edm,melodic dubstep,pop,pop dance,tropical house,alt z,indie electropop,indie poptimism</t>
  </si>
  <si>
    <t>Broken Ones (with Anna Clendening)</t>
  </si>
  <si>
    <t>ILLENIUM,Anna Clendening</t>
  </si>
  <si>
    <t>edm,melodic dubstep,pop,pop dance,tropical house,alt z,post-teen pop,social media pop,viral pop</t>
  </si>
  <si>
    <t>Crashing (feat. Bahari)</t>
  </si>
  <si>
    <t>ILLENIUM,Bahari</t>
  </si>
  <si>
    <t>edm,melodic dubstep,pop,pop dance,tropical house,alt z,indie electropop,indie poptimism,la pop</t>
  </si>
  <si>
    <t>All Together (with OEKIIN)</t>
  </si>
  <si>
    <t>ILLENIUM,OEKIIN</t>
  </si>
  <si>
    <t>Take You Down</t>
  </si>
  <si>
    <t>ILLENIUM</t>
  </si>
  <si>
    <t>Good Things Fall Apart (with Jon Bellion)</t>
  </si>
  <si>
    <t>That’s Why (with GOLDN)</t>
  </si>
  <si>
    <t>Hold On (with Georgia Ku)</t>
  </si>
  <si>
    <t>ILLENIUM,Georgia Ku</t>
  </si>
  <si>
    <t>edm,melodic dubstep,pop,pop dance,tropical house,uk pop</t>
  </si>
  <si>
    <t>My Life Is a Party - R.i.o Video Edit</t>
  </si>
  <si>
    <t>Stamp on the Ground - Radio Edit</t>
  </si>
  <si>
    <t>Capital Letters</t>
  </si>
  <si>
    <t>Hailee Steinfeld,BloodPop®</t>
  </si>
  <si>
    <t>dance pop,pop,post-teen pop,electropop</t>
  </si>
  <si>
    <t>The Great Deception</t>
  </si>
  <si>
    <t>Stomach It</t>
  </si>
  <si>
    <t>Crywolf,EDEN</t>
  </si>
  <si>
    <t>chillstep,edm,indie poptimism,melodic dubstep,modern rock</t>
  </si>
  <si>
    <t>Horns</t>
  </si>
  <si>
    <t>Under The Pressure</t>
  </si>
  <si>
    <t>The Fear</t>
  </si>
  <si>
    <t>Unstoppable</t>
  </si>
  <si>
    <t>Rush</t>
  </si>
  <si>
    <t>My Best Life (feat. Mike Waters) - Club Mix</t>
  </si>
  <si>
    <t>KSHMR,Mike Waters</t>
  </si>
  <si>
    <t>big room,edm,electro house,indian edm,pop dance,slap house,tropical house,folk-pop</t>
  </si>
  <si>
    <t>Move Slow</t>
  </si>
  <si>
    <t>The Tech Thieves,Biometrix</t>
  </si>
  <si>
    <t>alt z,bass trap,traprun</t>
  </si>
  <si>
    <t>Head Cold</t>
  </si>
  <si>
    <t>SNOWMASS,Mona Moua</t>
  </si>
  <si>
    <t>Game Plan (Jorgen Odegard Remix) [feat. Jon Bellion]</t>
  </si>
  <si>
    <t>Ojivolta,Jorgen Odegard,Jon Bellion</t>
  </si>
  <si>
    <t>Girls Like You (feat. Cardi B) - Cardi B Version</t>
  </si>
  <si>
    <t>Maroon 5,Cardi B</t>
  </si>
  <si>
    <t>pop,dance pop,pop rap,rap</t>
  </si>
  <si>
    <t>Problems - Taska Black Remix</t>
  </si>
  <si>
    <t>Petit Biscuit,Taska Black,Lido</t>
  </si>
  <si>
    <t>tropical house,bass trap,edm,electronic trap,electropop,future bass,indie electropop,pop edm,vapor twitch,norwegian pop</t>
  </si>
  <si>
    <t>Nothing More (Deaf Kev Remix)</t>
  </si>
  <si>
    <t>Yoe Mase,Deaf Kev</t>
  </si>
  <si>
    <t>chillstep,future bass,indie poptimism,pop edm,gaming edm</t>
  </si>
  <si>
    <t>Deaf Kev</t>
  </si>
  <si>
    <t>Samurai</t>
  </si>
  <si>
    <t>Heart Afire</t>
  </si>
  <si>
    <t>Defqwop,STRIX</t>
  </si>
  <si>
    <t>Get Over You</t>
  </si>
  <si>
    <t>JPB,Valentina Franco</t>
  </si>
  <si>
    <t>JPB,Joe Erickson</t>
  </si>
  <si>
    <t>Defeat The Night</t>
  </si>
  <si>
    <t>JPB,Ashley Apollodor</t>
  </si>
  <si>
    <t>Feels Right - Radio Edit</t>
  </si>
  <si>
    <t>JPB,MYRNE,Yung Fusion</t>
  </si>
  <si>
    <t>gaming edm,edm,electro house,future bass,melodic dubstep,pop edm,singaporean electronic,singaporean pop,vapor twitch</t>
  </si>
  <si>
    <t>High</t>
  </si>
  <si>
    <t>Nekozilla</t>
  </si>
  <si>
    <t>Different Heaven</t>
  </si>
  <si>
    <t>My Heart</t>
  </si>
  <si>
    <t>Different Heaven,EH!DE</t>
  </si>
  <si>
    <t>gaming edm,dubstep,gaming dubstep</t>
  </si>
  <si>
    <t>Senses Overload</t>
  </si>
  <si>
    <t>Teminite,PsoGnar</t>
  </si>
  <si>
    <t>edm,gaming dubstep,speedrun</t>
  </si>
  <si>
    <t>Beastmode</t>
  </si>
  <si>
    <t>Teminite</t>
  </si>
  <si>
    <t>KIKO</t>
  </si>
  <si>
    <t>Radiate</t>
  </si>
  <si>
    <t>Antipixel - Original Mix</t>
  </si>
  <si>
    <t>Colorblind</t>
  </si>
  <si>
    <t>Highscore</t>
  </si>
  <si>
    <t>Panda Eyes,Teminite</t>
  </si>
  <si>
    <t>Mighty &amp; High</t>
  </si>
  <si>
    <t>Can't Stop Won't Stop</t>
  </si>
  <si>
    <t>Up and Away</t>
  </si>
  <si>
    <t>Can't Stop Won't Stop,June</t>
  </si>
  <si>
    <t>ILY</t>
  </si>
  <si>
    <t>Don't Let Me Down (feat. Daya) - Illenium Remix</t>
  </si>
  <si>
    <t>The Chainsmokers,Daya,ILLENIUM</t>
  </si>
  <si>
    <t>dance pop,edm,electropop,pop,pop dance,tropical house,alt z,post-teen pop,melodic dubstep</t>
  </si>
  <si>
    <t>Takeaway (feat. Lennon Stella)</t>
  </si>
  <si>
    <t>Human</t>
  </si>
  <si>
    <t>Rag'n'Bone Man</t>
  </si>
  <si>
    <t>One Dance</t>
  </si>
  <si>
    <t>Drake,WizKid,Kyla</t>
  </si>
  <si>
    <t>canadian hip hop,canadian pop,hip hop,rap,toronto rap,afro dancehall,afropop,azonto,nigerian hip hop,nigerian pop,uk funky</t>
  </si>
  <si>
    <t>Post Malone</t>
  </si>
  <si>
    <t>dfw rap,melodic rap,rap</t>
  </si>
  <si>
    <t>Giant (with Rag'n'Bone Man)</t>
  </si>
  <si>
    <t>Calvin Harris,Rag'n'Bone Man</t>
  </si>
  <si>
    <t>dance pop,edm,electro house,house,pop,pop rap,progressive house,uk dance,neo soul</t>
  </si>
  <si>
    <t>In the Name of Love</t>
  </si>
  <si>
    <t>Martin Garrix,Bebe Rexha</t>
  </si>
  <si>
    <t>dance pop,dutch edm,edm,electro house,pop,pop dance,progressive house,tropical house,electropop,post-teen pop</t>
  </si>
  <si>
    <t>My Life Is Going On (Cecilia Krull vs. Gavin Moss) [Música Original de la Serie de TV La Casa de Papel]</t>
  </si>
  <si>
    <t>Cecilia Krull,Gavin Moss</t>
  </si>
  <si>
    <t>spanish pop,pop edm</t>
  </si>
  <si>
    <t>Blinded</t>
  </si>
  <si>
    <t>Deep Chills,Emma Carn</t>
  </si>
  <si>
    <t>deep house,deep tropical house,new french touch,pop dance,tropical house</t>
  </si>
  <si>
    <t>How Hard I Try (feat. James Hersey)</t>
  </si>
  <si>
    <t>filous,James Hersey</t>
  </si>
  <si>
    <t>Reality (feat. Janieck Devy)</t>
  </si>
  <si>
    <t>Lost Frequencies,Janieck Devy</t>
  </si>
  <si>
    <t>belgian edm,edm,pop,pop dance,tropical house</t>
  </si>
  <si>
    <t>Are You With Me - Radio Edit</t>
  </si>
  <si>
    <t>Let Me Hold You - Turn Me On</t>
  </si>
  <si>
    <t>Cheat Codes,Dante Klein</t>
  </si>
  <si>
    <t>dance pop,edm,electro house,electropop,pop,pop dance,tropical house,pop edm</t>
  </si>
  <si>
    <t>No Promises (feat. Demi Lovato)</t>
  </si>
  <si>
    <t>Cheat Codes,Demi Lovato</t>
  </si>
  <si>
    <t>dance pop,edm,electro house,electropop,pop,pop dance,tropical house,post-teen pop</t>
  </si>
  <si>
    <t>Sweet Lovin' - Radio Edit</t>
  </si>
  <si>
    <t>Sigala,Bryn Christopher</t>
  </si>
  <si>
    <t>dance pop,edm,house,pop,pop dance,tropical house,british soul</t>
  </si>
  <si>
    <t>Easy Love</t>
  </si>
  <si>
    <t>The Ocean (feat. Shy Martin)</t>
  </si>
  <si>
    <t>Mike Perry,SHY Martin</t>
  </si>
  <si>
    <t>dance pop,edm,electro house,pop,pop dance,pop edm,swedish tropical house,tropical house,alt z,electropop,swedish electropop</t>
  </si>
  <si>
    <t>Gecko (Overdrive) - Radio Edit</t>
  </si>
  <si>
    <t>Oliver Heldens,Becky Hill</t>
  </si>
  <si>
    <t>dance pop,edm,electro house,future house,house,pop dance,progressive electro house,progressive house,tropical house,pop,pop house,uk dance</t>
  </si>
  <si>
    <t>Flash Drive</t>
  </si>
  <si>
    <t>Wave Racer,B▲BY</t>
  </si>
  <si>
    <t>i hate u, i love u (feat. olivia o'brien)</t>
  </si>
  <si>
    <t>Garrett Nash,Olivia O'Brien</t>
  </si>
  <si>
    <t>pop,pop rap,alt z,dance pop,electropop,post-teen pop</t>
  </si>
  <si>
    <t>i'm so tired...</t>
  </si>
  <si>
    <t>Lauv,Troye Sivan</t>
  </si>
  <si>
    <t>dance pop,electropop,pop,australian pop,viral pop</t>
  </si>
  <si>
    <t>Slow (feat. Noah Cyrus)</t>
  </si>
  <si>
    <t>Matoma,Noah Cyrus</t>
  </si>
  <si>
    <t>dance pop,edm,electro house,electropop,pop,pop dance,pop edm,tropical house</t>
  </si>
  <si>
    <t>Dead V</t>
  </si>
  <si>
    <t>Nightcall,Dreamhour</t>
  </si>
  <si>
    <t>melodic dubstep,nightrun</t>
  </si>
  <si>
    <t>Deadv</t>
  </si>
  <si>
    <t>Relax, Take It Easy</t>
  </si>
  <si>
    <t>Hunter</t>
  </si>
  <si>
    <t>Love on Me</t>
  </si>
  <si>
    <t>Galantis,Hook N Sling</t>
  </si>
  <si>
    <t>dance pop,edm,electro house,pop,pop dance,tropical house,australian dance</t>
  </si>
  <si>
    <t>Think About You - Galantis Remix</t>
  </si>
  <si>
    <t>Kygo,Valerie Broussard,Galantis</t>
  </si>
  <si>
    <t>edm,pop,pop dance,tropical house,alt z,bossbeat,modern alternative pop,dance pop,electro house</t>
  </si>
  <si>
    <t>Peanut Butter Jelly</t>
  </si>
  <si>
    <t>Runaway (U &amp; I)</t>
  </si>
  <si>
    <t>Bones (feat. OneRepublic)</t>
  </si>
  <si>
    <t>Galantis,OneRepublic</t>
  </si>
  <si>
    <t>dance pop,edm,electro house,pop,pop dance,tropical house,piano rock,pop rock</t>
  </si>
  <si>
    <t>Dirty Sexy Money (feat. Charli XCX &amp; French Montana)</t>
  </si>
  <si>
    <t>David Guetta,Afrojack,Charli XCX,French Montana</t>
  </si>
  <si>
    <t>big room,dance pop,edm,pop,pop dance,pop rap,dutch house,electro house,progressive house,tropical house,art pop,candy pop,electropop,metropopolis,uk pop,gangster rap,hip hop,rap,southern hip hop,trap</t>
  </si>
  <si>
    <t>Kygo,Ellie Goulding</t>
  </si>
  <si>
    <t>edm,pop,pop dance,tropical house,dance pop,electropop,indietronica,metropopolis,uk pop</t>
  </si>
  <si>
    <t>Burn</t>
  </si>
  <si>
    <t>Love Me Like You Do - From Fifty Shades Of Grey</t>
  </si>
  <si>
    <t>Hate Me (with Juice WRLD)</t>
  </si>
  <si>
    <t>Ellie Goulding,Juice WRLD</t>
  </si>
  <si>
    <t>dance pop,edm,electropop,indietronica,metropopolis,pop,uk pop,chicago rap,melodic rap</t>
  </si>
  <si>
    <t>Am I Wrong</t>
  </si>
  <si>
    <t>Nico &amp; Vinz</t>
  </si>
  <si>
    <t>Waves - Robin Schulz Radio Edit</t>
  </si>
  <si>
    <t>Mr. Probz,Robin Schulz</t>
  </si>
  <si>
    <t>dutch hip hop,tropical house,dance pop,deep euro house,deep house,edm,german dance,pop,pop dance</t>
  </si>
  <si>
    <t>We Can Get High</t>
  </si>
  <si>
    <t>Every Every</t>
  </si>
  <si>
    <t>Five Months Later</t>
  </si>
  <si>
    <t>Prince Fox</t>
  </si>
  <si>
    <t>electropop,nyc pop,pop edm</t>
  </si>
  <si>
    <t>Space (feat. Quinn XCII)</t>
  </si>
  <si>
    <t>Prince Fox,Quinn XCII</t>
  </si>
  <si>
    <t>electropop,nyc pop,pop edm,indie pop rap,pop,pop rap</t>
  </si>
  <si>
    <t>Petit Biscuit,Panama</t>
  </si>
  <si>
    <t>tropical house,australian indie</t>
  </si>
  <si>
    <t>We Were Young</t>
  </si>
  <si>
    <t>Petit Biscuit,JP Cooper</t>
  </si>
  <si>
    <t>tropical house,dance pop,neo mellow,pop,uk pop</t>
  </si>
  <si>
    <t>Let Me Go (with Alesso, Florida Georgia Line &amp; watt)</t>
  </si>
  <si>
    <t>Hailee Steinfeld,Alesso,Florida Georgia Line,WATT</t>
  </si>
  <si>
    <t>dance pop,pop,post-teen pop,edm,electro house,pop dance,tropical house,contemporary country,country,country pop,country road,modern country rock,modern alternative rock</t>
  </si>
  <si>
    <t>Love Myself</t>
  </si>
  <si>
    <t>Most Girls</t>
  </si>
  <si>
    <t>Anxiety (with Selena Gomez)</t>
  </si>
  <si>
    <t>Julia Michaels,Selena Gomez</t>
  </si>
  <si>
    <t>Issues</t>
  </si>
  <si>
    <t>What A Time (feat. Niall Horan)</t>
  </si>
  <si>
    <t>Julia Michaels,Niall Horan</t>
  </si>
  <si>
    <t>I Miss You (feat. Julia Michaels)</t>
  </si>
  <si>
    <t>Clean Bandit,Julia Michaels</t>
  </si>
  <si>
    <t>dance pop,edm,pop,pop dance,tropical house,uk dance,uk funky,alt z,electropop,post-teen pop</t>
  </si>
  <si>
    <t>There's No Way (feat. Julia Michaels)</t>
  </si>
  <si>
    <t>Lauv,Julia Michaels</t>
  </si>
  <si>
    <t>dance pop,electropop,pop,alt z,post-teen pop</t>
  </si>
  <si>
    <t>Let You Love Me</t>
  </si>
  <si>
    <t>Rita Ora</t>
  </si>
  <si>
    <t>dance pop,edm,pop,pop rap,post-teen pop,tropical house,uk pop</t>
  </si>
  <si>
    <t>Be the One</t>
  </si>
  <si>
    <t>Scared to Be Lonely</t>
  </si>
  <si>
    <t>Martin Garrix,Dua Lipa</t>
  </si>
  <si>
    <t>dance pop,dutch edm,edm,electro house,pop,pop dance,progressive house,tropical house,uk pop</t>
  </si>
  <si>
    <t>One Kiss (with Dua Lipa)</t>
  </si>
  <si>
    <t>Calvin Harris,Dua Lipa</t>
  </si>
  <si>
    <t>New Rules</t>
  </si>
  <si>
    <t>IDGAF</t>
  </si>
  <si>
    <t>Can't Hide</t>
  </si>
  <si>
    <t>Whethan,Ashe</t>
  </si>
  <si>
    <t>edm,electropop,hyperpop,indie poptimism,vapor twitch,alt z,pop</t>
  </si>
  <si>
    <t>Sleepy Eyes</t>
  </si>
  <si>
    <t>Elohim,Whethan</t>
  </si>
  <si>
    <t>alt z,edm,electropop,future bass,indie electropop,indie poptimism,indietronica,la pop,vapor soul,vapor twitch,hyperpop</t>
  </si>
  <si>
    <t>Superlove (feat. Oh Wonder)</t>
  </si>
  <si>
    <t>Whethan,Oh Wonder</t>
  </si>
  <si>
    <t>edm,electropop,hyperpop,indie poptimism,vapor twitch,pop</t>
  </si>
  <si>
    <t>High (&amp; Dua Lipa)</t>
  </si>
  <si>
    <t>Whethan,Dua Lipa</t>
  </si>
  <si>
    <t>edm,electropop,hyperpop,indie poptimism,vapor twitch,dance pop,pop,uk pop</t>
  </si>
  <si>
    <t>Good Nights (feat. Mascolo)</t>
  </si>
  <si>
    <t>Whethan,Mascolo</t>
  </si>
  <si>
    <t>edm,electropop,hyperpop,indie poptimism,vapor twitch</t>
  </si>
  <si>
    <t>When I'm Down</t>
  </si>
  <si>
    <t>Whethan,Oliver Tree</t>
  </si>
  <si>
    <t>edm,electropop,hyperpop,indie poptimism,vapor twitch,alternative hip hop</t>
  </si>
  <si>
    <t>Problems</t>
  </si>
  <si>
    <t>Petit Biscuit,Lido</t>
  </si>
  <si>
    <t>tropical house,future bass,norwegian pop,vapor twitch</t>
  </si>
  <si>
    <t>Deep Breaths</t>
  </si>
  <si>
    <t>Lookas,Cal</t>
  </si>
  <si>
    <t>all the kids are depressed</t>
  </si>
  <si>
    <t>Jeremy Zucker</t>
  </si>
  <si>
    <t>I Wanna Know</t>
  </si>
  <si>
    <t>RL Grime,Daya</t>
  </si>
  <si>
    <t>bass trap,edm,electro house,electronic trap,electropop,pop dance,vapor twitch,alt z,dance pop,pop,post-teen pop,tropical house</t>
  </si>
  <si>
    <t>Stay The Night</t>
  </si>
  <si>
    <t>Just Kiddin,Camden Cox</t>
  </si>
  <si>
    <t>deep groove house,edm,electro house,house,nu disco,pop dance,tropical house,uk dance</t>
  </si>
  <si>
    <t>Better Not (with Wafia)</t>
  </si>
  <si>
    <t>Louis The Child,Wafia</t>
  </si>
  <si>
    <t>edm,electro house,electropop,pop,pop dance,tropical house,australian pop</t>
  </si>
  <si>
    <t>Piece Of Your Heart</t>
  </si>
  <si>
    <t>MEDUZA,Goodboys</t>
  </si>
  <si>
    <t>edm,pop,pop dance,pop house,tropical house,uk dance</t>
  </si>
  <si>
    <t>If I Killed Someone For You</t>
  </si>
  <si>
    <t>Let Me Down Slowly (feat. Alessia Cara)</t>
  </si>
  <si>
    <t>Alec Benjamin,Alessia Cara</t>
  </si>
  <si>
    <t>alt z,dream smp,electropop,pop,canadian contemporary r&amp;b,canadian pop,dance pop,post-teen pop</t>
  </si>
  <si>
    <t>Outrunning Karma</t>
  </si>
  <si>
    <t>Let Me Down Slowly</t>
  </si>
  <si>
    <t>Talk</t>
  </si>
  <si>
    <t>Khalid,Disclosure</t>
  </si>
  <si>
    <t>pop,pop r&amp;b,edm,house,uk dance</t>
  </si>
  <si>
    <t>Magnets</t>
  </si>
  <si>
    <t>Disclosure,Lorde</t>
  </si>
  <si>
    <t>edm,house,pop,uk dance,art pop,dance pop,electropop,metropopolis,nz pop</t>
  </si>
  <si>
    <t>Found Me (feat. Maria Hazell)</t>
  </si>
  <si>
    <t>The Him,Maria Hazell</t>
  </si>
  <si>
    <t>big room,deep house,deep tropical house,edm,electro house,house,pop dance,pop edm,tropical house</t>
  </si>
  <si>
    <t>Feels Like Home - Radio Edit</t>
  </si>
  <si>
    <t>The Him,Son Mieux</t>
  </si>
  <si>
    <t>big room,deep house,deep tropical house,edm,electro house,house,pop dance,pop edm,tropical house,dutch indie,dutch pop,dutch rock,folk-pop</t>
  </si>
  <si>
    <t>Always</t>
  </si>
  <si>
    <t>The Him</t>
  </si>
  <si>
    <t>Nothing On Us</t>
  </si>
  <si>
    <t>One More Time - Radio Edit [Short Radio Edit]</t>
  </si>
  <si>
    <t>Disc Wars</t>
  </si>
  <si>
    <t>Down in Flames</t>
  </si>
  <si>
    <t>SLUMBERJACK,Vera Blue</t>
  </si>
  <si>
    <t>electronic trap,vapor twitch,australian indie,australian pop</t>
  </si>
  <si>
    <t>Stay For It</t>
  </si>
  <si>
    <t>RL Grime,Miguel</t>
  </si>
  <si>
    <t>bass trap,edm,electro house,electronic trap,electropop,pop dance,vapor twitch,dance pop,pop,r&amp;b,urban contemporary</t>
  </si>
  <si>
    <t>Light Me Up</t>
  </si>
  <si>
    <t>RL Grime,Miguel,Julia Michaels</t>
  </si>
  <si>
    <t>bass trap,edm,electro house,electronic trap,electropop,pop dance,vapor twitch,dance pop,pop,r&amp;b,urban contemporary,alt z,post-teen pop</t>
  </si>
  <si>
    <t>Billie Jean</t>
  </si>
  <si>
    <t>End Credits</t>
  </si>
  <si>
    <t>EDEN,Leah Kelly</t>
  </si>
  <si>
    <t>Fumes</t>
  </si>
  <si>
    <t>EDEN,Garrett Nash</t>
  </si>
  <si>
    <t>indie poptimism,modern rock,pop,pop rap</t>
  </si>
  <si>
    <t>crash</t>
  </si>
  <si>
    <t>rock + roll</t>
  </si>
  <si>
    <t>sex</t>
  </si>
  <si>
    <t>XO</t>
  </si>
  <si>
    <t>Seven Lions,Jason Ross,Paul Meany</t>
  </si>
  <si>
    <t>dubstep,edm,electro house,future bass,melodic dubstep,pop dance,pop edm,progressive trance,progressive house</t>
  </si>
  <si>
    <t>Days to Come (feat. Fiora)</t>
  </si>
  <si>
    <t>Seven Lions,Fiora</t>
  </si>
  <si>
    <t>dubstep,edm,electro house,future bass,melodic dubstep,pop dance,pop edm,progressive trance,vocal trance</t>
  </si>
  <si>
    <t>After Dark (feat. Fiora)</t>
  </si>
  <si>
    <t>Seven Lions,Blastoyz,Fiora</t>
  </si>
  <si>
    <t>dubstep,edm,electro house,future bass,melodic dubstep,pop dance,pop edm,progressive trance,psychedelic trance,vocal trance</t>
  </si>
  <si>
    <t>Ocean (feat. Jonathan Mendelsohn)</t>
  </si>
  <si>
    <t>Seven Lions,Jason Ross,Jonathan Mendelsohn</t>
  </si>
  <si>
    <t>First Time (feat. Dylan Matthew)</t>
  </si>
  <si>
    <t>Seven Lions,SLANDER,Dabin,Dylan Matthew</t>
  </si>
  <si>
    <t>Seven Lions,Tritonal,Kill The Noise,HALIENE</t>
  </si>
  <si>
    <t>dubstep,edm,electro house,future bass,melodic dubstep,pop dance,pop edm,progressive trance,progressive electro house,progressive house,trance,tropical house,uplifting trance,brostep,electronic trap,fidget house</t>
  </si>
  <si>
    <t>Freesol</t>
  </si>
  <si>
    <t>Seven Lions,Skyler Stonestreet</t>
  </si>
  <si>
    <t>Sahara Love - Seven Lions Remix</t>
  </si>
  <si>
    <t>Above &amp; Beyond,Zoë Johnston,Seven Lions</t>
  </si>
  <si>
    <t>edm,pop dance,progressive house,progressive trance,trance,uplifting trance,vocal trance,dubstep,electro house,future bass,melodic dubstep,pop edm</t>
  </si>
  <si>
    <t>Candles</t>
  </si>
  <si>
    <t>Morgan Page,Steve James</t>
  </si>
  <si>
    <t>Warrior (feat. LIGHTS)</t>
  </si>
  <si>
    <t>Steve James,Lights</t>
  </si>
  <si>
    <t>Dear Neighbor - Pham Remix</t>
  </si>
  <si>
    <t>Flapo,Jenni Potts,Pham</t>
  </si>
  <si>
    <t>Sorrow</t>
  </si>
  <si>
    <t>Leave Your Lover</t>
  </si>
  <si>
    <t>Vacant</t>
  </si>
  <si>
    <t>1216</t>
  </si>
  <si>
    <t>Cold Skin</t>
  </si>
  <si>
    <t>Seven Lions,Echos</t>
  </si>
  <si>
    <t>dubstep,edm,electro house,future bass,melodic dubstep,pop dance,pop edm,progressive trance,alt z,indie electropop,indie poptimism</t>
  </si>
  <si>
    <t>Revival</t>
  </si>
  <si>
    <t>Guest Room</t>
  </si>
  <si>
    <t>Saints</t>
  </si>
  <si>
    <t>Euphoria</t>
  </si>
  <si>
    <t>Losing You</t>
  </si>
  <si>
    <t>Ephixa,Laura Brehm</t>
  </si>
  <si>
    <t>canadian electronic,chillstep,complextro,edm,electro house,future bass,gaming edm,pop edm</t>
  </si>
  <si>
    <t>Crab Rave</t>
  </si>
  <si>
    <t>Noisestorm</t>
  </si>
  <si>
    <t>chillstep,complextro,dancefloor dnb,edm,electro house,gaming edm,speedrun</t>
  </si>
  <si>
    <t>Excision,Akylla</t>
  </si>
  <si>
    <t>brostep,canadian electronic,edm,electro house</t>
  </si>
  <si>
    <t>Gold (Stupid Love)</t>
  </si>
  <si>
    <t>Excision,ILLENIUM,Shallows</t>
  </si>
  <si>
    <t>brostep,canadian electronic,edm,electro house,melodic dubstep,pop,pop dance,tropical house,indie electropop</t>
  </si>
  <si>
    <t>Cracks - Flux Pavilion Remix</t>
  </si>
  <si>
    <t>Freestylers,Belle Humble,Flux Pavilion</t>
  </si>
  <si>
    <t>big beat,breakbeat,bass trap,brostep,classic dubstep,edm,electro house,electronic trap,melodic dubstep,pop dance</t>
  </si>
  <si>
    <t>Collapse (feat. Memorecks)</t>
  </si>
  <si>
    <t>Zeds Dead,Memorecks</t>
  </si>
  <si>
    <t>Where Are Ü Now (with Justin Bieber)</t>
  </si>
  <si>
    <t>Jack Ü,Skrillex,Diplo,Justin Bieber</t>
  </si>
  <si>
    <t>edm,electro house,pop dance,brostep,complextro,electro,house,moombahton,ninja,pop,tropical house,canadian pop</t>
  </si>
  <si>
    <t>Genius (feat. Sia, Diplo, and Labrinth)</t>
  </si>
  <si>
    <t>Sia,Diplo,Labrinth,LSD</t>
  </si>
  <si>
    <t>australian dance,australian pop,pop,edm,electro house,house,moombahton,ninja,pop dance,tropical house,indie poptimism</t>
  </si>
  <si>
    <t>Audio (feat. Sia, Diplo, and Labrinth)</t>
  </si>
  <si>
    <t>No New Friends (feat. Sia, Diplo, and Labrinth)</t>
  </si>
  <si>
    <t>Thunderclouds (feat. Sia, Diplo, and Labrinth)</t>
  </si>
  <si>
    <t>Electricity (with Dua Lipa)</t>
  </si>
  <si>
    <t>Silk City,Dua Lipa,Diplo,Mark Ronson</t>
  </si>
  <si>
    <t>edm,dance pop,pop,uk pop,electro house,house,moombahton,ninja,pop dance,tropical house</t>
  </si>
  <si>
    <t>Close To Me (with Diplo) (feat. Swae Lee)</t>
  </si>
  <si>
    <t>Afterhours feat. Diplo &amp; Nina Sky</t>
  </si>
  <si>
    <t>TroyBoi,Diplo,Nina Sky</t>
  </si>
  <si>
    <t>bass trap,edm,electro house,electronic trap,house,moombahton,ninja,pop,pop dance,tropical house,hip pop,urban contemporary</t>
  </si>
  <si>
    <t>Mistakes</t>
  </si>
  <si>
    <t>Basenji,Tkay Maidza</t>
  </si>
  <si>
    <t>australian electropop,alternative r&amp;b,art pop,australian hip hop,escape room,pop</t>
  </si>
  <si>
    <t>Paces,NYNE</t>
  </si>
  <si>
    <t>australian dance,australian alternative pop</t>
  </si>
  <si>
    <t>Next To You (feat. Savoi)</t>
  </si>
  <si>
    <t>L D R U,Savoi</t>
  </si>
  <si>
    <t>To Be Free</t>
  </si>
  <si>
    <t>L D R U</t>
  </si>
  <si>
    <t>Keeping Score (feat. Paige IV)</t>
  </si>
  <si>
    <t>L D R U,Paige IV</t>
  </si>
  <si>
    <t>Sovereign</t>
  </si>
  <si>
    <t>Just A Gent,Kasbo</t>
  </si>
  <si>
    <t>aussietronica,bass trap,edm,electro house,electronic trap,electropop,future bass,melodic dubstep,vapor twitch,indie poptimism,pop dance,pop edm,swedish electropop,tropical house,vapor soul</t>
  </si>
  <si>
    <t>You'll Never Know (feat. Moza)</t>
  </si>
  <si>
    <t>Just A Gent,MOZA</t>
  </si>
  <si>
    <t>aussietronica,bass trap,edm,electro house,electronic trap,electropop,future bass,melodic dubstep,vapor twitch,australian electropop</t>
  </si>
  <si>
    <t>Just A Gent,Yvng Jalapeño</t>
  </si>
  <si>
    <t>Fortress - Just A Gent Remix</t>
  </si>
  <si>
    <t>ILLENIUM,Joni Fatora,Just A Gent</t>
  </si>
  <si>
    <t>edm,melodic dubstep,pop,pop dance,tropical house,aussietronica,bass trap,electro house,electronic trap,electropop,future bass,vapor twitch</t>
  </si>
  <si>
    <t>Make You See</t>
  </si>
  <si>
    <t>Duskus</t>
  </si>
  <si>
    <t>future bass,pop edm,vapor twitch</t>
  </si>
  <si>
    <t>Take Me Home</t>
  </si>
  <si>
    <t>Duskus,San Holo</t>
  </si>
  <si>
    <t>future bass,pop edm,vapor twitch,edm,electronic trap,electropop,pop dance</t>
  </si>
  <si>
    <t>Closed</t>
  </si>
  <si>
    <t>Nobody (feat. Stargate)</t>
  </si>
  <si>
    <t>Netsky,Stargate</t>
  </si>
  <si>
    <t>belgian edm,dancefloor dnb,drum and bass,liquid funk,norwegian pop</t>
  </si>
  <si>
    <t>Heart Upon My Sleeve (feat. Imagine Dragons)</t>
  </si>
  <si>
    <t>Avicii,Imagine Dragons</t>
  </si>
  <si>
    <t>dance pop,edm,pop,pop dance,pop rap,modern rock,rock</t>
  </si>
  <si>
    <t>Waiting For Love</t>
  </si>
  <si>
    <t>Hold The Line (feat. A R I Z O N A)</t>
  </si>
  <si>
    <t>Avicii,A R I Z O N A</t>
  </si>
  <si>
    <t>dance pop,edm,pop,pop dance,pop rap,electropop,indie poptimism,tropical house</t>
  </si>
  <si>
    <t>The Nights</t>
  </si>
  <si>
    <t>Without You (feat. Sandro Cavazza)</t>
  </si>
  <si>
    <t>Avicii,Sandro Cavazza</t>
  </si>
  <si>
    <t>dance pop,edm,pop,pop dance,pop rap,swedish pop,tropical house</t>
  </si>
  <si>
    <t>BRUH</t>
  </si>
  <si>
    <t>Curbi,Mesto</t>
  </si>
  <si>
    <t>bass house,edm,electro house,future house,house,pop dance,progressive house,dutch edm,pop edm</t>
  </si>
  <si>
    <t>Helicopter - Video Edit</t>
  </si>
  <si>
    <t>Martin Garrix,Firebeatz</t>
  </si>
  <si>
    <t>dance pop,dutch edm,edm,electro house,pop,pop dance,progressive house,tropical house,dutch house,house,pop edm,progressive electro house</t>
  </si>
  <si>
    <t>Can't Bring Me Down</t>
  </si>
  <si>
    <t>Quintino</t>
  </si>
  <si>
    <t>dutch edm,dutch house,edm,electro house,pop dance,progressive electro house,slap house</t>
  </si>
  <si>
    <t>I Just Can't</t>
  </si>
  <si>
    <t>R3HAB,Quintino</t>
  </si>
  <si>
    <t>dance pop,dutch house,edm,electro house,pop,pop dance,progressive electro house,slap house,tropical house,dutch edm</t>
  </si>
  <si>
    <t>I Could Be The One (Avicii Vs. Nicky Romero) - Radio Edit</t>
  </si>
  <si>
    <t>Avicii,Nicky Romero</t>
  </si>
  <si>
    <t>dance pop,edm,pop,pop dance,pop rap,big room,dutch edm,electro house,house,pop edm,progressive electro house,progressive house,tropical house</t>
  </si>
  <si>
    <t>Lions in the Wild</t>
  </si>
  <si>
    <t>Martin Garrix,Third Party</t>
  </si>
  <si>
    <t>dance pop,dutch edm,edm,electro house,pop,pop dance,progressive house,tropical house,progressive electro house</t>
  </si>
  <si>
    <t>Parachute - Radio Edit</t>
  </si>
  <si>
    <t>Invincible - Radio Edit</t>
  </si>
  <si>
    <t>Wildfire - Radio Edit</t>
  </si>
  <si>
    <t>Big Bang (2015 Life In Color Anthem) - Zestty &amp; Lev Remix Edit</t>
  </si>
  <si>
    <t>Borgeous,SOLANO,Zestty &amp; Lev</t>
  </si>
  <si>
    <t>Tsunami</t>
  </si>
  <si>
    <t>DVBBS,Borgeous</t>
  </si>
  <si>
    <t>canadian electronic,dance pop,edm,electro house,pop,pop dance,pop edm,slap house,tropical house,progressive electro house,progressive house</t>
  </si>
  <si>
    <t>Someone New</t>
  </si>
  <si>
    <t>L*** Is a Bad Word</t>
  </si>
  <si>
    <t>Kiiara</t>
  </si>
  <si>
    <t>alt z,dance pop,electropop,indie poptimism,pop</t>
  </si>
  <si>
    <t>Feels - Jai Wolf Remix</t>
  </si>
  <si>
    <t>Kiiara,Jai Wolf</t>
  </si>
  <si>
    <t>alt z,dance pop,electropop,indie poptimism,pop,edm,future bass,pop dance,pop edm,tropical house,vapor twitch</t>
  </si>
  <si>
    <t>Darkside (with Ty Dolla $ign &amp; Future feat. Kiiara)</t>
  </si>
  <si>
    <t>Ty Dolla $ign,Future,Kiiara</t>
  </si>
  <si>
    <t>hip hop,pop,pop rap,r&amp;b,southern hip hop,trap,trap soul,atl hip hop,rap,alt z,dance pop,electropop,indie poptimism</t>
  </si>
  <si>
    <t>Whippin (feat. Felix Snow)</t>
  </si>
  <si>
    <t>Kiiara,Felix Snow</t>
  </si>
  <si>
    <t>Cross My Mind, Pt. 2 (feat. Kiiara)</t>
  </si>
  <si>
    <t>A R I Z O N A,Kiiara</t>
  </si>
  <si>
    <t>electropop,indie poptimism,pop,pop dance,tropical house,alt z,dance pop</t>
  </si>
  <si>
    <t>Messy</t>
  </si>
  <si>
    <t>Gold</t>
  </si>
  <si>
    <t>I Miss You</t>
  </si>
  <si>
    <t>Grey,Bahari</t>
  </si>
  <si>
    <t>In The Arms Of A Stranger - Grey Remix</t>
  </si>
  <si>
    <t>Mike Posner,Grey</t>
  </si>
  <si>
    <t>dance pop,edm,pop,pop rap</t>
  </si>
  <si>
    <t>Crown (with Camila Cabello &amp; Grey)</t>
  </si>
  <si>
    <t>Camila Cabello,Grey</t>
  </si>
  <si>
    <t>Starving</t>
  </si>
  <si>
    <t>Hailee Steinfeld,Grey,Zedd</t>
  </si>
  <si>
    <t>dance pop,pop,post-teen pop,complextro,edm,electro house,electropop,german techno,pop dance,pop rap,tropical house</t>
  </si>
  <si>
    <t>Crime (with Skott)</t>
  </si>
  <si>
    <t>Grey,Skott</t>
  </si>
  <si>
    <t>Suffer</t>
  </si>
  <si>
    <t>Petit Biscuit,Skott</t>
  </si>
  <si>
    <t>tropical house,alt z,electropop,indie electropop,indie poptimism,vapor soul</t>
  </si>
  <si>
    <t>Porcelain</t>
  </si>
  <si>
    <t>Filthy Rich - Sweater Beats Remix</t>
  </si>
  <si>
    <t>Evalyn,Sweater Beats</t>
  </si>
  <si>
    <t>alt z,electropop,indie electropop,indie poptimism,vapor soul,gauze pop,vapor twitch</t>
  </si>
  <si>
    <t>anxiety (with FRND)</t>
  </si>
  <si>
    <t>blackbear,FRND</t>
  </si>
  <si>
    <t>IDWK</t>
  </si>
  <si>
    <t>DVBBS,blackbear</t>
  </si>
  <si>
    <t>canadian electronic,dance pop,edm,electro house,pop,pop dance,pop edm,slap house,tropical house,electropop,pop rap</t>
  </si>
  <si>
    <t>weak when ur around</t>
  </si>
  <si>
    <t>1 SIDED LOVE</t>
  </si>
  <si>
    <t>i miss the old u</t>
  </si>
  <si>
    <t>chateau</t>
  </si>
  <si>
    <t>Ocean Eyes - Blackbear Remix</t>
  </si>
  <si>
    <t>Billie Eilish,blackbear</t>
  </si>
  <si>
    <t>art pop,electropop,pop,pop rap</t>
  </si>
  <si>
    <t>idfc</t>
  </si>
  <si>
    <t>do re mi</t>
  </si>
  <si>
    <t>Wave Board</t>
  </si>
  <si>
    <t>Tarro</t>
  </si>
  <si>
    <t>idfc - Tarro Remix</t>
  </si>
  <si>
    <t>Come My Way</t>
  </si>
  <si>
    <t>Champagne &amp; Sunshine (Ellusive Remix)</t>
  </si>
  <si>
    <t>PLVTINUM,Tarro,Ellusive</t>
  </si>
  <si>
    <t>No No No</t>
  </si>
  <si>
    <t>Prelude - VIP Edit</t>
  </si>
  <si>
    <t>TheFatRat,JJD</t>
  </si>
  <si>
    <t>speedrun,gaming edm</t>
  </si>
  <si>
    <t>Pokémon Theme (TheFatRat Remix) [feat. Jason Paige]</t>
  </si>
  <si>
    <t>Video Games Live,TheFatRat,Jason Paige</t>
  </si>
  <si>
    <t>scorecore,video game music,speedrun</t>
  </si>
  <si>
    <t>Warrior Song</t>
  </si>
  <si>
    <t>TheFatRat,Stasia Estep</t>
  </si>
  <si>
    <t>Where the Water Ends</t>
  </si>
  <si>
    <t>VINAI,Anjulie</t>
  </si>
  <si>
    <t>dance pop,edm,electro house,melbourne bounce international,pop dance,slap house,tropical house,canadian pop</t>
  </si>
  <si>
    <t>TheFatRat,Slaydit,Anjulie</t>
  </si>
  <si>
    <t>Where The Love Goes (feat. Oskar Flood)</t>
  </si>
  <si>
    <t>Anjulie,Oskar Flood</t>
  </si>
  <si>
    <t>Into The Fire (feat. Anjulie)</t>
  </si>
  <si>
    <t>Bishu,Anjulie</t>
  </si>
  <si>
    <t>bass trap,edm,electro house,future bass,gaming edm,pop edm,traprun,canadian pop</t>
  </si>
  <si>
    <t>What I'm Doin</t>
  </si>
  <si>
    <t>Winded</t>
  </si>
  <si>
    <t>Bishu,Cadre</t>
  </si>
  <si>
    <t>Halo</t>
  </si>
  <si>
    <t>smle,Helen Tess</t>
  </si>
  <si>
    <t>smle</t>
  </si>
  <si>
    <t>Fyl</t>
  </si>
  <si>
    <t>smle,Leanys</t>
  </si>
  <si>
    <t>It'll Be Okay (feat. Helen Tess)</t>
  </si>
  <si>
    <t>Here At Last</t>
  </si>
  <si>
    <t>Daydreamer</t>
  </si>
  <si>
    <t>William Black,Amidy</t>
  </si>
  <si>
    <t>Surreal</t>
  </si>
  <si>
    <t>Mielo,Abby Sevcik</t>
  </si>
  <si>
    <t>Seven Lions,Myon,Shane 54,Tove Lo</t>
  </si>
  <si>
    <t>dubstep,edm,electro house,future bass,melodic dubstep,pop dance,pop edm,progressive trance,progressive house,trance,uplifting trance,art pop,dance pop,electropop,metropopolis,pop,swedish electropop,swedish pop,swedish synthpop</t>
  </si>
  <si>
    <t>Hidden (feat. Mona Moua)</t>
  </si>
  <si>
    <t>Skrux,Mona Moua</t>
  </si>
  <si>
    <t>Essence</t>
  </si>
  <si>
    <t>Infinite (feat. Anna Yvette)</t>
  </si>
  <si>
    <t>Skrux,Anna Yvette</t>
  </si>
  <si>
    <t>chillstep,future bass,melodic dubstep,pop edm,gaming edm</t>
  </si>
  <si>
    <t>My Love Is a Weapon (feat. Delacey)</t>
  </si>
  <si>
    <t>Skrux,Delacey</t>
  </si>
  <si>
    <t>Escapade</t>
  </si>
  <si>
    <t>You &amp; Me</t>
  </si>
  <si>
    <t>Our Fragment</t>
  </si>
  <si>
    <t>Skrux,MISSIO</t>
  </si>
  <si>
    <t>chillstep,future bass,melodic dubstep,pop edm,alt z,electropop,indie poptimism,modern alternative rock,modern rock,rock</t>
  </si>
  <si>
    <t>Crywolf,Charity Lane</t>
  </si>
  <si>
    <t>I Hurt - Sound Remedy Remix</t>
  </si>
  <si>
    <t>Sound Remedy,Nard</t>
  </si>
  <si>
    <t>Umbrella - The White Panda Remix</t>
  </si>
  <si>
    <t>White Panda,Ember Island</t>
  </si>
  <si>
    <t>indie pop rap,mashup,swedish electropop</t>
  </si>
  <si>
    <t>Help Me</t>
  </si>
  <si>
    <t>PLÜM</t>
  </si>
  <si>
    <t>Criminals</t>
  </si>
  <si>
    <t>Xuitcasecity,No Sleep</t>
  </si>
  <si>
    <t>Sunset Motel - Remix</t>
  </si>
  <si>
    <t>Cozmoe</t>
  </si>
  <si>
    <t>Be There For You</t>
  </si>
  <si>
    <t>Sedliv,Kinnie Lane</t>
  </si>
  <si>
    <t>Good Together</t>
  </si>
  <si>
    <t>Raincoat</t>
  </si>
  <si>
    <t>Timeflies,SHY Martin</t>
  </si>
  <si>
    <t>dance pop,indie pop rap,pop,pop dance,pop rap,pop rock,post-teen pop,tropical house,alt z,electropop,swedish electropop</t>
  </si>
  <si>
    <t>Forget to Forget</t>
  </si>
  <si>
    <t>Ready Yet</t>
  </si>
  <si>
    <t>Chasing Parties</t>
  </si>
  <si>
    <t>The Only</t>
  </si>
  <si>
    <t>Normal</t>
  </si>
  <si>
    <t>Faking It</t>
  </si>
  <si>
    <t>You're Not Missing Me</t>
  </si>
  <si>
    <t>please</t>
  </si>
  <si>
    <t>Chelsea Cutler,Jeremy Zucker</t>
  </si>
  <si>
    <t>Flicker</t>
  </si>
  <si>
    <t>Lionhearted</t>
  </si>
  <si>
    <t>Porter Robinson,Urban Cone</t>
  </si>
  <si>
    <t>complextro,edm,future bass,melodic dubstep,progressive electro house,swedish indie pop</t>
  </si>
  <si>
    <t>Sea Of Voices</t>
  </si>
  <si>
    <t>Goodbye To A World</t>
  </si>
  <si>
    <t>Divinity</t>
  </si>
  <si>
    <t>Porter Robinson,Amy Millan</t>
  </si>
  <si>
    <t>complextro,edm,future bass,melodic dubstep,progressive electro house,canadian indie,toronto indie</t>
  </si>
  <si>
    <t>Sad Machine</t>
  </si>
  <si>
    <t>Shelter</t>
  </si>
  <si>
    <t>Porter Robinson,Madeon</t>
  </si>
  <si>
    <t>complextro,edm,future bass,melodic dubstep,progressive electro house,electro house,electropop,filter house,nantes indie,pop dance</t>
  </si>
  <si>
    <t>Uncover</t>
  </si>
  <si>
    <t>Ruin My Life</t>
  </si>
  <si>
    <t>Lush Life</t>
  </si>
  <si>
    <t>Me &amp; The Rhythm</t>
  </si>
  <si>
    <t>Kill Em With Kindness</t>
  </si>
  <si>
    <t>Hands To Myself</t>
  </si>
  <si>
    <t>Selena Gomez,A$AP Rocky</t>
  </si>
  <si>
    <t>dance pop,pop,post-teen pop,east coast hip hop,hip hop,rap,trap</t>
  </si>
  <si>
    <t>Fetish (feat. Gucci Mane)</t>
  </si>
  <si>
    <t>Selena Gomez,Gucci Mane</t>
  </si>
  <si>
    <t>dance pop,pop,post-teen pop,atl hip hop,dirty south rap,gangster rap,hip hop,pop rap,rap,southern hip hop,trap</t>
  </si>
  <si>
    <t>Bad Liar</t>
  </si>
  <si>
    <t>Back To You - From 13 Reasons Why – Season 2 Soundtrack</t>
  </si>
  <si>
    <t>Never Be the Same</t>
  </si>
  <si>
    <t>Camila Cabello</t>
  </si>
  <si>
    <t>Havana (feat. Young Thug)</t>
  </si>
  <si>
    <t>Camila Cabello,Young Thug</t>
  </si>
  <si>
    <t>dance pop,pop,post-teen pop,atl hip hop,atl trap,gangster rap,hip hop,melodic rap,pop rap,rap,trap</t>
  </si>
  <si>
    <t>Machine Gun Kelly</t>
  </si>
  <si>
    <t>Home (with Machine Gun Kelly, X Ambassadors &amp; Bebe Rexha)</t>
  </si>
  <si>
    <t>Machine Gun Kelly,X Ambassadors,Bebe Rexha</t>
  </si>
  <si>
    <t>ohio hip hop,modern alternative rock,modern rock,pop,pop rap,pop rock,rock,stomp pop,dance pop,electropop,post-teen pop</t>
  </si>
  <si>
    <t>Bad Things (with Camila Cabello)</t>
  </si>
  <si>
    <t>Machine Gun Kelly,Camila Cabello</t>
  </si>
  <si>
    <t>ohio hip hop,dance pop,pop,post-teen pop</t>
  </si>
  <si>
    <t>Me, Myself &amp; I</t>
  </si>
  <si>
    <t>G-Eazy,Bebe Rexha</t>
  </si>
  <si>
    <t>indie pop rap,oakland hip hop,pop,pop rap,rap,dance pop,electropop,post-teen pop</t>
  </si>
  <si>
    <t>Still Ballin (feat. Wiz Khalifa)</t>
  </si>
  <si>
    <t>Logic,Wiz Khalifa</t>
  </si>
  <si>
    <t>conscious hip hop,dmv rap,hip hop,pop rap,rap,dance pop,pittsburgh rap,southern hip hop,trap</t>
  </si>
  <si>
    <t>44 More</t>
  </si>
  <si>
    <t>Logic</t>
  </si>
  <si>
    <t>conscious hip hop,dmv rap,hip hop,pop rap,rap</t>
  </si>
  <si>
    <t>Everyday</t>
  </si>
  <si>
    <t>Logic,Marshmello</t>
  </si>
  <si>
    <t>conscious hip hop,dmv rap,hip hop,pop rap,rap,brostep,dance pop,edm,pop,pop dance,progressive electro house</t>
  </si>
  <si>
    <t>Homicide (feat. Eminem)</t>
  </si>
  <si>
    <t>Logic,Eminem</t>
  </si>
  <si>
    <t>conscious hip hop,dmv rap,hip hop,pop rap,rap,detroit hip hop</t>
  </si>
  <si>
    <t>Broken People (with Logic &amp; Rag'n'Bone Man)</t>
  </si>
  <si>
    <t>Logic,Rag'n'Bone Man</t>
  </si>
  <si>
    <t>conscious hip hop,dmv rap,hip hop,pop rap,rap,neo soul</t>
  </si>
  <si>
    <t>NF</t>
  </si>
  <si>
    <t>hip hop,pop rap,rap</t>
  </si>
  <si>
    <t>The Search</t>
  </si>
  <si>
    <t>Be Alright</t>
  </si>
  <si>
    <t>Stonebank,EMEL</t>
  </si>
  <si>
    <t>Follow You - Rootkit Remix</t>
  </si>
  <si>
    <t>Au5,Danyka Nadeau,Rootkit</t>
  </si>
  <si>
    <t>Do It</t>
  </si>
  <si>
    <t>Rootkit</t>
  </si>
  <si>
    <t>Against The Sun</t>
  </si>
  <si>
    <t>Rootkit,Anna Yvette</t>
  </si>
  <si>
    <t>Tornado</t>
  </si>
  <si>
    <t>Trivecta,Monika Santucci</t>
  </si>
  <si>
    <t>Break Me</t>
  </si>
  <si>
    <t>Trivecta,Karra</t>
  </si>
  <si>
    <t>chillstep,dubstep,edm,electro house,future bass,gaming edm,melodic dubstep,pop dance,pop edm,la pop</t>
  </si>
  <si>
    <t>Fractures (Trivecta Remix)</t>
  </si>
  <si>
    <t>ILLENIUM,Nevve,Trivecta</t>
  </si>
  <si>
    <t>Island (feat. Nevve)</t>
  </si>
  <si>
    <t>Seven Lions,Wooli,Trivecta,Nevve</t>
  </si>
  <si>
    <t>dubstep,edm,electro house,future bass,melodic dubstep,pop dance,pop edm,progressive trance,brostep,electronic trap,gaming dubstep,chillstep,gaming edm</t>
  </si>
  <si>
    <t>Aero Chord,Klaypex</t>
  </si>
  <si>
    <t>bass trap,edm,gaming edm,traprun,chillstep,complextro,electro house,filthstep,melodic dubstep</t>
  </si>
  <si>
    <t>Lights - Skrux Remix</t>
  </si>
  <si>
    <t>Klaypex</t>
  </si>
  <si>
    <t>chillstep,complextro,edm,electro house,filthstep,melodic dubstep</t>
  </si>
  <si>
    <t>Robot Love</t>
  </si>
  <si>
    <t>Klaypex,Greta</t>
  </si>
  <si>
    <t>chillstep,complextro,edm,electro house,filthstep,melodic dubstep,german house</t>
  </si>
  <si>
    <t>Save The World</t>
  </si>
  <si>
    <t>Miami 2 Ibiza - Swedish House Mafia vs. Tinie Tempah</t>
  </si>
  <si>
    <t>Swedish House Mafia,Tinie Tempah</t>
  </si>
  <si>
    <t>edm,pop,pop dance,progressive electro house,dance pop,grime,house,pop rap,tropical house</t>
  </si>
  <si>
    <t>One (Your Name) - Radio Edit</t>
  </si>
  <si>
    <t>Greyhound</t>
  </si>
  <si>
    <t>Don't You Worry Child - Radio Edit</t>
  </si>
  <si>
    <t>Da Funk</t>
  </si>
  <si>
    <t>Aerodynamic</t>
  </si>
  <si>
    <t>Television Rules the Nation</t>
  </si>
  <si>
    <t>Robot Rock</t>
  </si>
  <si>
    <t>Technologic</t>
  </si>
  <si>
    <t>TRON Legacy (End Titles)</t>
  </si>
  <si>
    <t>End of Line</t>
  </si>
  <si>
    <t>Fall</t>
  </si>
  <si>
    <t>Derezzed</t>
  </si>
  <si>
    <t>The Game Has Changed</t>
  </si>
  <si>
    <t>Rinzler</t>
  </si>
  <si>
    <t>The Son of Flynn</t>
  </si>
  <si>
    <t>Daft Punk,The Glitch Mob</t>
  </si>
  <si>
    <t>electro,filter house,edm,electro house,glitch,glitch hop,indietronica</t>
  </si>
  <si>
    <t>Something About Us</t>
  </si>
  <si>
    <t>Doin' it Right (feat. Panda Bear)</t>
  </si>
  <si>
    <t>Daft Punk,Panda Bear</t>
  </si>
  <si>
    <t>electro,filter house,art pop,chillwave,collage pop,dream pop,experimental pop,indie rock,noise pop</t>
  </si>
  <si>
    <t>Around the World</t>
  </si>
  <si>
    <t>Harder, Better, Faster, Stronger</t>
  </si>
  <si>
    <t>Lose Yourself to Dance (feat. Pharrell Williams)</t>
  </si>
  <si>
    <t>Daft Punk,Pharrell Williams</t>
  </si>
  <si>
    <t>electro,filter house,hip hop,pop,pop rap</t>
  </si>
  <si>
    <t>Get Lucky (feat. Pharrell Williams &amp; Nile Rodgers)</t>
  </si>
  <si>
    <t>Daft Punk,Pharrell Williams,Nile Rodgers</t>
  </si>
  <si>
    <t>electro,filter house,hip hop,pop,pop rap,disco</t>
  </si>
  <si>
    <t>One More Time</t>
  </si>
  <si>
    <t>Get Lucky (feat. Pharrell Williams &amp; Nile Rodgers) - Radio Edit</t>
  </si>
  <si>
    <t>Back to You (feat. Bebe Rexha &amp; Digital Farm Animals)</t>
  </si>
  <si>
    <t>Louis Tomlinson,Bebe Rexha,Digital Farm Animals</t>
  </si>
  <si>
    <t>pop,post-teen pop,dance pop,electropop,uk dance</t>
  </si>
  <si>
    <t>Thunder (With K.Flay) - Official Remix</t>
  </si>
  <si>
    <t>Imagine Dragons,K.Flay</t>
  </si>
  <si>
    <t>modern rock,rock,electropop,escape room,hip pop,pop</t>
  </si>
  <si>
    <t>Cool Kids</t>
  </si>
  <si>
    <t>Echosmith</t>
  </si>
  <si>
    <t>dance pop,indie poptimism,pop rock</t>
  </si>
  <si>
    <t>Downfall</t>
  </si>
  <si>
    <t>BAUWZ</t>
  </si>
  <si>
    <t>samurai trap</t>
  </si>
  <si>
    <t>I'm Honestly Not a Gangster</t>
  </si>
  <si>
    <t>Six Feet Under - Jerry Folk Remix</t>
  </si>
  <si>
    <t>Billie Eilish,Jerry Folk</t>
  </si>
  <si>
    <t>art pop,electropop,pop,future bass,vapor soul,vapor twitch</t>
  </si>
  <si>
    <t>The Last Ones Standing</t>
  </si>
  <si>
    <t>Swear Like a Sailor</t>
  </si>
  <si>
    <t>Pacing</t>
  </si>
  <si>
    <t>The Best Crew</t>
  </si>
  <si>
    <t>Wild (feat. Khai)</t>
  </si>
  <si>
    <t>Kidswaste,Khai</t>
  </si>
  <si>
    <t>electropop,future bass,indie electropop,indie poptimism,vapor soul,vapor twitch</t>
  </si>
  <si>
    <t>Tonight</t>
  </si>
  <si>
    <t>Kidswaste,Manila Killa</t>
  </si>
  <si>
    <t>electropop,future bass,indie electropop,indie poptimism,vapor soul,vapor twitch,melodic dubstep,pop edm</t>
  </si>
  <si>
    <t>Shallou,Riah</t>
  </si>
  <si>
    <t>electropop,indie poptimism,new french touch,tropical house,vapor soul,indie electropop</t>
  </si>
  <si>
    <t>Lay It On Me (feat. Keiynan Lonsdale)</t>
  </si>
  <si>
    <t>Kasbo,Keiynan Lonsdale</t>
  </si>
  <si>
    <t>edm,electropop,future bass,indie poptimism,pop dance,pop edm,swedish electropop,tropical house,vapor soul,vapor twitch</t>
  </si>
  <si>
    <t>Find</t>
  </si>
  <si>
    <t>Shallou,Kasbo,Cody Lovaas</t>
  </si>
  <si>
    <t>electropop,indie poptimism,new french touch,tropical house,vapor soul,edm,future bass,pop dance,pop edm,swedish electropop,vapor twitch,indie electropop,la pop</t>
  </si>
  <si>
    <t>Found You</t>
  </si>
  <si>
    <t>Kasbo,Chelsea Cutler</t>
  </si>
  <si>
    <t>edm,electropop,future bass,indie poptimism,pop dance,pop edm,swedish electropop,tropical house,vapor soul,vapor twitch,alt z,pop</t>
  </si>
  <si>
    <t>Gangsta Walk (feat. Nate Dogg)</t>
  </si>
  <si>
    <t>SNBRN,Nate Dogg</t>
  </si>
  <si>
    <t>bass house,deep groove house,edm,electro house,house,pop dance,progressive house,tropical house,g funk,gangster rap,hip hop,pop rap,rap,west coast rap</t>
  </si>
  <si>
    <t>Beat the Sunrise (feat. Andrew Watt)</t>
  </si>
  <si>
    <t>SNBRN,WATT</t>
  </si>
  <si>
    <t>bass house,deep groove house,edm,electro house,house,pop dance,progressive house,tropical house,modern alternative rock</t>
  </si>
  <si>
    <t>124</t>
  </si>
  <si>
    <t>Raindrops (feat. Kerli) - Radio Edit</t>
  </si>
  <si>
    <t>SNBRN,Kerli</t>
  </si>
  <si>
    <t>bass house,deep groove house,edm,electro house,house,pop dance,progressive house,tropical house,candy pop,dark pop,electropop,estonian pop,indie poptimism,metropopolis</t>
  </si>
  <si>
    <t>Hope For Tomorrow</t>
  </si>
  <si>
    <t>Autograf,Klingande,Dragonette</t>
  </si>
  <si>
    <t>deep house,deep tropical house,edm,electropop,house,indie poptimism,nu disco,pop dance,pop edm,tropical house,vapor soul,vapor twitch,canadian electropop,canadian pop,dance rock,metropopolis,neo-synthpop</t>
  </si>
  <si>
    <t>Nobody Knows (feat. WYNNE)</t>
  </si>
  <si>
    <t>Autograf,WYNNE</t>
  </si>
  <si>
    <t>deep house,deep tropical house,edm,electropop,house,indie poptimism,nu disco,pop dance,pop edm,tropical house,vapor soul,vapor twitch,la pop</t>
  </si>
  <si>
    <t>Sleepless In NYC</t>
  </si>
  <si>
    <t>Autograf</t>
  </si>
  <si>
    <t>deep house,deep tropical house,edm,electropop,house,indie poptimism,nu disco,pop dance,pop edm,tropical house,vapor soul,vapor twitch</t>
  </si>
  <si>
    <t>Working for It</t>
  </si>
  <si>
    <t>ZHU,Skrillex,THEY.</t>
  </si>
  <si>
    <t>edm,electro house,brostep,complextro,electro,alternative r&amp;b,trap soul,underground hip hop</t>
  </si>
  <si>
    <t>Faded</t>
  </si>
  <si>
    <t>ZHU</t>
  </si>
  <si>
    <t>edm,electro house</t>
  </si>
  <si>
    <t>Forever (feat. Elohim)</t>
  </si>
  <si>
    <t>Ekali,Medasin,Elohim</t>
  </si>
  <si>
    <t>canadian electronic,edm,electro house,electronic trap,electropop,future bass,indie electropop,melodic dubstep,pop dance,pop edm,vapor twitch,indie soul,vapor soul,alt z,indie poptimism,indietronica,la pop</t>
  </si>
  <si>
    <t>Leaving (feat. Yuna)</t>
  </si>
  <si>
    <t>Ekali,Yuna</t>
  </si>
  <si>
    <t>canadian electronic,edm,electro house,electronic trap,electropop,future bass,indie electropop,melodic dubstep,pop dance,pop edm,vapor twitch,alternative r&amp;b,malaysian pop</t>
  </si>
  <si>
    <t>forever free (feat. Duskus)</t>
  </si>
  <si>
    <t>San Holo,Duskus</t>
  </si>
  <si>
    <t>Where To Go</t>
  </si>
  <si>
    <t>Stars Tonight</t>
  </si>
  <si>
    <t>Zeds Dead,DROELOE</t>
  </si>
  <si>
    <t>brostep,canadian electronic,dubstep,edm,electro house,electronic trap,progressive electro house,vapor twitch,bass trap,electropop,future bass,pop edm,vapor soul</t>
  </si>
  <si>
    <t>Machine</t>
  </si>
  <si>
    <t>Where We Go</t>
  </si>
  <si>
    <t>Savage (Nightcore Remix)</t>
  </si>
  <si>
    <t>Bahari,Nightcore</t>
  </si>
  <si>
    <t>alt z,indie electropop,indie poptimism,la pop,nightcore</t>
  </si>
  <si>
    <t>Tired of Talking</t>
  </si>
  <si>
    <t>LÉON</t>
  </si>
  <si>
    <t>metropopolis,pop</t>
  </si>
  <si>
    <t>Matches</t>
  </si>
  <si>
    <t>Cash Cash,ROZES</t>
  </si>
  <si>
    <t>dance pop,edm,electro house,electropop,electropowerpop,pop,pop dance,pop edm,tropical house,indie poptimism</t>
  </si>
  <si>
    <t>Girls on Boys</t>
  </si>
  <si>
    <t>Galantis,ROZES</t>
  </si>
  <si>
    <t>dance pop,edm,electro house,pop,pop dance,tropical house,electropop,indie poptimism,pop edm</t>
  </si>
  <si>
    <t>Say It To My Face</t>
  </si>
  <si>
    <t>New Friends</t>
  </si>
  <si>
    <t>Mine</t>
  </si>
  <si>
    <t>Phoebe Ryan</t>
  </si>
  <si>
    <t>alt z,electropop,indie electropop,indie poptimism</t>
  </si>
  <si>
    <t>We Won't</t>
  </si>
  <si>
    <t>Jaymes Young,Phoebe Ryan</t>
  </si>
  <si>
    <t>modern rock,pop,alt z,electropop,indie electropop,indie poptimism</t>
  </si>
  <si>
    <t>Forgetting All About You feat. Blackbear</t>
  </si>
  <si>
    <t>Phoebe Ryan,blackbear</t>
  </si>
  <si>
    <t>alt z,electropop,indie electropop,indie poptimism,pop,pop rap</t>
  </si>
  <si>
    <t>America</t>
  </si>
  <si>
    <t>Pretty Sad</t>
  </si>
  <si>
    <t>I Still Wait For You</t>
  </si>
  <si>
    <t>Setting Fires</t>
  </si>
  <si>
    <t>The Chainsmokers,XYLØ</t>
  </si>
  <si>
    <t>dance pop,edm,electropop,pop,pop dance,tropical house,alt z,indie electropop,indie poptimism,la pop,vapor soul</t>
  </si>
  <si>
    <t>machineheart</t>
  </si>
  <si>
    <t>Stonecold</t>
  </si>
  <si>
    <t>Filthy Rich</t>
  </si>
  <si>
    <t>Louis The Child,Evalyn</t>
  </si>
  <si>
    <t>edm,electro house,electropop,pop,pop dance,tropical house,alt z,indie electropop,indie poptimism,vapor soul</t>
  </si>
  <si>
    <t>Klanga - De Hofnar Remix</t>
  </si>
  <si>
    <t>Gostan,De Hofnar</t>
  </si>
  <si>
    <t>deep tropical house,tropical house,deep house</t>
  </si>
  <si>
    <t>Save Me</t>
  </si>
  <si>
    <t>LISTENBEE,Naz Tokio</t>
  </si>
  <si>
    <t>Blind (feat. Emmi) - Radio Edit</t>
  </si>
  <si>
    <t>Feder,Emmi</t>
  </si>
  <si>
    <t>Lordly (feat. Alex Aiono)</t>
  </si>
  <si>
    <t>Feder,Alex Aiono</t>
  </si>
  <si>
    <t>new french touch,tropical house,post-teen pop</t>
  </si>
  <si>
    <t>Goodbye (feat. Lyse) - Radio Edit</t>
  </si>
  <si>
    <t>I Feel So Bad</t>
  </si>
  <si>
    <t>Kungs,Ephemerals</t>
  </si>
  <si>
    <t>Don't You Know - Radio Edit</t>
  </si>
  <si>
    <t>Kungs,Jamie N Commons</t>
  </si>
  <si>
    <t>edm,pop dance,tropical house,modern alternative rock,modern blues rock</t>
  </si>
  <si>
    <t>This Girl (Kungs Vs. Cookin' On 3 Burners)</t>
  </si>
  <si>
    <t>Kungs,Cookin' On 3 Burners</t>
  </si>
  <si>
    <t>edm,pop dance,tropical house,bboy,funk,instrumental funk</t>
  </si>
  <si>
    <t>Ain't Nobody (Loves Me Better) (feat. Jasmine Thompson)</t>
  </si>
  <si>
    <t>Felix Jaehn,Jasmine Thompson</t>
  </si>
  <si>
    <t>dance pop,edm,electro house,german dance,pop,pop dance,pop rap,tropical house,neo mellow,viral pop</t>
  </si>
  <si>
    <t>Cheerleader - Felix Jaehn Remix Radio Edit</t>
  </si>
  <si>
    <t>OMI,Felix Jaehn</t>
  </si>
  <si>
    <t>dance pop,edm,electro house,german dance,pop,pop dance,pop rap,tropical house</t>
  </si>
  <si>
    <t>Old Thing Back (feat. Ja Rule and Ralph Tresvant)</t>
  </si>
  <si>
    <t>Matoma,The Notorious B.I.G.,Ja Rule,Ralph Tresvant</t>
  </si>
  <si>
    <t>dance pop,edm,electro house,electropop,pop,pop dance,pop edm,tropical house,east coast hip hop,gangster rap,hardcore hip hop,hip hop,rap,pop rap,queens hip hop,urban contemporary,contemporary r&amp;b,new jack swing,quiet storm,r&amp;b</t>
  </si>
  <si>
    <t>Lonely (feat. MAX)</t>
  </si>
  <si>
    <t>Matoma,MAX</t>
  </si>
  <si>
    <t>dance pop,edm,electro house,electropop,pop,pop dance,pop edm,tropical house,post-teen pop,viral pop</t>
  </si>
  <si>
    <t>Running Out</t>
  </si>
  <si>
    <t>Matoma,Astrid S</t>
  </si>
  <si>
    <t>dance pop,edm,electro house,electropop,pop,pop dance,pop edm,tropical house,alt z,norwegian pop,post-teen pop</t>
  </si>
  <si>
    <t>False Alarm</t>
  </si>
  <si>
    <t>Matoma,Becky Hill</t>
  </si>
  <si>
    <t>dance pop,edm,electro house,electropop,pop,pop dance,pop edm,tropical house,pop house,uk dance</t>
  </si>
  <si>
    <t>Twisted</t>
  </si>
  <si>
    <t>MISSIO</t>
  </si>
  <si>
    <t>alt z,electropop,indie poptimism,modern alternative rock,modern rock,rock</t>
  </si>
  <si>
    <t>BRN</t>
  </si>
  <si>
    <t>Love Is All I Got</t>
  </si>
  <si>
    <t>Feed Me,Crystal Fighters</t>
  </si>
  <si>
    <t>complextro,edm,electro house,alternative dance,new rave</t>
  </si>
  <si>
    <t>The Little Things (feat. Angela McCluskey) - Kasbo Remix</t>
  </si>
  <si>
    <t>Big Gigantic,Kasbo,Angela McCluskey</t>
  </si>
  <si>
    <t>edm,electronic trap,electropop,vapor twitch,future bass,indie poptimism,pop dance,pop edm,swedish electropop,tropical house,vapor soul,scottish singer-songwriter</t>
  </si>
  <si>
    <t>We Could Be Kings</t>
  </si>
  <si>
    <t>Zeds Dead,DNMO,Tzar</t>
  </si>
  <si>
    <t>Neck And Neck</t>
  </si>
  <si>
    <t>Zeds Dead,Dragonette</t>
  </si>
  <si>
    <t>brostep,canadian electronic,dubstep,edm,electro house,electronic trap,progressive electro house,vapor twitch,canadian electropop,canadian pop,dance rock,electropop,metropopolis,neo-synthpop</t>
  </si>
  <si>
    <t>Zeds Dead,Charlotte OC</t>
  </si>
  <si>
    <t>brostep,canadian electronic,dubstep,edm,electro house,electronic trap,progressive electro house,vapor twitch,modern alternative pop,uk pop,vapor pop</t>
  </si>
  <si>
    <t>Lights Out</t>
  </si>
  <si>
    <t>Zeds Dead,atlas</t>
  </si>
  <si>
    <t>brostep,canadian electronic,dubstep,edm,electro house,electronic trap,progressive electro house,vapor twitch,lo-fi rap</t>
  </si>
  <si>
    <t>Too Young</t>
  </si>
  <si>
    <t>Zeds Dead,Rivers Cuomo,Pusha T</t>
  </si>
  <si>
    <t>brostep,canadian electronic,dubstep,edm,electro house,electronic trap,progressive electro house,vapor twitch,alternative rock,gangster rap,hip hop,rap,southern hip hop,trap,virginia hip hop</t>
  </si>
  <si>
    <t>Show You off (feat. Xuitcasecity)</t>
  </si>
  <si>
    <t>Arman Cekin,Ellusive,Xuitcasecity</t>
  </si>
  <si>
    <t>bass trap,electropop,indie pop rap,pop edm,pop rap,sad rap</t>
  </si>
  <si>
    <t>Cancel on You</t>
  </si>
  <si>
    <t>Arman Cekin,House Of Wolf</t>
  </si>
  <si>
    <t>Frontlines</t>
  </si>
  <si>
    <t>Zeds Dead,NGHTMRE,GG Magree</t>
  </si>
  <si>
    <t>brostep,canadian electronic,dubstep,edm,electro house,electronic trap,progressive electro house,vapor twitch,bass trap,pop dance</t>
  </si>
  <si>
    <t>Eyes on Fire - Zeds Dead Remix</t>
  </si>
  <si>
    <t>Blue Foundation,Zeds Dead</t>
  </si>
  <si>
    <t>Jane XØ</t>
  </si>
  <si>
    <t>Take It Easy</t>
  </si>
  <si>
    <t>BVRNOUT,Mia Vaile</t>
  </si>
  <si>
    <t>electronic trap,pop edm</t>
  </si>
  <si>
    <t>California Dreaming (feat. Snoop Dogg &amp; Paul Rey)</t>
  </si>
  <si>
    <t>Arman Cekin,Paul Rey,Snoop Dogg</t>
  </si>
  <si>
    <t>bass trap,eurovision,swedish pop,g funk,gangster rap,hip hop,rap,west coast rap</t>
  </si>
  <si>
    <t>I Can't Stop</t>
  </si>
  <si>
    <t>Sever the Ties (feat. Esther Sparkes)</t>
  </si>
  <si>
    <t>Arman Cekin,Esther Sparkes</t>
  </si>
  <si>
    <t>Blame</t>
  </si>
  <si>
    <t>Ekali,ZHU</t>
  </si>
  <si>
    <t>canadian electronic,edm,electro house,electronic trap,electropop,future bass,indie electropop,melodic dubstep,pop dance,pop edm,vapor twitch</t>
  </si>
  <si>
    <t>Rolling Dice</t>
  </si>
  <si>
    <t>Just A Gent,Ella Vos,Joey Chavez</t>
  </si>
  <si>
    <t>aussietronica,bass trap,edm,electro house,electronic trap,electropop,future bass,melodic dubstep,vapor twitch,alt z,indie electropop,indie poptimism,la pop</t>
  </si>
  <si>
    <t>Centuries</t>
  </si>
  <si>
    <t>Fall Out Boy</t>
  </si>
  <si>
    <t>emo,modern rock,rock</t>
  </si>
  <si>
    <t>Pain</t>
  </si>
  <si>
    <t>Star Party,Mia Vaile</t>
  </si>
  <si>
    <t>One Night</t>
  </si>
  <si>
    <t>Matthew Koma</t>
  </si>
  <si>
    <t>Love is a Miracle</t>
  </si>
  <si>
    <t>Jinco,SVNAH</t>
  </si>
  <si>
    <t>I Don't Wanna</t>
  </si>
  <si>
    <t>Money</t>
  </si>
  <si>
    <t>Veorra</t>
  </si>
  <si>
    <t>Smoke</t>
  </si>
  <si>
    <t>Didrick,Amanda Fondell</t>
  </si>
  <si>
    <t>gaming edm,swedish pop</t>
  </si>
  <si>
    <t>On Fire</t>
  </si>
  <si>
    <t>Popeska,RAIGN</t>
  </si>
  <si>
    <t>filthstep,future bass,uk alternative pop</t>
  </si>
  <si>
    <t>Clocktower (feat. Mia Vaile)</t>
  </si>
  <si>
    <t>Jinco,Mia Vaile</t>
  </si>
  <si>
    <t>Dark Side</t>
  </si>
  <si>
    <t>California Dreaming (feat. Paul Rey)</t>
  </si>
  <si>
    <t>Arman Cekin,Josh Rubin</t>
  </si>
  <si>
    <t>All Around The World (La La La)</t>
  </si>
  <si>
    <t>R3HAB,A Touch Of Class</t>
  </si>
  <si>
    <t>dance pop,dutch house,edm,electro house,pop,pop dance,progressive electro house,slap house,tropical house,bubblegum dance,eurodance,europop</t>
  </si>
  <si>
    <t>Where I'll Be Waiting - VIP Mix</t>
  </si>
  <si>
    <t>Savage (feat. Flux Pavilion &amp; MAX)</t>
  </si>
  <si>
    <t>Whethan,Flux Pavilion,MAX</t>
  </si>
  <si>
    <t>edm,electropop,hyperpop,indie poptimism,vapor twitch,bass trap,brostep,classic dubstep,electro house,electronic trap,melodic dubstep,pop dance,dance pop,pop,post-teen pop,viral pop</t>
  </si>
  <si>
    <t>You Don't Know Me</t>
  </si>
  <si>
    <t>Arman Cekin</t>
  </si>
  <si>
    <t>Clarity</t>
  </si>
  <si>
    <t>Zedd,Foxes</t>
  </si>
  <si>
    <t>complextro,dance pop,edm,electro house,electropop,german techno,pop,pop dance,pop rap,tropical house,art pop,indie poptimism,metropopolis,uk pop</t>
  </si>
  <si>
    <t>128</t>
  </si>
  <si>
    <t>I'll Follow</t>
  </si>
  <si>
    <t>Afterdark</t>
  </si>
  <si>
    <t>MYRNE,Aviella</t>
  </si>
  <si>
    <t>Thnks fr th Mmrs</t>
  </si>
  <si>
    <t>Undone</t>
  </si>
  <si>
    <t>Jane XØ,Dannic</t>
  </si>
  <si>
    <t>pop edm,dutch edm,dutch house,edm,electro house,pop dance,progressive electro house,progressive house,sky room</t>
  </si>
  <si>
    <t>One Look</t>
  </si>
  <si>
    <t>LVTHER,Mammals</t>
  </si>
  <si>
    <t>gaming edm,vapor pop</t>
  </si>
  <si>
    <t>Kisses Back</t>
  </si>
  <si>
    <t>Money (feat. Rmarni)</t>
  </si>
  <si>
    <t>Arman Cekin,Rmarni</t>
  </si>
  <si>
    <t>Another Day - xKore Remix</t>
  </si>
  <si>
    <t>Modestep,Popeska,xKore</t>
  </si>
  <si>
    <t>brostep,dubstep,edm,electro house,filthstep,future bass</t>
  </si>
  <si>
    <t>I Want You To Know</t>
  </si>
  <si>
    <t>Zedd,Selena Gomez</t>
  </si>
  <si>
    <t>complextro,dance pop,edm,electro house,electropop,german techno,pop,pop dance,pop rap,tropical house,post-teen pop</t>
  </si>
  <si>
    <t>Spectrum</t>
  </si>
  <si>
    <t>Zedd,Matthew Koma</t>
  </si>
  <si>
    <t>complextro,dance pop,edm,electro house,electropop,german techno,pop,pop dance,pop rap,tropical house,pop edm</t>
  </si>
  <si>
    <t>Fade All My Life</t>
  </si>
  <si>
    <t>Limelight (feat. R O Z E S)</t>
  </si>
  <si>
    <t>Just A Gent,ROZES</t>
  </si>
  <si>
    <t>aussietronica,bass trap,edm,electro house,electronic trap,electropop,future bass,melodic dubstep,vapor twitch,indie poptimism,pop edm</t>
  </si>
  <si>
    <t>Happy Now</t>
  </si>
  <si>
    <t>Zedd,Elley Duhé</t>
  </si>
  <si>
    <t>complextro,dance pop,edm,electro house,electropop,german techno,pop,pop dance,pop rap,tropical house,alt z</t>
  </si>
  <si>
    <t>God Damnit (with Call Me Karizma)</t>
  </si>
  <si>
    <t>ILLENIUM,Call Me Karizma</t>
  </si>
  <si>
    <t>edm,melodic dubstep,pop,pop dance,tropical house,alt z,minnesota hip hop,modern rock,pop rap,social media pop</t>
  </si>
  <si>
    <t>Light of the Seven</t>
  </si>
  <si>
    <t>Ramin Djawadi</t>
  </si>
  <si>
    <t>german soundtrack,orchestral soundtrack,scorecore,soundtrack,video game music</t>
  </si>
  <si>
    <t>Hard to Forget</t>
  </si>
  <si>
    <t>Dark Down Below</t>
  </si>
  <si>
    <t>Feeling Nice</t>
  </si>
  <si>
    <t>Arman Cekin,Wasiu</t>
  </si>
  <si>
    <t>bass trap,canadian hip hop</t>
  </si>
  <si>
    <t>The Middle</t>
  </si>
  <si>
    <t>Zedd,Maren Morris,Grey</t>
  </si>
  <si>
    <t>complextro,dance pop,edm,electro house,electropop,german techno,pop,pop dance,pop rap,tropical house,contemporary country,country,texas country</t>
  </si>
  <si>
    <t>Zeds Dead,Diplo,Elliphant</t>
  </si>
  <si>
    <t>brostep,canadian electronic,dubstep,edm,electro house,electronic trap,progressive electro house,vapor twitch,house,moombahton,ninja,pop,pop dance,tropical house,swedish indie pop</t>
  </si>
  <si>
    <t>Fades Away (feat. Noonie Bao)</t>
  </si>
  <si>
    <t>Avicii,Noonie Bao</t>
  </si>
  <si>
    <t>dance pop,edm,pop,pop dance,pop rap,swedish indie pop</t>
  </si>
  <si>
    <t>Bad Reputation (feat. Joe Janiak)</t>
  </si>
  <si>
    <t>Avicii,Joe Janiak</t>
  </si>
  <si>
    <t>SOS (feat. Aloe Blacc)</t>
  </si>
  <si>
    <t>Avicii,Aloe Blacc</t>
  </si>
  <si>
    <t>dance pop,edm,pop,pop dance,pop rap,pop soul,r&amp;b</t>
  </si>
  <si>
    <t>Carry On (from the Original Motion Picture POKÉMON Detective Pikachu)</t>
  </si>
  <si>
    <t>Kygo,Rita Ora</t>
  </si>
  <si>
    <t>edm,pop,pop dance,tropical house,dance pop,pop rap,post-teen pop,uk pop</t>
  </si>
  <si>
    <t>Shatter Me</t>
  </si>
  <si>
    <t>Lindsey Stirling,Lzzy Hale</t>
  </si>
  <si>
    <t>bow pop,pop violin</t>
  </si>
  <si>
    <t>Suicide - Whethan Remix</t>
  </si>
  <si>
    <t>Alive (Møme Vs Midnight To Monaco)</t>
  </si>
  <si>
    <t>One In A Million</t>
  </si>
  <si>
    <t>Come Back For You</t>
  </si>
  <si>
    <t>Elephante,Matluck</t>
  </si>
  <si>
    <t>edm,electropop,future bass,pop dance,pop edm,tropical house</t>
  </si>
  <si>
    <t>Get Low (with Liam Payne)</t>
  </si>
  <si>
    <t>Zedd,Liam Payne</t>
  </si>
  <si>
    <t>Beautiful Now</t>
  </si>
  <si>
    <t>Zedd,Jon Bellion</t>
  </si>
  <si>
    <t>complextro,dance pop,edm,electro house,electropop,german techno,pop,pop dance,pop rap,tropical house</t>
  </si>
  <si>
    <t>We Might Fall</t>
  </si>
  <si>
    <t>Ghastly,Matthew Koma</t>
  </si>
  <si>
    <t>bass house,brostep,dubstep,edm,electro house,electronic trap,melodic dubstep,pop edm</t>
  </si>
  <si>
    <t>Arman Cekin,Jessica Main</t>
  </si>
  <si>
    <t>Hold On (feat. Brave)</t>
  </si>
  <si>
    <t>My Songs Know What You Did In The Dark (Light Em Up)</t>
  </si>
  <si>
    <t>Confessions</t>
  </si>
  <si>
    <t>MYRNE,Cozi Zuehlsdorff</t>
  </si>
  <si>
    <t>I Believe</t>
  </si>
  <si>
    <t>Sunlight</t>
  </si>
  <si>
    <t>Modestep</t>
  </si>
  <si>
    <t>brostep,dubstep,edm,electro house</t>
  </si>
  <si>
    <t>Catch Me (feat. Naaz)</t>
  </si>
  <si>
    <t>Yellow Claw,Flux Pavilon,Naaz</t>
  </si>
  <si>
    <t>bass trap,edm,electro house,electronic trap,pop dance,dutch pop</t>
  </si>
  <si>
    <t>Thief - Flux Pavilion Remix</t>
  </si>
  <si>
    <t>Ookay,Flux Pavilion</t>
  </si>
  <si>
    <t>dubstep,edm,electronic trap,future bass,pop edm,vapor twitch,bass trap,brostep,classic dubstep,electro house,melodic dubstep,pop dance</t>
  </si>
  <si>
    <t>Chasing Colors (feat. Noah Cyrus)</t>
  </si>
  <si>
    <t>Marshmello,Ookay,Noah Cyrus</t>
  </si>
  <si>
    <t>brostep,dance pop,edm,pop,pop dance,progressive electro house,dubstep,electronic trap,future bass,pop edm,vapor twitch</t>
  </si>
  <si>
    <t>Lullaby</t>
  </si>
  <si>
    <t>R3HAB,Mike Williams</t>
  </si>
  <si>
    <t>dance pop,dutch house,edm,electro house,pop,pop dance,progressive electro house,slap house,tropical house,big room,future house,house,pop edm</t>
  </si>
  <si>
    <t>Know Better (feat. Mister Blonde)</t>
  </si>
  <si>
    <t>JayKode,Mister Blonde</t>
  </si>
  <si>
    <t>Crashing (ft. Bahari) – KLOUD Remix</t>
  </si>
  <si>
    <t>ILLENIUM,Bahari,KLOUD</t>
  </si>
  <si>
    <t>edm,melodic dubstep,pop,pop dance,tropical house,alt z,indie electropop,indie poptimism,la pop,bass trap,dark clubbing,traprun</t>
  </si>
  <si>
    <t>Color</t>
  </si>
  <si>
    <t>Late Nights</t>
  </si>
  <si>
    <t>Sinner</t>
  </si>
  <si>
    <t>Lay Here</t>
  </si>
  <si>
    <t>Blind Talk</t>
  </si>
  <si>
    <t>Standby</t>
  </si>
  <si>
    <t>Bridges</t>
  </si>
  <si>
    <t>Nasty Freestyle</t>
  </si>
  <si>
    <t>Change</t>
  </si>
  <si>
    <t>Set Free</t>
  </si>
  <si>
    <t>Silk</t>
  </si>
  <si>
    <t>Not Yet</t>
  </si>
  <si>
    <t>Hero (feat. Oktavian)</t>
  </si>
  <si>
    <t>Mickey Valen,Lucian,Oktavian</t>
  </si>
  <si>
    <t>alt z,bass trap,pop edm,traprun,vapor twitch</t>
  </si>
  <si>
    <t>Close to You (feat. Jasmine Sokko)</t>
  </si>
  <si>
    <t>Lucian,Jasmine Sokko</t>
  </si>
  <si>
    <t>bass trap,pop edm,vapor twitch,singaporean pop,singaporean singer-songwriter</t>
  </si>
  <si>
    <t>Infrared (feat. Jordan Corey)</t>
  </si>
  <si>
    <t>Lucian,Jordan Corey</t>
  </si>
  <si>
    <t>Trndsttr (feat. M. Maggie) - Lucian Remix</t>
  </si>
  <si>
    <t>Black Coast,M. Maggie,Lucian</t>
  </si>
  <si>
    <t>la pop,bass trap,pop edm,vapor twitch</t>
  </si>
  <si>
    <t>Dollar For Your Sadness</t>
  </si>
  <si>
    <t>JOLT</t>
  </si>
  <si>
    <t>No Scrubs</t>
  </si>
  <si>
    <t>Worst In Me</t>
  </si>
  <si>
    <t>Don't Know What To Say</t>
  </si>
  <si>
    <t>Legends Never Die (feat. Against the Current)</t>
  </si>
  <si>
    <t>Trampoline</t>
  </si>
  <si>
    <t>Temporary</t>
  </si>
  <si>
    <t>Heaven Can Wait (feat. Sia, Diplo, and Labrinth)</t>
  </si>
  <si>
    <t>No Rainbows In The Desert</t>
  </si>
  <si>
    <t>Say Hello</t>
  </si>
  <si>
    <t>Lost Me</t>
  </si>
  <si>
    <t>Again</t>
  </si>
  <si>
    <t>Light Our Fire</t>
  </si>
  <si>
    <t>Empty Love</t>
  </si>
  <si>
    <t>Low</t>
  </si>
  <si>
    <t>Work On Me</t>
  </si>
  <si>
    <t>youandme</t>
  </si>
  <si>
    <t>Forget</t>
  </si>
  <si>
    <t>Don't Kill My High</t>
  </si>
  <si>
    <t>Lost Kings,Wiz Khalifa,Social House</t>
  </si>
  <si>
    <t>dance pop,edm,pop,pop dance,pop edm,pop rap,tropical house,hip hop,pittsburgh rap,rap,southern hip hop,trap</t>
  </si>
  <si>
    <t>Quit You</t>
  </si>
  <si>
    <t>Lost Kings,Tinashe</t>
  </si>
  <si>
    <t>dance pop,edm,pop,pop dance,pop edm,pop rap,tropical house,alternative r&amp;b,electropop,metropopolis,post-teen pop,r&amp;b,urban contemporary</t>
  </si>
  <si>
    <t>Look At Us Now</t>
  </si>
  <si>
    <t>Lost Kings,Ally Brooke,A$AP Ferg</t>
  </si>
  <si>
    <t>dance pop,edm,pop,pop dance,pop edm,pop rap,tropical house,post-teen pop,gangster rap,hip hop,rap,southern hip hop,trap,underground hip hop</t>
  </si>
  <si>
    <t>Lost Kings,Sabrina Carpenter</t>
  </si>
  <si>
    <t>dance pop,edm,pop,pop dance,pop edm,pop rap,tropical house,alt z,electropop,post-teen pop</t>
  </si>
  <si>
    <t>Phone Down</t>
  </si>
  <si>
    <t>Lost Kings,Emily Warren</t>
  </si>
  <si>
    <t>dance pop,edm,pop,pop dance,pop edm,pop rap,tropical house,nyc pop</t>
  </si>
  <si>
    <t>When We Were Young</t>
  </si>
  <si>
    <t>Lost Kings,Norma Jean Martine</t>
  </si>
  <si>
    <t>Steady 1234 (feat. Jasmine Thompson &amp; Skizzy Mars)</t>
  </si>
  <si>
    <t>Vice,Jasmine Thompson,Skizzy Mars</t>
  </si>
  <si>
    <t>Pompeii</t>
  </si>
  <si>
    <t>Jasmine Thompson</t>
  </si>
  <si>
    <t>neo mellow,pop,viral pop</t>
  </si>
  <si>
    <t>Mad World</t>
  </si>
  <si>
    <t>Ain't Nobody (Loves Me Better) - Acoustic</t>
  </si>
  <si>
    <t>Let Her Go</t>
  </si>
  <si>
    <t>Adore</t>
  </si>
  <si>
    <t>Rather Be</t>
  </si>
  <si>
    <t>You Can't Change Me</t>
  </si>
  <si>
    <t>Don Diablo,Ansel Elgort</t>
  </si>
  <si>
    <t>dance pop,edm,electro house,future house,house,pop dance,progressive electro house,progressive house,tropical house,hollywood</t>
  </si>
  <si>
    <t>Take Her Place (feat. A R I Z O N A)</t>
  </si>
  <si>
    <t>Don Diablo,A R I Z O N A</t>
  </si>
  <si>
    <t>dance pop,edm,electro house,future house,house,pop dance,progressive electro house,progressive house,tropical house,electropop,indie poptimism,pop</t>
  </si>
  <si>
    <t>Sun In Our Eyes - Don Diablo Remix</t>
  </si>
  <si>
    <t>MØ,Diplo,Don Diablo</t>
  </si>
  <si>
    <t>art pop,dance pop,danish pop,electropop,pop,tropical house,edm,electro house,house,moombahton,ninja,pop dance,future house,progressive electro house,progressive house</t>
  </si>
  <si>
    <t>Heaven To Me (feat. Alex Clare)</t>
  </si>
  <si>
    <t>Don Diablo,Alex Clare</t>
  </si>
  <si>
    <t>dance pop,edm,electro house,future house,house,pop dance,progressive electro house,progressive house,tropical house,modern alternative rock</t>
  </si>
  <si>
    <t>Survive (feat. Emeli Sandé, Gucci Mane)</t>
  </si>
  <si>
    <t>Don Diablo,Emeli Sandé,Gucci Mane</t>
  </si>
  <si>
    <t>dance pop,edm,electro house,future house,house,pop dance,progressive electro house,progressive house,tropical house,neo soul,pop,r&amp;b,uk pop,atl hip hop,dirty south rap,gangster rap,hip hop,pop rap,rap,southern hip hop,trap</t>
  </si>
  <si>
    <t>Anthem (We Love House Music)</t>
  </si>
  <si>
    <t>Sucker for Pain (with Wiz Khalifa, Imagine Dragons, Logic &amp; Ty Dolla $ign feat. X Ambassadors)</t>
  </si>
  <si>
    <t>Lil Wayne,Wiz Khalifa,Imagine Dragons,X Ambassadors,Logic,Ty Dolla $ign</t>
  </si>
  <si>
    <t>hip hop,new orleans rap,pop rap,rap,trap,dance pop,pittsburgh rap,southern hip hop,modern rock,rock,modern alternative rock,pop,pop rock,stomp pop,conscious hip hop,dmv rap,r&amp;b,trap soul</t>
  </si>
  <si>
    <t>Believer</t>
  </si>
  <si>
    <t>Whatever It Takes</t>
  </si>
  <si>
    <t>Natural</t>
  </si>
  <si>
    <t>Imagine Dragons,Kendrick Lamar</t>
  </si>
  <si>
    <t>modern rock,rock,conscious hip hop,hip hop,rap,west coast rap</t>
  </si>
  <si>
    <t>The Sway</t>
  </si>
  <si>
    <t>Jessie Siren</t>
  </si>
  <si>
    <t>Love Me Back</t>
  </si>
  <si>
    <t>RITUAL,Tove Styrke</t>
  </si>
  <si>
    <t>electropop,vapor soul,swedish electropop,swedish pop,swedish synthpop</t>
  </si>
  <si>
    <t>All Time Low</t>
  </si>
  <si>
    <t>Jon Bellion</t>
  </si>
  <si>
    <t>Stole the Show</t>
  </si>
  <si>
    <t>Kygo,Parson James</t>
  </si>
  <si>
    <t>edm,pop,pop dance,tropical house,pop soul</t>
  </si>
  <si>
    <t>Stargazing</t>
  </si>
  <si>
    <t>Kygo,Justin Jesso</t>
  </si>
  <si>
    <t>edm,pop,pop dance,tropical house,uk pop</t>
  </si>
  <si>
    <t>Kygo,Conrad Sewell</t>
  </si>
  <si>
    <t>edm,pop,pop dance,tropical house,australian pop</t>
  </si>
  <si>
    <t>It Ain't Me (with Selena Gomez)</t>
  </si>
  <si>
    <t>Kygo,Selena Gomez</t>
  </si>
  <si>
    <t>Think About You</t>
  </si>
  <si>
    <t>Remind Me to Forget</t>
  </si>
  <si>
    <t>Kygo,Miguel</t>
  </si>
  <si>
    <t>edm,pop,pop dance,tropical house,dance pop,r&amp;b,urban contemporary</t>
  </si>
  <si>
    <t>Born To Be Yours</t>
  </si>
  <si>
    <t>Kygo,Imagine Dragons</t>
  </si>
  <si>
    <t>edm,pop,pop dance,tropical house,modern rock,rock</t>
  </si>
  <si>
    <t>Not Ok</t>
  </si>
  <si>
    <t>Kygo,Chelsea Cutler</t>
  </si>
  <si>
    <t>edm,pop,pop dance,tropical house,alt z,electropop,indie poptimism</t>
  </si>
  <si>
    <t>Kygo,Sandro Cavazza</t>
  </si>
  <si>
    <t>edm,pop,pop dance,tropical house,swedish pop</t>
  </si>
  <si>
    <t>Happy Hour - Ødyssey Remix</t>
  </si>
  <si>
    <t>Weezer,Ødyssey</t>
  </si>
  <si>
    <t>alternative rock,modern power pop,modern rock,permanent wave,rock</t>
  </si>
  <si>
    <t>Mind (feat. Kimberley Krump)</t>
  </si>
  <si>
    <t>Ødyssey,Kimberley Krump</t>
  </si>
  <si>
    <t>Fly (feat. Amara Abonta)</t>
  </si>
  <si>
    <t>Ødyssey,Amara Abonta</t>
  </si>
  <si>
    <t>We Need Love - from Songland</t>
  </si>
  <si>
    <t>Palms</t>
  </si>
  <si>
    <t>Hollywood Horror</t>
  </si>
  <si>
    <t>Dropout</t>
  </si>
  <si>
    <t>Boy In The Bubble</t>
  </si>
  <si>
    <t>Wavin' Flag - Celebration Mix</t>
  </si>
  <si>
    <t>K'NAAN,Féfé</t>
  </si>
  <si>
    <t>reggae fusion,french reggae</t>
  </si>
  <si>
    <t>Diddy - Dirty Money,Skylar Grey</t>
  </si>
  <si>
    <t>hip pop,pop rap,urban contemporary,piano rock</t>
  </si>
  <si>
    <t>Murder</t>
  </si>
  <si>
    <t>Middle Finger</t>
  </si>
  <si>
    <t>Phoebe Ryan,Quinn XCII</t>
  </si>
  <si>
    <t>alt z,electropop,indie electropop,indie poptimism,indie pop rap,pop,pop rap</t>
  </si>
  <si>
    <t>Wish I Never Met You</t>
  </si>
  <si>
    <t>Loote</t>
  </si>
  <si>
    <t>alt z,dance pop,electropop,indie poptimism,nyc pop,pop,pop dance,pop edm,post-teen pop,tropical house</t>
  </si>
  <si>
    <t>Spaceship (Bonus Track)</t>
  </si>
  <si>
    <t>All We Do</t>
  </si>
  <si>
    <t>Oh Wonder</t>
  </si>
  <si>
    <t>electropop,indie poptimism,pop</t>
  </si>
  <si>
    <t>The Sun</t>
  </si>
  <si>
    <t>Parov Stelar,Graham Candy</t>
  </si>
  <si>
    <t>balkan beats,downtempo,electro swing,nu jazz,tropical house,nz pop</t>
  </si>
  <si>
    <t>drugs</t>
  </si>
  <si>
    <t>I Wonder</t>
  </si>
  <si>
    <t>The Him,LissA</t>
  </si>
  <si>
    <t>big room,deep house,deep tropical house,edm,electro house,house,pop dance,pop edm,tropical house,indie electropop</t>
  </si>
  <si>
    <t>Your Shirt</t>
  </si>
  <si>
    <t>Snake Eyes (feat. CoMa)</t>
  </si>
  <si>
    <t>From Here</t>
  </si>
  <si>
    <t>Louis The Child</t>
  </si>
  <si>
    <t>edm,electro house,electropop,pop,pop dance,tropical house</t>
  </si>
  <si>
    <t>The Buzz (feat. Big K.R.I.T., Mataya &amp; Young Tapz) - Bonus Track</t>
  </si>
  <si>
    <t>Hermitude,Big K.R.I.T.,Mataya,Young Tapz</t>
  </si>
  <si>
    <t>australian dance,downtempo,edm,electronic trap,escape room,vapor twitch,alternative hip hop,conscious hip hop,dirty south rap,gangster rap,hip hop,houston rap,mississippi hip hop,pop rap,rap,southern hip hop,trap,underground hip hop</t>
  </si>
  <si>
    <t>Emotional</t>
  </si>
  <si>
    <t>Flux Pavilion,Matthew Koma</t>
  </si>
  <si>
    <t>bass trap,brostep,classic dubstep,edm,electro house,electronic trap,melodic dubstep,pop dance,pop edm</t>
  </si>
  <si>
    <t>Walk on by (Sound Remedy Remix)</t>
  </si>
  <si>
    <t>Noosa</t>
  </si>
  <si>
    <t>shimmer pop,shiver pop</t>
  </si>
  <si>
    <t>Daughter</t>
  </si>
  <si>
    <t>art pop,shimmer pop</t>
  </si>
  <si>
    <t>If Only</t>
  </si>
  <si>
    <t>Maya Payne</t>
  </si>
  <si>
    <t>nz pop</t>
  </si>
  <si>
    <t>I Just Know</t>
  </si>
  <si>
    <t>Bugus</t>
  </si>
  <si>
    <t>Everything Black (feat. Mike Taylor)</t>
  </si>
  <si>
    <t>Unlike Pluto,Mike Taylor</t>
  </si>
  <si>
    <t>Fixed On You</t>
  </si>
  <si>
    <t>Hotel Garuda,Violet Days</t>
  </si>
  <si>
    <t>vapor twitch,indie poptimism</t>
  </si>
  <si>
    <t>Kaleidoscope</t>
  </si>
  <si>
    <t>Vicetone,Grace Grundy</t>
  </si>
  <si>
    <t>edm,electro house,pop dance,pop edm,progressive electro house,tropical house,channel pop,viral pop</t>
  </si>
  <si>
    <t>Never Forget You</t>
  </si>
  <si>
    <t>Zara Larsson,MNEK</t>
  </si>
  <si>
    <t>dance pop,edm,electropop,pop,pop dance,post-teen pop,scandipop,swedish electropop,swedish pop,tropical house,uk contemporary r&amp;b,uk dance</t>
  </si>
  <si>
    <t>You &amp; I (feat. Shara)</t>
  </si>
  <si>
    <t>Ellusive,TELYKast,Shara</t>
  </si>
  <si>
    <t>Lover in Dark (Aobeats Remix)</t>
  </si>
  <si>
    <t>Benta,AObeats</t>
  </si>
  <si>
    <t>It's All On U (T-Mass &amp; LZRD Remix) [feat. Liam O'Donnell]</t>
  </si>
  <si>
    <t>ILLENIUM,Liam O'Donnell</t>
  </si>
  <si>
    <t>It's Different,Helen</t>
  </si>
  <si>
    <t>bass trap,gaming edm,romanian indie</t>
  </si>
  <si>
    <t>Bobby K</t>
  </si>
  <si>
    <t>Lucian,REMMI</t>
  </si>
  <si>
    <t>bass trap,pop edm,vapor twitch,electropop</t>
  </si>
  <si>
    <t>Can't Sleep</t>
  </si>
  <si>
    <t>Hypnotic - Vanic Remix</t>
  </si>
  <si>
    <t>Avoiding</t>
  </si>
  <si>
    <t>Vorsa</t>
  </si>
  <si>
    <t>emo rap,lo-fi chill,sad lo-fi,sad rap</t>
  </si>
  <si>
    <t>Faraway</t>
  </si>
  <si>
    <t>Kulakostas</t>
  </si>
  <si>
    <t>happysad</t>
  </si>
  <si>
    <t>Josh Golden</t>
  </si>
  <si>
    <t>la pop,sad rap</t>
  </si>
  <si>
    <t>Nice Girl</t>
  </si>
  <si>
    <t>Syence</t>
  </si>
  <si>
    <t>All The Things She Said</t>
  </si>
  <si>
    <t>t.A.T.u.</t>
  </si>
  <si>
    <t>dance pop,girl group</t>
  </si>
  <si>
    <t>Bang</t>
  </si>
  <si>
    <t>Take a Bow</t>
  </si>
  <si>
    <t>Not You</t>
  </si>
  <si>
    <t>Feel Better</t>
  </si>
  <si>
    <t>Heart Shaped Box</t>
  </si>
  <si>
    <t>At the End</t>
  </si>
  <si>
    <t>Take It Back</t>
  </si>
  <si>
    <t>Sweet Dreams (Are Made of This) - Remastered</t>
  </si>
  <si>
    <t>Eurythmics,Annie Lennox,Dave Stewart</t>
  </si>
  <si>
    <t>art rock,dance rock,mellow gold,new romantic,new wave,new wave pop,rock,soft rock,sophisti-pop,synthpop,pop rock,rock keyboard</t>
  </si>
  <si>
    <t>Painted in Gold</t>
  </si>
  <si>
    <t>Strange Talk,Bertie Blackman</t>
  </si>
  <si>
    <t>indie poptimism,metropopolis,shimmer pop,australian alternative rock,australian indie</t>
  </si>
  <si>
    <t>We Are Together - Original Mix</t>
  </si>
  <si>
    <t>Planet Of Sound</t>
  </si>
  <si>
    <t>Another Day</t>
  </si>
  <si>
    <t>Dabin,Outwild,Nevve</t>
  </si>
  <si>
    <t>Bad for You</t>
  </si>
  <si>
    <t>light u up</t>
  </si>
  <si>
    <t>SAMAHTA,Willa</t>
  </si>
  <si>
    <t>traprun,canadian electropop</t>
  </si>
  <si>
    <t>White Line</t>
  </si>
  <si>
    <t>Besomorph,Anna Pancaldi</t>
  </si>
  <si>
    <t>alt z,slap house,traprun,british singer-songwriter</t>
  </si>
  <si>
    <t>Game of Thrones</t>
  </si>
  <si>
    <t>Trias</t>
  </si>
  <si>
    <t>Feels So Good (feat. Kelli-Leigh)</t>
  </si>
  <si>
    <t>Tiësto,Justin Caruso,Kelli-Leigh</t>
  </si>
  <si>
    <t>big room,brostep,dance pop,dutch edm,edm,house,pop,pop dance,slap house,trance,tropical house,electropop,pop edm,uk pop</t>
  </si>
  <si>
    <t>Carry You Home (feat. StarGate &amp; Aloe Blacc)</t>
  </si>
  <si>
    <t>Tiësto,Stargate,Aloe Blacc</t>
  </si>
  <si>
    <t>big room,brostep,dance pop,dutch edm,edm,house,pop,pop dance,slap house,trance,tropical house,norwegian pop,pop soul,r&amp;b</t>
  </si>
  <si>
    <t>BOOM</t>
  </si>
  <si>
    <t>Tiësto,Sevenn,Gucci Mane</t>
  </si>
  <si>
    <t>big room,brostep,dance pop,dutch edm,edm,house,pop,pop dance,slap house,trance,tropical house,brazilian edm,atl hip hop,dirty south rap,gangster rap,hip hop,pop rap,rap,southern hip hop,trap</t>
  </si>
  <si>
    <t>Red Lights</t>
  </si>
  <si>
    <t>Tiësto</t>
  </si>
  <si>
    <t>Jackie Chan</t>
  </si>
  <si>
    <t>Tiësto,Dzeko,Preme,Post Malone</t>
  </si>
  <si>
    <t>big room,brostep,dance pop,dutch edm,edm,house,pop,pop dance,slap house,trance,tropical house,canadian electronic,electro house,canadian hip hop,canadian trap,pop rap,rap,toronto rap,trap,trap soul,dfw rap,melodic rap</t>
  </si>
  <si>
    <t>Wildcard</t>
  </si>
  <si>
    <t>KSHMR,Sidnie Tipton</t>
  </si>
  <si>
    <t>Carry Me Home (feat. Jake Reese)</t>
  </si>
  <si>
    <t>KSHMR,Jake Reese</t>
  </si>
  <si>
    <t>big room,edm,electro house,indian edm,pop dance,slap house,tropical house,dutch pop</t>
  </si>
  <si>
    <t>No Regrets (feat. Krewella)</t>
  </si>
  <si>
    <t>KSHMR,Yves V,Krewella</t>
  </si>
  <si>
    <t>big room,edm,electro house,indian edm,pop dance,slap house,tropical house,belgian edm,dance pop,house,progressive electro house,electra,electropop,melodic dubstep</t>
  </si>
  <si>
    <t>Power</t>
  </si>
  <si>
    <t>Hardwell,KSHMR</t>
  </si>
  <si>
    <t>big room,dance pop,dutch house,edm,electro house,pop dance,progressive electro house,progressive house,tropical house,indian edm,slap house</t>
  </si>
  <si>
    <t>Secrets (feat. Vassy) - Radio Edit</t>
  </si>
  <si>
    <t>Bazaar - Official Sunburn Goa 2015 Anthem</t>
  </si>
  <si>
    <t>KSHMR,Marnik</t>
  </si>
  <si>
    <t>Children Of A Miracle</t>
  </si>
  <si>
    <t>Don Diablo,Marnik</t>
  </si>
  <si>
    <t>Up &amp; Down</t>
  </si>
  <si>
    <t>Marnik</t>
  </si>
  <si>
    <t>Dynoro,Gigi D'Agostino</t>
  </si>
  <si>
    <t>edm,electro house,pop dance,tropical house,eurodance,europop,italo dance</t>
  </si>
  <si>
    <t>We R Who We R</t>
  </si>
  <si>
    <t>Kesha</t>
  </si>
  <si>
    <t>Die Young</t>
  </si>
  <si>
    <t>TiK ToK</t>
  </si>
  <si>
    <t>Right Round</t>
  </si>
  <si>
    <t>Flo Rida</t>
  </si>
  <si>
    <t>dance pop,miami hip hop,pop,pop rap</t>
  </si>
  <si>
    <t>I Cry</t>
  </si>
  <si>
    <t>Wild Ones (feat. Sia)</t>
  </si>
  <si>
    <t>Flo Rida,Sia</t>
  </si>
  <si>
    <t>dance pop,miami hip hop,pop,pop rap,australian dance,australian pop</t>
  </si>
  <si>
    <t>Whistle</t>
  </si>
  <si>
    <t>GDFR (feat. Sage the Gemini &amp; Lookas)</t>
  </si>
  <si>
    <t>Flo Rida,Sage The Gemini,Lookas</t>
  </si>
  <si>
    <t>dance pop,miami hip hop,pop,pop rap,hyphy,southern hip hop,bass trap,electro house,electronic trap,future bass</t>
  </si>
  <si>
    <t>My House</t>
  </si>
  <si>
    <t>Robin S</t>
  </si>
  <si>
    <t>disco house,diva house,eurodance,hip house,vocal house</t>
  </si>
  <si>
    <t>Lady - Hear Me Tonight</t>
  </si>
  <si>
    <t>Modjo</t>
  </si>
  <si>
    <t>disco house,filter house,vocal house</t>
  </si>
  <si>
    <t>Tainted Love</t>
  </si>
  <si>
    <t>Soft Cell</t>
  </si>
  <si>
    <t>new romantic,new wave,new wave pop,synthpop</t>
  </si>
  <si>
    <t>M.I.A.</t>
  </si>
  <si>
    <t>dance pop,escape room,indietronica,new rave</t>
  </si>
  <si>
    <t>You Know You Like It</t>
  </si>
  <si>
    <t>DJ Snake,AlunaGeorge</t>
  </si>
  <si>
    <t>dance pop,edm,electronic trap,pop,pop dance,pop rap,electropop,house,tropical house</t>
  </si>
  <si>
    <t>Shot Me Down (feat. Skylar Grey) - Radio Edit</t>
  </si>
  <si>
    <t>Sun Goes Down (feat. MAGIC! &amp; Sonny Wilson)</t>
  </si>
  <si>
    <t>David Guetta,Showtek,MAGIC!,Sonny Wilson</t>
  </si>
  <si>
    <t>big room,dance pop,edm,pop,pop dance,pop rap,classic hardstyle,electro house,euphoric hardstyle,progressive electro house,reggae fusion</t>
  </si>
  <si>
    <t>Hey Mama (feat. Nicki Minaj, Bebe Rexha &amp; Afrojack)</t>
  </si>
  <si>
    <t>David Guetta,Afrojack,Bebe Rexha,Nicki Minaj</t>
  </si>
  <si>
    <t>big room,dance pop,edm,pop,pop dance,pop rap,dutch house,electro house,progressive house,tropical house,electropop,post-teen pop,hip pop,queens hip hop</t>
  </si>
  <si>
    <t>Lovers on the Sun (feat. Sam Martin)</t>
  </si>
  <si>
    <t>David Guetta,Sam Martin</t>
  </si>
  <si>
    <t>Dangerous (feat. Sam Martin)</t>
  </si>
  <si>
    <t>Play Hard (feat. Ne-Yo &amp; Akon)</t>
  </si>
  <si>
    <t>Without You (feat. Usher)</t>
  </si>
  <si>
    <t>David Guetta,Usher</t>
  </si>
  <si>
    <t>big room,dance pop,edm,pop,pop dance,pop rap,atl hip hop,contemporary r&amp;b,r&amp;b,south carolina hip hop,urban contemporary</t>
  </si>
  <si>
    <t>I Can Only Imagine (feat. Chris Brown &amp; Lil Wayne)</t>
  </si>
  <si>
    <t>David Guetta,Chris Brown,Lil Wayne</t>
  </si>
  <si>
    <t>big room,dance pop,edm,pop,pop dance,pop rap,r&amp;b,rap,hip hop,new orleans rap,trap</t>
  </si>
  <si>
    <t>She Wolf (Falling to Pieces) [feat. Sia]</t>
  </si>
  <si>
    <t>Turn Me On (feat. Nicki Minaj)</t>
  </si>
  <si>
    <t>David Guetta,Nicki Minaj</t>
  </si>
  <si>
    <t>big room,dance pop,edm,pop,pop dance,pop rap,hip pop,queens hip hop</t>
  </si>
  <si>
    <t>Titanium (feat. Sia)</t>
  </si>
  <si>
    <t>Sexy Bitch (feat. Akon)</t>
  </si>
  <si>
    <t>David Guetta,Akon</t>
  </si>
  <si>
    <t>Who's That Chick? (feat. Rihanna)</t>
  </si>
  <si>
    <t>Sexy Bitch (feat. Akon) - Extended</t>
  </si>
  <si>
    <t>Gettin' Over (feat. Chris Willis) - Extended</t>
  </si>
  <si>
    <t>When Love Takes Over (feat. Kelly Rowland) - Original Extended</t>
  </si>
  <si>
    <t>David Guetta,Kelly Rowland</t>
  </si>
  <si>
    <t>big room,dance pop,edm,pop,pop dance,pop rap,atl hip hop,hip pop,neo soul,pop r&amp;b,post-teen pop,r&amp;b,urban contemporary</t>
  </si>
  <si>
    <t>Love Is Gone - Fred Riester &amp; Joachim Garraud Radio Edit Remix</t>
  </si>
  <si>
    <t>David Guetta,Chris Willis,Fred Riester,Joachim Garraud</t>
  </si>
  <si>
    <t>big room,dance pop,edm,pop,pop dance,pop rap,electro house</t>
  </si>
  <si>
    <t>Never Take Away My Freedom</t>
  </si>
  <si>
    <t>David Guetta,Chris Willis</t>
  </si>
  <si>
    <t>Delirious (feat. Tara McDonald)</t>
  </si>
  <si>
    <t>David Guetta,Tara Mcdonald</t>
  </si>
  <si>
    <t>Everytime We Touch (with Steve Angello &amp; Sebastian Ingrosso)</t>
  </si>
  <si>
    <t>David Guetta,Chris Willis,Sebastian Ingrosso,Steve Angello</t>
  </si>
  <si>
    <t>big room,dance pop,edm,pop,pop dance,pop rap,electro house,progressive electro house,progressive house,disco house,house</t>
  </si>
  <si>
    <t>Baby When the Light (feat. Cozi)</t>
  </si>
  <si>
    <t>David Guetta,Steve Angello,Cozi</t>
  </si>
  <si>
    <t>big room,dance pop,edm,pop,pop dance,pop rap,disco house,electro house,house,progressive electro house,progressive house</t>
  </si>
  <si>
    <t>The World Is Mine</t>
  </si>
  <si>
    <t>Joachim Garraud,JD Davis,David Guetta</t>
  </si>
  <si>
    <t>electro house,big room,dance pop,edm,pop,pop dance,pop rap</t>
  </si>
  <si>
    <t>Love Don't Let Me Go</t>
  </si>
  <si>
    <t>Take Back Tomorrow</t>
  </si>
  <si>
    <t>GoldFish</t>
  </si>
  <si>
    <t>cape town indie,downtempo,south african alternative,south african pop,south african pop dance</t>
  </si>
  <si>
    <t>Melancholy</t>
  </si>
  <si>
    <t>Rezz,Laura Brehm</t>
  </si>
  <si>
    <t>canadian electronic,edm,electra,electro house,chillstep,pop edm</t>
  </si>
  <si>
    <t>Birds</t>
  </si>
  <si>
    <t>IZII,The Powder Room</t>
  </si>
  <si>
    <t>Wolves</t>
  </si>
  <si>
    <t>Selena Gomez,Marshmello</t>
  </si>
  <si>
    <t>dance pop,pop,post-teen pop,brostep,edm,pop dance,progressive electro house</t>
  </si>
  <si>
    <t>Remember</t>
  </si>
  <si>
    <t>Levianth,Axol,The Tech Thieves</t>
  </si>
  <si>
    <t>bass trap,traprun,gaming edm,alt z</t>
  </si>
  <si>
    <t>Flowers</t>
  </si>
  <si>
    <t>No Glory (feat. M.I.M.E &amp; Drama B)</t>
  </si>
  <si>
    <t>Skan,Krale,M.I.M.E,Drama B</t>
  </si>
  <si>
    <t>bass trap,traprun,gaming edm,deep underground hip hop</t>
  </si>
  <si>
    <t>Starfire</t>
  </si>
  <si>
    <t>Meizong</t>
  </si>
  <si>
    <t>finnish edm</t>
  </si>
  <si>
    <t>I Can’t Get Enough (benny blanco, Selena Gomez, J Balvin, Tainy)</t>
  </si>
  <si>
    <t>benny blanco,Selena Gomez,J Balvin,Tainy</t>
  </si>
  <si>
    <t>electropop,pop,pop rap,dance pop,post-teen pop,latin,reggaeton,reggaeton colombiano,trap latino,latin hip hop,latin pop,pop reggaeton</t>
  </si>
  <si>
    <t>Taki Taki (with Selena Gomez, Ozuna &amp; Cardi B)</t>
  </si>
  <si>
    <t>DJ Snake,Selena Gomez,Ozuna,Cardi B</t>
  </si>
  <si>
    <t>dance pop,edm,electronic trap,pop,pop dance,pop rap,post-teen pop,latin,puerto rican pop,reggaeton,trap latino,rap</t>
  </si>
  <si>
    <t>Powerful</t>
  </si>
  <si>
    <t>Major Lazer,Ellie Goulding,Tarrus Riley</t>
  </si>
  <si>
    <t>dance pop,edm,electro house,moombahton,pop,pop dance,pop rap,tropical house,electropop,indietronica,metropopolis,uk pop,dancehall,lovers rock,modern reggae,reggae,roots reggae</t>
  </si>
  <si>
    <t>Be Together</t>
  </si>
  <si>
    <t>Major Lazer,Wild Belle</t>
  </si>
  <si>
    <t>dance pop,edm,electro house,moombahton,pop,pop dance,pop rap,tropical house,shimmer pop</t>
  </si>
  <si>
    <t>Too Soon (feat. Maty Noyes)</t>
  </si>
  <si>
    <t>Vanic,Maty Noyes</t>
  </si>
  <si>
    <t>bass trap,electronic trap,future bass,indie electropop,pop edm,vapor twitch,alt z,electropop,indie poptimism,pop</t>
  </si>
  <si>
    <t>Be Together - Vanic Remix</t>
  </si>
  <si>
    <t>Major Lazer,Wild Belle,Vanic</t>
  </si>
  <si>
    <t>dance pop,edm,electro house,moombahton,pop,pop dance,pop rap,tropical house,shimmer pop,bass trap,electronic trap,future bass,indie electropop,pop edm,vapor twitch</t>
  </si>
  <si>
    <t>Good On Me (feat. Olivia Noelle)</t>
  </si>
  <si>
    <t>Vanic,Olivia Noelle</t>
  </si>
  <si>
    <t>bass trap,electronic trap,future bass,indie electropop,pop edm,vapor twitch,nyc pop</t>
  </si>
  <si>
    <t>Borderline - Vanic Remix</t>
  </si>
  <si>
    <t>Tove Styrke,Vanic</t>
  </si>
  <si>
    <t>electropop,swedish electropop,swedish pop,swedish synthpop,bass trap,electronic trap,future bass,indie electropop,pop edm,vapor twitch</t>
  </si>
  <si>
    <t>Samurai (feat. Katy Tiz)</t>
  </si>
  <si>
    <t>Vanic,Katy Tiz</t>
  </si>
  <si>
    <t>Staring At The Sun</t>
  </si>
  <si>
    <t>Vanic</t>
  </si>
  <si>
    <t>Different World (feat. CORSAK)</t>
  </si>
  <si>
    <t>Alan Walker,K-391,Sofia Carson,CORSAK</t>
  </si>
  <si>
    <t>electro house,nordic house,pop dance,dance pop,pop,post-teen pop,chinese electropop</t>
  </si>
  <si>
    <t>Diamond Heart</t>
  </si>
  <si>
    <t>Alan Walker,Sophia Somajo</t>
  </si>
  <si>
    <t>electro house,swedish electropop</t>
  </si>
  <si>
    <t>Sing Me to Sleep</t>
  </si>
  <si>
    <t>Do It All for You</t>
  </si>
  <si>
    <t>Alan Walker,Trevor Guthrie</t>
  </si>
  <si>
    <t>electro house,canadian pop</t>
  </si>
  <si>
    <t>Lonely (feat. ISÁK &amp; Omar Noir)</t>
  </si>
  <si>
    <t>Alan Walker,Steve Aoki,ISÁK,Omar Noir</t>
  </si>
  <si>
    <t>electro house,dance pop,edm,pop dance,pop rap,tropical house,norwegian indie,norwegian pop,sami,norwegian hip hop</t>
  </si>
  <si>
    <t>Lost Control</t>
  </si>
  <si>
    <t>Alan Walker,Sorana</t>
  </si>
  <si>
    <t>electro house,romanian pop</t>
  </si>
  <si>
    <t>I Don't Wanna Go</t>
  </si>
  <si>
    <t>Alan Walker,Julie Bergan</t>
  </si>
  <si>
    <t>All Falls Down (feat. Juliander)</t>
  </si>
  <si>
    <t>Alan Walker,Noah Cyrus,Digital Farm Animals,Juliander</t>
  </si>
  <si>
    <t>electro house,dance pop,pop,uk dance,swedish pop</t>
  </si>
  <si>
    <t>Darkside</t>
  </si>
  <si>
    <t>Alan Walker,Au/Ra,Tomine Harket</t>
  </si>
  <si>
    <t>electro house,alt z,deep pop edm,electropop,indie poptimism,pop,norwegian pop,norwegian pop rap</t>
  </si>
  <si>
    <t>Alan Walker,Sabrina Carpenter,Farruko</t>
  </si>
  <si>
    <t>electro house,alt z,dance pop,electropop,pop,post-teen pop,latin,latin hip hop,reggaeton,trap latino</t>
  </si>
  <si>
    <t>Lily</t>
  </si>
  <si>
    <t>Alan Walker,K-391,Emelie Hollow</t>
  </si>
  <si>
    <t>electro house,nordic house,pop dance,norwegian indie,norwegian pop</t>
  </si>
  <si>
    <t>Up All Night</t>
  </si>
  <si>
    <t>ARTY,Angel Taylor</t>
  </si>
  <si>
    <t>big room,edm,electro house,pop dance,pop edm,progressive electro house,progressive house,russian edm,trance,tropical house,acoustic pop</t>
  </si>
  <si>
    <t>Idea of You</t>
  </si>
  <si>
    <t>ARTY,Eric Nam</t>
  </si>
  <si>
    <t>big room,edm,electro house,pop dance,pop edm,progressive electro house,progressive house,russian edm,trance,tropical house,k-pop</t>
  </si>
  <si>
    <t>Supposed To Be</t>
  </si>
  <si>
    <t>ARTY</t>
  </si>
  <si>
    <t>big room,edm,electro house,pop dance,pop edm,progressive electro house,progressive house,russian edm,trance,tropical house</t>
  </si>
  <si>
    <t>Colors - Audien Remix</t>
  </si>
  <si>
    <t>Halsey,Audien</t>
  </si>
  <si>
    <t>dance pop,electropop,etherpop,indie poptimism,pop,edm,electro house,pop dance,pop edm,progressive electro house,progressive house,tropical house</t>
  </si>
  <si>
    <t>All I Got</t>
  </si>
  <si>
    <t>Said The Sky,Kwesi</t>
  </si>
  <si>
    <t>edm,electropop,future bass,melodic dubstep,pop dance,pop edm,tropical house</t>
  </si>
  <si>
    <t>Beautiful</t>
  </si>
  <si>
    <t>Said The Sky,Diamond Eyes</t>
  </si>
  <si>
    <t>edm,electropop,future bass,melodic dubstep,pop dance,pop edm,tropical house,gaming edm</t>
  </si>
  <si>
    <t>Pray for Me</t>
  </si>
  <si>
    <t>Said The Sky,Origami</t>
  </si>
  <si>
    <t>Just Us</t>
  </si>
  <si>
    <t>Said The Sky,Yuppycult,Electra Mustaine</t>
  </si>
  <si>
    <t>Now You're Gone (feat. Zara Larsson)</t>
  </si>
  <si>
    <t>Tom Walker,Zara Larsson</t>
  </si>
  <si>
    <t>indie anthem-folk,modern rock,pop,pop rock,uk pop,dance pop,edm,electropop,pop dance,post-teen pop,scandipop,swedish electropop,swedish pop,tropical house</t>
  </si>
  <si>
    <t>Just You and I</t>
  </si>
  <si>
    <t>Leave a Light On</t>
  </si>
  <si>
    <t>Fuck It</t>
  </si>
  <si>
    <t>bellyache</t>
  </si>
  <si>
    <t>Version Of Me</t>
  </si>
  <si>
    <t>better off</t>
  </si>
  <si>
    <t>Someone Else</t>
  </si>
  <si>
    <t>Sleeping With Roses</t>
  </si>
  <si>
    <t>The Reason</t>
  </si>
  <si>
    <t>Water on the Bridge</t>
  </si>
  <si>
    <t>Lonely Alone</t>
  </si>
  <si>
    <t>Deserve This</t>
  </si>
  <si>
    <t>AF1s</t>
  </si>
  <si>
    <t>Evil</t>
  </si>
  <si>
    <t>Flare Guns</t>
  </si>
  <si>
    <t>Quinn XCII,Chelsea Cutler</t>
  </si>
  <si>
    <t>electropop,indie pop rap,pop,pop rap,alt z,indie poptimism,tropical house</t>
  </si>
  <si>
    <t>Free To Go</t>
  </si>
  <si>
    <t>Seeb,Highasakite</t>
  </si>
  <si>
    <t>dance pop,edm,electro house,norwegian pop,pop,pop dance,pop edm,tropical house,norwegian indie</t>
  </si>
  <si>
    <t>I Took A Pill In Ibiza - Seeb Remix</t>
  </si>
  <si>
    <t>Mike Posner,Seeb</t>
  </si>
  <si>
    <t>dance pop,edm,pop,pop rap,electro house,norwegian pop,pop dance,pop edm,tropical house</t>
  </si>
  <si>
    <t>Solitude</t>
  </si>
  <si>
    <t>TheFatRat,Slaydit</t>
  </si>
  <si>
    <t>Oblivion</t>
  </si>
  <si>
    <t>TheFatRat,Lola Blanc</t>
  </si>
  <si>
    <t>speedrun,alt z,indie poptimism,modern alternative pop</t>
  </si>
  <si>
    <t>Chosen</t>
  </si>
  <si>
    <t>TheFatRat,Laura Brehm,Anna Yvette</t>
  </si>
  <si>
    <t>speedrun,chillstep,pop edm,gaming edm</t>
  </si>
  <si>
    <t>Never Be Alone</t>
  </si>
  <si>
    <t>The Calling</t>
  </si>
  <si>
    <t>Time Lapse</t>
  </si>
  <si>
    <t>MAYDAY</t>
  </si>
  <si>
    <t>Windfall</t>
  </si>
  <si>
    <t>Xenogenesis</t>
  </si>
  <si>
    <t>Unity</t>
  </si>
  <si>
    <t>Monody (feat. Laura Brehm)</t>
  </si>
  <si>
    <t>Mimicry</t>
  </si>
  <si>
    <t>Kerli</t>
  </si>
  <si>
    <t>candy pop,dark pop,electropop,estonian pop,indie poptimism,metropopolis</t>
  </si>
  <si>
    <t>Legends</t>
  </si>
  <si>
    <t>Savages</t>
  </si>
  <si>
    <t>One</t>
  </si>
  <si>
    <t>Here With Me</t>
  </si>
  <si>
    <t>Marshmello,CHVRCHES</t>
  </si>
  <si>
    <t>brostep,dance pop,edm,pop,pop dance,progressive electro house,electropop,indie pop,metropopolis,neo-synthpop,shimmer pop</t>
  </si>
  <si>
    <t>Jungle</t>
  </si>
  <si>
    <t>X Ambassadors,Jamie N Commons</t>
  </si>
  <si>
    <t>modern alternative rock,modern rock,pop,pop rap,pop rock,rock,stomp pop,modern blues rock</t>
  </si>
  <si>
    <t>Rush Over Me</t>
  </si>
  <si>
    <t>Seven Lions,ILLENIUM,Said The Sky,HALIENE</t>
  </si>
  <si>
    <t>dubstep,edm,electro house,future bass,melodic dubstep,pop dance,pop edm,progressive trance,pop,tropical house,electropop</t>
  </si>
  <si>
    <t>Feel Good (feat. Daya)</t>
  </si>
  <si>
    <t>Gryffin,ILLENIUM,Daya</t>
  </si>
  <si>
    <t>dance pop,edm,pop,pop dance,tropical house,melodic dubstep,alt z,electropop,post-teen pop</t>
  </si>
  <si>
    <t>Where The Wild Things Are</t>
  </si>
  <si>
    <t>Zeds Dead,ILLENIUM</t>
  </si>
  <si>
    <t>brostep,canadian electronic,dubstep,edm,electro house,electronic trap,progressive electro house,vapor twitch,melodic dubstep,pop,pop dance,tropical house</t>
  </si>
  <si>
    <t>Crawl Outta Love</t>
  </si>
  <si>
    <t>Leaving</t>
  </si>
  <si>
    <t>Silence - Illenium Remix</t>
  </si>
  <si>
    <t>Marshmello,Khalid,ILLENIUM</t>
  </si>
  <si>
    <t>brostep,dance pop,edm,pop,pop dance,progressive electro house,pop r&amp;b,melodic dubstep,tropical house</t>
  </si>
  <si>
    <t>Don't Give up on Me</t>
  </si>
  <si>
    <t>ILLENIUM,Kill The Noise,Mako</t>
  </si>
  <si>
    <t>edm,melodic dubstep,pop,pop dance,tropical house,brostep,dubstep,electro house,electronic trap,fidget house,electropop,indie poptimism,pop edm</t>
  </si>
  <si>
    <t>Sound of Where'd U Go</t>
  </si>
  <si>
    <t>ILLENIUM,Said The Sky,1788-L,Kerli</t>
  </si>
  <si>
    <t>edm,melodic dubstep,pop,pop dance,tropical house,electropop,future bass,pop edm,dark clubbing,electro house,candy pop,dark pop,estonian pop,indie poptimism,metropopolis</t>
  </si>
  <si>
    <t>Without Me - ILLENIUM Remix</t>
  </si>
  <si>
    <t>Halsey,ILLENIUM</t>
  </si>
  <si>
    <t>dance pop,electropop,etherpop,indie poptimism,pop,edm,melodic dubstep,pop dance,tropical house</t>
  </si>
  <si>
    <t>Pray (feat. Kameron Alexander)</t>
  </si>
  <si>
    <t>I'll Be Your Reason</t>
  </si>
  <si>
    <t>Only One</t>
  </si>
  <si>
    <t>ILLENIUM,Nina Sung</t>
  </si>
  <si>
    <t>Spirals</t>
  </si>
  <si>
    <t>ILLENIUM,Sound Remedy,Dana Salah</t>
  </si>
  <si>
    <t>edm,melodic dubstep,pop,pop dance,tropical house,chillstep,future bass,pop edm,vapor twitch,palestinian alternative</t>
  </si>
  <si>
    <t>ILLENIUM,SKYLR</t>
  </si>
  <si>
    <t>It’s All on U</t>
  </si>
  <si>
    <t>Fortress</t>
  </si>
  <si>
    <t>ILLENIUM,Joni Fatora</t>
  </si>
  <si>
    <t>ILLENIUM,Quinn XCII</t>
  </si>
  <si>
    <t>edm,melodic dubstep,pop,pop dance,tropical house,electropop,indie pop rap,pop rap</t>
  </si>
  <si>
    <t>Sleepwalker</t>
  </si>
  <si>
    <t>Reverie</t>
  </si>
  <si>
    <t>ILLENIUM,Dana Salah</t>
  </si>
  <si>
    <t>edm,melodic dubstep,pop,pop dance,tropical house,palestinian alternative</t>
  </si>
  <si>
    <t>ILLENIUM,Ember Island</t>
  </si>
  <si>
    <t>edm,melodic dubstep,pop,pop dance,tropical house,swedish electropop</t>
  </si>
  <si>
    <t>Beautiful Creatures (feat. MAX)</t>
  </si>
  <si>
    <t>ILLENIUM,MAX</t>
  </si>
  <si>
    <t>edm,melodic dubstep,pop,pop dance,tropical house,dance pop,electropop,post-teen pop,viral pop</t>
  </si>
  <si>
    <t>Feel Good</t>
  </si>
  <si>
    <t>ILLENIUM,Gryffin,Daya</t>
  </si>
  <si>
    <t>edm,melodic dubstep,pop,pop dance,tropical house,dance pop,alt z,electropop,post-teen pop</t>
  </si>
  <si>
    <t>Taking Me Higher</t>
  </si>
  <si>
    <t>Lost</t>
  </si>
  <si>
    <t>ILLENIUM,Emilie Brandt</t>
  </si>
  <si>
    <t>edm,melodic dubstep,pop,pop dance,tropical house,indie electropop</t>
  </si>
  <si>
    <t>Sound of Walking Away</t>
  </si>
  <si>
    <t>ILLENIUM,Kerli</t>
  </si>
  <si>
    <t>edm,melodic dubstep,pop,pop dance,tropical house,candy pop,dark pop,electropop,estonian pop,indie poptimism,metropopolis</t>
  </si>
  <si>
    <t>Fractures</t>
  </si>
  <si>
    <t>ILLENIUM,Nevve</t>
  </si>
  <si>
    <t>Where'd U Go</t>
  </si>
  <si>
    <t>Free Fall</t>
  </si>
  <si>
    <t>ILLENIUM,RUNN</t>
  </si>
  <si>
    <t>Needed You</t>
  </si>
  <si>
    <t>ILLENIUM,Dia Frampton</t>
  </si>
  <si>
    <t>S.L.U.T.</t>
  </si>
  <si>
    <t>Bea Miller</t>
  </si>
  <si>
    <t>alt z,dance pop,electropop,indie poptimism,modern rock,pop,post-teen pop,talent show</t>
  </si>
  <si>
    <t>I Wanna Know (feat. Bea Miller)</t>
  </si>
  <si>
    <t>NOTD,Bea Miller</t>
  </si>
  <si>
    <t>alt z,dance pop,edm,electro house,electropop,pop,pop dance,tropical house,indie poptimism,modern rock,post-teen pop,talent show</t>
  </si>
  <si>
    <t>Pity Party</t>
  </si>
  <si>
    <t>Dollhouse</t>
  </si>
  <si>
    <t>goodbye</t>
  </si>
  <si>
    <t>bitches broken hearts</t>
  </si>
  <si>
    <t>COPYCAT</t>
  </si>
  <si>
    <t>idontwannabeyouanymore</t>
  </si>
  <si>
    <t>ocean eyes</t>
  </si>
  <si>
    <t>lovely (with Khalid)</t>
  </si>
  <si>
    <t>Billie Eilish,Khalid</t>
  </si>
  <si>
    <t>art pop,electropop,pop,pop r&amp;b</t>
  </si>
  <si>
    <t>listen before i go</t>
  </si>
  <si>
    <t>i love you</t>
  </si>
  <si>
    <t>ilomilo</t>
  </si>
  <si>
    <t>when the party's over</t>
  </si>
  <si>
    <t>bury a friend</t>
  </si>
  <si>
    <t>wish you were gay</t>
  </si>
  <si>
    <t>all the good girls go to hell</t>
  </si>
  <si>
    <t>bad guy</t>
  </si>
  <si>
    <t>xanny</t>
  </si>
  <si>
    <t>you should see me in a crown</t>
  </si>
  <si>
    <t>Of The Night</t>
  </si>
  <si>
    <t>World Gone Mad</t>
  </si>
  <si>
    <t>Grip</t>
  </si>
  <si>
    <t>Seeb,Bastille</t>
  </si>
  <si>
    <t>dance pop,edm,electro house,norwegian pop,pop,pop dance,pop edm,tropical house,metropopolis,modern rock,pop rock</t>
  </si>
  <si>
    <t>Happier</t>
  </si>
  <si>
    <t>Marshmello,Bastille</t>
  </si>
  <si>
    <t>brostep,dance pop,edm,pop,pop dance,progressive electro house,metropopolis,modern rock,pop rock</t>
  </si>
  <si>
    <t>OK</t>
  </si>
  <si>
    <t>8 Graves,AViVA</t>
  </si>
  <si>
    <t>alt z,rebel blues,vapor pop</t>
  </si>
  <si>
    <t>Burning Alive</t>
  </si>
  <si>
    <t>Hang</t>
  </si>
  <si>
    <t>Bury Me Low</t>
  </si>
  <si>
    <t>Yoe Mase</t>
  </si>
  <si>
    <t>chillstep,future bass,indie poptimism,pop edm</t>
  </si>
  <si>
    <t>Edge of Love (feat. Nevve)</t>
  </si>
  <si>
    <t>Fabian Mazur,Nevve</t>
  </si>
  <si>
    <t>bass trap,danish electronic,electronic trap,traprun</t>
  </si>
  <si>
    <t>Floating (feat. Khalid) [Ekali Remix]</t>
  </si>
  <si>
    <t>Alina Baraz,Ekali,Khalid</t>
  </si>
  <si>
    <t>alternative r&amp;b,electropop,etherpop,pop,r&amp;b,canadian electronic,edm,electro house,electronic trap,future bass,indie electropop,melodic dubstep,pop dance,pop edm,vapor twitch,pop r&amp;b</t>
  </si>
  <si>
    <t>Same Page (feat. Brooke Daye)</t>
  </si>
  <si>
    <t>Vincent,yetep,Brooke Daye</t>
  </si>
  <si>
    <t>electronic trap,electropop,future bass,melodic dubstep,pop edm,vapor twitch,pop dance</t>
  </si>
  <si>
    <t>Kaivon</t>
  </si>
  <si>
    <t>Lost (feat. Chelsea Jade) [CRAY Remix]</t>
  </si>
  <si>
    <t>Jai Wolf,CRAY,Chelsea Jade</t>
  </si>
  <si>
    <t>edm,electropop,future bass,indie poptimism,pop dance,pop edm,tropical house,vapor twitch,la pop,indie electropop,metropopolis,nz pop,vapor soul</t>
  </si>
  <si>
    <t>Talk Again</t>
  </si>
  <si>
    <t>TELYKast</t>
  </si>
  <si>
    <t>seams</t>
  </si>
  <si>
    <t>SEAMS</t>
  </si>
  <si>
    <t>Outta My Head (with John Mayer)</t>
  </si>
  <si>
    <t>Khalid,John Mayer</t>
  </si>
  <si>
    <t>pop,pop r&amp;b,neo mellow,singer-songwriter</t>
  </si>
  <si>
    <t>Arc North,Laura Brehm,Rival</t>
  </si>
  <si>
    <t>gaming edm,slap house,chillstep,pop edm</t>
  </si>
  <si>
    <t>Obsessed</t>
  </si>
  <si>
    <t>Maggie Lindemann</t>
  </si>
  <si>
    <t>alt z,dance pop,dark pop,pop,post-teen pop</t>
  </si>
  <si>
    <t>Pretty Girl - Cheat Codes X CADE Remix</t>
  </si>
  <si>
    <t>Maggie Lindemann,Cheat Codes,CADE</t>
  </si>
  <si>
    <t>alt z,dance pop,dark pop,pop,post-teen pop,edm,electro house,electropop,pop dance,tropical house,pop edm</t>
  </si>
  <si>
    <t>Better Off</t>
  </si>
  <si>
    <t>Emily Vaughn</t>
  </si>
  <si>
    <t>Gasoline</t>
  </si>
  <si>
    <t>New Americana</t>
  </si>
  <si>
    <t>I'm Ready</t>
  </si>
  <si>
    <t>Let the Games Begin</t>
  </si>
  <si>
    <t>Pretender (feat. Lil Yachty &amp; AJR)</t>
  </si>
  <si>
    <t>Steve Aoki,Lil Yachty,AJR</t>
  </si>
  <si>
    <t>dance pop,edm,electro house,pop dance,pop rap,tropical house,atl hip hop,hip hop,melodic rap,rap,trap,modern rock</t>
  </si>
  <si>
    <t>Sober Up (feat. Rivers Cuomo)</t>
  </si>
  <si>
    <t>AJR,Rivers Cuomo</t>
  </si>
  <si>
    <t>modern rock,alternative rock</t>
  </si>
  <si>
    <t>Weak</t>
  </si>
  <si>
    <t>Burn the House Down</t>
  </si>
  <si>
    <t>100 Bad Days</t>
  </si>
  <si>
    <t>The Entertainment's Here</t>
  </si>
  <si>
    <t>Karma</t>
  </si>
  <si>
    <t>Beats</t>
  </si>
  <si>
    <t>Wow, I'm Not Crazy</t>
  </si>
  <si>
    <t>Finale (Can't Wait To See What You Do Next)</t>
  </si>
  <si>
    <t>The Monster</t>
  </si>
  <si>
    <t>Eminem,Rihanna</t>
  </si>
  <si>
    <t>detroit hip hop,hip hop,rap,barbadian pop,dance pop,pop,urban contemporary</t>
  </si>
  <si>
    <t>River (feat. Ed Sheeran)</t>
  </si>
  <si>
    <t>Eminem,Ed Sheeran</t>
  </si>
  <si>
    <t>detroit hip hop,hip hop,rap,pop,uk pop</t>
  </si>
  <si>
    <t>The Real Slim Shady</t>
  </si>
  <si>
    <t>Lose Yourself - From 8 Mile Soundtrack</t>
  </si>
  <si>
    <t>Venom - Music From The Motion Picture</t>
  </si>
  <si>
    <t>Love The Way You Lie</t>
  </si>
  <si>
    <t>Lucky You (feat. Joyner Lucas)</t>
  </si>
  <si>
    <t>Eminem,Joyner Lucas</t>
  </si>
  <si>
    <t>detroit hip hop,hip hop,rap,boston hip hop,pop rap</t>
  </si>
  <si>
    <t>'Till I Collapse</t>
  </si>
  <si>
    <t>Eminem,Nate Dogg</t>
  </si>
  <si>
    <t>detroit hip hop,hip hop,rap,g funk,gangster rap,pop rap,west coast rap</t>
  </si>
  <si>
    <t>Everything I Need - Film Version</t>
  </si>
  <si>
    <t>Skylar Grey</t>
  </si>
  <si>
    <t>piano rock</t>
  </si>
  <si>
    <t>Everything I Need</t>
  </si>
  <si>
    <t>BLACKOUT</t>
  </si>
  <si>
    <t>HUSHH</t>
  </si>
  <si>
    <t>Rabbit Hole</t>
  </si>
  <si>
    <t>Blame It On The Kids</t>
  </si>
  <si>
    <t>Best of Me</t>
  </si>
  <si>
    <t>Mirrormask feat. Koda &amp; CoMa - Original Mix</t>
  </si>
  <si>
    <t>Dabin</t>
  </si>
  <si>
    <t>Lost (feat. Chelsea Jade)</t>
  </si>
  <si>
    <t>Jai Wolf,Chelsea Jade</t>
  </si>
  <si>
    <t>edm,electropop,future bass,indie poptimism,pop dance,pop edm,tropical house,vapor twitch,indie electropop,metropopolis,nz pop,vapor soul</t>
  </si>
  <si>
    <t>Fiction</t>
  </si>
  <si>
    <t>Him &amp; I (with Halsey)</t>
  </si>
  <si>
    <t>G-Eazy,Halsey</t>
  </si>
  <si>
    <t>indie pop rap,oakland hip hop,pop,pop rap,rap,dance pop,electropop,etherpop,indie poptimism</t>
  </si>
  <si>
    <t>Bad At Love</t>
  </si>
  <si>
    <t>Eastside (with Halsey &amp; Khalid)</t>
  </si>
  <si>
    <t>benny blanco,Halsey,Khalid</t>
  </si>
  <si>
    <t>electropop,pop,pop rap,dance pop,etherpop,indie poptimism,pop r&amp;b</t>
  </si>
  <si>
    <t>Wild Things</t>
  </si>
  <si>
    <t>River Of Tears</t>
  </si>
  <si>
    <t>Zedd,Alessia Cara</t>
  </si>
  <si>
    <t>complextro,dance pop,edm,electro house,electropop,german techno,pop,pop dance,pop rap,tropical house,canadian contemporary r&amp;b,canadian pop,post-teen pop</t>
  </si>
  <si>
    <t>It Won't Kill Ya</t>
  </si>
  <si>
    <t>The Chainsmokers,Louane</t>
  </si>
  <si>
    <t>dance pop,edm,electropop,pop,pop dance,tropical house,francoton,french pop</t>
  </si>
  <si>
    <t>Break Up Every Night</t>
  </si>
  <si>
    <t>Thief</t>
  </si>
  <si>
    <t>Say It - Illenium Remix</t>
  </si>
  <si>
    <t>Flume,Tove Lo,ILLENIUM</t>
  </si>
  <si>
    <t>australian dance,australian electropop,australian indie,downtempo,edm,art pop,dance pop,electropop,metropopolis,pop,swedish electropop,swedish pop,swedish synthpop,melodic dubstep,pop dance,tropical house</t>
  </si>
  <si>
    <t>Say It</t>
  </si>
  <si>
    <t>Flume,Tove Lo</t>
  </si>
  <si>
    <t>australian dance,australian electropop,australian indie,downtempo,edm,art pop,dance pop,electropop,metropopolis,pop,swedish electropop,swedish pop,swedish synthpop</t>
  </si>
  <si>
    <t>You &amp; Me - Flume Remix</t>
  </si>
  <si>
    <t>Disclosure,Eliza Doolittle,Flume</t>
  </si>
  <si>
    <t>edm,house,pop,uk dance,lilith,australian dance,australian electropop,australian indie,downtempo</t>
  </si>
  <si>
    <t>Hurts So Good</t>
  </si>
  <si>
    <t>So Close</t>
  </si>
  <si>
    <t>NOTD,Felix Jaehn,Captain Cuts,Georgia Ku</t>
  </si>
  <si>
    <t>alt z,dance pop,edm,electro house,electropop,pop,pop dance,tropical house,german dance,pop rap,pop edm,uk pop</t>
  </si>
  <si>
    <t>Kind Of Love</t>
  </si>
  <si>
    <t>Rat City,Isak Heim</t>
  </si>
  <si>
    <t>norwegian pop,scandipop</t>
  </si>
  <si>
    <t>Higher Ground (feat. Naomi Wild)</t>
  </si>
  <si>
    <t>ODESZA,Naomi Wild</t>
  </si>
  <si>
    <t>chillwave,ninja,indie electropop</t>
  </si>
  <si>
    <t>Something About You</t>
  </si>
  <si>
    <t>Hayden James</t>
  </si>
  <si>
    <t>aussietronica,edm,gauze pop,house,pop dance,tropical house</t>
  </si>
  <si>
    <t>One Thing</t>
  </si>
  <si>
    <t>lift me from the ground</t>
  </si>
  <si>
    <t>San Holo,Sofie Winterson</t>
  </si>
  <si>
    <t>We Rise</t>
  </si>
  <si>
    <t>In Time (feat. Belle Doron)</t>
  </si>
  <si>
    <t>Many Words</t>
  </si>
  <si>
    <t>Kintsugi</t>
  </si>
  <si>
    <t>Lines of the Broken</t>
  </si>
  <si>
    <t>DROELOE,San Holo,CUT_</t>
  </si>
  <si>
    <t>bass trap,edm,electronic trap,electropop,future bass,pop edm,vapor soul,vapor twitch,pop dance,indie electropop</t>
  </si>
  <si>
    <t>BACKBONE</t>
  </si>
  <si>
    <t>DROELOE,Nevve</t>
  </si>
  <si>
    <t>GRRRLS</t>
  </si>
  <si>
    <t>My Friends Are Robots - Good Bear Remix</t>
  </si>
  <si>
    <t>Arrested Youth,Good Bear</t>
  </si>
  <si>
    <t>Never Gonna - Radio Edit</t>
  </si>
  <si>
    <t>Meant To Be</t>
  </si>
  <si>
    <t>Arc North,Krista Marina</t>
  </si>
  <si>
    <t>gaming edm,slap house,oc indie</t>
  </si>
  <si>
    <t>Ivory Tower</t>
  </si>
  <si>
    <t>Eastern Odyssey</t>
  </si>
  <si>
    <t>Renaissance</t>
  </si>
  <si>
    <t>Setting Sail</t>
  </si>
  <si>
    <t>Right of Passage</t>
  </si>
  <si>
    <t>154</t>
  </si>
  <si>
    <t>Youth</t>
  </si>
  <si>
    <t>Dabin,Yoe Mase</t>
  </si>
  <si>
    <t>canadian electronic,edm,electropop,future bass,melodic dubstep,pop dance,pop edm,chillstep,indie poptimism</t>
  </si>
  <si>
    <t>Part-Time Lover</t>
  </si>
  <si>
    <t>Dabin,Claire Ridgely</t>
  </si>
  <si>
    <t>canadian electronic,edm,electropop,future bass,melodic dubstep,pop dance,pop edm,montreal indie</t>
  </si>
  <si>
    <t>Rings &amp; Roses</t>
  </si>
  <si>
    <t>Dabin,Conor Byrne</t>
  </si>
  <si>
    <t>Hippie Sabotage</t>
  </si>
  <si>
    <t>edm,electronic trap</t>
  </si>
  <si>
    <t>Running Miles</t>
  </si>
  <si>
    <t>Options</t>
  </si>
  <si>
    <t>Different</t>
  </si>
  <si>
    <t>Stay High - Habits Remix</t>
  </si>
  <si>
    <t>Tove Lo,Hippie Sabotage</t>
  </si>
  <si>
    <t>art pop,dance pop,electropop,metropopolis,pop,swedish electropop,swedish pop,swedish synthpop,edm,electronic trap</t>
  </si>
  <si>
    <t>Your Soul</t>
  </si>
  <si>
    <t>Falls (feat. Sasha Alex Sloan)</t>
  </si>
  <si>
    <t>ODESZA,Sasha Alex Sloan</t>
  </si>
  <si>
    <t>chillwave,ninja,alt z,electropop,pop</t>
  </si>
  <si>
    <t>How Did I Get Here</t>
  </si>
  <si>
    <t>Something About You - ODESZA Remix</t>
  </si>
  <si>
    <t>Hayden James,ODESZA</t>
  </si>
  <si>
    <t>aussietronica,edm,gauze pop,house,pop dance,tropical house,chillwave,ninja</t>
  </si>
  <si>
    <t>Sun Models (feat. Madelyn Grant)</t>
  </si>
  <si>
    <t>ODESZA,Madelyn Grant</t>
  </si>
  <si>
    <t>Say My Name (feat. Zyra)</t>
  </si>
  <si>
    <t>ODESZA,Zyra</t>
  </si>
  <si>
    <t>Should've Started</t>
  </si>
  <si>
    <t>Chase Pop</t>
  </si>
  <si>
    <t>Mickey Valen,Feli Ferraro</t>
  </si>
  <si>
    <t>Move That Body</t>
  </si>
  <si>
    <t>Mickey Valen,King Deco</t>
  </si>
  <si>
    <t>alt z,bass trap,pop edm,traprun,indie electropop,vapor pop</t>
  </si>
  <si>
    <t>The Fall (feat. Mia Vaile)</t>
  </si>
  <si>
    <t>Not Your Dope,Mia Vaile</t>
  </si>
  <si>
    <t>5 AM</t>
  </si>
  <si>
    <t>Not Your Dope</t>
  </si>
  <si>
    <t>Lights Down Low - Not Your Dope Remix</t>
  </si>
  <si>
    <t>MAX,Not Your Dope</t>
  </si>
  <si>
    <t>dance pop,electropop,pop,post-teen pop,viral pop,bass trap,future bass,pop edm,traprun</t>
  </si>
  <si>
    <t>Dawn</t>
  </si>
  <si>
    <t>Bring Back the Summer (feat. OLY) - Not Your Dope Remix</t>
  </si>
  <si>
    <t>Rain Man,Oly,Not Your Dope</t>
  </si>
  <si>
    <t>pop edm,bass trap,future bass,traprun</t>
  </si>
  <si>
    <t>Indestructible (feat. MAX)</t>
  </si>
  <si>
    <t>Not Your Dope,MAX</t>
  </si>
  <si>
    <t>bass trap,future bass,pop edm,traprun,dance pop,electropop,pop,post-teen pop,viral pop</t>
  </si>
  <si>
    <t>Leave Me</t>
  </si>
  <si>
    <t>Nothing Lasts (feat. Pauline Herr)</t>
  </si>
  <si>
    <t>Sandpaper</t>
  </si>
  <si>
    <t>Taska Black,Ayelle</t>
  </si>
  <si>
    <t>bass trap,edm,electronic trap,electropop,future bass,indie electropop,pop edm,vapor twitch,alternative r&amp;b,chill r&amp;b,vapor soul</t>
  </si>
  <si>
    <t>Dreaming</t>
  </si>
  <si>
    <t>Losing Our Minds</t>
  </si>
  <si>
    <t>Overflow (feat. Helen Tess)</t>
  </si>
  <si>
    <t>Kaskade - Disarm You (Illenium Remix)</t>
  </si>
  <si>
    <t>Illenium</t>
  </si>
  <si>
    <t>Jawsh 685</t>
  </si>
  <si>
    <t>Jason Derulo</t>
  </si>
  <si>
    <t>Ty Dolla $ign</t>
  </si>
  <si>
    <t>Marshmello</t>
  </si>
  <si>
    <t>Khalid</t>
  </si>
  <si>
    <t>Alok</t>
  </si>
  <si>
    <t>Zeeba</t>
  </si>
  <si>
    <t>Bruno Martini</t>
  </si>
  <si>
    <t>MEDUZA</t>
  </si>
  <si>
    <t>Goodboys</t>
  </si>
  <si>
    <t>Afrojack</t>
  </si>
  <si>
    <t>The Stickmen Project</t>
  </si>
  <si>
    <t>Nathan Dawe</t>
  </si>
  <si>
    <t>Ella Henderson</t>
  </si>
  <si>
    <t>James Hype</t>
  </si>
  <si>
    <t>Miggy Dela Rosa</t>
  </si>
  <si>
    <t>Culture Code</t>
  </si>
  <si>
    <t>Red Comet</t>
  </si>
  <si>
    <t>GUMMiBEAR</t>
  </si>
  <si>
    <t>Seeb</t>
  </si>
  <si>
    <t>Eddie Benjamin</t>
  </si>
  <si>
    <t>Fly By Midnight</t>
  </si>
  <si>
    <t>Lost Kings</t>
  </si>
  <si>
    <t>Charlie Houston</t>
  </si>
  <si>
    <t>Michael Calfan</t>
  </si>
  <si>
    <t>Felix Jaehn</t>
  </si>
  <si>
    <t>LUM!X</t>
  </si>
  <si>
    <t>PIA MARIA</t>
  </si>
  <si>
    <t>Arem Ozguc</t>
  </si>
  <si>
    <t>Arman Aydin</t>
  </si>
  <si>
    <t>Jordan Rys</t>
  </si>
  <si>
    <t>Imanbek</t>
  </si>
  <si>
    <t>BYOR</t>
  </si>
  <si>
    <t>Sick Individuals</t>
  </si>
  <si>
    <t>MPH</t>
  </si>
  <si>
    <t>MC4D</t>
  </si>
  <si>
    <t>Charlie Miller</t>
  </si>
  <si>
    <t>Lyse</t>
  </si>
  <si>
    <t>Dawty Music</t>
  </si>
  <si>
    <t>Reik</t>
  </si>
  <si>
    <t>Rocco Hunt</t>
  </si>
  <si>
    <t>Ana Mena</t>
  </si>
  <si>
    <t>J Balvin</t>
  </si>
  <si>
    <t>Tyga</t>
  </si>
  <si>
    <t>Master KG</t>
  </si>
  <si>
    <t>Nomcebo Zikode</t>
  </si>
  <si>
    <t>Sam Feldt</t>
  </si>
  <si>
    <t>Kimberly Anne</t>
  </si>
  <si>
    <t>Kygo</t>
  </si>
  <si>
    <t>Ida Corr</t>
  </si>
  <si>
    <t>Creaky Jackals</t>
  </si>
  <si>
    <t>Calin Cave</t>
  </si>
  <si>
    <t>Myon</t>
  </si>
  <si>
    <t>BEAUZ</t>
  </si>
  <si>
    <t>Jenn Blosil</t>
  </si>
  <si>
    <t>Blanke</t>
  </si>
  <si>
    <t>Luma</t>
  </si>
  <si>
    <t>Xyan</t>
  </si>
  <si>
    <t>Max Landry</t>
  </si>
  <si>
    <t>Manila Killa</t>
  </si>
  <si>
    <t>GiGi Grombacher</t>
  </si>
  <si>
    <t>Natalie Taylor</t>
  </si>
  <si>
    <t>Last Heroes</t>
  </si>
  <si>
    <t>Mickey Valen</t>
  </si>
  <si>
    <t>Joey Myron</t>
  </si>
  <si>
    <t>Liza</t>
  </si>
  <si>
    <t>Zoë Moss</t>
  </si>
  <si>
    <t>Röyksopp</t>
  </si>
  <si>
    <t>Tenka</t>
  </si>
  <si>
    <t>Drama B</t>
  </si>
  <si>
    <t>Shwayze</t>
  </si>
  <si>
    <t>Garrett Nash</t>
  </si>
  <si>
    <t>Travie McCoy</t>
  </si>
  <si>
    <t>Awnix &amp; Toobaï</t>
  </si>
  <si>
    <t>Faydee</t>
  </si>
  <si>
    <t>Young Thug</t>
  </si>
  <si>
    <t>Robin Schulz</t>
  </si>
  <si>
    <t>Alle Farben</t>
  </si>
  <si>
    <t>Israel Kamakawiwo'ole</t>
  </si>
  <si>
    <t>Doja Cat</t>
  </si>
  <si>
    <t>SZA</t>
  </si>
  <si>
    <t>Dimitri Vegas &amp; Like Mike</t>
  </si>
  <si>
    <t>Regard</t>
  </si>
  <si>
    <t>Dimitri Vegas</t>
  </si>
  <si>
    <t>The Kid LAROI</t>
  </si>
  <si>
    <t>Justin Bieber</t>
  </si>
  <si>
    <t>Tinlicker</t>
  </si>
  <si>
    <t>Helsloot</t>
  </si>
  <si>
    <t>NGHTMRE</t>
  </si>
  <si>
    <t>Subtronics</t>
  </si>
  <si>
    <t>Boogie T</t>
  </si>
  <si>
    <t>Gryffin</t>
  </si>
  <si>
    <t>Aloe Blacc</t>
  </si>
  <si>
    <t>Stanaj</t>
  </si>
  <si>
    <t>ZOHARA</t>
  </si>
  <si>
    <t>MARINA</t>
  </si>
  <si>
    <t>Model Child</t>
  </si>
  <si>
    <t>Ivy Adara</t>
  </si>
  <si>
    <t>HANA</t>
  </si>
  <si>
    <t>Seven Lions</t>
  </si>
  <si>
    <t>Noah Kahan</t>
  </si>
  <si>
    <t>Excision</t>
  </si>
  <si>
    <t>HALIENE</t>
  </si>
  <si>
    <t>Space Laces</t>
  </si>
  <si>
    <t>Datsik</t>
  </si>
  <si>
    <t>1000volts</t>
  </si>
  <si>
    <t>Redman</t>
  </si>
  <si>
    <t>Blonde Maze</t>
  </si>
  <si>
    <t>Ephixa</t>
  </si>
  <si>
    <t>Black Coast</t>
  </si>
  <si>
    <t>REMMI</t>
  </si>
  <si>
    <t>Mokita</t>
  </si>
  <si>
    <t>Kodak Black</t>
  </si>
  <si>
    <t>Offset</t>
  </si>
  <si>
    <t>Travis Scott</t>
  </si>
  <si>
    <t>Gucci Mane</t>
  </si>
  <si>
    <t>A Boogie Wit da Hoodie</t>
  </si>
  <si>
    <t>Ryan Riback</t>
  </si>
  <si>
    <t>Dwele</t>
  </si>
  <si>
    <t>JAY-Z</t>
  </si>
  <si>
    <t>Estelle</t>
  </si>
  <si>
    <t>Spiritbox</t>
  </si>
  <si>
    <t>Tungevaag</t>
  </si>
  <si>
    <t>Raaban</t>
  </si>
  <si>
    <t>Emila</t>
  </si>
  <si>
    <t>Kid Ink</t>
  </si>
  <si>
    <t>Chris Lorenzo</t>
  </si>
  <si>
    <t>High Jinx</t>
  </si>
  <si>
    <t>Alesso</t>
  </si>
  <si>
    <t>Schillist</t>
  </si>
  <si>
    <t>Majestic</t>
  </si>
  <si>
    <t>Boney M.</t>
  </si>
  <si>
    <t>Lucas &amp; Steve</t>
  </si>
  <si>
    <t>Joel Corry</t>
  </si>
  <si>
    <t>Jax Jones</t>
  </si>
  <si>
    <t>Charli XCX</t>
  </si>
  <si>
    <t>Hozier</t>
  </si>
  <si>
    <t>Elton John</t>
  </si>
  <si>
    <t>PNAU</t>
  </si>
  <si>
    <t>DubVision</t>
  </si>
  <si>
    <t>Purple Disco Machine</t>
  </si>
  <si>
    <t>Eyelar</t>
  </si>
  <si>
    <t>Kwabs</t>
  </si>
  <si>
    <t>ACRAZE</t>
  </si>
  <si>
    <t>Cherish</t>
  </si>
  <si>
    <t>Gabry Ponte</t>
  </si>
  <si>
    <t>Prezioso</t>
  </si>
  <si>
    <t>Belters Only</t>
  </si>
  <si>
    <t>Jazzy</t>
  </si>
  <si>
    <t>Becky Hill</t>
  </si>
  <si>
    <t>Topic</t>
  </si>
  <si>
    <t>Benjamin Ingrosso</t>
  </si>
  <si>
    <t>Diplo</t>
  </si>
  <si>
    <t>Miguel</t>
  </si>
  <si>
    <t>Bryson Tiller</t>
  </si>
  <si>
    <t>Luude</t>
  </si>
  <si>
    <t>Colin Hay</t>
  </si>
  <si>
    <t>Bettye LaVette</t>
  </si>
  <si>
    <t>Lost Frequencies</t>
  </si>
  <si>
    <t>Calum Scott</t>
  </si>
  <si>
    <t>MNEK</t>
  </si>
  <si>
    <t>MAY-A</t>
  </si>
  <si>
    <t>Rina Sawayama</t>
  </si>
  <si>
    <t>AronChupa</t>
  </si>
  <si>
    <t>Little Sis Nora</t>
  </si>
  <si>
    <t>Crystal Skies</t>
  </si>
  <si>
    <t>Derek Joel</t>
  </si>
  <si>
    <t>Satellite Empire</t>
  </si>
  <si>
    <t>Ben Walter</t>
  </si>
  <si>
    <t>Gloria Kim</t>
  </si>
  <si>
    <t>Simian</t>
  </si>
  <si>
    <t>MOGUAI</t>
  </si>
  <si>
    <t>Felix Snow</t>
  </si>
  <si>
    <t>CAZZETTE</t>
  </si>
  <si>
    <t>The High</t>
  </si>
  <si>
    <t>Tinie Tempah</t>
  </si>
  <si>
    <t>Neoni</t>
  </si>
  <si>
    <t>070 Shake</t>
  </si>
  <si>
    <t>Seinabo Sey</t>
  </si>
  <si>
    <t>A$AP Rocky</t>
  </si>
  <si>
    <t>Mapei</t>
  </si>
  <si>
    <t>Connie Constance</t>
  </si>
  <si>
    <t>BVRNOUT</t>
  </si>
  <si>
    <t>Bipolar Sunshine</t>
  </si>
  <si>
    <t>Roxette</t>
  </si>
  <si>
    <t>Said The Sky</t>
  </si>
  <si>
    <t>Queen D</t>
  </si>
  <si>
    <t>P!nk</t>
  </si>
  <si>
    <t>Öwnboss</t>
  </si>
  <si>
    <t>Sevek</t>
  </si>
  <si>
    <t>Billen Ted</t>
  </si>
  <si>
    <t>JC Stewart</t>
  </si>
  <si>
    <t>Timmy Trumpet</t>
  </si>
  <si>
    <t>Edward Maya</t>
  </si>
  <si>
    <t>graves</t>
  </si>
  <si>
    <t>Tim Gunter</t>
  </si>
  <si>
    <t>LocateEmilio</t>
  </si>
  <si>
    <t>Karra</t>
  </si>
  <si>
    <t>Caroline Polachek</t>
  </si>
  <si>
    <t>Klassic</t>
  </si>
  <si>
    <t>KYANU</t>
  </si>
  <si>
    <t>Navos</t>
  </si>
  <si>
    <t>YOU</t>
  </si>
  <si>
    <t>Just A Gent</t>
  </si>
  <si>
    <t>Sammi Constantine</t>
  </si>
  <si>
    <t>LP Giobbi</t>
  </si>
  <si>
    <t>Cuebrick</t>
  </si>
  <si>
    <t>Rigby</t>
  </si>
  <si>
    <t>Layne</t>
  </si>
  <si>
    <t>Soulji</t>
  </si>
  <si>
    <t>Tylor Maurer</t>
  </si>
  <si>
    <t>Khamsin</t>
  </si>
  <si>
    <t>Kidswaste</t>
  </si>
  <si>
    <t>pilton</t>
  </si>
  <si>
    <t>Minnesota</t>
  </si>
  <si>
    <t>Malvae</t>
  </si>
  <si>
    <t>Esther Veen</t>
  </si>
  <si>
    <t>Hahlweg</t>
  </si>
  <si>
    <t>Koste</t>
  </si>
  <si>
    <t>Oliver Heldens</t>
  </si>
  <si>
    <t>Natalie La Rose</t>
  </si>
  <si>
    <t>Snugs</t>
  </si>
  <si>
    <t>Kvmo</t>
  </si>
  <si>
    <t>Kareen Lomax</t>
  </si>
  <si>
    <t>Prudence</t>
  </si>
  <si>
    <t>Morgan Phalen</t>
  </si>
  <si>
    <t>Sébastien Tellier</t>
  </si>
  <si>
    <t>Cautious Clay</t>
  </si>
  <si>
    <t>Romuald</t>
  </si>
  <si>
    <t>Timbaland</t>
  </si>
  <si>
    <t>Justin Timberlake</t>
  </si>
  <si>
    <t>Riton</t>
  </si>
  <si>
    <t>Vula</t>
  </si>
  <si>
    <t>Soshy</t>
  </si>
  <si>
    <t>The Knocks</t>
  </si>
  <si>
    <t>K-391</t>
  </si>
  <si>
    <t>RØRY</t>
  </si>
  <si>
    <t>Lucifer</t>
  </si>
  <si>
    <t>Tchami</t>
  </si>
  <si>
    <t>Shaun Frank</t>
  </si>
  <si>
    <t>Delaney Jane</t>
  </si>
  <si>
    <t>Kiso</t>
  </si>
  <si>
    <t>Nicky Jam</t>
  </si>
  <si>
    <t>Snoop Dogg</t>
  </si>
  <si>
    <t>M.I.M.E</t>
  </si>
  <si>
    <t>Adam Pearce</t>
  </si>
  <si>
    <t>XELA</t>
  </si>
  <si>
    <t>Broiler</t>
  </si>
  <si>
    <t>KIDDO</t>
  </si>
  <si>
    <t>Iris Penning</t>
  </si>
  <si>
    <t>MELVV</t>
  </si>
  <si>
    <t>Noah Cyrus</t>
  </si>
  <si>
    <t>Labrinth</t>
  </si>
  <si>
    <t>Dr. Dre</t>
  </si>
  <si>
    <t>DJ Khaled</t>
  </si>
  <si>
    <t>Besomage</t>
  </si>
  <si>
    <t>BRAN</t>
  </si>
  <si>
    <t>Pascal &amp; Pearce</t>
  </si>
  <si>
    <t>Jethro Tait</t>
  </si>
  <si>
    <t>Stonefox</t>
  </si>
  <si>
    <t>Sublab</t>
  </si>
  <si>
    <t>ROOKIES</t>
  </si>
  <si>
    <t>R7CKY</t>
  </si>
  <si>
    <t>Skyelle</t>
  </si>
  <si>
    <t>ELIZZA</t>
  </si>
  <si>
    <t>LöKii</t>
  </si>
  <si>
    <t>Highlnd</t>
  </si>
  <si>
    <t>Alex Venegas</t>
  </si>
  <si>
    <t>Jelle van Dael</t>
  </si>
  <si>
    <t>Shockwave</t>
  </si>
  <si>
    <t>Ezenia</t>
  </si>
  <si>
    <t>Eliminate</t>
  </si>
  <si>
    <t>Gotye</t>
  </si>
  <si>
    <t>Kimbra</t>
  </si>
  <si>
    <t>Dido</t>
  </si>
  <si>
    <t>Florence Welch</t>
  </si>
  <si>
    <t>BIM</t>
  </si>
  <si>
    <t>Chet Faker</t>
  </si>
  <si>
    <t>Andrew Wyatt</t>
  </si>
  <si>
    <t>Kat Nestel</t>
  </si>
  <si>
    <t>Hamza</t>
  </si>
  <si>
    <t>Prblm Chld</t>
  </si>
  <si>
    <t>Jess Coppens</t>
  </si>
  <si>
    <t>Martin Garrix</t>
  </si>
  <si>
    <t>Omar LinX</t>
  </si>
  <si>
    <t>Zeds Dead</t>
  </si>
  <si>
    <t>Biga*Ranx</t>
  </si>
  <si>
    <t>Biffty</t>
  </si>
  <si>
    <t>Aurora B.Polaris</t>
  </si>
  <si>
    <t>LXST ANGELES</t>
  </si>
  <si>
    <t>LEVR</t>
  </si>
  <si>
    <t>Akacia</t>
  </si>
  <si>
    <t>GHOST DATA</t>
  </si>
  <si>
    <t>Sound Surfer</t>
  </si>
  <si>
    <t>Verso</t>
  </si>
  <si>
    <t>Nilka</t>
  </si>
  <si>
    <t>Sweater Beats</t>
  </si>
  <si>
    <t>Icona Pop</t>
  </si>
  <si>
    <t>SWACQ</t>
  </si>
  <si>
    <t>Evan Gartner</t>
  </si>
  <si>
    <t>Charli Brix</t>
  </si>
  <si>
    <t>Epais</t>
  </si>
  <si>
    <t>SAMAHTA</t>
  </si>
  <si>
    <t>Hail Luna</t>
  </si>
  <si>
    <t>Vice</t>
  </si>
  <si>
    <t>Skizzy Mars</t>
  </si>
  <si>
    <t>Incubus</t>
  </si>
  <si>
    <t>Portugal. The Man</t>
  </si>
  <si>
    <t>Steve Aoki</t>
  </si>
  <si>
    <t>Miss Palmer</t>
  </si>
  <si>
    <t>R3HAB</t>
  </si>
  <si>
    <t>Frank Walker</t>
  </si>
  <si>
    <t>Arno Faraji</t>
  </si>
  <si>
    <t>Never Sleeps</t>
  </si>
  <si>
    <t>Chico Rose</t>
  </si>
  <si>
    <t>Dion Timmer</t>
  </si>
  <si>
    <t>Donna Tella</t>
  </si>
  <si>
    <t>Jonas Blue</t>
  </si>
  <si>
    <t>Why Don't We</t>
  </si>
  <si>
    <t>Jacob Mühlrad</t>
  </si>
  <si>
    <t>WATTS</t>
  </si>
  <si>
    <t>Paul Rey</t>
  </si>
  <si>
    <t>Flowdan</t>
  </si>
  <si>
    <t>Jason Ross</t>
  </si>
  <si>
    <t>Fiora</t>
  </si>
  <si>
    <t>Sam Martin</t>
  </si>
  <si>
    <t>Joseph Trapanese</t>
  </si>
  <si>
    <t>Joey Batey</t>
  </si>
  <si>
    <t>Ryos</t>
  </si>
  <si>
    <t>Envy Monroe</t>
  </si>
  <si>
    <t>Kaidro</t>
  </si>
  <si>
    <t>Molly Kate Kestner</t>
  </si>
  <si>
    <t>Best Night Ever</t>
  </si>
  <si>
    <t>Veela</t>
  </si>
  <si>
    <t>Eunoia</t>
  </si>
  <si>
    <t>Nightcrawlers</t>
  </si>
  <si>
    <t>Mufasa &amp; Hypeman</t>
  </si>
  <si>
    <t>Jhay Cortez</t>
  </si>
  <si>
    <t>BTS</t>
  </si>
  <si>
    <t>Shallou</t>
  </si>
  <si>
    <t>Manse</t>
  </si>
  <si>
    <t>Alice Berg</t>
  </si>
  <si>
    <t>Fytch</t>
  </si>
  <si>
    <t>Pauline Herr</t>
  </si>
  <si>
    <t>Savoy</t>
  </si>
  <si>
    <t>Roniit</t>
  </si>
  <si>
    <t>Nevve</t>
  </si>
  <si>
    <t>K/DA</t>
  </si>
  <si>
    <t>Madison Beer</t>
  </si>
  <si>
    <t>(G)I-DLE</t>
  </si>
  <si>
    <t>Rain Man</t>
  </si>
  <si>
    <t>Krysta Youngs</t>
  </si>
  <si>
    <t>T-Mass</t>
  </si>
  <si>
    <t>Ramsey</t>
  </si>
  <si>
    <t>Arcane</t>
  </si>
  <si>
    <t>SAINt JHN</t>
  </si>
  <si>
    <t>Wiz Khalifa</t>
  </si>
  <si>
    <t>Charlie Puth</t>
  </si>
  <si>
    <t>fun.</t>
  </si>
  <si>
    <t>Janelle Monáe</t>
  </si>
  <si>
    <t>Mougleta</t>
  </si>
  <si>
    <t>Michael Lanza</t>
  </si>
  <si>
    <t>Eminence</t>
  </si>
  <si>
    <t>Q'Aila</t>
  </si>
  <si>
    <t>WiDE AWAKE</t>
  </si>
  <si>
    <t>Jacob Banks</t>
  </si>
  <si>
    <t>INTERCOM</t>
  </si>
  <si>
    <t>Park Avenue</t>
  </si>
  <si>
    <t>Stereohats</t>
  </si>
  <si>
    <t>Folded Dragons</t>
  </si>
  <si>
    <t>Amanda Yang</t>
  </si>
  <si>
    <t>Blvk Sheep</t>
  </si>
  <si>
    <t>Yuneer Gainz</t>
  </si>
  <si>
    <t>Glaceo</t>
  </si>
  <si>
    <t>Owen Norton</t>
  </si>
  <si>
    <t>Bryan Finlay</t>
  </si>
  <si>
    <t>Jordan Comolli</t>
  </si>
  <si>
    <t>Jacy</t>
  </si>
  <si>
    <t>Kalide</t>
  </si>
  <si>
    <t>Deakin XD</t>
  </si>
  <si>
    <t>Bianca</t>
  </si>
  <si>
    <t>Noé</t>
  </si>
  <si>
    <t>Emilia Ali</t>
  </si>
  <si>
    <t>Lenno</t>
  </si>
  <si>
    <t>Dagny</t>
  </si>
  <si>
    <t>ILIRA</t>
  </si>
  <si>
    <t>VALORANT</t>
  </si>
  <si>
    <t>Grabbitz</t>
  </si>
  <si>
    <t>Holly Drummond</t>
  </si>
  <si>
    <t>Mielo</t>
  </si>
  <si>
    <t>Gradur</t>
  </si>
  <si>
    <t>Heuss L'enfoiré</t>
  </si>
  <si>
    <t>Diamic</t>
  </si>
  <si>
    <t>Speaker Of The House</t>
  </si>
  <si>
    <t>HICARI</t>
  </si>
  <si>
    <t>LIONE</t>
  </si>
  <si>
    <t>Heather Sommer</t>
  </si>
  <si>
    <t>Sam Berson</t>
  </si>
  <si>
    <t>LOST YOU</t>
  </si>
  <si>
    <t>Egzod</t>
  </si>
  <si>
    <t>Caiti Patton</t>
  </si>
  <si>
    <t>Cozi Zuehlsdorff</t>
  </si>
  <si>
    <t>Koba LaD</t>
  </si>
  <si>
    <t>Gazo</t>
  </si>
  <si>
    <t>Roméo Elvis</t>
  </si>
  <si>
    <t>Sofiane</t>
  </si>
  <si>
    <t>Soso Maness</t>
  </si>
  <si>
    <t>Kofs</t>
  </si>
  <si>
    <t>Elams</t>
  </si>
  <si>
    <t>SCH</t>
  </si>
  <si>
    <t>Solda</t>
  </si>
  <si>
    <t>Houari</t>
  </si>
  <si>
    <t>13 Organisé</t>
  </si>
  <si>
    <t>Magic System</t>
  </si>
  <si>
    <t>Soprano</t>
  </si>
  <si>
    <t>Bob Sinclar</t>
  </si>
  <si>
    <t>Chawki</t>
  </si>
  <si>
    <t>Gary Pine</t>
  </si>
  <si>
    <t>Cutee B.</t>
  </si>
  <si>
    <t>DollarMan</t>
  </si>
  <si>
    <t>Makedah</t>
  </si>
  <si>
    <t>GHOSTT</t>
  </si>
  <si>
    <t>Giana</t>
  </si>
  <si>
    <t>JØRD</t>
  </si>
  <si>
    <t>Vintage Culture</t>
  </si>
  <si>
    <t>Whitney Houston</t>
  </si>
  <si>
    <t>Sueco</t>
  </si>
  <si>
    <t>Trippie Redd</t>
  </si>
  <si>
    <t>MitiS</t>
  </si>
  <si>
    <t>Tedy</t>
  </si>
  <si>
    <t>RetroVision</t>
  </si>
  <si>
    <t>Feli Ferraro</t>
  </si>
  <si>
    <t>Whales</t>
  </si>
  <si>
    <t>Dani Rosenoer</t>
  </si>
  <si>
    <t>CAJOR</t>
  </si>
  <si>
    <t>Tess Merenthe</t>
  </si>
  <si>
    <t>Jody</t>
  </si>
  <si>
    <t>Skytech</t>
  </si>
  <si>
    <t>DM Galaxy</t>
  </si>
  <si>
    <t>Abandoned</t>
  </si>
  <si>
    <t>Katy Tiz</t>
  </si>
  <si>
    <t>BKAYE</t>
  </si>
  <si>
    <t>Ella Isaacson</t>
  </si>
  <si>
    <t>Ben Maxwell</t>
  </si>
  <si>
    <t>Dance Cartel</t>
  </si>
  <si>
    <t>Benj Heard</t>
  </si>
  <si>
    <t>Danyka Nadeau</t>
  </si>
  <si>
    <t>Ray Chen</t>
  </si>
  <si>
    <t>Bigflo &amp; Oli</t>
  </si>
  <si>
    <t>Boy Matthews</t>
  </si>
  <si>
    <t>Le Malls</t>
  </si>
  <si>
    <t>AERIN</t>
  </si>
  <si>
    <t>neverwaves</t>
  </si>
  <si>
    <t>Pusha T</t>
  </si>
  <si>
    <t>Tori Levett</t>
  </si>
  <si>
    <t>Twin Shadow</t>
  </si>
  <si>
    <t>Jack Back</t>
  </si>
  <si>
    <t>Fancy Inc</t>
  </si>
  <si>
    <t>The Kill Romeos</t>
  </si>
  <si>
    <t>VINAI</t>
  </si>
  <si>
    <t>Paradigm</t>
  </si>
  <si>
    <t>grandson</t>
  </si>
  <si>
    <t>Rival</t>
  </si>
  <si>
    <t>Cadmium</t>
  </si>
  <si>
    <t>KSHMR</t>
  </si>
  <si>
    <t>Phlex</t>
  </si>
  <si>
    <t>Caitlin Gare</t>
  </si>
  <si>
    <t>Carly Paige</t>
  </si>
  <si>
    <t>Kooma</t>
  </si>
  <si>
    <t>Qulinez</t>
  </si>
  <si>
    <t>Grandtheft</t>
  </si>
  <si>
    <t>MAX</t>
  </si>
  <si>
    <t>Ameria</t>
  </si>
  <si>
    <t>HYPRESSION</t>
  </si>
  <si>
    <t>Ozuna</t>
  </si>
  <si>
    <t>J. Rey Soul</t>
  </si>
  <si>
    <t>Spektrem</t>
  </si>
  <si>
    <t>Jesse Warren</t>
  </si>
  <si>
    <t>Denzel Curry</t>
  </si>
  <si>
    <t>Gizzle</t>
  </si>
  <si>
    <t>Bren Joy</t>
  </si>
  <si>
    <t>Anthony Keyrouz</t>
  </si>
  <si>
    <t>HALUNA</t>
  </si>
  <si>
    <t>Nick Lopez</t>
  </si>
  <si>
    <t>Dasha</t>
  </si>
  <si>
    <t>Josh A</t>
  </si>
  <si>
    <t>Annika Wells</t>
  </si>
  <si>
    <t>Aether</t>
  </si>
  <si>
    <t>Sizzle Bird</t>
  </si>
  <si>
    <t>KREAM</t>
  </si>
  <si>
    <t>Swae Lee</t>
  </si>
  <si>
    <t>Bassnectar</t>
  </si>
  <si>
    <t>Trei Degete</t>
  </si>
  <si>
    <t>Squeezie</t>
  </si>
  <si>
    <t>Myd</t>
  </si>
  <si>
    <t>Elizaveta</t>
  </si>
  <si>
    <t>Max Collins</t>
  </si>
  <si>
    <t>Fraw</t>
  </si>
  <si>
    <t>GARZA</t>
  </si>
  <si>
    <t>Walker &amp; Royce</t>
  </si>
  <si>
    <t>ODEA</t>
  </si>
  <si>
    <t>The Maine</t>
  </si>
  <si>
    <t>Whethan</t>
  </si>
  <si>
    <t>Jasiah</t>
  </si>
  <si>
    <t>KA$HDAMI</t>
  </si>
  <si>
    <t>NOTD</t>
  </si>
  <si>
    <t>The Band CAMINO</t>
  </si>
  <si>
    <t>Tom Enzy</t>
  </si>
  <si>
    <t>Nessa Barrett</t>
  </si>
  <si>
    <t>Winona Oak</t>
  </si>
  <si>
    <t>WYNNE</t>
  </si>
  <si>
    <t>Mansionair</t>
  </si>
  <si>
    <t>Malik Bash</t>
  </si>
  <si>
    <t>Harley Bird</t>
  </si>
  <si>
    <t>Boys Choir</t>
  </si>
  <si>
    <t>Hart</t>
  </si>
  <si>
    <t>Hannah Jane Lewis</t>
  </si>
  <si>
    <t>Oklusion</t>
  </si>
  <si>
    <t>Danny Darko</t>
  </si>
  <si>
    <t>Jova Radevska</t>
  </si>
  <si>
    <t>Whoa Music</t>
  </si>
  <si>
    <t>Max Marshall</t>
  </si>
  <si>
    <t>Hoodboi</t>
  </si>
  <si>
    <t>Fairlane</t>
  </si>
  <si>
    <t>Anjulie</t>
  </si>
  <si>
    <t>Everen Maxwell</t>
  </si>
  <si>
    <t>Lindsey Stirling</t>
  </si>
  <si>
    <t>Cecilia Gault</t>
  </si>
  <si>
    <t>Jack Harlow</t>
  </si>
  <si>
    <t>A-Wall</t>
  </si>
  <si>
    <t>Against The Current</t>
  </si>
  <si>
    <t>JID</t>
  </si>
  <si>
    <t>Owsey</t>
  </si>
  <si>
    <t>Ayelle</t>
  </si>
  <si>
    <t>Severo</t>
  </si>
  <si>
    <t>Amelie</t>
  </si>
  <si>
    <t>Arlow</t>
  </si>
  <si>
    <t>Alkyn</t>
  </si>
  <si>
    <t>DNMO</t>
  </si>
  <si>
    <t>Mazare</t>
  </si>
  <si>
    <t>Peter Kiemann</t>
  </si>
  <si>
    <t>Jordi Davis</t>
  </si>
  <si>
    <t>Katie Wright</t>
  </si>
  <si>
    <t>Tails</t>
  </si>
  <si>
    <t>inverness</t>
  </si>
  <si>
    <t>Gill Chang</t>
  </si>
  <si>
    <t>Danni Carra</t>
  </si>
  <si>
    <t>RKCB</t>
  </si>
  <si>
    <t>Joe Mason</t>
  </si>
  <si>
    <t>Bad Decisions</t>
  </si>
  <si>
    <t>Blake Rose</t>
  </si>
  <si>
    <t>Alison Wonderland</t>
  </si>
  <si>
    <t>Hex Cougar</t>
  </si>
  <si>
    <t>Subfer</t>
  </si>
  <si>
    <t>Stella Smyth</t>
  </si>
  <si>
    <t>Jarell Perry</t>
  </si>
  <si>
    <t>Molly Moore</t>
  </si>
  <si>
    <t>Tetrix Bass</t>
  </si>
  <si>
    <t>Pharrell Williams</t>
  </si>
  <si>
    <t>Natalia Kills</t>
  </si>
  <si>
    <t>Lauren Bennett</t>
  </si>
  <si>
    <t>GoonRock</t>
  </si>
  <si>
    <t>Alna</t>
  </si>
  <si>
    <t>BANNERS</t>
  </si>
  <si>
    <t>Tori Kelly</t>
  </si>
  <si>
    <t>Virtual Riot</t>
  </si>
  <si>
    <t>Behmer</t>
  </si>
  <si>
    <t>Lunis</t>
  </si>
  <si>
    <t>Meric Again</t>
  </si>
  <si>
    <t>Disero</t>
  </si>
  <si>
    <t>Joshua Smith</t>
  </si>
  <si>
    <t>FWLR</t>
  </si>
  <si>
    <t>Che'Nelle</t>
  </si>
  <si>
    <t>Direct</t>
  </si>
  <si>
    <t>Shapov</t>
  </si>
  <si>
    <t>Trouze</t>
  </si>
  <si>
    <t>Oly</t>
  </si>
  <si>
    <t>MVE</t>
  </si>
  <si>
    <t>Voicians</t>
  </si>
  <si>
    <t>Amanda Collis</t>
  </si>
  <si>
    <t>Calixte</t>
  </si>
  <si>
    <t>Marianna Ray</t>
  </si>
  <si>
    <t>Gid Sedgwick</t>
  </si>
  <si>
    <t>ANVY</t>
  </si>
  <si>
    <t>Misun</t>
  </si>
  <si>
    <t>J Fitz</t>
  </si>
  <si>
    <t>Ella Noël</t>
  </si>
  <si>
    <t>Jelvin</t>
  </si>
  <si>
    <t>Lexurus</t>
  </si>
  <si>
    <t>RIENK</t>
  </si>
  <si>
    <t>Delta Heavy</t>
  </si>
  <si>
    <t>Dirty Audio</t>
  </si>
  <si>
    <t>Holly</t>
  </si>
  <si>
    <t>Nymfo</t>
  </si>
  <si>
    <t>Boy In Space</t>
  </si>
  <si>
    <t>Cavin Scott</t>
  </si>
  <si>
    <t>X Ambassadors</t>
  </si>
  <si>
    <t>Trella</t>
  </si>
  <si>
    <t>Thirty Seconds To Mars</t>
  </si>
  <si>
    <t>Awoltalk</t>
  </si>
  <si>
    <t>OLSO</t>
  </si>
  <si>
    <t>SLUMBERJACK</t>
  </si>
  <si>
    <t>Claire Ridgely</t>
  </si>
  <si>
    <t>Falling North</t>
  </si>
  <si>
    <t>YAEVIN</t>
  </si>
  <si>
    <t>Kaivaan</t>
  </si>
  <si>
    <t>Hikaru Station</t>
  </si>
  <si>
    <t>Crystal Knives</t>
  </si>
  <si>
    <t>Sarah de Warren</t>
  </si>
  <si>
    <t>Eru Matsumoto</t>
  </si>
  <si>
    <t>Aero Chord</t>
  </si>
  <si>
    <t>Fractal</t>
  </si>
  <si>
    <t>Kill Paris</t>
  </si>
  <si>
    <t>TRØVES</t>
  </si>
  <si>
    <t>LØLØ</t>
  </si>
  <si>
    <t>Lowell</t>
  </si>
  <si>
    <t>FITZ</t>
  </si>
  <si>
    <t>Fitz and The Tantrums</t>
  </si>
  <si>
    <t>Julian Jordan</t>
  </si>
  <si>
    <t>LUVE</t>
  </si>
  <si>
    <t>Arcando</t>
  </si>
  <si>
    <t>Wooli</t>
  </si>
  <si>
    <t>Trivecta</t>
  </si>
  <si>
    <t>Scott Stapp</t>
  </si>
  <si>
    <t>Arca</t>
  </si>
  <si>
    <t>Janji</t>
  </si>
  <si>
    <t>Johnning</t>
  </si>
  <si>
    <t>24kGoldn</t>
  </si>
  <si>
    <t>iann dior</t>
  </si>
  <si>
    <t>Slashtaq</t>
  </si>
  <si>
    <t>Kalu</t>
  </si>
  <si>
    <t>Mazcot</t>
  </si>
  <si>
    <t>BKelly</t>
  </si>
  <si>
    <t>Rameses B</t>
  </si>
  <si>
    <t>James Carter</t>
  </si>
  <si>
    <t>TINGGI</t>
  </si>
  <si>
    <t>TWERL</t>
  </si>
  <si>
    <t>Lost Boy</t>
  </si>
  <si>
    <t>Grant</t>
  </si>
  <si>
    <t>yasaquarius</t>
  </si>
  <si>
    <t>Prefekt</t>
  </si>
  <si>
    <t>EZI</t>
  </si>
  <si>
    <t>Nurko</t>
  </si>
  <si>
    <t>Elle Vee</t>
  </si>
  <si>
    <t>SADBOii</t>
  </si>
  <si>
    <t>Little Mix</t>
  </si>
  <si>
    <t>Misha K</t>
  </si>
  <si>
    <t>Bobby khane</t>
  </si>
  <si>
    <t>Ekali</t>
  </si>
  <si>
    <t>Jireel</t>
  </si>
  <si>
    <t>Lil Wayne</t>
  </si>
  <si>
    <t>A$AP Ferg</t>
  </si>
  <si>
    <t>Hot Chip</t>
  </si>
  <si>
    <t>Polo G</t>
  </si>
  <si>
    <t>Mozzy</t>
  </si>
  <si>
    <t>Francis Skyes</t>
  </si>
  <si>
    <t>Dimibo</t>
  </si>
  <si>
    <t>Kill The Noise</t>
  </si>
  <si>
    <t>Giraffe Squad</t>
  </si>
  <si>
    <t>AXYL</t>
  </si>
  <si>
    <t>Neo Noir</t>
  </si>
  <si>
    <t>Krigarè</t>
  </si>
  <si>
    <t>Famba</t>
  </si>
  <si>
    <t>Toito</t>
  </si>
  <si>
    <t>Karli</t>
  </si>
  <si>
    <t>Mahalo</t>
  </si>
  <si>
    <t>DLMT</t>
  </si>
  <si>
    <t>Lily Denning</t>
  </si>
  <si>
    <t>Taptone</t>
  </si>
  <si>
    <t>ATLAST</t>
  </si>
  <si>
    <t>Josh Rubin</t>
  </si>
  <si>
    <t>Sikdope</t>
  </si>
  <si>
    <t>Rico &amp; Miella</t>
  </si>
  <si>
    <t>NERVO</t>
  </si>
  <si>
    <t>Kaskade</t>
  </si>
  <si>
    <t>Totally Enormous Extinct Dinosaurs</t>
  </si>
  <si>
    <t>Jacknife</t>
  </si>
  <si>
    <t>Dermot Kennedy</t>
  </si>
  <si>
    <t>Catherine Sunday</t>
  </si>
  <si>
    <t>Matrix &amp; Futurebound</t>
  </si>
  <si>
    <t>Rick Ross</t>
  </si>
  <si>
    <t>Rich Brian</t>
  </si>
  <si>
    <t>Kid Thomas</t>
  </si>
  <si>
    <t>Shoffy</t>
  </si>
  <si>
    <t>WoodzSTHLM</t>
  </si>
  <si>
    <t>Kozoro</t>
  </si>
  <si>
    <t>Zeni</t>
  </si>
  <si>
    <t>Koo Read</t>
  </si>
  <si>
    <t>Zada</t>
  </si>
  <si>
    <t>Subsurface</t>
  </si>
  <si>
    <t>Leanne Louise</t>
  </si>
  <si>
    <t>Quinn XCII</t>
  </si>
  <si>
    <t>The Warning</t>
  </si>
  <si>
    <t>Love Regenerator</t>
  </si>
  <si>
    <t>Solardo</t>
  </si>
  <si>
    <t>ericdoa</t>
  </si>
  <si>
    <t>glaive</t>
  </si>
  <si>
    <t>Breathe Carolina</t>
  </si>
  <si>
    <t>IZII</t>
  </si>
  <si>
    <t>NERO</t>
  </si>
  <si>
    <t>Noah Neiman</t>
  </si>
  <si>
    <t>Jay Bombay</t>
  </si>
  <si>
    <t>Laci Kay</t>
  </si>
  <si>
    <t>Sibel</t>
  </si>
  <si>
    <t>La Tartine</t>
  </si>
  <si>
    <t>PAZ</t>
  </si>
  <si>
    <t>Birds of New York</t>
  </si>
  <si>
    <t>LA Riots</t>
  </si>
  <si>
    <t>Mr FijiWiji</t>
  </si>
  <si>
    <t>Yunomi</t>
  </si>
  <si>
    <t>Tsukasa Yuzaki</t>
  </si>
  <si>
    <t>Hoang</t>
  </si>
  <si>
    <t>Dennis Kruissen</t>
  </si>
  <si>
    <t>David Benjamin</t>
  </si>
  <si>
    <t>The Pitcher</t>
  </si>
  <si>
    <t>San Dae</t>
  </si>
  <si>
    <t>BoTalks</t>
  </si>
  <si>
    <t>Sarah Hyland</t>
  </si>
  <si>
    <t>MORTEN</t>
  </si>
  <si>
    <t>ODA</t>
  </si>
  <si>
    <t>MiNDTRiX</t>
  </si>
  <si>
    <t>Alexis Donn</t>
  </si>
  <si>
    <t>Win and Woo</t>
  </si>
  <si>
    <t>Daniel Caesar</t>
  </si>
  <si>
    <t>Giveon</t>
  </si>
  <si>
    <t>Jennifer Lopez</t>
  </si>
  <si>
    <t>Hayley Kiyoko</t>
  </si>
  <si>
    <t>Justin Caruso</t>
  </si>
  <si>
    <t>THIEVES</t>
  </si>
  <si>
    <t>JayKode</t>
  </si>
  <si>
    <t>Neon Hitch</t>
  </si>
  <si>
    <t>Calmani &amp; Grey</t>
  </si>
  <si>
    <t>Pearl Andersson</t>
  </si>
  <si>
    <t>Robby Burke</t>
  </si>
  <si>
    <t>Trafton</t>
  </si>
  <si>
    <t>juuku</t>
  </si>
  <si>
    <t>Natalie</t>
  </si>
  <si>
    <t>dwilly</t>
  </si>
  <si>
    <t>KC Audio</t>
  </si>
  <si>
    <t>Allie Crystal</t>
  </si>
  <si>
    <t>mark veins</t>
  </si>
  <si>
    <t>STAHL</t>
  </si>
  <si>
    <t>Bonnie McKee</t>
  </si>
  <si>
    <t>Janelle Kroll</t>
  </si>
  <si>
    <t>The Ready Set</t>
  </si>
  <si>
    <t>Con Bro Chill</t>
  </si>
  <si>
    <t>Dash Berlin</t>
  </si>
  <si>
    <t>Luca Perra</t>
  </si>
  <si>
    <t>Celani</t>
  </si>
  <si>
    <t>Maria</t>
  </si>
  <si>
    <t>Omri</t>
  </si>
  <si>
    <t>Foda C</t>
  </si>
  <si>
    <t>Lujipeka</t>
  </si>
  <si>
    <t>DaBaby</t>
  </si>
  <si>
    <t>Stadiumx</t>
  </si>
  <si>
    <t>Dzasko</t>
  </si>
  <si>
    <t>Akari</t>
  </si>
  <si>
    <t>Annamarie Rosanio</t>
  </si>
  <si>
    <t>Thundatraxx</t>
  </si>
  <si>
    <t>Ark Patrol</t>
  </si>
  <si>
    <t>Veronika Redd</t>
  </si>
  <si>
    <t>Felix Cartal</t>
  </si>
  <si>
    <t>REGN</t>
  </si>
  <si>
    <t>Gent &amp; Jawns</t>
  </si>
  <si>
    <t>LIZ</t>
  </si>
  <si>
    <t>Ellusive</t>
  </si>
  <si>
    <t>Eny</t>
  </si>
  <si>
    <t>Jakoban</t>
  </si>
  <si>
    <t>D!avalo</t>
  </si>
  <si>
    <t>Gaby Henshaw</t>
  </si>
  <si>
    <t>Ryan Moe</t>
  </si>
  <si>
    <t>Lolaby</t>
  </si>
  <si>
    <t>Despotem</t>
  </si>
  <si>
    <t>Laurien Van Buuren</t>
  </si>
  <si>
    <t>ThatBehavior</t>
  </si>
  <si>
    <t>EQRIC</t>
  </si>
  <si>
    <t>AWAY</t>
  </si>
  <si>
    <t>Dark Waves</t>
  </si>
  <si>
    <t>Farout</t>
  </si>
  <si>
    <t>sober rob</t>
  </si>
  <si>
    <t>Megan Thee Stallion</t>
  </si>
  <si>
    <t>Social House</t>
  </si>
  <si>
    <t>Future</t>
  </si>
  <si>
    <t>Timeflies</t>
  </si>
  <si>
    <t>No Riddim</t>
  </si>
  <si>
    <t>Megan Lee</t>
  </si>
  <si>
    <t>Grey</t>
  </si>
  <si>
    <t>Asia</t>
  </si>
  <si>
    <t>Gia Koka</t>
  </si>
  <si>
    <t>Steve James</t>
  </si>
  <si>
    <t>Zephure</t>
  </si>
  <si>
    <t>Disclosure</t>
  </si>
  <si>
    <t>London Grammar</t>
  </si>
  <si>
    <t>Yntendo</t>
  </si>
  <si>
    <t>Sam F</t>
  </si>
  <si>
    <t>Aviella</t>
  </si>
  <si>
    <t>Major Lazer</t>
  </si>
  <si>
    <t>SLANDER</t>
  </si>
  <si>
    <t>PatrickReza</t>
  </si>
  <si>
    <t>Notelle</t>
  </si>
  <si>
    <t>James Delaney</t>
  </si>
  <si>
    <t>Hard Lights</t>
  </si>
  <si>
    <t>Moonshine</t>
  </si>
  <si>
    <t>Tom Grennan</t>
  </si>
  <si>
    <t>Lagique</t>
  </si>
  <si>
    <t>ATB</t>
  </si>
  <si>
    <t>A7S</t>
  </si>
  <si>
    <t>DMNDS</t>
  </si>
  <si>
    <t>Strange Fruits Music</t>
  </si>
  <si>
    <t>Koosen</t>
  </si>
  <si>
    <t>Willow Sage Hart</t>
  </si>
  <si>
    <t>SAYMYNAME</t>
  </si>
  <si>
    <t>Kyle Tree</t>
  </si>
  <si>
    <t>Bright Lights</t>
  </si>
  <si>
    <t>Vanze</t>
  </si>
  <si>
    <t>Balco</t>
  </si>
  <si>
    <t>Fransis Derelle</t>
  </si>
  <si>
    <t>Brenton Mattheus</t>
  </si>
  <si>
    <t>Louis Vivet</t>
  </si>
  <si>
    <t>Gavrielle</t>
  </si>
  <si>
    <t>Conro</t>
  </si>
  <si>
    <t>Ship Wrek</t>
  </si>
  <si>
    <t>Akame</t>
  </si>
  <si>
    <t>LEOWI</t>
  </si>
  <si>
    <t>Greyson Chance</t>
  </si>
  <si>
    <t>Jon Becker</t>
  </si>
  <si>
    <t>Veronica Bravo</t>
  </si>
  <si>
    <t>RØGUENETHVN</t>
  </si>
  <si>
    <t>Joshua Francois</t>
  </si>
  <si>
    <t>Blair Lee</t>
  </si>
  <si>
    <t>Other</t>
  </si>
  <si>
    <t>Brandon Banks</t>
  </si>
  <si>
    <t>Danrell</t>
  </si>
  <si>
    <t>Alec King</t>
  </si>
  <si>
    <t>Elephante</t>
  </si>
  <si>
    <t>Jessica Jarrell</t>
  </si>
  <si>
    <t>Candyland</t>
  </si>
  <si>
    <t>Triangle</t>
  </si>
  <si>
    <t>VENIICE</t>
  </si>
  <si>
    <t>Miles Away</t>
  </si>
  <si>
    <t>Monstre!</t>
  </si>
  <si>
    <t>Syn Cole</t>
  </si>
  <si>
    <t>Juventa</t>
  </si>
  <si>
    <t>Kelly Sweet</t>
  </si>
  <si>
    <t>Grem</t>
  </si>
  <si>
    <t>Bianca Mae</t>
  </si>
  <si>
    <t>DAMSTERAM</t>
  </si>
  <si>
    <t>JRND</t>
  </si>
  <si>
    <t>MEL</t>
  </si>
  <si>
    <t>Axel Boy</t>
  </si>
  <si>
    <t>STANDERWICK</t>
  </si>
  <si>
    <t>Dzeko</t>
  </si>
  <si>
    <t>Jonas Hahn</t>
  </si>
  <si>
    <t>Richard Craker</t>
  </si>
  <si>
    <t>Raiden</t>
  </si>
  <si>
    <t>ellis</t>
  </si>
  <si>
    <t>Matt Maeson</t>
  </si>
  <si>
    <t>Neon Dreams</t>
  </si>
  <si>
    <t>Kardinal Offishall</t>
  </si>
  <si>
    <t>Asaa</t>
  </si>
  <si>
    <t>liam ello</t>
  </si>
  <si>
    <t>Esydia</t>
  </si>
  <si>
    <t>Emily Styler</t>
  </si>
  <si>
    <t>Jumelles</t>
  </si>
  <si>
    <t>Joe Erickson</t>
  </si>
  <si>
    <t>James Egbert</t>
  </si>
  <si>
    <t>Nina Storey</t>
  </si>
  <si>
    <t>Sam Bruno</t>
  </si>
  <si>
    <t>CloZee</t>
  </si>
  <si>
    <t>VAGO</t>
  </si>
  <si>
    <t>Apollo Rising</t>
  </si>
  <si>
    <t>Tazor</t>
  </si>
  <si>
    <t>Talia Aoude</t>
  </si>
  <si>
    <t>AXSHN</t>
  </si>
  <si>
    <t>N2N</t>
  </si>
  <si>
    <t>Vasta</t>
  </si>
  <si>
    <t>Kasbo</t>
  </si>
  <si>
    <t>HYDDE</t>
  </si>
  <si>
    <t>Ronak</t>
  </si>
  <si>
    <t>Josh Dreon</t>
  </si>
  <si>
    <t>Toko Miura</t>
  </si>
  <si>
    <t>GoodLuck</t>
  </si>
  <si>
    <t>Nebbra</t>
  </si>
  <si>
    <t>Arkells</t>
  </si>
  <si>
    <t>Station Earth</t>
  </si>
  <si>
    <t>Roos Denayer</t>
  </si>
  <si>
    <t>Tommy Trash</t>
  </si>
  <si>
    <t>Daisy Guttridge</t>
  </si>
  <si>
    <t>Tevlo</t>
  </si>
  <si>
    <t>MAGNUS</t>
  </si>
  <si>
    <t>WAVES</t>
  </si>
  <si>
    <t>Murtagh</t>
  </si>
  <si>
    <t>Noctilucent</t>
  </si>
  <si>
    <t>Felix Palmqvist</t>
  </si>
  <si>
    <t>Loé</t>
  </si>
  <si>
    <t>GhostDragon</t>
  </si>
  <si>
    <t>Addie Nicole</t>
  </si>
  <si>
    <t>Toy Box</t>
  </si>
  <si>
    <t>GABBY BÜKO</t>
  </si>
  <si>
    <t>Kyoto Black</t>
  </si>
  <si>
    <t>Delaney Kai</t>
  </si>
  <si>
    <t>Project Nightfall</t>
  </si>
  <si>
    <t>InfiNoise</t>
  </si>
  <si>
    <t>Feki</t>
  </si>
  <si>
    <t>Polarheart</t>
  </si>
  <si>
    <t>Magic Whatever</t>
  </si>
  <si>
    <t>Camikaze</t>
  </si>
  <si>
    <t>Zoe A'dore</t>
  </si>
  <si>
    <t>Jeffrey James</t>
  </si>
  <si>
    <t>AK</t>
  </si>
  <si>
    <t>Lynx</t>
  </si>
  <si>
    <t>Jetta</t>
  </si>
  <si>
    <t>Matstubs</t>
  </si>
  <si>
    <t>Hellberg</t>
  </si>
  <si>
    <t>PALASTIC</t>
  </si>
  <si>
    <t>Melody Noel</t>
  </si>
  <si>
    <t>WE ARE FURY</t>
  </si>
  <si>
    <t>Fletcher Mills</t>
  </si>
  <si>
    <t>Codeko</t>
  </si>
  <si>
    <t>Trevor Jackson</t>
  </si>
  <si>
    <t>Simona Shao</t>
  </si>
  <si>
    <t>T-Pain</t>
  </si>
  <si>
    <t>Gwen Stefani</t>
  </si>
  <si>
    <t>Akon</t>
  </si>
  <si>
    <t>RUBIKA</t>
  </si>
  <si>
    <t>Kat Adamou</t>
  </si>
  <si>
    <t>Astrale</t>
  </si>
  <si>
    <t>Jessica Endara</t>
  </si>
  <si>
    <t>Mendum</t>
  </si>
  <si>
    <t>StayLoose</t>
  </si>
  <si>
    <t>MADI</t>
  </si>
  <si>
    <t>Pink Slip</t>
  </si>
  <si>
    <t>HYLO</t>
  </si>
  <si>
    <t>Herrin</t>
  </si>
  <si>
    <t>JORDY</t>
  </si>
  <si>
    <t>Virtu</t>
  </si>
  <si>
    <t>Lostboycrow</t>
  </si>
  <si>
    <t>Duchess</t>
  </si>
  <si>
    <t>Rosie Darling</t>
  </si>
  <si>
    <t>Alex Ferro</t>
  </si>
  <si>
    <t>Itro</t>
  </si>
  <si>
    <t>James Mercy</t>
  </si>
  <si>
    <t>Keaton Vegades</t>
  </si>
  <si>
    <t>Lenny Official</t>
  </si>
  <si>
    <t>Pham</t>
  </si>
  <si>
    <t>QUIX</t>
  </si>
  <si>
    <t>NEW CITY</t>
  </si>
  <si>
    <t>Noble</t>
  </si>
  <si>
    <t>SATICA</t>
  </si>
  <si>
    <t>k?d</t>
  </si>
  <si>
    <t>Xan Griffin</t>
  </si>
  <si>
    <t>Quinn Karter</t>
  </si>
  <si>
    <t>Natalie Major</t>
  </si>
  <si>
    <t>Ray Dalton</t>
  </si>
  <si>
    <t>Salva</t>
  </si>
  <si>
    <t>Bear Grillz</t>
  </si>
  <si>
    <t>FENGSEL</t>
  </si>
  <si>
    <t>Bearson</t>
  </si>
  <si>
    <t>Siiickbrain</t>
  </si>
  <si>
    <t>Luceo</t>
  </si>
  <si>
    <t>Conor Maynard</t>
  </si>
  <si>
    <t>VALENTINE</t>
  </si>
  <si>
    <t>Xavi</t>
  </si>
  <si>
    <t xml:space="preserve">KoKo </t>
  </si>
  <si>
    <t>Emeryld</t>
  </si>
  <si>
    <t>Marc Benjamin</t>
  </si>
  <si>
    <t>Syon</t>
  </si>
  <si>
    <t>Yung Fusion</t>
  </si>
  <si>
    <t>Tyron Hapi</t>
  </si>
  <si>
    <t>Midnight Kids</t>
  </si>
  <si>
    <t>PL4YFIELDS</t>
  </si>
  <si>
    <t>CryJaxx</t>
  </si>
  <si>
    <t>Anxious</t>
  </si>
  <si>
    <t>Rosendale</t>
  </si>
  <si>
    <t>Duumu</t>
  </si>
  <si>
    <t>Slyleaf</t>
  </si>
  <si>
    <t>Naika</t>
  </si>
  <si>
    <t>Blaikz</t>
  </si>
  <si>
    <t>Audien</t>
  </si>
  <si>
    <t>Lady A</t>
  </si>
  <si>
    <t>Ruby Prophet</t>
  </si>
  <si>
    <t>Nick Nikon</t>
  </si>
  <si>
    <t>T.I.</t>
  </si>
  <si>
    <t>Valerie Broussard</t>
  </si>
  <si>
    <t>SIIGHTS</t>
  </si>
  <si>
    <t>Lenka</t>
  </si>
  <si>
    <t>REVOKE</t>
  </si>
  <si>
    <t>Nick Gunner</t>
  </si>
  <si>
    <t>DNAKM</t>
  </si>
  <si>
    <t>Ivan Reys</t>
  </si>
  <si>
    <t>Stinie Whizz</t>
  </si>
  <si>
    <t>Tre Sera</t>
  </si>
  <si>
    <t>Matthew Grant</t>
  </si>
  <si>
    <t>Geek Boy</t>
  </si>
  <si>
    <t>Abi F Jones</t>
  </si>
  <si>
    <t>Tuen</t>
  </si>
  <si>
    <t>Anki</t>
  </si>
  <si>
    <t>Cloudsz</t>
  </si>
  <si>
    <t>Sean Mackey</t>
  </si>
  <si>
    <t>Levi Niha</t>
  </si>
  <si>
    <t>Keys N Krates</t>
  </si>
  <si>
    <t>KRANE</t>
  </si>
  <si>
    <t>Nola Wren</t>
  </si>
  <si>
    <t>Summer Was Fun</t>
  </si>
  <si>
    <t>Emelie Cyréus</t>
  </si>
  <si>
    <t>Ilsey</t>
  </si>
  <si>
    <t>Trevor Guthrie</t>
  </si>
  <si>
    <t>Foy Vance</t>
  </si>
  <si>
    <t>Alissa Feudo</t>
  </si>
  <si>
    <t>Robotaki</t>
  </si>
  <si>
    <t>Tasha Baxter</t>
  </si>
  <si>
    <t>Au5</t>
  </si>
  <si>
    <t>Calli Boom</t>
  </si>
  <si>
    <t>Venemy</t>
  </si>
  <si>
    <t>BH</t>
  </si>
  <si>
    <t>William Bolton</t>
  </si>
  <si>
    <t>Clasio</t>
  </si>
  <si>
    <t>Rosenfeld</t>
  </si>
  <si>
    <t>Jagsy</t>
  </si>
  <si>
    <t>Sachi</t>
  </si>
  <si>
    <t>3LAU</t>
  </si>
  <si>
    <t>Dzeko &amp; Torres</t>
  </si>
  <si>
    <t>Pep &amp; Rash</t>
  </si>
  <si>
    <t>POLINA</t>
  </si>
  <si>
    <t>Merk &amp; Kremont</t>
  </si>
  <si>
    <t>Ady Suleiman</t>
  </si>
  <si>
    <t>Tujamo</t>
  </si>
  <si>
    <t>Sorana</t>
  </si>
  <si>
    <t>Shallows</t>
  </si>
  <si>
    <t>Stephen Walking</t>
  </si>
  <si>
    <t>Aaron Richards</t>
  </si>
  <si>
    <t>Moze</t>
  </si>
  <si>
    <t>Talib Kweli</t>
  </si>
  <si>
    <t>KillaGraham</t>
  </si>
  <si>
    <t>Ratatat</t>
  </si>
  <si>
    <t>Anikdote</t>
  </si>
  <si>
    <t>The FifthGuys</t>
  </si>
  <si>
    <t>Otero</t>
  </si>
  <si>
    <t>Andrew Luce</t>
  </si>
  <si>
    <t>Devault</t>
  </si>
  <si>
    <t>Njomza</t>
  </si>
  <si>
    <t>James Droll</t>
  </si>
  <si>
    <t>Cashew Kid</t>
  </si>
  <si>
    <t>EMBRZ</t>
  </si>
  <si>
    <t>Harvie</t>
  </si>
  <si>
    <t>Peking Duk</t>
  </si>
  <si>
    <t>Faux Tales</t>
  </si>
  <si>
    <t>Elliphant</t>
  </si>
  <si>
    <t>Brooks</t>
  </si>
  <si>
    <t>Tzar</t>
  </si>
  <si>
    <t>Joseph Crawford</t>
  </si>
  <si>
    <t>The Burgs</t>
  </si>
  <si>
    <t>offrami</t>
  </si>
  <si>
    <t>AkaHendy</t>
  </si>
  <si>
    <t>PRZM</t>
  </si>
  <si>
    <t>Paris Blohm</t>
  </si>
  <si>
    <t>Axollo</t>
  </si>
  <si>
    <t>MAJRO</t>
  </si>
  <si>
    <t>Badrapper</t>
  </si>
  <si>
    <t>Konoba</t>
  </si>
  <si>
    <t>D I V I N I T Y</t>
  </si>
  <si>
    <t>OIÜ</t>
  </si>
  <si>
    <t>Ez Quew</t>
  </si>
  <si>
    <t>Vince Johnson</t>
  </si>
  <si>
    <t>Oscar Del Amor</t>
  </si>
  <si>
    <t>SANDS</t>
  </si>
  <si>
    <t>Nonsens</t>
  </si>
  <si>
    <t>Tobias Stenkjær</t>
  </si>
  <si>
    <t>Mercy X</t>
  </si>
  <si>
    <t>Ashley Lawless</t>
  </si>
  <si>
    <t>Duke Dumont</t>
  </si>
  <si>
    <t>Ocean Drive</t>
  </si>
  <si>
    <t>DJ Oriska</t>
  </si>
  <si>
    <t>The Great Escape</t>
  </si>
  <si>
    <t>D-WAYZZ</t>
  </si>
  <si>
    <t>Marie St. Charles</t>
  </si>
  <si>
    <t>Dirtier Blonde</t>
  </si>
  <si>
    <t>Kirsten Collins</t>
  </si>
  <si>
    <t>Vikki Gilmore</t>
  </si>
  <si>
    <t>Max Hurrell</t>
  </si>
  <si>
    <t>Satellite Mode</t>
  </si>
  <si>
    <t>Ruby Chase</t>
  </si>
  <si>
    <t>Cappa</t>
  </si>
  <si>
    <t>Jon Santana</t>
  </si>
  <si>
    <t>Awakend</t>
  </si>
  <si>
    <t>Adrian Lux</t>
  </si>
  <si>
    <t>TFLM</t>
  </si>
  <si>
    <t>Nadro</t>
  </si>
  <si>
    <t>YULTRON</t>
  </si>
  <si>
    <t>Leah Culver</t>
  </si>
  <si>
    <t>Bombs Away</t>
  </si>
  <si>
    <t>Backchat</t>
  </si>
  <si>
    <t>Dreweybear</t>
  </si>
  <si>
    <t>Meggie York</t>
  </si>
  <si>
    <t>Au/Ra</t>
  </si>
  <si>
    <t>Robin Hustin</t>
  </si>
  <si>
    <t>TobiMorrow</t>
  </si>
  <si>
    <t>Jex</t>
  </si>
  <si>
    <t>HIGHSOCIETY</t>
  </si>
  <si>
    <t>Amy Kirkpatrick</t>
  </si>
  <si>
    <t>Shane 54</t>
  </si>
  <si>
    <t>Cubicore</t>
  </si>
  <si>
    <t>Eric Lumiere</t>
  </si>
  <si>
    <t>Lomepal</t>
  </si>
  <si>
    <t>Elk Road</t>
  </si>
  <si>
    <t>Thomas Troelsen</t>
  </si>
  <si>
    <t>Huskai</t>
  </si>
  <si>
    <t>Ryan Curtis</t>
  </si>
  <si>
    <t>Alex France</t>
  </si>
  <si>
    <t>Tommy Crimi</t>
  </si>
  <si>
    <t>Sterling Fox</t>
  </si>
  <si>
    <t>Paul Williams</t>
  </si>
  <si>
    <t>Wales</t>
  </si>
  <si>
    <t>Big Wild</t>
  </si>
  <si>
    <t>Jack Ü</t>
  </si>
  <si>
    <t>Aluna</t>
  </si>
  <si>
    <t>AlunaGeorge</t>
  </si>
  <si>
    <t>I See MONSTAS</t>
  </si>
  <si>
    <t>Chaps</t>
  </si>
  <si>
    <t>Snakehips</t>
  </si>
  <si>
    <t>Rich Edwards</t>
  </si>
  <si>
    <t>Earsley</t>
  </si>
  <si>
    <t>Napless</t>
  </si>
  <si>
    <t>Cruel Youth</t>
  </si>
  <si>
    <t>Jo Cohen</t>
  </si>
  <si>
    <t>KinG!</t>
  </si>
  <si>
    <t>Joanna Jones</t>
  </si>
  <si>
    <t>Medii</t>
  </si>
  <si>
    <t>Kazlo</t>
  </si>
  <si>
    <t>Viiq</t>
  </si>
  <si>
    <t>Aloma Steele</t>
  </si>
  <si>
    <t>Beckii Power</t>
  </si>
  <si>
    <t>Dead Robot</t>
  </si>
  <si>
    <t>Saphir</t>
  </si>
  <si>
    <t>Jauz</t>
  </si>
  <si>
    <t>Savi</t>
  </si>
  <si>
    <t>Ida da Silva</t>
  </si>
  <si>
    <t>Ella Boh</t>
  </si>
  <si>
    <t>Max Styler</t>
  </si>
  <si>
    <t>Ashley Apollodor</t>
  </si>
  <si>
    <t>EMDI</t>
  </si>
  <si>
    <t>VAYAN</t>
  </si>
  <si>
    <t>Sarcastic Sounds</t>
  </si>
  <si>
    <t>Alex Clare</t>
  </si>
  <si>
    <t>Will Heard</t>
  </si>
  <si>
    <t>Zedd</t>
  </si>
  <si>
    <t>Miriam Bryant</t>
  </si>
  <si>
    <t>We Are Loud</t>
  </si>
  <si>
    <t>Sonny Wilson</t>
  </si>
  <si>
    <t>VASSY</t>
  </si>
  <si>
    <t>Autolaser</t>
  </si>
  <si>
    <t>PLS&amp;TY</t>
  </si>
  <si>
    <t>Morgin Madison</t>
  </si>
  <si>
    <t>if found</t>
  </si>
  <si>
    <t>Boombox Cartel</t>
  </si>
  <si>
    <t>Flyboy</t>
  </si>
  <si>
    <t>Radiochaser</t>
  </si>
  <si>
    <t>CRose</t>
  </si>
  <si>
    <t>Elisabeth Vleurinck</t>
  </si>
  <si>
    <t>Tyler Graves</t>
  </si>
  <si>
    <t>Frida Sundemo</t>
  </si>
  <si>
    <t>MOTi</t>
  </si>
  <si>
    <t>WizKid</t>
  </si>
  <si>
    <t>Kranium</t>
  </si>
  <si>
    <t>Iggy Azalea</t>
  </si>
  <si>
    <t>Madnap</t>
  </si>
  <si>
    <t>MEMBA</t>
  </si>
  <si>
    <t>Ehiorobo</t>
  </si>
  <si>
    <t>Jack Novak</t>
  </si>
  <si>
    <t>pluko</t>
  </si>
  <si>
    <t>pronouncedyea</t>
  </si>
  <si>
    <t>MOTHICA</t>
  </si>
  <si>
    <t>FLYES</t>
  </si>
  <si>
    <t>Heuse</t>
  </si>
  <si>
    <t>Zeus X Crona</t>
  </si>
  <si>
    <t>Emma Sameth</t>
  </si>
  <si>
    <t>Kailee Morgue</t>
  </si>
  <si>
    <t>Oshi</t>
  </si>
  <si>
    <t>Exclusion</t>
  </si>
  <si>
    <t>Midsplit</t>
  </si>
  <si>
    <t>Tilsen</t>
  </si>
  <si>
    <t>Elon Dust</t>
  </si>
  <si>
    <t>Melissa Heart</t>
  </si>
  <si>
    <t>Frank Pole</t>
  </si>
  <si>
    <t>The Griswolds</t>
  </si>
  <si>
    <t>It's Different</t>
  </si>
  <si>
    <t>Ursine Vulpine</t>
  </si>
  <si>
    <t>Annaca</t>
  </si>
  <si>
    <t>Coolio</t>
  </si>
  <si>
    <t>L.V.</t>
  </si>
  <si>
    <t>Tessa Dixson</t>
  </si>
  <si>
    <t>BROODS</t>
  </si>
  <si>
    <t>Betty Who</t>
  </si>
  <si>
    <t>josh pan</t>
  </si>
  <si>
    <t>Jennie A.</t>
  </si>
  <si>
    <t>Oski</t>
  </si>
  <si>
    <t>Anuka</t>
  </si>
  <si>
    <t>Borgore</t>
  </si>
  <si>
    <t>Parker</t>
  </si>
  <si>
    <t>Outr3ach</t>
  </si>
  <si>
    <t>J-Marin</t>
  </si>
  <si>
    <t>Kaitlin Grace</t>
  </si>
  <si>
    <t>Tom DeLonge</t>
  </si>
  <si>
    <t>Angels &amp; Airwaves</t>
  </si>
  <si>
    <t>Lennon Stella</t>
  </si>
  <si>
    <t>Vargas &amp; Lagola</t>
  </si>
  <si>
    <t>Billy Raffoul</t>
  </si>
  <si>
    <t>Aaron Smith</t>
  </si>
  <si>
    <t>Luvli</t>
  </si>
  <si>
    <t>Krono</t>
  </si>
  <si>
    <t>Neev</t>
  </si>
  <si>
    <t>Møme</t>
  </si>
  <si>
    <t>Merryn Jeann</t>
  </si>
  <si>
    <t>Kirstine Stubbe Teglbjærg</t>
  </si>
  <si>
    <t>Kris Kross Amsterdam</t>
  </si>
  <si>
    <t>The Boy Next Door</t>
  </si>
  <si>
    <t>Nick Smith</t>
  </si>
  <si>
    <t>Kodaline</t>
  </si>
  <si>
    <t>Celeina Ann</t>
  </si>
  <si>
    <t>Sabrina Carpenter</t>
  </si>
  <si>
    <t>6LACK</t>
  </si>
  <si>
    <t>will.i.am</t>
  </si>
  <si>
    <t>Eva Simons</t>
  </si>
  <si>
    <t>Donna Summer</t>
  </si>
  <si>
    <t>Nick Double</t>
  </si>
  <si>
    <t>EWAVE</t>
  </si>
  <si>
    <t>Daniel Rosty</t>
  </si>
  <si>
    <t>Sash_S</t>
  </si>
  <si>
    <t>Leonail</t>
  </si>
  <si>
    <t>Svniivan</t>
  </si>
  <si>
    <t>Helion</t>
  </si>
  <si>
    <t>Mike Emilio</t>
  </si>
  <si>
    <t>Vigiland</t>
  </si>
  <si>
    <t>Lykke Li</t>
  </si>
  <si>
    <t>The Magician</t>
  </si>
  <si>
    <t>Daniela Andrade</t>
  </si>
  <si>
    <t>Galwaro</t>
  </si>
  <si>
    <t>LIINII</t>
  </si>
  <si>
    <t>Drenchill</t>
  </si>
  <si>
    <t>Indiiana</t>
  </si>
  <si>
    <t>Danko</t>
  </si>
  <si>
    <t>Dastic</t>
  </si>
  <si>
    <t>Aiobahn</t>
  </si>
  <si>
    <t>Ralph Larenzo</t>
  </si>
  <si>
    <t>Bo Bruce</t>
  </si>
  <si>
    <t>Skyler Stonestreet</t>
  </si>
  <si>
    <t>Route 94</t>
  </si>
  <si>
    <t>Jess Glynne</t>
  </si>
  <si>
    <t>Sander van Doorn</t>
  </si>
  <si>
    <t>DVBBS</t>
  </si>
  <si>
    <t>Iselin</t>
  </si>
  <si>
    <t>Juicy J</t>
  </si>
  <si>
    <t>John Martin</t>
  </si>
  <si>
    <t>G-Eazy</t>
  </si>
  <si>
    <t>Panzer Flower</t>
  </si>
  <si>
    <t>Hubert Tubbs</t>
  </si>
  <si>
    <t>Kane Brown</t>
  </si>
  <si>
    <t>Clean Bandit</t>
  </si>
  <si>
    <t>Azuria Sky</t>
  </si>
  <si>
    <t>MVRE</t>
  </si>
  <si>
    <t>Robi</t>
  </si>
  <si>
    <t>Catas</t>
  </si>
  <si>
    <t>Rudimental</t>
  </si>
  <si>
    <t>James Arthur</t>
  </si>
  <si>
    <t>Lil Pump</t>
  </si>
  <si>
    <t>Stefy De Cicco</t>
  </si>
  <si>
    <t>MKLA</t>
  </si>
  <si>
    <t>Lexi Norton</t>
  </si>
  <si>
    <t>iDA HAWK</t>
  </si>
  <si>
    <t>BOXINBOX</t>
  </si>
  <si>
    <t>Lionsize</t>
  </si>
  <si>
    <t>Lexie</t>
  </si>
  <si>
    <t>Levianth</t>
  </si>
  <si>
    <t>Charzrd</t>
  </si>
  <si>
    <t>Ghaspar</t>
  </si>
  <si>
    <t>Geriel</t>
  </si>
  <si>
    <t>Monika Santucci</t>
  </si>
  <si>
    <t>jbst:arc</t>
  </si>
  <si>
    <t>Kayla Beck</t>
  </si>
  <si>
    <t>Kevin Underground</t>
  </si>
  <si>
    <t>Linn Sandin</t>
  </si>
  <si>
    <t>Airmow</t>
  </si>
  <si>
    <t>Kayla Diamond</t>
  </si>
  <si>
    <t>vowl.</t>
  </si>
  <si>
    <t>Brock Wilson</t>
  </si>
  <si>
    <t>Panama</t>
  </si>
  <si>
    <t>LOWES</t>
  </si>
  <si>
    <t>Hayley Williams</t>
  </si>
  <si>
    <t>Seann Bowe</t>
  </si>
  <si>
    <t>Sinner's Heist</t>
  </si>
  <si>
    <t>Wasback</t>
  </si>
  <si>
    <t>Beatcore</t>
  </si>
  <si>
    <t>Trevor Daniel</t>
  </si>
  <si>
    <t>Chandler Leighton</t>
  </si>
  <si>
    <t>Navarra</t>
  </si>
  <si>
    <t>Swedish Red Elephant</t>
  </si>
  <si>
    <t>Belle Doron</t>
  </si>
  <si>
    <t>Gavin Moss</t>
  </si>
  <si>
    <t>Dalvin</t>
  </si>
  <si>
    <t>YUNGBLUD</t>
  </si>
  <si>
    <t>Oliver</t>
  </si>
  <si>
    <t>Melanie Fontana</t>
  </si>
  <si>
    <t>JiKay</t>
  </si>
  <si>
    <t>Ellipso</t>
  </si>
  <si>
    <t>Emy Perez</t>
  </si>
  <si>
    <t>Xhara</t>
  </si>
  <si>
    <t>ROLLUPHILLS</t>
  </si>
  <si>
    <t>Ranked</t>
  </si>
  <si>
    <t>Lox Chatterbox</t>
  </si>
  <si>
    <t>Issa Hater</t>
  </si>
  <si>
    <t>Markus Gardeweg</t>
  </si>
  <si>
    <t>A-Trak</t>
  </si>
  <si>
    <t>MNKN</t>
  </si>
  <si>
    <t>XOMA</t>
  </si>
  <si>
    <t>DJ Maca Atomix</t>
  </si>
  <si>
    <t>Aire Atlantica</t>
  </si>
  <si>
    <t>Tarrus Riley</t>
  </si>
  <si>
    <t>Dia Frampton</t>
  </si>
  <si>
    <t>Caroline Pennell</t>
  </si>
  <si>
    <t>Ralvero</t>
  </si>
  <si>
    <t>Ina</t>
  </si>
  <si>
    <t>Mark The Beast</t>
  </si>
  <si>
    <t>Akylla</t>
  </si>
  <si>
    <t>New World Sound</t>
  </si>
  <si>
    <t>Thomas Newson</t>
  </si>
  <si>
    <t>Tomsize</t>
  </si>
  <si>
    <t>Simeon</t>
  </si>
  <si>
    <t>Foxes</t>
  </si>
  <si>
    <t>Yuna</t>
  </si>
  <si>
    <t>Ritviz</t>
  </si>
  <si>
    <t>NÉONHÈART</t>
  </si>
  <si>
    <t>greisun</t>
  </si>
  <si>
    <t>Opia</t>
  </si>
  <si>
    <t>Out There</t>
  </si>
  <si>
    <t>Personne</t>
  </si>
  <si>
    <t>Quavo</t>
  </si>
  <si>
    <t>Bhaskar</t>
  </si>
  <si>
    <t>Macklemore</t>
  </si>
  <si>
    <t>CMC$</t>
  </si>
  <si>
    <t>CADE</t>
  </si>
  <si>
    <t>Cartoon</t>
  </si>
  <si>
    <t>Coleman Trapp</t>
  </si>
  <si>
    <t>The Lifted</t>
  </si>
  <si>
    <t>Ashliann</t>
  </si>
  <si>
    <t>Anarbor</t>
  </si>
  <si>
    <t>JT Roach</t>
  </si>
  <si>
    <t>Dylan Matthew</t>
  </si>
  <si>
    <t>Mikky Ekko</t>
  </si>
  <si>
    <t>Damian Taylor</t>
  </si>
  <si>
    <t>John Spiker</t>
  </si>
  <si>
    <t>Matisse &amp; Sadko</t>
  </si>
  <si>
    <t>Hanne Mjøen</t>
  </si>
  <si>
    <t>SEELO</t>
  </si>
  <si>
    <t>Mona V</t>
  </si>
  <si>
    <t>Dirtyphonics</t>
  </si>
  <si>
    <t>Kayzo</t>
  </si>
  <si>
    <t>Mayor Apeshit</t>
  </si>
  <si>
    <t>Dragonette</t>
  </si>
  <si>
    <t>Dillon Francis</t>
  </si>
  <si>
    <t>James Hersey</t>
  </si>
  <si>
    <t>Poo Bear</t>
  </si>
  <si>
    <t>kai</t>
  </si>
  <si>
    <t>Katie Pearlman</t>
  </si>
  <si>
    <t>Calle Lehmann</t>
  </si>
  <si>
    <t>Maia Wright</t>
  </si>
  <si>
    <t>Sara Skinner</t>
  </si>
  <si>
    <t>Matte</t>
  </si>
  <si>
    <t>Amidy</t>
  </si>
  <si>
    <t>Akira Flay</t>
  </si>
  <si>
    <t>Ruben</t>
  </si>
  <si>
    <t>Fagin</t>
  </si>
  <si>
    <t>I Prevail</t>
  </si>
  <si>
    <t>Keri Hilson</t>
  </si>
  <si>
    <t>D.O.E.</t>
  </si>
  <si>
    <t>Idina Menzel</t>
  </si>
  <si>
    <t>Evan Rachel Wood</t>
  </si>
  <si>
    <t>Wolfgang Gartner</t>
  </si>
  <si>
    <t>Bobby Saint</t>
  </si>
  <si>
    <t>Chime</t>
  </si>
  <si>
    <t>Adam Tell</t>
  </si>
  <si>
    <t>Julian Casablancas</t>
  </si>
  <si>
    <t>Karin Dreijer Andersson</t>
  </si>
  <si>
    <t>Fever Ray</t>
  </si>
  <si>
    <t>Mindy</t>
  </si>
  <si>
    <t>Brando</t>
  </si>
  <si>
    <t>Nightlane</t>
  </si>
  <si>
    <t>Jordyn Kane</t>
  </si>
  <si>
    <t>Snareskin</t>
  </si>
  <si>
    <t>Twan Ray</t>
  </si>
  <si>
    <t>Elliot Berger</t>
  </si>
  <si>
    <t>DYSTOPIA</t>
  </si>
  <si>
    <t>Alex Ebert</t>
  </si>
  <si>
    <t>Sandro Cavazza</t>
  </si>
  <si>
    <t>Melody Thornton</t>
  </si>
  <si>
    <t>Dynoro</t>
  </si>
  <si>
    <t>Crywolf</t>
  </si>
  <si>
    <t>Charity Vance</t>
  </si>
  <si>
    <t>STRFKR</t>
  </si>
  <si>
    <t>Chloe Angelides</t>
  </si>
  <si>
    <t>Avonlea</t>
  </si>
  <si>
    <t>Waysons</t>
  </si>
  <si>
    <t>Shel Bee</t>
  </si>
  <si>
    <t>Daza</t>
  </si>
  <si>
    <t>Barbara Olfers</t>
  </si>
  <si>
    <t>will crockford</t>
  </si>
  <si>
    <t>Jenaux</t>
  </si>
  <si>
    <t>Steph Jones</t>
  </si>
  <si>
    <t>Angel Taylor</t>
  </si>
  <si>
    <t>Londin Thompson</t>
  </si>
  <si>
    <t>Almost Weekend</t>
  </si>
  <si>
    <t>Alvaro Delgado</t>
  </si>
  <si>
    <t>VVSV</t>
  </si>
  <si>
    <t>SAN-G</t>
  </si>
  <si>
    <t>A-SHO</t>
  </si>
  <si>
    <t>Capree</t>
  </si>
  <si>
    <t>Big Gigantic</t>
  </si>
  <si>
    <t>ROZES</t>
  </si>
  <si>
    <t>GRiZ</t>
  </si>
  <si>
    <t>Cherub</t>
  </si>
  <si>
    <t>Digital Farm Animals</t>
  </si>
  <si>
    <t>Nelly</t>
  </si>
  <si>
    <t>Cesqeaux</t>
  </si>
  <si>
    <t>Sofía Reyes</t>
  </si>
  <si>
    <t>Villms</t>
  </si>
  <si>
    <t>NGHTIME!</t>
  </si>
  <si>
    <t>Cammie Robinson</t>
  </si>
  <si>
    <t>Aash Mehta</t>
  </si>
  <si>
    <t>Nitti Gritti</t>
  </si>
  <si>
    <t>why mona</t>
  </si>
  <si>
    <t>Vera Blue</t>
  </si>
  <si>
    <t>IIVES</t>
  </si>
  <si>
    <t>sirenXX</t>
  </si>
  <si>
    <t>MK</t>
  </si>
  <si>
    <t>Ester Dean</t>
  </si>
  <si>
    <t>Kelsea Ballerini</t>
  </si>
  <si>
    <t>Spree Wilson</t>
  </si>
  <si>
    <t>Sebastian Ingrosso</t>
  </si>
  <si>
    <t>Axwell</t>
  </si>
  <si>
    <t>Bingo Players</t>
  </si>
  <si>
    <t>Far East Movement</t>
  </si>
  <si>
    <t>CoMa</t>
  </si>
  <si>
    <t>Emily Warren</t>
  </si>
  <si>
    <t>Haywyre</t>
  </si>
  <si>
    <t>Slow Magic</t>
  </si>
  <si>
    <t>Faul &amp; Wad</t>
  </si>
  <si>
    <t>Billy Ray Cyrus</t>
  </si>
  <si>
    <t>CHANYEOL</t>
  </si>
  <si>
    <t>Tinashe</t>
  </si>
  <si>
    <t>Cover Drive</t>
  </si>
  <si>
    <t>The Cataracs</t>
  </si>
  <si>
    <t>DEV</t>
  </si>
  <si>
    <t>French Montana</t>
  </si>
  <si>
    <t>Dakota</t>
  </si>
  <si>
    <t>B.o.B</t>
  </si>
  <si>
    <t>ALMA</t>
  </si>
  <si>
    <t>21 Savage</t>
  </si>
  <si>
    <t>Nile Rodgers</t>
  </si>
  <si>
    <t>Gym Class Heroes</t>
  </si>
  <si>
    <t>Adam Levine</t>
  </si>
  <si>
    <t>Starley</t>
  </si>
  <si>
    <t>Gabriela Richardson</t>
  </si>
  <si>
    <t>RAYE</t>
  </si>
  <si>
    <t>Jabberwocky</t>
  </si>
  <si>
    <t>Cappagli</t>
  </si>
  <si>
    <t>Owlle</t>
  </si>
  <si>
    <t>Ana Zimmer</t>
  </si>
  <si>
    <t>BLOW</t>
  </si>
  <si>
    <t>Tessa B</t>
  </si>
  <si>
    <t>Elodie Wildstars</t>
  </si>
  <si>
    <t>Diskord</t>
  </si>
  <si>
    <t>Leon Bridges</t>
  </si>
  <si>
    <t>Tycho</t>
  </si>
  <si>
    <t>Ødyssey</t>
  </si>
  <si>
    <t>Breana Marin</t>
  </si>
  <si>
    <t>Taylor Bennett</t>
  </si>
  <si>
    <t>Frank Ocean</t>
  </si>
  <si>
    <t>Migos</t>
  </si>
  <si>
    <t>Miss Lina</t>
  </si>
  <si>
    <t>LIL BRAIN</t>
  </si>
  <si>
    <t>V. Bozeman</t>
  </si>
  <si>
    <t>Death Stranding: Timefall</t>
  </si>
  <si>
    <t>Florence + The Machine</t>
  </si>
  <si>
    <t>CXLOE</t>
  </si>
  <si>
    <t>ALICE FRANCE</t>
  </si>
  <si>
    <t>Richard Caddock</t>
  </si>
  <si>
    <t>WRLD</t>
  </si>
  <si>
    <t>Nitro Fun</t>
  </si>
  <si>
    <t>Selah Ford</t>
  </si>
  <si>
    <t>Cailin Russo</t>
  </si>
  <si>
    <t>Chrissy Costanza</t>
  </si>
  <si>
    <t>ADGRMS</t>
  </si>
  <si>
    <t>Jackswan</t>
  </si>
  <si>
    <t>Burnheart</t>
  </si>
  <si>
    <t>Madison Mars</t>
  </si>
  <si>
    <t>Caslin</t>
  </si>
  <si>
    <t>Gareth Emery</t>
  </si>
  <si>
    <t>Lemon Fight</t>
  </si>
  <si>
    <t>Jessica Reynoso</t>
  </si>
  <si>
    <t>Saint Clue</t>
  </si>
  <si>
    <t>Notaker</t>
  </si>
  <si>
    <t>Tom Bradley</t>
  </si>
  <si>
    <t>Yonetro</t>
  </si>
  <si>
    <t>Ericovich</t>
  </si>
  <si>
    <t>Young Bombs</t>
  </si>
  <si>
    <t>Jaydon Lewis</t>
  </si>
  <si>
    <t>BRKLYN</t>
  </si>
  <si>
    <t>Lenachka</t>
  </si>
  <si>
    <t>Refeci</t>
  </si>
  <si>
    <t>Robbie Koex</t>
  </si>
  <si>
    <t>Micah Martin</t>
  </si>
  <si>
    <t>Julian Calor</t>
  </si>
  <si>
    <t>Ava Silver</t>
  </si>
  <si>
    <t>AFRIK</t>
  </si>
  <si>
    <t>romi</t>
  </si>
  <si>
    <t>Caleb Welch</t>
  </si>
  <si>
    <t>Eliza Roe</t>
  </si>
  <si>
    <t>Virus Syndicate</t>
  </si>
  <si>
    <t>Skylr</t>
  </si>
  <si>
    <t>LINDZ</t>
  </si>
  <si>
    <t>Yøungbløød</t>
  </si>
  <si>
    <t>Sydnee Carter</t>
  </si>
  <si>
    <t>Karma Fields</t>
  </si>
  <si>
    <t>Alex Gaudino</t>
  </si>
  <si>
    <t>Crystal Waters</t>
  </si>
  <si>
    <t>Benny Benassi</t>
  </si>
  <si>
    <t>Gary Go</t>
  </si>
  <si>
    <t>Sirah</t>
  </si>
  <si>
    <t>Rob Swire</t>
  </si>
  <si>
    <t>Kevin Acero</t>
  </si>
  <si>
    <t>Joyia</t>
  </si>
  <si>
    <t>Danny Fernandes</t>
  </si>
  <si>
    <t>Victoria Zaro</t>
  </si>
  <si>
    <t>Haley Reinhart</t>
  </si>
  <si>
    <t>Tony Igy</t>
  </si>
  <si>
    <t>Wanz</t>
  </si>
  <si>
    <t>Rendell Stovall</t>
  </si>
  <si>
    <t>Jimmy Hardwind</t>
  </si>
  <si>
    <t>Mike Archangelo</t>
  </si>
  <si>
    <t>Motion Blur</t>
  </si>
  <si>
    <t>Peter Jessy</t>
  </si>
  <si>
    <t>Erika Sirola</t>
  </si>
  <si>
    <t>Troye Sivan</t>
  </si>
  <si>
    <t>Meghan Trainor</t>
  </si>
  <si>
    <t>MYRNE</t>
  </si>
  <si>
    <t>Wafia</t>
  </si>
  <si>
    <t>Beth Duck</t>
  </si>
  <si>
    <t>CATZE</t>
  </si>
  <si>
    <t>Rad Cat</t>
  </si>
  <si>
    <t>Dutch Melrose</t>
  </si>
  <si>
    <t>Salvatore Ganacci</t>
  </si>
  <si>
    <t>7 Skies</t>
  </si>
  <si>
    <t>Ocean Park Standoff</t>
  </si>
  <si>
    <t>MIKVH</t>
  </si>
  <si>
    <t>Laurell</t>
  </si>
  <si>
    <t>Ryan Brahms</t>
  </si>
  <si>
    <t>ShiShi</t>
  </si>
  <si>
    <t>Airia</t>
  </si>
  <si>
    <t>J12</t>
  </si>
  <si>
    <t>ToWonder</t>
  </si>
  <si>
    <t>Tom Wilson</t>
  </si>
  <si>
    <t>Matt Komo</t>
  </si>
  <si>
    <t>Emily Zeck</t>
  </si>
  <si>
    <t>A R I Z O N A</t>
  </si>
  <si>
    <t>Lipless</t>
  </si>
  <si>
    <t>Danny Olson</t>
  </si>
  <si>
    <t>Jadelyn</t>
  </si>
  <si>
    <t>Regions</t>
  </si>
  <si>
    <t>Synapson</t>
  </si>
  <si>
    <t>Victor Démé</t>
  </si>
  <si>
    <t>Anna Kova</t>
  </si>
  <si>
    <t>Cassidy King</t>
  </si>
  <si>
    <t>Fraxo</t>
  </si>
  <si>
    <t>El Speaker</t>
  </si>
  <si>
    <t>Highdiwaan</t>
  </si>
  <si>
    <t>Reo Cragun</t>
  </si>
  <si>
    <t>BEAM</t>
  </si>
  <si>
    <t>Mister Blonde</t>
  </si>
  <si>
    <t>Bolshiee</t>
  </si>
  <si>
    <t>Luchi</t>
  </si>
  <si>
    <t>Whoshafee</t>
  </si>
  <si>
    <t>Phil Good</t>
  </si>
  <si>
    <t>Kyan</t>
  </si>
  <si>
    <t>Childish Gambino</t>
  </si>
  <si>
    <t>High Klassified</t>
  </si>
  <si>
    <t>Zach Zoya</t>
  </si>
  <si>
    <t>Guru Josh Project</t>
  </si>
  <si>
    <t>Klaas</t>
  </si>
  <si>
    <t>Louisa Johnson</t>
  </si>
  <si>
    <t>Demi Lovato</t>
  </si>
  <si>
    <t>ZAYN</t>
  </si>
  <si>
    <t>Nyla</t>
  </si>
  <si>
    <t>Fuse ODG</t>
  </si>
  <si>
    <t>Ina Wroldsen</t>
  </si>
  <si>
    <t>Next to Neon</t>
  </si>
  <si>
    <t>A:M</t>
  </si>
  <si>
    <t>Crystal Fighters</t>
  </si>
  <si>
    <t>William Singe</t>
  </si>
  <si>
    <t>JP Cooper</t>
  </si>
  <si>
    <t>Funk Wav</t>
  </si>
  <si>
    <t>Disciples</t>
  </si>
  <si>
    <t>Jessie Reyez</t>
  </si>
  <si>
    <t>Jack &amp; Jack</t>
  </si>
  <si>
    <t>Breakbot</t>
  </si>
  <si>
    <t>Irfane</t>
  </si>
  <si>
    <t>Hurts</t>
  </si>
  <si>
    <t>Jocelyn Alice</t>
  </si>
  <si>
    <t>Slushii</t>
  </si>
  <si>
    <t>ARMNHMR</t>
  </si>
  <si>
    <t>ASHR</t>
  </si>
  <si>
    <t>Desiree Dawson</t>
  </si>
  <si>
    <t>Kameron</t>
  </si>
  <si>
    <t>Anna Clendening</t>
  </si>
  <si>
    <t>OEKIIN</t>
  </si>
  <si>
    <t>Georgia Ku</t>
  </si>
  <si>
    <t>BloodPop®</t>
  </si>
  <si>
    <t>Mike Waters</t>
  </si>
  <si>
    <t>SNOWMASS</t>
  </si>
  <si>
    <t>Mona Moua</t>
  </si>
  <si>
    <t>Ojivolta</t>
  </si>
  <si>
    <t>Jorgen Odegard</t>
  </si>
  <si>
    <t>Cardi B</t>
  </si>
  <si>
    <t>Lido</t>
  </si>
  <si>
    <t>Defqwop</t>
  </si>
  <si>
    <t>STRIX</t>
  </si>
  <si>
    <t>Valentina Franco</t>
  </si>
  <si>
    <t>EH!DE</t>
  </si>
  <si>
    <t>June</t>
  </si>
  <si>
    <t>Kyla</t>
  </si>
  <si>
    <t>Cecilia Krull</t>
  </si>
  <si>
    <t>Deep Chills</t>
  </si>
  <si>
    <t>Emma Carn</t>
  </si>
  <si>
    <t>filous</t>
  </si>
  <si>
    <t>Janieck Devy</t>
  </si>
  <si>
    <t>Dante Klein</t>
  </si>
  <si>
    <t>Bryn Christopher</t>
  </si>
  <si>
    <t>Mike Perry</t>
  </si>
  <si>
    <t>B▲BY</t>
  </si>
  <si>
    <t>Matoma</t>
  </si>
  <si>
    <t>Dreamhour</t>
  </si>
  <si>
    <t>Hook N Sling</t>
  </si>
  <si>
    <t>Mr. Probz</t>
  </si>
  <si>
    <t>Florida Georgia Line</t>
  </si>
  <si>
    <t>WATT</t>
  </si>
  <si>
    <t>Niall Horan</t>
  </si>
  <si>
    <t>Ashe</t>
  </si>
  <si>
    <t>Mascolo</t>
  </si>
  <si>
    <t>Oliver Tree</t>
  </si>
  <si>
    <t>Cal</t>
  </si>
  <si>
    <t>RL Grime</t>
  </si>
  <si>
    <t>Just Kiddin</t>
  </si>
  <si>
    <t>Camden Cox</t>
  </si>
  <si>
    <t>Maria Hazell</t>
  </si>
  <si>
    <t>Son Mieux</t>
  </si>
  <si>
    <t>Leah Kelly</t>
  </si>
  <si>
    <t>Paul Meany</t>
  </si>
  <si>
    <t>Jonathan Mendelsohn</t>
  </si>
  <si>
    <t>Above &amp; Beyond</t>
  </si>
  <si>
    <t>Zoë Johnston</t>
  </si>
  <si>
    <t>Morgan Page</t>
  </si>
  <si>
    <t>Flapo</t>
  </si>
  <si>
    <t>Jenni Potts</t>
  </si>
  <si>
    <t>Freestylers</t>
  </si>
  <si>
    <t>Belle Humble</t>
  </si>
  <si>
    <t>Memorecks</t>
  </si>
  <si>
    <t>Silk City</t>
  </si>
  <si>
    <t>Nina Sky</t>
  </si>
  <si>
    <t>Basenji</t>
  </si>
  <si>
    <t>Tkay Maidza</t>
  </si>
  <si>
    <t>Paces</t>
  </si>
  <si>
    <t>NYNE</t>
  </si>
  <si>
    <t>Savoi</t>
  </si>
  <si>
    <t>Paige IV</t>
  </si>
  <si>
    <t>MOZA</t>
  </si>
  <si>
    <t>Yvng Jalapeño</t>
  </si>
  <si>
    <t>Joni Fatora</t>
  </si>
  <si>
    <t>Stargate</t>
  </si>
  <si>
    <t>Curbi</t>
  </si>
  <si>
    <t>Mesto</t>
  </si>
  <si>
    <t>Firebeatz</t>
  </si>
  <si>
    <t>Nicky Romero</t>
  </si>
  <si>
    <t>Third Party</t>
  </si>
  <si>
    <t>SOLANO</t>
  </si>
  <si>
    <t>Zestty &amp; Lev</t>
  </si>
  <si>
    <t>Jai Wolf</t>
  </si>
  <si>
    <t>Mike Posner</t>
  </si>
  <si>
    <t>JJD</t>
  </si>
  <si>
    <t>Video Games Live</t>
  </si>
  <si>
    <t>Jason Paige</t>
  </si>
  <si>
    <t>Stasia Estep</t>
  </si>
  <si>
    <t>Slaydit</t>
  </si>
  <si>
    <t>Oskar Flood</t>
  </si>
  <si>
    <t>Cadre</t>
  </si>
  <si>
    <t>Helen Tess</t>
  </si>
  <si>
    <t>Leanys</t>
  </si>
  <si>
    <t>Abby Sevcik</t>
  </si>
  <si>
    <t>Delacey</t>
  </si>
  <si>
    <t>Charity Lane</t>
  </si>
  <si>
    <t>Nard</t>
  </si>
  <si>
    <t>White Panda</t>
  </si>
  <si>
    <t>Sedliv</t>
  </si>
  <si>
    <t>Kinnie Lane</t>
  </si>
  <si>
    <t>Urban Cone</t>
  </si>
  <si>
    <t>Amy Millan</t>
  </si>
  <si>
    <t>EMEL</t>
  </si>
  <si>
    <t>Greta</t>
  </si>
  <si>
    <t>Panda Bear</t>
  </si>
  <si>
    <t>Louis Tomlinson</t>
  </si>
  <si>
    <t>Khai</t>
  </si>
  <si>
    <t>Riah</t>
  </si>
  <si>
    <t>Keiynan Lonsdale</t>
  </si>
  <si>
    <t>Cody Lovaas</t>
  </si>
  <si>
    <t>Nate Dogg</t>
  </si>
  <si>
    <t>THEY.</t>
  </si>
  <si>
    <t>Medasin</t>
  </si>
  <si>
    <t>Nightcore</t>
  </si>
  <si>
    <t>Gostan</t>
  </si>
  <si>
    <t>De Hofnar</t>
  </si>
  <si>
    <t>LISTENBEE</t>
  </si>
  <si>
    <t>Naz Tokio</t>
  </si>
  <si>
    <t>Emmi</t>
  </si>
  <si>
    <t>Alex Aiono</t>
  </si>
  <si>
    <t>Ephemerals</t>
  </si>
  <si>
    <t>Jamie N Commons</t>
  </si>
  <si>
    <t>Cookin' On 3 Burners</t>
  </si>
  <si>
    <t>OMI</t>
  </si>
  <si>
    <t>The Notorious B.I.G.</t>
  </si>
  <si>
    <t>Ja Rule</t>
  </si>
  <si>
    <t>Feed Me</t>
  </si>
  <si>
    <t>Angela McCluskey</t>
  </si>
  <si>
    <t>Charlotte OC</t>
  </si>
  <si>
    <t>atlas</t>
  </si>
  <si>
    <t>Rivers Cuomo</t>
  </si>
  <si>
    <t>House Of Wolf</t>
  </si>
  <si>
    <t>Esther Sparkes</t>
  </si>
  <si>
    <t>Joey Chavez</t>
  </si>
  <si>
    <t>Star Party</t>
  </si>
  <si>
    <t>SVNAH</t>
  </si>
  <si>
    <t>Didrick</t>
  </si>
  <si>
    <t>Amanda Fondell</t>
  </si>
  <si>
    <t>RAIGN</t>
  </si>
  <si>
    <t>A Touch Of Class</t>
  </si>
  <si>
    <t>Dannic</t>
  </si>
  <si>
    <t>LVTHER</t>
  </si>
  <si>
    <t>Mammals</t>
  </si>
  <si>
    <t>Rmarni</t>
  </si>
  <si>
    <t>xKore</t>
  </si>
  <si>
    <t>Call Me Karizma</t>
  </si>
  <si>
    <t>Wasiu</t>
  </si>
  <si>
    <t>Maren Morris</t>
  </si>
  <si>
    <t>Noonie Bao</t>
  </si>
  <si>
    <t>Joe Janiak</t>
  </si>
  <si>
    <t>Lzzy Hale</t>
  </si>
  <si>
    <t>Matluck</t>
  </si>
  <si>
    <t>Liam Payne</t>
  </si>
  <si>
    <t>Ghastly</t>
  </si>
  <si>
    <t>Jessica Main</t>
  </si>
  <si>
    <t>Flux Pavilon</t>
  </si>
  <si>
    <t>Naaz</t>
  </si>
  <si>
    <t>Mike Williams</t>
  </si>
  <si>
    <t>Oktavian</t>
  </si>
  <si>
    <t>Jasmine Sokko</t>
  </si>
  <si>
    <t>Jordan Corey</t>
  </si>
  <si>
    <t>M. Maggie</t>
  </si>
  <si>
    <t>Ally Brooke</t>
  </si>
  <si>
    <t>Norma Jean Martine</t>
  </si>
  <si>
    <t>Ansel Elgort</t>
  </si>
  <si>
    <t>Emeli Sandé</t>
  </si>
  <si>
    <t>RITUAL</t>
  </si>
  <si>
    <t>Parson James</t>
  </si>
  <si>
    <t>Justin Jesso</t>
  </si>
  <si>
    <t>Conrad Sewell</t>
  </si>
  <si>
    <t>Weezer</t>
  </si>
  <si>
    <t>Kimberley Krump</t>
  </si>
  <si>
    <t>Amara Abonta</t>
  </si>
  <si>
    <t>K'NAAN</t>
  </si>
  <si>
    <t>Féfé</t>
  </si>
  <si>
    <t>Diddy - Dirty Money</t>
  </si>
  <si>
    <t>Parov Stelar</t>
  </si>
  <si>
    <t>Graham Candy</t>
  </si>
  <si>
    <t>LissA</t>
  </si>
  <si>
    <t>Hermitude</t>
  </si>
  <si>
    <t>Big K.R.I.T.</t>
  </si>
  <si>
    <t>Mataya</t>
  </si>
  <si>
    <t>Mike Taylor</t>
  </si>
  <si>
    <t>Hotel Garuda</t>
  </si>
  <si>
    <t>Violet Days</t>
  </si>
  <si>
    <t>Grace Grundy</t>
  </si>
  <si>
    <t>Shara</t>
  </si>
  <si>
    <t>Benta</t>
  </si>
  <si>
    <t>AObeats</t>
  </si>
  <si>
    <t>Liam O'Donnell</t>
  </si>
  <si>
    <t>Helen</t>
  </si>
  <si>
    <t>Eurythmics</t>
  </si>
  <si>
    <t>Annie Lennox</t>
  </si>
  <si>
    <t>Dave Stewart</t>
  </si>
  <si>
    <t>Strange Talk</t>
  </si>
  <si>
    <t>Bertie Blackman</t>
  </si>
  <si>
    <t>Outwild</t>
  </si>
  <si>
    <t>Willa</t>
  </si>
  <si>
    <t>Anna Pancaldi</t>
  </si>
  <si>
    <t>Kelli-Leigh</t>
  </si>
  <si>
    <t>Sevenn</t>
  </si>
  <si>
    <t>Preme</t>
  </si>
  <si>
    <t>Sidnie Tipton</t>
  </si>
  <si>
    <t>Jake Reese</t>
  </si>
  <si>
    <t>Yves V</t>
  </si>
  <si>
    <t>Hardwell</t>
  </si>
  <si>
    <t>SMACK</t>
  </si>
  <si>
    <t>Gigi D'Agostino</t>
  </si>
  <si>
    <t>Sage The Gemini</t>
  </si>
  <si>
    <t>MAGIC!</t>
  </si>
  <si>
    <t>Usher</t>
  </si>
  <si>
    <t>Kelly Rowland</t>
  </si>
  <si>
    <t>Chris Willis</t>
  </si>
  <si>
    <t>Fred Riester</t>
  </si>
  <si>
    <t>Joachim Garraud</t>
  </si>
  <si>
    <t>Tara Mcdonald</t>
  </si>
  <si>
    <t>Steve Angello</t>
  </si>
  <si>
    <t>Cozi</t>
  </si>
  <si>
    <t>JD Davis</t>
  </si>
  <si>
    <t>Rezz</t>
  </si>
  <si>
    <t>The Powder Room</t>
  </si>
  <si>
    <t>Axol</t>
  </si>
  <si>
    <t>Krale</t>
  </si>
  <si>
    <t>benny blanco</t>
  </si>
  <si>
    <t>Wild Belle</t>
  </si>
  <si>
    <t>Olivia Noelle</t>
  </si>
  <si>
    <t>Sofia Carson</t>
  </si>
  <si>
    <t>Sophia Somajo</t>
  </si>
  <si>
    <t>ISÁK</t>
  </si>
  <si>
    <t>Tomine Harket</t>
  </si>
  <si>
    <t>Emelie Hollow</t>
  </si>
  <si>
    <t>Eric Nam</t>
  </si>
  <si>
    <t>Kwesi</t>
  </si>
  <si>
    <t>Origami</t>
  </si>
  <si>
    <t>Electra Mustaine</t>
  </si>
  <si>
    <t>Highasakite</t>
  </si>
  <si>
    <t>Lola Blanc</t>
  </si>
  <si>
    <t>1788-L</t>
  </si>
  <si>
    <t>Nina Sung</t>
  </si>
  <si>
    <t>Dana Salah</t>
  </si>
  <si>
    <t>SKYLR</t>
  </si>
  <si>
    <t>Emilie Brandt</t>
  </si>
  <si>
    <t>Fabian Mazur</t>
  </si>
  <si>
    <t>Alina Baraz</t>
  </si>
  <si>
    <t>yetep</t>
  </si>
  <si>
    <t>Brooke Daye</t>
  </si>
  <si>
    <t>CRAY</t>
  </si>
  <si>
    <t>Chelsea Jade</t>
  </si>
  <si>
    <t>John Mayer</t>
  </si>
  <si>
    <t>Lil Yachty</t>
  </si>
  <si>
    <t>Joyner Lucas</t>
  </si>
  <si>
    <t>Louane</t>
  </si>
  <si>
    <t>Eliza Doolittle</t>
  </si>
  <si>
    <t>Captain Cuts</t>
  </si>
  <si>
    <t>Rat City</t>
  </si>
  <si>
    <t>Isak Heim</t>
  </si>
  <si>
    <t>Naomi Wild</t>
  </si>
  <si>
    <t>Sofie Winterson</t>
  </si>
  <si>
    <t>CUT_</t>
  </si>
  <si>
    <t>Good Bear</t>
  </si>
  <si>
    <t>Krista Marina</t>
  </si>
  <si>
    <t>Conor Byrne</t>
  </si>
  <si>
    <t>Madelyn Grant</t>
  </si>
  <si>
    <t>Zyra</t>
  </si>
  <si>
    <t>King Deco</t>
  </si>
  <si>
    <t>Artiste</t>
  </si>
  <si>
    <t>nova mpb</t>
  </si>
  <si>
    <t>rebel blues</t>
  </si>
  <si>
    <t>indie anthem-folk</t>
  </si>
  <si>
    <t>latin arena pop</t>
  </si>
  <si>
    <t>mexican pop</t>
  </si>
  <si>
    <t>italian hip hop</t>
  </si>
  <si>
    <t>italian pop</t>
  </si>
  <si>
    <t>pop virale italiano</t>
  </si>
  <si>
    <t>rap napoletano</t>
  </si>
  <si>
    <t>spanish pop</t>
  </si>
  <si>
    <t>reggaeton colombiano</t>
  </si>
  <si>
    <t>bolobedu house</t>
  </si>
  <si>
    <t>south african house</t>
  </si>
  <si>
    <t>afro soul</t>
  </si>
  <si>
    <t>neo-singer-songwriter</t>
  </si>
  <si>
    <t>album rock</t>
  </si>
  <si>
    <t>classic rock</t>
  </si>
  <si>
    <t>country rock</t>
  </si>
  <si>
    <t>folk rock</t>
  </si>
  <si>
    <t>heartland rock</t>
  </si>
  <si>
    <t>mellow gold</t>
  </si>
  <si>
    <t>yacht rock</t>
  </si>
  <si>
    <t>rap inde</t>
  </si>
  <si>
    <t>progressive trance</t>
  </si>
  <si>
    <t>uplifting trance</t>
  </si>
  <si>
    <t>lds</t>
  </si>
  <si>
    <t>vapor pop</t>
  </si>
  <si>
    <t>big beat</t>
  </si>
  <si>
    <t>downtempo</t>
  </si>
  <si>
    <t>trip hop</t>
  </si>
  <si>
    <t>indie pop rap</t>
  </si>
  <si>
    <t>desi pop</t>
  </si>
  <si>
    <t>hawaiian</t>
  </si>
  <si>
    <t>pop soul</t>
  </si>
  <si>
    <t>uk alternative pop</t>
  </si>
  <si>
    <t>dark pop</t>
  </si>
  <si>
    <t>stomp and holler</t>
  </si>
  <si>
    <t>breakbeat</t>
  </si>
  <si>
    <t>east coast hip hop</t>
  </si>
  <si>
    <t>hardcore hip hop</t>
  </si>
  <si>
    <t>wu fam</t>
  </si>
  <si>
    <t>chill pop</t>
  </si>
  <si>
    <t>chill r&amp;b</t>
  </si>
  <si>
    <t>conscious hip hop</t>
  </si>
  <si>
    <t>west coast rap</t>
  </si>
  <si>
    <t>chicago rap</t>
  </si>
  <si>
    <t>canadian metalcore</t>
  </si>
  <si>
    <t>brazilian bass</t>
  </si>
  <si>
    <t>french tech house</t>
  </si>
  <si>
    <t>french techno</t>
  </si>
  <si>
    <t>cali rap</t>
  </si>
  <si>
    <t>trap queen</t>
  </si>
  <si>
    <t>scottish techno</t>
  </si>
  <si>
    <t>irish singer-songwriter</t>
  </si>
  <si>
    <t>glam rock</t>
  </si>
  <si>
    <t>australian electropop</t>
  </si>
  <si>
    <t>italo dance</t>
  </si>
  <si>
    <t>solo wave</t>
  </si>
  <si>
    <t>soul blues</t>
  </si>
  <si>
    <t>australian indie</t>
  </si>
  <si>
    <t>blues rock</t>
  </si>
  <si>
    <t>garage rock</t>
  </si>
  <si>
    <t>modern blues rock</t>
  </si>
  <si>
    <t>punk blues</t>
  </si>
  <si>
    <t>roots rock</t>
  </si>
  <si>
    <t>german techno</t>
  </si>
  <si>
    <t>detroit hip hop</t>
  </si>
  <si>
    <t>albanian hip hop</t>
  </si>
  <si>
    <t>albanian pop</t>
  </si>
  <si>
    <t>kosovan pop</t>
  </si>
  <si>
    <t>grime</t>
  </si>
  <si>
    <t>new wave pop</t>
  </si>
  <si>
    <t>electropowerpop</t>
  </si>
  <si>
    <t>anime rock</t>
  </si>
  <si>
    <t>j-poprock</t>
  </si>
  <si>
    <t>j-rock</t>
  </si>
  <si>
    <t>japanese teen pop</t>
  </si>
  <si>
    <t>j-pixie</t>
  </si>
  <si>
    <t>indie pop</t>
  </si>
  <si>
    <t>glitch hop</t>
  </si>
  <si>
    <t>deep minimal techno</t>
  </si>
  <si>
    <t>high-tech minimal</t>
  </si>
  <si>
    <t>minimal techno</t>
  </si>
  <si>
    <t>idol</t>
  </si>
  <si>
    <t>canadian latin</t>
  </si>
  <si>
    <t>g funk</t>
  </si>
  <si>
    <t>dutch singer-songwriter</t>
  </si>
  <si>
    <t>grunge</t>
  </si>
  <si>
    <t>wave</t>
  </si>
  <si>
    <t>japanese alternative rock</t>
  </si>
  <si>
    <t>musique militaire</t>
  </si>
  <si>
    <t>russian folk</t>
  </si>
  <si>
    <t>classic dubstep</t>
  </si>
  <si>
    <t>bergen indie</t>
  </si>
  <si>
    <t>german hard rock</t>
  </si>
  <si>
    <t>german metal</t>
  </si>
  <si>
    <t>german rock</t>
  </si>
  <si>
    <t>hard rock</t>
  </si>
  <si>
    <t>metal</t>
  </si>
  <si>
    <t>uk dnb</t>
  </si>
  <si>
    <t>chicano rap</t>
  </si>
  <si>
    <t>underground hip hop</t>
  </si>
  <si>
    <t>new wave</t>
  </si>
  <si>
    <t>power pop</t>
  </si>
  <si>
    <t>west australian hip hop</t>
  </si>
  <si>
    <t>classic j-pop</t>
  </si>
  <si>
    <t>japanese singer-songwriter</t>
  </si>
  <si>
    <t>boy band</t>
  </si>
  <si>
    <t>eurovision</t>
  </si>
  <si>
    <t>vocal trance</t>
  </si>
  <si>
    <t>lds youth</t>
  </si>
  <si>
    <t>arab trap</t>
  </si>
  <si>
    <t>k-pop</t>
  </si>
  <si>
    <t>k-pop boy group</t>
  </si>
  <si>
    <t>dream pop</t>
  </si>
  <si>
    <t>k-pop girl group</t>
  </si>
  <si>
    <t>strut</t>
  </si>
  <si>
    <t>danish pop</t>
  </si>
  <si>
    <t>glitch</t>
  </si>
  <si>
    <t>hopebeat</t>
  </si>
  <si>
    <t>moroccan pop</t>
  </si>
  <si>
    <t>taiwan classical performance</t>
  </si>
  <si>
    <t>violin</t>
  </si>
  <si>
    <t>minimal tech house</t>
  </si>
  <si>
    <t>virginia hip hop</t>
  </si>
  <si>
    <t>shimmer pop</t>
  </si>
  <si>
    <t>garage house</t>
  </si>
  <si>
    <t>soulful house</t>
  </si>
  <si>
    <t>finnish indie</t>
  </si>
  <si>
    <t>dark trap</t>
  </si>
  <si>
    <t>drill</t>
  </si>
  <si>
    <t>arab electronic</t>
  </si>
  <si>
    <t>bass music</t>
  </si>
  <si>
    <t>chanson virale</t>
  </si>
  <si>
    <t>indie soul</t>
  </si>
  <si>
    <t>deep indie singer-songwriter</t>
  </si>
  <si>
    <t>deep disco house</t>
  </si>
  <si>
    <t>neon pop punk</t>
  </si>
  <si>
    <t>pop emo</t>
  </si>
  <si>
    <t>pop punk</t>
  </si>
  <si>
    <t>tempe indie</t>
  </si>
  <si>
    <t>hyperpop</t>
  </si>
  <si>
    <t>viral rap</t>
  </si>
  <si>
    <t>aesthetic rap</t>
  </si>
  <si>
    <t>pluggnb</t>
  </si>
  <si>
    <t>social media pop</t>
  </si>
  <si>
    <t>bow pop</t>
  </si>
  <si>
    <t>pop violin</t>
  </si>
  <si>
    <t>bedroom pop</t>
  </si>
  <si>
    <t>pixie</t>
  </si>
  <si>
    <t>deep filthstep</t>
  </si>
  <si>
    <t>vegas indie</t>
  </si>
  <si>
    <t>nightcore</t>
  </si>
  <si>
    <t>dancehall</t>
  </si>
  <si>
    <t>rap metal</t>
  </si>
  <si>
    <t>kelowna bc indie</t>
  </si>
  <si>
    <t>dutch dnb</t>
  </si>
  <si>
    <t>cyberpunk</t>
  </si>
  <si>
    <t>future rock</t>
  </si>
  <si>
    <t>german dnb</t>
  </si>
  <si>
    <t>drumfunk</t>
  </si>
  <si>
    <t>neurofunk</t>
  </si>
  <si>
    <t>jacksonville indie</t>
  </si>
  <si>
    <t>montreal indie</t>
  </si>
  <si>
    <t>queercore</t>
  </si>
  <si>
    <t>ai</t>
  </si>
  <si>
    <t>deconstructed club</t>
  </si>
  <si>
    <t>experimental pop</t>
  </si>
  <si>
    <t>fluxwork</t>
  </si>
  <si>
    <t>swedish drill</t>
  </si>
  <si>
    <t>swedish hip hop</t>
  </si>
  <si>
    <t>swedish reggae</t>
  </si>
  <si>
    <t>swedish trap</t>
  </si>
  <si>
    <t>swedish trap pop</t>
  </si>
  <si>
    <t>dmv rap</t>
  </si>
  <si>
    <t>new orleans rap</t>
  </si>
  <si>
    <t>sacramento hip hop</t>
  </si>
  <si>
    <t>fidget house</t>
  </si>
  <si>
    <t>anime piano</t>
  </si>
  <si>
    <t>oxford indie</t>
  </si>
  <si>
    <t>dark clubbing</t>
  </si>
  <si>
    <t>indonesian hip hop</t>
  </si>
  <si>
    <t>mexican metal</t>
  </si>
  <si>
    <t>monterrey indie</t>
  </si>
  <si>
    <t>dream smp</t>
  </si>
  <si>
    <t>glitchcore</t>
  </si>
  <si>
    <t>proto-hyperpop</t>
  </si>
  <si>
    <t>screamo</t>
  </si>
  <si>
    <t>trancecore</t>
  </si>
  <si>
    <t>ccm</t>
  </si>
  <si>
    <t>cedm</t>
  </si>
  <si>
    <t>christian pop</t>
  </si>
  <si>
    <t>substep</t>
  </si>
  <si>
    <t>denpa-kei</t>
  </si>
  <si>
    <t>japanese vtuber</t>
  </si>
  <si>
    <t>north carolina hip hop</t>
  </si>
  <si>
    <t>pink noise</t>
  </si>
  <si>
    <t>dark disco</t>
  </si>
  <si>
    <t>electro-pop francais</t>
  </si>
  <si>
    <t>houston rap</t>
  </si>
  <si>
    <t>canadian folk</t>
  </si>
  <si>
    <t>nottingham indie</t>
  </si>
  <si>
    <t>german trance</t>
  </si>
  <si>
    <t>show tunes</t>
  </si>
  <si>
    <t>canadian old school hip hop</t>
  </si>
  <si>
    <t>ectofolk</t>
  </si>
  <si>
    <t>downtempo bass</t>
  </si>
  <si>
    <t>japanese emo</t>
  </si>
  <si>
    <t>visual kei</t>
  </si>
  <si>
    <t>cape town indie</t>
  </si>
  <si>
    <t>south african pop dance</t>
  </si>
  <si>
    <t>canadian indie</t>
  </si>
  <si>
    <t>canadian rock</t>
  </si>
  <si>
    <t>hamilton on indie</t>
  </si>
  <si>
    <t>german r&amp;b</t>
  </si>
  <si>
    <t>seinen</t>
  </si>
  <si>
    <t>purple sound</t>
  </si>
  <si>
    <t>contemporary country</t>
  </si>
  <si>
    <t>country</t>
  </si>
  <si>
    <t>country dawn</t>
  </si>
  <si>
    <t>country pop</t>
  </si>
  <si>
    <t>country road</t>
  </si>
  <si>
    <t>livetronica</t>
  </si>
  <si>
    <t>acoustic pop</t>
  </si>
  <si>
    <t>british singer-songwriter</t>
  </si>
  <si>
    <t>indie folk</t>
  </si>
  <si>
    <t>new americana</t>
  </si>
  <si>
    <t>uk americana</t>
  </si>
  <si>
    <t>mashup</t>
  </si>
  <si>
    <t>korean instrumental</t>
  </si>
  <si>
    <t>neo-classical</t>
  </si>
  <si>
    <t>new age piano</t>
  </si>
  <si>
    <t>swedish indie pop</t>
  </si>
  <si>
    <t>danish singer-songwriter</t>
  </si>
  <si>
    <t>german soundtrack</t>
  </si>
  <si>
    <t>orchestral soundtrack</t>
  </si>
  <si>
    <t>irish rock</t>
  </si>
  <si>
    <t>northern irish indie</t>
  </si>
  <si>
    <t>ambient post-rock</t>
  </si>
  <si>
    <t>high vibe</t>
  </si>
  <si>
    <t>deep pop edm</t>
  </si>
  <si>
    <t>acoustic cover</t>
  </si>
  <si>
    <t>ukrainian edm</t>
  </si>
  <si>
    <t>women's music</t>
  </si>
  <si>
    <t>meditation</t>
  </si>
  <si>
    <t>lo-fi beats</t>
  </si>
  <si>
    <t>lo-fi chill</t>
  </si>
  <si>
    <t>sad lo-fi</t>
  </si>
  <si>
    <t>indiecoustica</t>
  </si>
  <si>
    <t>swedish idol pop</t>
  </si>
  <si>
    <t>swedish pop rap</t>
  </si>
  <si>
    <t>indie singer-songwriter</t>
  </si>
  <si>
    <t>afro dancehall</t>
  </si>
  <si>
    <t>neo r&amp;b</t>
  </si>
  <si>
    <t>british soul</t>
  </si>
  <si>
    <t>belgian indie</t>
  </si>
  <si>
    <t>auckland indie</t>
  </si>
  <si>
    <t>san diego indie</t>
  </si>
  <si>
    <t>socal pop punk</t>
  </si>
  <si>
    <t>portuguese rock</t>
  </si>
  <si>
    <t>dance-punk</t>
  </si>
  <si>
    <t>disco</t>
  </si>
  <si>
    <t>hi-nrg</t>
  </si>
  <si>
    <t>russelater</t>
  </si>
  <si>
    <t>deep dance pop</t>
  </si>
  <si>
    <t>memphis hip hop</t>
  </si>
  <si>
    <t>oakland hip hop</t>
  </si>
  <si>
    <t>black americana</t>
  </si>
  <si>
    <t>uk funky</t>
  </si>
  <si>
    <t>british indie rock</t>
  </si>
  <si>
    <t>turntablism</t>
  </si>
  <si>
    <t>lovers rock</t>
  </si>
  <si>
    <t>modern reggae</t>
  </si>
  <si>
    <t>reggae</t>
  </si>
  <si>
    <t>roots reggae</t>
  </si>
  <si>
    <t>finnish pop</t>
  </si>
  <si>
    <t>malaysian pop</t>
  </si>
  <si>
    <t>desi hip hop</t>
  </si>
  <si>
    <t>hindi indie</t>
  </si>
  <si>
    <t>estonian pop</t>
  </si>
  <si>
    <t>brazilian house</t>
  </si>
  <si>
    <t>new school turkce rap</t>
  </si>
  <si>
    <t>nashville indie</t>
  </si>
  <si>
    <t>french dnb</t>
  </si>
  <si>
    <t>jump up</t>
  </si>
  <si>
    <t>nu-metalcore</t>
  </si>
  <si>
    <t>hollywood</t>
  </si>
  <si>
    <t>beatlesque</t>
  </si>
  <si>
    <t>britpop</t>
  </si>
  <si>
    <t>madchester</t>
  </si>
  <si>
    <t>swedish synth</t>
  </si>
  <si>
    <t>j-metal</t>
  </si>
  <si>
    <t>japanese power metal</t>
  </si>
  <si>
    <t>neo classical metal</t>
  </si>
  <si>
    <t>power metal</t>
  </si>
  <si>
    <t>swiss techno</t>
  </si>
  <si>
    <t>jamtronica</t>
  </si>
  <si>
    <t>jazztronica</t>
  </si>
  <si>
    <t>sheffield indie</t>
  </si>
  <si>
    <t>st louis rap</t>
  </si>
  <si>
    <t>soul flow</t>
  </si>
  <si>
    <t>asian american hip hop</t>
  </si>
  <si>
    <t>indie dream pop</t>
  </si>
  <si>
    <t>french shoegaze</t>
  </si>
  <si>
    <t>icelandic rock</t>
  </si>
  <si>
    <t>modern blues</t>
  </si>
  <si>
    <t>intelligent dance music</t>
  </si>
  <si>
    <t>darksynth</t>
  </si>
  <si>
    <t>diva house</t>
  </si>
  <si>
    <t>russian dance</t>
  </si>
  <si>
    <t>chanson humoristique</t>
  </si>
  <si>
    <t>rock independant francais</t>
  </si>
  <si>
    <t>melodic metalcore</t>
  </si>
  <si>
    <t>metalcore</t>
  </si>
  <si>
    <t>post-screamo</t>
  </si>
  <si>
    <t>rap montrealais</t>
  </si>
  <si>
    <t>hip hop quebecois</t>
  </si>
  <si>
    <t>acid house</t>
  </si>
  <si>
    <t>nigerian hip hop</t>
  </si>
  <si>
    <t>nightrun</t>
  </si>
  <si>
    <t>modern country rock</t>
  </si>
  <si>
    <t>dutch indie</t>
  </si>
  <si>
    <t>dutch rock</t>
  </si>
  <si>
    <t>scorecore</t>
  </si>
  <si>
    <t>toronto indie</t>
  </si>
  <si>
    <t>german house</t>
  </si>
  <si>
    <t>collage pop</t>
  </si>
  <si>
    <t>noise pop</t>
  </si>
  <si>
    <t>bboy</t>
  </si>
  <si>
    <t>instrumental funk</t>
  </si>
  <si>
    <t>contemporary r&amp;b</t>
  </si>
  <si>
    <t>scottish singer-songwriter</t>
  </si>
  <si>
    <t>lo-fi rap</t>
  </si>
  <si>
    <t>minnesota hip hop</t>
  </si>
  <si>
    <t>texas country</t>
  </si>
  <si>
    <t>singaporean singer-songwriter</t>
  </si>
  <si>
    <t>modern power pop</t>
  </si>
  <si>
    <t>reggae fusion</t>
  </si>
  <si>
    <t>balkan beats</t>
  </si>
  <si>
    <t>mississippi hip hop</t>
  </si>
  <si>
    <t>romanian indie</t>
  </si>
  <si>
    <t>art rock</t>
  </si>
  <si>
    <t>new romantic</t>
  </si>
  <si>
    <t>synthpop</t>
  </si>
  <si>
    <t>rock keyboard</t>
  </si>
  <si>
    <t>australian alternative rock</t>
  </si>
  <si>
    <t>canadian trap</t>
  </si>
  <si>
    <t>hyphy</t>
  </si>
  <si>
    <t>south carolina hip hop</t>
  </si>
  <si>
    <t>south african alternative</t>
  </si>
  <si>
    <t>pop reggaeton</t>
  </si>
  <si>
    <t>norwegian indie</t>
  </si>
  <si>
    <t>sami</t>
  </si>
  <si>
    <t>norwegian pop rap</t>
  </si>
  <si>
    <t>palestinian alternative</t>
  </si>
  <si>
    <t>singer-songwriter</t>
  </si>
  <si>
    <t>boston hip hop</t>
  </si>
  <si>
    <t>lilith</t>
  </si>
  <si>
    <t>oc indie</t>
  </si>
  <si>
    <t>Spotify ID</t>
  </si>
  <si>
    <t>Artist IDs</t>
  </si>
  <si>
    <t>Album Name</t>
  </si>
  <si>
    <t>Release Date</t>
  </si>
  <si>
    <t>Added By</t>
  </si>
  <si>
    <t>Added At</t>
  </si>
  <si>
    <t>3VEj8TOWsftdPW68BXxiDI</t>
  </si>
  <si>
    <t>58O8UPrTdl4u2buM0skj94</t>
  </si>
  <si>
    <t>spotify:user:extmqycqbstl3w9c5dvw851n0</t>
  </si>
  <si>
    <t>2zoNNEAyPK2OGDfajardlY</t>
  </si>
  <si>
    <t>6nxWCVXbOlEVRexSbLsTer,5ujrA1eZLDHR7yQ6FZa2qA</t>
  </si>
  <si>
    <t>0VOsR3sEACivA46VDuaLai</t>
  </si>
  <si>
    <t>2LY0E3xg8svCVYXVNTze5T,2E19mfEFhCr6UgZUYJGOEW</t>
  </si>
  <si>
    <t>bass trap,electronic trap,future bass,indie electropop,melodic dubstep,pop edm,vapor twitch</t>
  </si>
  <si>
    <t>36c4JohayB9qd64eidQMBi</t>
  </si>
  <si>
    <t>4tZwfgrHOc3mvqYlEYSvVi,1R84VlXnFFULOsWWV8IrCQ</t>
  </si>
  <si>
    <t>Random Access Memories</t>
  </si>
  <si>
    <t>7BaZHpJA6pv2KxiAkh9igc</t>
  </si>
  <si>
    <t>2LY0E3xg8svCVYXVNTze5T,1DUd25ybTBglvAohsXTmBx</t>
  </si>
  <si>
    <t>6WjdQmWiuLjLh7iNE0Bw2J</t>
  </si>
  <si>
    <t>2tLI4kPsmsxQQv6zr2jbgt,4k5j2KkfsE7yGO46C0Hm1G,4IRw3ME1D0lYOyFyXAjDv7</t>
  </si>
  <si>
    <t>Ur Perfect I Hate It (Lenno Remix)</t>
  </si>
  <si>
    <t>0hQVAVsUCqQDcOwPTFKNxb</t>
  </si>
  <si>
    <t>5KnoVkIUGmK0PiDKMjz2LM,3eSiyfI9xykA5QtgcLS43b</t>
  </si>
  <si>
    <t>Blind (feat. Emmi) [Radio Edit]</t>
  </si>
  <si>
    <t>6ZT3coOj97F6CVvruPtnox</t>
  </si>
  <si>
    <t>4dM6NDYSfLcspt8GLoT5aE</t>
  </si>
  <si>
    <t>The Sunny Album (Deluxe Edition)</t>
  </si>
  <si>
    <t>3OXayQUy48DyW1ORUVPpoN</t>
  </si>
  <si>
    <t>2LY0E3xg8svCVYXVNTze5T,7q6XqmPpAbQUzTHFnbV0RI</t>
  </si>
  <si>
    <t>bass trap,electronic trap,future bass,indie electropop,melodic dubstep,pop edm,vapor twitch,nyc pop</t>
  </si>
  <si>
    <t>3ATdVTmnmoOQdiUExiq9mb</t>
  </si>
  <si>
    <t>3Ppk7mLzKS4YRP3L0Xq8G8,3ci8vJ8RGrLm2tIhylbpop,1ngvVVrIS55Qocmb7SZarx</t>
  </si>
  <si>
    <t>1T6Kw3iN3f6A5decOM3LyJ</t>
  </si>
  <si>
    <t>4gJCFxvqKc43Ifk0UIBB42,6We20xnlWq1e0X62ONbrFL</t>
  </si>
  <si>
    <t>All They Wanna Be (Remixes)</t>
  </si>
  <si>
    <t>0axHrG3EP8vXuY5ZRXpk3B</t>
  </si>
  <si>
    <t>0LxiWqxTT2I1bPyYJEnl9H,3xe31P4oQOu6hxdyOf9NZE,3zr3aDseqNYhcqexvcS5ir,3P50SX10izbivoRiXqzutT</t>
  </si>
  <si>
    <t>2z8NfnhWUHMvqWJHCN9c17</t>
  </si>
  <si>
    <t>1gClae3b8Eh3aCg7KPAHaG</t>
  </si>
  <si>
    <t>6dgF5wpOqx3JWKnYEIxQTE</t>
  </si>
  <si>
    <t>65EXuYHVoehCKqp0kOS6px,71KlQX0q5wz5f9iytwPfou</t>
  </si>
  <si>
    <t>The Demon Diaries</t>
  </si>
  <si>
    <t>4ua0IepBEISCWwF8dTJvcU</t>
  </si>
  <si>
    <t>2CIMQHirSU0MQqyYHq0eOx,2SNg8nqwOHF1eZgRnL9zes</t>
  </si>
  <si>
    <t>For Lack Of A Better Name</t>
  </si>
  <si>
    <t>6aPDvttLmezuUlv60ExTH9</t>
  </si>
  <si>
    <t>1vCWHaC5f2uS3yhpwWbIA6,1vIuPjtFhqIPE2n9W2ePgO</t>
  </si>
  <si>
    <t>TIM</t>
  </si>
  <si>
    <t>2cGxRwrMyEAp8dEbuZaVv6</t>
  </si>
  <si>
    <t>4tZwfgrHOc3mvqYlEYSvVi,1rAv1GhTQ2rmG94p9lU3rB</t>
  </si>
  <si>
    <t>4JuZQeSRYJfLCqBgBIxxrR</t>
  </si>
  <si>
    <t>6qqNVTkY8uBg9cP3Jd7DAH,2cFrymmkijnjDg9SS92EPM</t>
  </si>
  <si>
    <t>Ocean Eyes (The Remixes)</t>
  </si>
  <si>
    <t>6aCxdt2bMItKgGKoznDppY</t>
  </si>
  <si>
    <t>3fmMaLC5jjf2N4EC2kTx0u,0CKa42Jqrc9fSFbDjePaXP,6JW55AQgf9M9SZgzZou2NQ,0MH2SnPBynNlz9HRqC84ZK</t>
  </si>
  <si>
    <t>Dark Night Sweet Light</t>
  </si>
  <si>
    <t>06HGRRwKAjnqOSmdAkMFkt</t>
  </si>
  <si>
    <t>4njdEjTnLfcGImKZu1iSrz,1me05HW5s7TShHra5nN7uE</t>
  </si>
  <si>
    <t>36HA2woC1glnLa4vqWY3IC</t>
  </si>
  <si>
    <t>4pb4rqWSoGUgxm63xmJ8xc</t>
  </si>
  <si>
    <t>Adventure (Deluxe)</t>
  </si>
  <si>
    <t>complextro,edm,electro house,electropop,filter house,nantes indie,pop dance</t>
  </si>
  <si>
    <t>6VK0J3h1XW3kAknWZxfTJc</t>
  </si>
  <si>
    <t>3NldT8wH6bxNohULM3Rrth</t>
  </si>
  <si>
    <t>3dCmp1qm5IRymSphPjvF43</t>
  </si>
  <si>
    <t>0P9osWQ88gV0FIqZEsByac</t>
  </si>
  <si>
    <t>0bMbDctzMmTyK2j74j3nF3</t>
  </si>
  <si>
    <t>7vk5e3vY1uw9plTHJAMwjN,4npEfmQ6YuiwW1GpUmaq3F</t>
  </si>
  <si>
    <t>1rCcsYnmqbMYdkG7kS9GC5</t>
  </si>
  <si>
    <t>3t5xRXzsuZmMDkQzgOX35S,1OHw2r7Diz2rc9JktaFV6N</t>
  </si>
  <si>
    <t>6MLptqfOLeV8uwAqwXaZ1v</t>
  </si>
  <si>
    <t>2o3U0ld93tHYowkoari4Vi</t>
  </si>
  <si>
    <t>Furi (Original Game Soundtrack)</t>
  </si>
  <si>
    <t>4o1WgQUgs5nIxuoEfLZyVm</t>
  </si>
  <si>
    <t>3g9yyIlJ0sIunQWJLmIYhn</t>
  </si>
  <si>
    <t>Tell Me Why (Radio Edit)</t>
  </si>
  <si>
    <t>25R4HkFnzQvgMA6XOJuh4K</t>
  </si>
  <si>
    <t>0MqXw0plXKIaJtM342hIag</t>
  </si>
  <si>
    <t>483QGe3qITxTyUeM7oZx6g</t>
  </si>
  <si>
    <t>7KX5TRDqUeACXTZ1l9qbnS,5ykR03rHnFJ4GLD6ilaWD6</t>
  </si>
  <si>
    <t>3b9UBnK0QVcogeD29j3dxq</t>
  </si>
  <si>
    <t>6rvAIasGNPgou3SL7ycYPA,4CzzY9kG8C2BLOuTuy3oLe</t>
  </si>
  <si>
    <t>0lsRatBUs9HNIZAmoGABzk</t>
  </si>
  <si>
    <t>3KwmxIhSe9UTSEF37kwngR</t>
  </si>
  <si>
    <t>MELT</t>
  </si>
  <si>
    <t>3JUWlLaCdoDIDPjBNr7Y4C</t>
  </si>
  <si>
    <t>1sYbTp9AgWvJb0mJBAB6eP</t>
  </si>
  <si>
    <t>Out For Blood</t>
  </si>
  <si>
    <t>1FqQLDFvhsyN8rKHsGpdJT</t>
  </si>
  <si>
    <t>0Y0QSi6lz1bPik5Ffjr8sd,6wKxOKEA3K6R2UZ3COLXEY</t>
  </si>
  <si>
    <t>A World Away</t>
  </si>
  <si>
    <t>canadian electronic,edm,electro house,electronic trap,electropop,future bass,melodic dubstep,pop dance,pop edm,vapor twitch,alt z,indie electropop,indie poptimism,indietronica,la pop,vapor soul</t>
  </si>
  <si>
    <t>2SarJa9ShYlxXMm3YPTmdP</t>
  </si>
  <si>
    <t>1l2ekx5skC4gJH8djERwh1,59mjRp0i1B8oWSSMmGWJlJ</t>
  </si>
  <si>
    <t>FUTURE (Deluxe Edition)</t>
  </si>
  <si>
    <t>2e3ut5i5Yv3zfNgMdGN6Z5</t>
  </si>
  <si>
    <t>6iPW7GWujjT4ZFuoA2ISIV,1Y0jbCdHXiQlyV2fhxroqW</t>
  </si>
  <si>
    <t>5dyDkXi1bnQKSyIdO0JXp8</t>
  </si>
  <si>
    <t>0ZRBa9pTfhhCsJW95F1ugg,69YKwunlA0xl2yMS12cyMu</t>
  </si>
  <si>
    <t>5XML2Pv1OZGFxUpn8z4rAg</t>
  </si>
  <si>
    <t>5dGsIOepO9ufQlXjW8KrPL,4cuD8PPblJyvJnldC7xqbW</t>
  </si>
  <si>
    <t>0K7GTKSoxDipAdfBzJDw2s</t>
  </si>
  <si>
    <t>5dGsIOepO9ufQlXjW8KrPL,6SSzF90X1iI3jZbaiQMaWs,507dlbjxTi8gIAW8tPl5EF</t>
  </si>
  <si>
    <t>6xFyou3c6TAFSKYwQLPZpT</t>
  </si>
  <si>
    <t>5dGsIOepO9ufQlXjW8KrPL,3du9AwhpnUmjJoC4qmXLL5</t>
  </si>
  <si>
    <t>748mM3Sgi0w5ea37yDydBp</t>
  </si>
  <si>
    <t>3u6m1M3zfGRMEpvsuyo0ZO,3SFVIUlipGj3RpWCKe9s73,0zXb5pfuH3bSE7p4tLsaMp,3J6W8S7PZSWGJ6bWWssvvR</t>
  </si>
  <si>
    <t>Downtown (Extended Mix)</t>
  </si>
  <si>
    <t>2B7isQhlpOFWhnjYosAZs6</t>
  </si>
  <si>
    <t>5ZciodrGuWZAkGIXHzTiQP,7tC3xvql6s4INUx0CnuZMM,2J2cyp4PuCELwJr0IvQYXP,4JznCAfxUluG6YAdAiM0YE</t>
  </si>
  <si>
    <t>Take Me Remixes</t>
  </si>
  <si>
    <t>0VjIjW4GlUZAMYd2vXMi3b</t>
  </si>
  <si>
    <t>1Xyo4u8uXC1ZmMpatF05PJ</t>
  </si>
  <si>
    <t>After Hours</t>
  </si>
  <si>
    <t>3Z8FwOEN59mRMxDCtb8N0A</t>
  </si>
  <si>
    <t>64KEffDW9EtZ1y2vBYgq8T,26VFTg2z8YR0cCuwLzESi2</t>
  </si>
  <si>
    <t>0T9ukL70Lyd3XeV1XMzBhf</t>
  </si>
  <si>
    <t>3XFcu2NnGWceLNdxRCfYH3,3RTklnRcfHgkQJwFpgOq3t</t>
  </si>
  <si>
    <t>4CAEsRQfDb7NRAya85WM0w</t>
  </si>
  <si>
    <t>3HqP3nd8WI0VfHRhApPlan,1C9SjdQ5V6m6I8GL8WxE7e</t>
  </si>
  <si>
    <t>5hGJcq8NiUHCTG8ugmIVRL</t>
  </si>
  <si>
    <t>70zHrrrPfBkVV44AEhFyyh,01qbSocTDAe2DmKayS89A5</t>
  </si>
  <si>
    <t>The Remixes</t>
  </si>
  <si>
    <t>indie electropop,vapor soul,bass trap,edm,electronic trap,electropop,future bass,vapor twitch</t>
  </si>
  <si>
    <t>4ZVyZpSGcum73R9zWItB9n</t>
  </si>
  <si>
    <t>0QT3cPPXMGYtTG3kN8Ez54</t>
  </si>
  <si>
    <t>Adventure</t>
  </si>
  <si>
    <t>1Cc2bMMM8KlVxOiOdHOHWy</t>
  </si>
  <si>
    <t>3z97WMRi731dCvKklIf2X6</t>
  </si>
  <si>
    <t>Destiny: The Collection</t>
  </si>
  <si>
    <t>6m3ZWIXhjoV76syT1j2oE9</t>
  </si>
  <si>
    <t>5R3Hr2cnCCjt220Jmt2xLf,23fqKkggKUBHNkbKtXEls4,0lzV2CiahHRiGd6qpADtPS</t>
  </si>
  <si>
    <t>This Mixtape is Fire.</t>
  </si>
  <si>
    <t>6ZpR2XFuQJSHAQwg9495KZ</t>
  </si>
  <si>
    <t>1HxJeLhIuegM3KgvPn8sTa,5he5w2lnU9x7JFhnwcekXX,5fMUXHkw8R8eOP2RNVYEZX,6xHUXzrfhFgnIv86EBR3Ml</t>
  </si>
  <si>
    <t>Skrillex and Diplo present Jack Ü</t>
  </si>
  <si>
    <t>17ejRbr6B8l9zdqgCZsn4m</t>
  </si>
  <si>
    <t>2ZRQcIgzPCVaT9XKhXZIzh,1Q9KyQkc3vODeRt9OfItxl</t>
  </si>
  <si>
    <t>50yQouHp1vhcx7R6fsRESH</t>
  </si>
  <si>
    <t>521qvhdobR0GzhvU6TFw76,5lXf3xjcLx6BmYMY6TvczJ,1N29uZsEW74pVL6zNKIukF</t>
  </si>
  <si>
    <t>05CwHjIk71RXVU40boRMnR</t>
  </si>
  <si>
    <t>69GGBxA162lTqCwzJG5jLp,64M6ah0SkkRsnPGtGiRAbb</t>
  </si>
  <si>
    <t>World War Joy</t>
  </si>
  <si>
    <t>2XU0oxnq2qxCpomAAuJY8K</t>
  </si>
  <si>
    <t>2NjfBq1NflQcKSeiDooVjY</t>
  </si>
  <si>
    <t>Dance Monkey (Stripped Back) / Dance Monkey</t>
  </si>
  <si>
    <t>11BPfwVbB7vok7KfjBeW4k</t>
  </si>
  <si>
    <t>2F8tffsSfw1767WgjtAHBW</t>
  </si>
  <si>
    <t>36xtFwvvNDIQDpNukKXVaa</t>
  </si>
  <si>
    <t>4lDBihdpMlOalxy1jkUbPl,64N1HzkQEXvjlJBQinWeu2</t>
  </si>
  <si>
    <t>4VdffX9WhlYpBXPCZX5DSi</t>
  </si>
  <si>
    <t>0P9osWQ88gV0FIqZEsByac,2BhA4Tcj2heNL0gthDMp3v,0wJDbxpqtwjA2FxfU6KI0E</t>
  </si>
  <si>
    <t>6wMEtACNPDaACrTBuE8sEe</t>
  </si>
  <si>
    <t>4WN5naL3ofxrVBgFpguzKo,4IWBUUAFIplrNtaOHcJPRM,0nNnD1oc02hebmFdcJkyXw</t>
  </si>
  <si>
    <t>Sun Comes Up (feat. James Arthur) [Remixes; Pt.1]</t>
  </si>
  <si>
    <t>2nCVjvWP9ZRsb5FjxuQmDS</t>
  </si>
  <si>
    <t>5Q0sv5SeMZln6szEW49dHL,0bLOO5JVVWngdmQD8uLQGM</t>
  </si>
  <si>
    <t>7IfOWyh4jTfkcGVrXKVNq0</t>
  </si>
  <si>
    <t>4lDXfIznmGueBgTjI3qGUX,6PwHyGcUfjwdjT9cdsaVWT</t>
  </si>
  <si>
    <t>Panorama</t>
  </si>
  <si>
    <t>Yes</t>
  </si>
  <si>
    <t>6Dy1jexKYriXAVG6evyUTJ</t>
  </si>
  <si>
    <t>6DgP9otnZw5z6daOntINxp,4Q6nIcaBED8qUel8bBx6Cr,25uiPmTg16RbhZWAqwLBy5,6cK3NBO6uP7hh0oyuVELFl</t>
  </si>
  <si>
    <t>2021-08-13</t>
  </si>
  <si>
    <t>4ASOMWcJUrwEpjJy4GEijz</t>
  </si>
  <si>
    <t>7tm9Tuc70geXOOyKhtZHIj,0XFmkmsCbCoR7wlqaZdt64</t>
  </si>
  <si>
    <t>2021-10-08</t>
  </si>
  <si>
    <t>0fp6PDlnCkmdE0F3s0tfr6</t>
  </si>
  <si>
    <t>586uxXMyD5ObPuzjtrzO1Q</t>
  </si>
  <si>
    <t>2022-02-04</t>
  </si>
  <si>
    <t>2wf2KMhjoHSZXKVHNBoTMg</t>
  </si>
  <si>
    <t>586uxXMyD5ObPuzjtrzO1Q,7kNqXtgeIwFtelmRjWv205</t>
  </si>
  <si>
    <t>2021-09-02</t>
  </si>
  <si>
    <t>4mrAArfFEIqpH6myouJb03</t>
  </si>
  <si>
    <t>5wwneIFdawNgQ7GvKK29Z3,49CE2ffZ6Z3zeYSDauSKck</t>
  </si>
  <si>
    <t>2021-07-30</t>
  </si>
  <si>
    <t>1esZgaqm0YKN87CIP3orJ3</t>
  </si>
  <si>
    <t>5T0j6On1EthT2QVNXh8vqc</t>
  </si>
  <si>
    <t>2021-06-18</t>
  </si>
  <si>
    <t>5902W4uHWzhtOff1UK7the</t>
  </si>
  <si>
    <t>4AVFqumd2ogHFlRbKIjp1t,6jJ0s89eD6GaHleKKya26X</t>
  </si>
  <si>
    <t>2021-12-29</t>
  </si>
  <si>
    <t>0YQEWdfq3ajtNtK106Dr0k</t>
  </si>
  <si>
    <t>053q0ukIDRgzwTr4vNSwab</t>
  </si>
  <si>
    <t>2022-01-26</t>
  </si>
  <si>
    <t>5RyJJffcUX3bwEfJRUfUkc</t>
  </si>
  <si>
    <t>2WBJQGf1bT1kxuoqziH5g4,3u4qXYRgHgU7YtjZt9sduX</t>
  </si>
  <si>
    <t>2021-08-27</t>
  </si>
  <si>
    <t>20on25jryn53hWghthWWW3</t>
  </si>
  <si>
    <t>4pnp4w9g30yLfVIAFnZMRd,1c70yCa8sRgIiQxl3HOEFo</t>
  </si>
  <si>
    <t>2021-08-20</t>
  </si>
  <si>
    <t>4CUX44NA1CPEzd0ibMLQsL</t>
  </si>
  <si>
    <t>1H1sDUWSlytzifZTDpKgUA,7zAAwgV5Wqmvpb4GzvlRkP</t>
  </si>
  <si>
    <t>2021-11-26</t>
  </si>
  <si>
    <t>4xMbBESczlHPUO8QeYi56p</t>
  </si>
  <si>
    <t>4EPJlUEBy49EX1wuFOvtjK,0u6GtibW46tFX7koQ6uNJZ</t>
  </si>
  <si>
    <t>2021-08-24</t>
  </si>
  <si>
    <t>7g7OshelYRRnOSEMmisJVI</t>
  </si>
  <si>
    <t>7keGfmQR4X5w0two1xKZ7d</t>
  </si>
  <si>
    <t>2022-02-18</t>
  </si>
  <si>
    <t>18asYwWugKjjsihZ0YvRxO</t>
  </si>
  <si>
    <t>2o5jDhtHVPhrJdv3cEQ99Z,4npEfmQ6YuiwW1GpUmaq3F</t>
  </si>
  <si>
    <t>2021-11-04</t>
  </si>
  <si>
    <t>4RAR8g8fZNB106ezUurnE0</t>
  </si>
  <si>
    <t>23fqKkggKUBHNkbKtXEls4,6T5tfhQCknKG4UnH90qGnz</t>
  </si>
  <si>
    <t>2022-02-25</t>
  </si>
  <si>
    <t>6Owc2SuzwO3LW1SAODYK3l</t>
  </si>
  <si>
    <t>1IueXOQyABrMOprrzwQJWN</t>
  </si>
  <si>
    <t>2022-01-21</t>
  </si>
  <si>
    <t>3uUuGVFu1V7jTQL60S1r8z</t>
  </si>
  <si>
    <t>7f5Zgnp2spUuuzKplmRkt7,6ydoSd3N2mwgwBHtF6K7eX</t>
  </si>
  <si>
    <t>50ZFpw2wS6ERvLmW8TINhq</t>
  </si>
  <si>
    <t>25uiPmTg16RbhZWAqwLBy5,2KEqzdPS7M5YwGmiuPTdr5</t>
  </si>
  <si>
    <t>2022-01-27</t>
  </si>
  <si>
    <t>3V0S5RHErZoXEOiBz8Abwp</t>
  </si>
  <si>
    <t>1h6Cn3P4NGzXbaXidqURXs</t>
  </si>
  <si>
    <t>2022-04-15</t>
  </si>
  <si>
    <t>6ByN6v7D5YUogv622VMGrk</t>
  </si>
  <si>
    <t>3QqHt507QJZCzluEYsnv4u</t>
  </si>
  <si>
    <t>1h6Cn3P4NGzXbaXidqURXs,7c0XG5cIJTrrAgEC3ULPiq,12Zk1DFhCbHY6v3xep2ZjI</t>
  </si>
  <si>
    <t>3Cl8IGVb7E63EDIXTn5Pk7</t>
  </si>
  <si>
    <t>1h6Cn3P4NGzXbaXidqURXs,4X0v8sFoDZ6rIfkeOeVm2i</t>
  </si>
  <si>
    <t>6NOWq0oeufS8jQTv1zrZ0I</t>
  </si>
  <si>
    <t>1h6Cn3P4NGzXbaXidqURXs,6baWjwY7WiVPCZcW7pqqhz</t>
  </si>
  <si>
    <t>6GomT970rCOkKAyyrwJeZi</t>
  </si>
  <si>
    <t>37czgDRfGMvgRiUKHvnnhj,0aOIluXr131XqrXFwFCFGT</t>
  </si>
  <si>
    <t>2021-10-29</t>
  </si>
  <si>
    <t>4h4c2nt7wTFLn0OYVDWOHC</t>
  </si>
  <si>
    <t>73jBynjsVtofjRpdpRAJGk,0CbeG1224FS58EUx4tPevZ,6XwwFnewNgWp81MYMK8zLq</t>
  </si>
  <si>
    <t>2021-07-23</t>
  </si>
  <si>
    <t>3I10tZ5MgEMo4WryCNJkZQ</t>
  </si>
  <si>
    <t>2TcGJdSOiOvITBzhvfX8XB</t>
  </si>
  <si>
    <t>Won't Forget You</t>
  </si>
  <si>
    <t>016HNYjPtqVo1XMMI68bVA</t>
  </si>
  <si>
    <t>329e4yvIujISKGKz1BZZbO,3t5xRXzsuZmMDkQzgOX35S</t>
  </si>
  <si>
    <t>Pepas (Robin Schulz Remix)</t>
  </si>
  <si>
    <t>2021-09-29</t>
  </si>
  <si>
    <t>1WCEAGGRD066z2Q89ObXTq</t>
  </si>
  <si>
    <t>1Cs0zKBU1kc0i8ypK3B9ai,4EPJlUEBy49EX1wuFOvtjK,7nDsS0l5ZAzMedVRKPP8F1</t>
  </si>
  <si>
    <t>2022-04-08</t>
  </si>
  <si>
    <t>2FHQONUnVJ1OAkzZKAPE2r</t>
  </si>
  <si>
    <t>3sCSFXcnA4yqnV7KhnxPnl,5FECk97BsAybDAUZmlCXll</t>
  </si>
  <si>
    <t>Black Mask</t>
  </si>
  <si>
    <t>2018-05-03</t>
  </si>
  <si>
    <t>59yxjfkqhOPacjiolBHQDC</t>
  </si>
  <si>
    <t>2o5jDhtHVPhrJdv3cEQ99Z,5nki7yRhxgM509M5ADlN1p,2qdONMCoDngQk0eV4Avs1i</t>
  </si>
  <si>
    <t>2016-01-22</t>
  </si>
  <si>
    <t>2fJzvVoZkY4iuwK1EUwbvr</t>
  </si>
  <si>
    <t>0UF7XLthtbSF2Eur7559oV,31XcLJj5SRtJ0smI0iV9g8</t>
  </si>
  <si>
    <t>2022-03-25</t>
  </si>
  <si>
    <t>0tXzxt3aJcfKu9L5i7tgfK</t>
  </si>
  <si>
    <t>0UF7XLthtbSF2Eur7559oV,6iWuBN32BqCJAeXW6o3nil</t>
  </si>
  <si>
    <t>0qaWEvPkts34WF68r8Dzx9</t>
  </si>
  <si>
    <t>7i9j813KFoSBMldGqlh2Z1,5nki7yRhxgM509M5ADlN1p,6YqhcZlSE8ugUcmoHLw9gz</t>
  </si>
  <si>
    <t>2019-09-13</t>
  </si>
  <si>
    <t>26wuBc04catG1QQyYupr35</t>
  </si>
  <si>
    <t>21mKp7DqtSNHhCAU2ugvUw,2x7EATekOPhFGRx3syMGEC</t>
  </si>
  <si>
    <t>2022-03-23</t>
  </si>
  <si>
    <t>0HqZX76SFLDz2aW8aiqi7G</t>
  </si>
  <si>
    <t>53XhwfbYqKCa1cC15pYq2q</t>
  </si>
  <si>
    <t>2022-03-11</t>
  </si>
  <si>
    <t>1SOClUWhOi8vHZYMz3GluK</t>
  </si>
  <si>
    <t>6QrQ7OrISRYIfS5mtacaw2</t>
  </si>
  <si>
    <t>2017-06-23</t>
  </si>
  <si>
    <t>0S0vWvyZ6Rc79TXkWxT9QA</t>
  </si>
  <si>
    <t>2kCcBybjl3SAtIcwdWpUe3</t>
  </si>
  <si>
    <t>Come Over When You're Sober, Pt. 1</t>
  </si>
  <si>
    <t>2017-08-15</t>
  </si>
  <si>
    <t>1W7zkKgRv9mrLbfdQ8XyH3</t>
  </si>
  <si>
    <t>0cGUm45nv7Z6M6qdXYQGTX</t>
  </si>
  <si>
    <t>Suicide Squad: The Album</t>
  </si>
  <si>
    <t>2016-08-05</t>
  </si>
  <si>
    <t>02MWAaffLxlfxAUY7c5dvx</t>
  </si>
  <si>
    <t>4yvcSjfu4PC0CYQyLy4wSq</t>
  </si>
  <si>
    <t>Dreamland (+ Bonus Levels)</t>
  </si>
  <si>
    <t>2020-08-06</t>
  </si>
  <si>
    <t>3DarAbFujv6eYNliUTyqtz</t>
  </si>
  <si>
    <t>5cj0lLjcoR7YOSnhnX0Po5,7tYKF4w9nC0nq9CsPZTHyP</t>
  </si>
  <si>
    <t>Planet Her</t>
  </si>
  <si>
    <t>2021-06-25</t>
  </si>
  <si>
    <t>08Ecw0ItPxGeHS9Mexr8cs</t>
  </si>
  <si>
    <t>1h6Cn3P4NGzXbaXidqURXs,0Ty63ceoRnnJKVEYP0VQpk</t>
  </si>
  <si>
    <t>117AYpgGwJnpgrBwa2sOcV</t>
  </si>
  <si>
    <t>7cae9Fkz2R1NDHWtdnaE8d,7cTaYwNT1P49mASgKULKab</t>
  </si>
  <si>
    <t>2016-09-09</t>
  </si>
  <si>
    <t>2S2od3hT7ceytw7d1pTRuE</t>
  </si>
  <si>
    <t>55fhWPvDiMpLnE4ZzNXZyW,15UsOTVnJzReFVN1VCnxy4</t>
  </si>
  <si>
    <t>2017-09-22</t>
  </si>
  <si>
    <t>1woqFmydCfpgN1nFPzas8k</t>
  </si>
  <si>
    <t>05EUuIFVDSu6ZquGa7wSny,1gNzhazbuffPQaf5nkUdcP</t>
  </si>
  <si>
    <t>6fnIitWMKHnRnMLxSb0MYW</t>
  </si>
  <si>
    <t>5JZ7CnR6gTvEMKX4g70Amv,33JQK4UoS2aMPYBfdB5Ftt</t>
  </si>
  <si>
    <t>I met you when I was 18. (the extras)</t>
  </si>
  <si>
    <t>2018-05-30</t>
  </si>
  <si>
    <t>4F42lL3HKmFPwbHzva7WNU</t>
  </si>
  <si>
    <t>3XFcu2NnGWceLNdxRCfYH3</t>
  </si>
  <si>
    <t>2022-02-24</t>
  </si>
  <si>
    <t>2w6xACPA4jjAiI3jmPC8dj</t>
  </si>
  <si>
    <t>4CTKqs11Zgsv8EZTVzx764,3zrUX1hQrUB9aXcOiyQLmN</t>
  </si>
  <si>
    <t>Chapter One</t>
  </si>
  <si>
    <t>2017-06-02</t>
  </si>
  <si>
    <t>2jIMtd2GaUesi6u3hO2Anb</t>
  </si>
  <si>
    <t>4CTKqs11Zgsv8EZTVzx764,5JSXWmQO8csVUy6hSRu8TA</t>
  </si>
  <si>
    <t>24LS4lQShWyixJ0ZrJXfJ5</t>
  </si>
  <si>
    <t>7CajNmpbOovFoOoasH2HaY,0IROOdQ2fQUcoaEPqt1Isg</t>
  </si>
  <si>
    <t>18 Months</t>
  </si>
  <si>
    <t>2012-10-29</t>
  </si>
  <si>
    <t>1EQFOouqdKYdpbNoOHRVO2</t>
  </si>
  <si>
    <t>2VSHKHBTiXWplO8lxcnUC9</t>
  </si>
  <si>
    <t>2021-09-24</t>
  </si>
  <si>
    <t>0ZAZ5XqPjXolpowsqUZLjb</t>
  </si>
  <si>
    <t>5sWHDYs0csV6RS48xBl0tH</t>
  </si>
  <si>
    <t>Caviar &amp; Amy</t>
  </si>
  <si>
    <t>2022-02-11</t>
  </si>
  <si>
    <t>3vXnuFnC5RhPGwsFi0ORcI</t>
  </si>
  <si>
    <t>5j4HeCoUlzhfWtjAfM1acR</t>
  </si>
  <si>
    <t>2021-10-15</t>
  </si>
  <si>
    <t>1QOPXog7uc6nIRuIdIGsdk</t>
  </si>
  <si>
    <t>3CnCGFxXbOA8bAK54jR8js</t>
  </si>
  <si>
    <t>V</t>
  </si>
  <si>
    <t>6MHeQfndkEfQvEoHOpkjgl</t>
  </si>
  <si>
    <t>3CnCGFxXbOA8bAK54jR8js,5gs4Sm2WQUkcGeikMcVHbh</t>
  </si>
  <si>
    <t>6GCre1ICOJlP3AQNuOS3oe</t>
  </si>
  <si>
    <t>3CnCGFxXbOA8bAK54jR8js,4FpJcNgOvIpSBeJgRg3OfN</t>
  </si>
  <si>
    <t>2sp1QtoKfxJaSlsu8NOLTn</t>
  </si>
  <si>
    <t>60d24wfXkVzDSfLS6hyCjZ,64M6ah0SkkRsnPGtGiRAbb,5WdqBAQhGFCrZvBKXiPIu7</t>
  </si>
  <si>
    <t>In The Name Of Love Remixes</t>
  </si>
  <si>
    <t>2016-11-11</t>
  </si>
  <si>
    <t>3F9ByoUqu31xU0I3G5xfVg</t>
  </si>
  <si>
    <t>1yxSLGMDHlW21z4YXirZDS</t>
  </si>
  <si>
    <t>THE E.N.D. (THE ENERGY NEVER DIES) [Deluxe Version]</t>
  </si>
  <si>
    <t>2009-01-01</t>
  </si>
  <si>
    <t>6DCZcSspjsKoFjzjrWoCdn</t>
  </si>
  <si>
    <t>3TVXtAsR1Inumwj472S9r4</t>
  </si>
  <si>
    <t>Scorpion</t>
  </si>
  <si>
    <t>2018-06-29</t>
  </si>
  <si>
    <t>7b5U969KVtudiQ9QKf87Z1</t>
  </si>
  <si>
    <t>5rgdw8NVhnxWL8Poo6HsiX,28iAsy77mBm7rk8K9cfFvL</t>
  </si>
  <si>
    <t>1988</t>
  </si>
  <si>
    <t>2017-06-09</t>
  </si>
  <si>
    <t>5tl3bO9GZF8JyjI5Yi8SIi</t>
  </si>
  <si>
    <t>1EQiPk32D03HxHmExyCg9l,2xGRba7eyqdwy3JgDzPcEV</t>
  </si>
  <si>
    <t>Remixed</t>
  </si>
  <si>
    <t>2018-12-07</t>
  </si>
  <si>
    <t>6dgniKsterTlem7d54gGjP</t>
  </si>
  <si>
    <t>4njdEjTnLfcGImKZu1iSrz,3YcBF2ttyueytpXtEzn1Za,4kI8Ie27vjvonwaB2ePh8T,0QmjlE852mAIaEt2IpBquO</t>
  </si>
  <si>
    <t>7kfOEMJBJwdCYqyJeEnNhr</t>
  </si>
  <si>
    <t>1h6Cn3P4NGzXbaXidqURXs,1Xyo4u8uXC1ZmMpatF05PJ</t>
  </si>
  <si>
    <t>2022-01-03</t>
  </si>
  <si>
    <t>4cG7HUWYHBV6R6tHn1gxrl</t>
  </si>
  <si>
    <t>7i9j813KFoSBMldGqlh2Z1,1gALaWbNDnwS2ECV09sn2A,4L2dV3zY7RmkeiNO035Fi0,3Edve4VIATi0OZngclQlkN</t>
  </si>
  <si>
    <t>Friday (feat. Mufasa &amp; Hypeman) [Dopamine Re-Edit]</t>
  </si>
  <si>
    <t>2021-01-15</t>
  </si>
  <si>
    <t>47EiUVwUp4C9fGccaPuUCS</t>
  </si>
  <si>
    <t>4q3ewBCX7sLwd24euuV69X,0EFisYRi20PTADoJrifHrz</t>
  </si>
  <si>
    <t>2020-10-30</t>
  </si>
  <si>
    <t>0A1DZSozhyiAiUoja2onGk</t>
  </si>
  <si>
    <t>0oeUdHJ3cy1oveb8WguJJt,7C3Cbtr2PkH2l4tOGhtCsk</t>
  </si>
  <si>
    <t>Lost At Midnight</t>
  </si>
  <si>
    <t>2020-04-24</t>
  </si>
  <si>
    <t>24Yi9hE78yPEbZ4kxyoXAI</t>
  </si>
  <si>
    <t>0H39MdGGX6dbnnQPt6NQkZ,5rGrDvrLOV2VV8SCFVGWlj</t>
  </si>
  <si>
    <t>Roses (Imanbek Remix)</t>
  </si>
  <si>
    <t>2019-10-09</t>
  </si>
  <si>
    <t>3swc6WTsr7rl9DqQKQA55C</t>
  </si>
  <si>
    <t>246dkjvS1zLTtiykXe5h60,7c0XG5cIJTrrAgEC3ULPiq</t>
  </si>
  <si>
    <t>beerbongs &amp; bentleys</t>
  </si>
  <si>
    <t>2018-04-27</t>
  </si>
  <si>
    <t>2JzZzZUQj3Qff7wapcbKjc</t>
  </si>
  <si>
    <t>137W8MRPWKqSmrBGDBFSop,6VuMaDnrHyPL1p4EHjYLi7</t>
  </si>
  <si>
    <t>2015</t>
  </si>
  <si>
    <t>5rgy6ghBq1eRApCkeUdJXf</t>
  </si>
  <si>
    <t>5nCi3BB41mBaMH9gfr6Su0,6ueGR6SWhUJfvEhqkvMsVs</t>
  </si>
  <si>
    <t>Some Nights</t>
  </si>
  <si>
    <t>2012-02-14</t>
  </si>
  <si>
    <t>5QR7OZyscjGPi7o7w6QZrQ</t>
  </si>
  <si>
    <t>5MynxBz4ZMqvUzpcxTZl4C</t>
  </si>
  <si>
    <t>Hit Sale Xtra Cheese</t>
  </si>
  <si>
    <t>2018-11-16</t>
  </si>
  <si>
    <t>2yUesO6bsFNW9EpsVTkCaR</t>
  </si>
  <si>
    <t>6Xc0KDqzw5u6EQLgdfeoKO</t>
  </si>
  <si>
    <t>2016-11-04</t>
  </si>
  <si>
    <t>0fukO3WYYUHaXOrvEohpEG</t>
  </si>
  <si>
    <t>2UwqpfQtNuhBwviIC0f2ie</t>
  </si>
  <si>
    <t>QALF infinity</t>
  </si>
  <si>
    <t>2021-04-28</t>
  </si>
  <si>
    <t>5YoDQgB4j7oBHWXH3DcwFD</t>
  </si>
  <si>
    <t>66Ok6bgC570sHkw08N20pZ</t>
  </si>
  <si>
    <t>No crari</t>
  </si>
  <si>
    <t>2021-09-10</t>
  </si>
  <si>
    <t>0w6lsLBvhtGcqMYA7MB7r6</t>
  </si>
  <si>
    <t>4FpJcNgOvIpSBeJgRg3OfN</t>
  </si>
  <si>
    <t>Civilisation</t>
  </si>
  <si>
    <t>2021-11-19</t>
  </si>
  <si>
    <t>6zUOTErlhzIGzCg9cQz7SU</t>
  </si>
  <si>
    <t>6MvRVq0CtpQQlwnIiszV8F,2RJBv9wXbW6m539q9NOfW1</t>
  </si>
  <si>
    <t>Touté kalé</t>
  </si>
  <si>
    <t>2011-04-01</t>
  </si>
  <si>
    <t>094hn3veGBdQoy3jdvO1ul</t>
  </si>
  <si>
    <t>3QVolfxko2UyCOtexhVTli,2UwqpfQtNuhBwviIC0f2ie</t>
  </si>
  <si>
    <t>2021-12-01</t>
  </si>
  <si>
    <t>5UlnuulVAVmmesw4VzqHdG</t>
  </si>
  <si>
    <t>53XhwfbYqKCa1cC15pYq2q,57nPqD7z62gDdq37US9XJR,47mIJdHORyRerp4os813jD</t>
  </si>
  <si>
    <t>Enemy (from the series Arcane League of Legends)</t>
  </si>
  <si>
    <t>2021-10-27</t>
  </si>
  <si>
    <t>0wyyV9AKZQ657utquPBMW9</t>
  </si>
  <si>
    <t>4rIg7h3imElDphoupwHzqr,2UfRMNb1PaA7hR3zVe1s2b</t>
  </si>
  <si>
    <t>2015-02-09</t>
  </si>
  <si>
    <t>24IgCW19L8lXKyFZwzFtD3</t>
  </si>
  <si>
    <t>1yxSLGMDHlW21z4YXirZDS,1i8SpTcr7yvPOmcqrbnVXY,1OB278sOZVSFx5vXqYha83</t>
  </si>
  <si>
    <t>Translation</t>
  </si>
  <si>
    <t>2020-06-18</t>
  </si>
  <si>
    <t>2jsmSLoX8y0h6k4YzDCFH1</t>
  </si>
  <si>
    <t>01pKrlgPJhm5dB4lneYAqS</t>
  </si>
  <si>
    <t>Nobody To Love</t>
  </si>
  <si>
    <t>2014-01-01</t>
  </si>
  <si>
    <t>7MmG8p0F9N3C4AXdK6o6Eb</t>
  </si>
  <si>
    <t>7CajNmpbOovFoOoasH2HaY,0X2BH1fck6amBIoJhDVmmJ</t>
  </si>
  <si>
    <t>Motion</t>
  </si>
  <si>
    <t>2014-10-31</t>
  </si>
  <si>
    <t>2vwlzO0Qp8kfEtzTsCXfyE</t>
  </si>
  <si>
    <t>5YGY8feqx7naU7z4HrwZM6</t>
  </si>
  <si>
    <t>Bangerz (Deluxe Version)</t>
  </si>
  <si>
    <t>2013-10-04</t>
  </si>
  <si>
    <t>0h9SUGpAofhus8HUgNXVwW</t>
  </si>
  <si>
    <t>Smoke + Mirrors (Deluxe)</t>
  </si>
  <si>
    <t>2015-10-23</t>
  </si>
  <si>
    <t>6qBGddazLzJpsaxE02Debh</t>
  </si>
  <si>
    <t>3K0GDmmiRwn1Zc7RZzTeAz</t>
  </si>
  <si>
    <t>2021-10-31</t>
  </si>
  <si>
    <t>1SC5rEoYDGUK4NfG82494W</t>
  </si>
  <si>
    <t>7jVv8c5Fj3E9VhNjxT4snq</t>
  </si>
  <si>
    <t>MONTERO</t>
  </si>
  <si>
    <t>2021-09-17</t>
  </si>
  <si>
    <t>0ZK2mw4NHBnMBm7srIs3Uc</t>
  </si>
  <si>
    <t>22lnnGKlaDxk8sfzCNRJuA</t>
  </si>
  <si>
    <t>2018-08-03</t>
  </si>
  <si>
    <t>37LEkmNdegFwoS55DdL6Ov</t>
  </si>
  <si>
    <t>Sport</t>
  </si>
  <si>
    <t>2020-09-04</t>
  </si>
  <si>
    <t>50nFvCkKwjma3tWyVDCZn4</t>
  </si>
  <si>
    <t>36VSvhsPFTdsj1CtmatPiQ,4SoF1XBWjLKLBGe6j1hhBo</t>
  </si>
  <si>
    <t>2017-11-03</t>
  </si>
  <si>
    <t>4GIa10yTJh4hc9DbzCOjXG</t>
  </si>
  <si>
    <t>2zJ8chFLjiBHRNchfevMRI,0Leznx3Fu6IjyxMtLYEwbM</t>
  </si>
  <si>
    <t>6N9e2i99cXGGujgELtxotL</t>
  </si>
  <si>
    <t>26VFTg2z8YR0cCuwLzESi2,37uLId6Z5ZXCx19vuruvv5</t>
  </si>
  <si>
    <t>I am not a woman, I'm a god (Remixes)</t>
  </si>
  <si>
    <t>2021-09-30</t>
  </si>
  <si>
    <t>4Jj2d06MXqdW3SWq4xAo8K</t>
  </si>
  <si>
    <t>3OKg7YbOIatODzkRIbLJR4,0xD6n0wj7aqV5g5LcRNBUd</t>
  </si>
  <si>
    <t>PARALLAX</t>
  </si>
  <si>
    <t>2XxWAuRRhDGeWpl60uK6gB</t>
  </si>
  <si>
    <t>5KNNVgR6LBIABRIomyCwKJ,4sTQVOfp9vEMCemLw50sbu</t>
  </si>
  <si>
    <t>Better Days (Galantis Remix)</t>
  </si>
  <si>
    <t>1XyL3J7eTTKnxRZAM3LqIT</t>
  </si>
  <si>
    <t>6c4sUNBgdonFJz8Kx2VsGz</t>
  </si>
  <si>
    <t>So Dark The Con Of Man</t>
  </si>
  <si>
    <t>2007-12-03</t>
  </si>
  <si>
    <t>1PPRaaaIg5TXN0WjI0F2y0</t>
  </si>
  <si>
    <t>0mEUqATSCsYZUTyL09kB8g,2KPQ6PYAZapLEwMmkzbQxC</t>
  </si>
  <si>
    <t>Natural Disaster (Win and Woo Remix)</t>
  </si>
  <si>
    <t>2015-07-21</t>
  </si>
  <si>
    <t>4iJyoBOLtHqaGxP12qzhQI</t>
  </si>
  <si>
    <t>1uNFoZAHBGtllmzznpCI3s,20wkVLutqVOYrc0kxFs7rA,4fxd5Ee7UefO4CUXgwJ7IP</t>
  </si>
  <si>
    <t>2021-03-19</t>
  </si>
  <si>
    <t>45PF1Y3RcW5MK0jxWvhc4D</t>
  </si>
  <si>
    <t>0EmeFodog0BfCgMzAIvKQp</t>
  </si>
  <si>
    <t>2021-07-16</t>
  </si>
  <si>
    <t>6iPQT2GS7gmQuereTIzk3G</t>
  </si>
  <si>
    <t>5AAzeysphag0NxJxLbbVla,3IG4wXzUoG2sb1895LQZIl,1eTRyiHsWMoWKPD6s4Kiqt</t>
  </si>
  <si>
    <t>2017-04-21</t>
  </si>
  <si>
    <t>62JVMdktO5BFoG5LDphZul</t>
  </si>
  <si>
    <t>5AAzeysphag0NxJxLbbVla</t>
  </si>
  <si>
    <t>2018-09-28</t>
  </si>
  <si>
    <t>57I5KhEpQFC9XBgKt6nklL</t>
  </si>
  <si>
    <t>4LXBc13z5EWsc5N32bLxfH</t>
  </si>
  <si>
    <t>Feu</t>
  </si>
  <si>
    <t>2015-06-08</t>
  </si>
  <si>
    <t>6aWmyJZAdn1YbQuofR2zaY</t>
  </si>
  <si>
    <t>04gDigrS5kc9YWfZHwBETP,1RyvyyTE3xzB2ZywiAwp0i,3pcGjcfEW3YD2Hfk6tDR5S</t>
  </si>
  <si>
    <t>Cold (Ashworth Remix)</t>
  </si>
  <si>
    <t>2017-04-14</t>
  </si>
  <si>
    <t>51ODNNDZm21HU7wI7cccRr</t>
  </si>
  <si>
    <t>6nS5roXSAGhTGr34W6n7Et,2wY79sveU1sp5g7SokKOiI</t>
  </si>
  <si>
    <t>Settle (Special Edition)</t>
  </si>
  <si>
    <t>2013-06-03</t>
  </si>
  <si>
    <t>47emsK4Cj4dMqctYq18U03</t>
  </si>
  <si>
    <t>2Waw2sSbqvAwK8NwACNjVo</t>
  </si>
  <si>
    <t>2021-07-02</t>
  </si>
  <si>
    <t>1mea3bSkSGXuIRvnydlB5b</t>
  </si>
  <si>
    <t>4gzpq5DPGxSnKTe4SA8HAU</t>
  </si>
  <si>
    <t>Viva La Vida or Death and All His Friends</t>
  </si>
  <si>
    <t>2008-05-26</t>
  </si>
  <si>
    <t>03SEp9sXkAOAgxJtSLuVEi</t>
  </si>
  <si>
    <t>49CE2ffZ6Z3zeYSDauSKck,6KZDXtSj0SzGOV705nNeh3</t>
  </si>
  <si>
    <t>2021-06-04</t>
  </si>
  <si>
    <t>5uEYRdEIh9Bo4fpjDd4Na9</t>
  </si>
  <si>
    <t>0Y5tJX1MQlPlqiwlOH1tJY,2o08sCWF5yyo2G4DCiT7T9</t>
  </si>
  <si>
    <t>Goosebumps (Remix)</t>
  </si>
  <si>
    <t>0vR2rIVORmgeKiGIgNT0fV</t>
  </si>
  <si>
    <t>7CajNmpbOovFoOoasH2HaY,5SHxzwjek1Pipl1Yk11UHv</t>
  </si>
  <si>
    <t>6Htqsoq5u7Z4a8hqWfMRXY</t>
  </si>
  <si>
    <t>0U3b0BjITtQHwjwBVtiGcO,3HphLd0XiELTvIPYf55dYC,12nEr6QOfSKkiTXjEp8tBB,5n7PIY3yS7npRtQuI5qgjF</t>
  </si>
  <si>
    <t>2020-11-20</t>
  </si>
  <si>
    <t>3uF1ryA8MWAFrDv1DK1RHe</t>
  </si>
  <si>
    <t>1PP0a3KRZiaqtahgtJ3bdv,24CzPFC4y3bM4AkUnZfuAU</t>
  </si>
  <si>
    <t>2018-05-04</t>
  </si>
  <si>
    <t>7dntT9Arp0E8wxQNSS6A50</t>
  </si>
  <si>
    <t>6p32HfiKpYD3wdKHV7utxQ,28hRH6w71u9oXXZuAYBnFX</t>
  </si>
  <si>
    <t>2018-07-10</t>
  </si>
  <si>
    <t>7FdUvDkaE24o3FPIWTvzv2</t>
  </si>
  <si>
    <t>Follow You / Cutthroat</t>
  </si>
  <si>
    <t>2021-03-12</t>
  </si>
  <si>
    <t>1mv4lh1rW1K6xhxhJmEezy</t>
  </si>
  <si>
    <t>2w7IutHv5g4e8LumrwtjWR</t>
  </si>
  <si>
    <t>Music Sounds Better With You</t>
  </si>
  <si>
    <t>1998-07-20</t>
  </si>
  <si>
    <t>2QwvaJbX30GKGTP2jVhQXI</t>
  </si>
  <si>
    <t>5ektKXWvSR9FjUExrpg1xK,2CJqkspRDaYIhU42ySaMKD</t>
  </si>
  <si>
    <t>Fractions (Remixes)</t>
  </si>
  <si>
    <t>2017-08-25</t>
  </si>
  <si>
    <t>5YRcIZnrTmdXgZJwmT0LJS</t>
  </si>
  <si>
    <t>5he5w2lnU9x7JFhnwcekXX,1zNqQNIdeOUZHb8zbZRFMX,1oPEr1Ci8sWOYj8SSh2VPE</t>
  </si>
  <si>
    <t>2021-05-13</t>
  </si>
  <si>
    <t>4bMLBGnjAGVFpjAfIkD0UY</t>
  </si>
  <si>
    <t>7vk5e3vY1uw9plTHJAMwjN,6mU8ucezzms5I2kNH6HNlu</t>
  </si>
  <si>
    <t>2021-05-14</t>
  </si>
  <si>
    <t>5PX4uS1LqlWEPL69phPVQQ</t>
  </si>
  <si>
    <t>0fA0VVWsXO9YnASrzqfmYu,0SwO7SWeDHJijQ3XNS7xEE,57dN52uHvrHOxijzpIgu3E,77AiFEVeAVj2ORpC85QVJs</t>
  </si>
  <si>
    <t>Pursuit Of Happiness [Extended Steve Aoki Remix (Explicit)]</t>
  </si>
  <si>
    <t>2012-01-01</t>
  </si>
  <si>
    <t>023H4I7HJnxRqsc9cqeFKV</t>
  </si>
  <si>
    <t>61lyPtntblHJvA7FMMhi7E,4Q6nIcaBED8qUel8bBx6Cr</t>
  </si>
  <si>
    <t>3FtYbEfBqAlGO46NUDQSAt</t>
  </si>
  <si>
    <t>0SwO7SWeDHJijQ3XNS7xEE</t>
  </si>
  <si>
    <t>Oracular Spectacular</t>
  </si>
  <si>
    <t>2007-12-14</t>
  </si>
  <si>
    <t>0ztrQT1feUm57UJdGnnFei</t>
  </si>
  <si>
    <t>4Cjsh7anKDaMnQ3YHB1Xwq</t>
  </si>
  <si>
    <t>Infinite High (Bee's Knees Remix)</t>
  </si>
  <si>
    <t>2016-10-21</t>
  </si>
  <si>
    <t>2016-11-25</t>
  </si>
  <si>
    <t>4IlqQhaxrGPxmg35YcXXuS</t>
  </si>
  <si>
    <t>77qukKzmdI5BeMBR7WGUrN,6dqohi36avY0M9urnyhITr,17TFSnqADESRM8BPSaM5aB</t>
  </si>
  <si>
    <t>Ibiza 2019</t>
  </si>
  <si>
    <t>2019-11-11</t>
  </si>
  <si>
    <t>7CHi4DtfK4heMlQaudCuHK</t>
  </si>
  <si>
    <t>0xRXCcSX89eobfrshSVdyu,4EPJlUEBy49EX1wuFOvtjK,2nm38smINjms1LtczR0Cei</t>
  </si>
  <si>
    <t>2019-10-11</t>
  </si>
  <si>
    <t>20McUFi8KCIVdNDLrkTDuZ</t>
  </si>
  <si>
    <t>2o08sCWF5yyo2G4DCiT7T9</t>
  </si>
  <si>
    <t>2020-06-12</t>
  </si>
  <si>
    <t>40Rpg3LkZwwzuHJ3GdjMma</t>
  </si>
  <si>
    <t>46SHBwWsqBkxI7EeeBEQG7,3wyVrVrFCkukjdVIdirGVY</t>
  </si>
  <si>
    <t>Dying to Live</t>
  </si>
  <si>
    <t>2018-12-14</t>
  </si>
  <si>
    <t>2020-04-17</t>
  </si>
  <si>
    <t>525GY0mXYnxajolwgS8Eaz</t>
  </si>
  <si>
    <t>5ee4yhrWOxaxvL77BoVpVR</t>
  </si>
  <si>
    <t>2019-05-17</t>
  </si>
  <si>
    <t>7Feaw9WAEREY0DUOSXJLOM</t>
  </si>
  <si>
    <t>60d24wfXkVzDSfLS6hyCjZ,3JhNCzhSMTxs9WLGJJxWOY,4UXqAaa6dQYAk18Lv7PEgX</t>
  </si>
  <si>
    <t>2019-04-25</t>
  </si>
  <si>
    <t>2015-02-24</t>
  </si>
  <si>
    <t>2013-05-17</t>
  </si>
  <si>
    <t>2015-08-18</t>
  </si>
  <si>
    <t>2EBCVPNAG46nbgs6jXPGvv</t>
  </si>
  <si>
    <t>0hCNtLu0JehylgoiP8L4Gh</t>
  </si>
  <si>
    <t>Pink Friday: Roman Reloaded The Re-Up (Explicit Version)</t>
  </si>
  <si>
    <t>2020-01-24</t>
  </si>
  <si>
    <t>2018-03-02</t>
  </si>
  <si>
    <t>6ngjb2Je6gEjjVOOQpWSWG</t>
  </si>
  <si>
    <t>5EmEZjq8eHEC6qFnT63Lza,6dC41opH96WjFwWhhAxBsS</t>
  </si>
  <si>
    <t>2017-08-04</t>
  </si>
  <si>
    <t>5PjdY0CKGZdEuoNab3yDmX</t>
  </si>
  <si>
    <t>2tIP7SsRs7vjIcLrU85W8J,1uNFoZAHBGtllmzznpCI3s</t>
  </si>
  <si>
    <t>F*CK LOVE 3: OVER YOU</t>
  </si>
  <si>
    <t>3GYlQmwfBDo7imFyGPhrl7</t>
  </si>
  <si>
    <t>73jBynjsVtofjRpdpRAJGk,4ofCBoyEiGSePFAG500xev,2HkAI0YrEcgoR8QdaURqhO</t>
  </si>
  <si>
    <t>2020-07-24</t>
  </si>
  <si>
    <t>5YtjgewpB55VaDbGw45uqB</t>
  </si>
  <si>
    <t>7jVv8c5Fj3E9VhNjxT4snq,2LIk90788K0zvyj2JJVwkJ</t>
  </si>
  <si>
    <t>INDUSTRY BABY 2.0</t>
  </si>
  <si>
    <t>2021-10-09</t>
  </si>
  <si>
    <t>5fwSHlTEWpluwOM0Sxnh5k</t>
  </si>
  <si>
    <t>329e4yvIujISKGKz1BZZbO</t>
  </si>
  <si>
    <t>2021-06-24</t>
  </si>
  <si>
    <t>0bfWT3AgM7ZTuqesJvRP6H</t>
  </si>
  <si>
    <t>1MIVXf74SZHmTIp4V4paH4</t>
  </si>
  <si>
    <t>High Expectations</t>
  </si>
  <si>
    <t>2019-08-02</t>
  </si>
  <si>
    <t>2XMTqoHHSH0lvuXrvIEdco</t>
  </si>
  <si>
    <t>7xEFii6utZmQ61kX59HmLH,1oKdM70mJD8VvDOTKeS8t1</t>
  </si>
  <si>
    <t>Truce - EP</t>
  </si>
  <si>
    <t>2016-09-02</t>
  </si>
  <si>
    <t>26haJjtanhamtf25RXH0MO</t>
  </si>
  <si>
    <t>1bj5GrcLom5gZFF5t949Xl,6c0mTNAxJxlp9HpKTUZwA8</t>
  </si>
  <si>
    <t>2017-06-16</t>
  </si>
  <si>
    <t>7fYRg3CEbk6rNCuzNzMT06</t>
  </si>
  <si>
    <t>7CajNmpbOovFoOoasH2HaY,6M2wZ9GZgrQXHCFfjv46we,50co4Is1HCEo8bhOyUWKpn</t>
  </si>
  <si>
    <t>2022-05-27</t>
  </si>
  <si>
    <t>3aFxfpfeATHYg1n750dhgq</t>
  </si>
  <si>
    <t>2ZRQcIgzPCVaT9XKhXZIzh,2JfoFQs5wPHgLz8wnJ4wL2</t>
  </si>
  <si>
    <t>2019-10-24</t>
  </si>
  <si>
    <t>3jMtndFPgcjtKHuUnGHf9E</t>
  </si>
  <si>
    <t>1kwGj7uDO5WXVXtQLvGJr0,0YffB1XSvRrtNRYj4998W6</t>
  </si>
  <si>
    <t>2ewjMyCbNv2X1dB2qIDCwD</t>
  </si>
  <si>
    <t>Ipséité</t>
  </si>
  <si>
    <t>2017-04-28</t>
  </si>
  <si>
    <t>1A6OTy97kk0mMdm78rHsm8</t>
  </si>
  <si>
    <t>246dkjvS1zLTtiykXe5h60,1zNqQNIdeOUZHb8zbZRFMX</t>
  </si>
  <si>
    <t>Sunflower (Spider-Man: Into the Spider-Verse)</t>
  </si>
  <si>
    <t>2018-10-18</t>
  </si>
  <si>
    <t>3CRDbSIZ4r5MsZ0YwxuEkn</t>
  </si>
  <si>
    <t>3YQKmKGau1PzlVlkL1iodx</t>
  </si>
  <si>
    <t>Blurryface</t>
  </si>
  <si>
    <t>2015-05-15</t>
  </si>
  <si>
    <t>3zurcuZnb5Z4h9FdubNGqY</t>
  </si>
  <si>
    <t>7xfdx6PiB50V9VWI4Mq70R,2zHuN04qyNnz890Y2R0Nkr</t>
  </si>
  <si>
    <t>Make Make</t>
  </si>
  <si>
    <t>2017-09-08</t>
  </si>
  <si>
    <t>7FAyIPD8YLpUQc5r0MSv60</t>
  </si>
  <si>
    <t>7xfdx6PiB50V9VWI4Mq70R,6azJLRL2YwHHtmYdSI12lL</t>
  </si>
  <si>
    <t>07nH4ifBxUB4lZcsf44Brn</t>
  </si>
  <si>
    <t>7CajNmpbOovFoOoasH2HaY,34v5MVKeQnIo0CWYMbbrPf</t>
  </si>
  <si>
    <t>66z44eblZlIQ7coY2ec4A5</t>
  </si>
  <si>
    <t>3mUnqlNBdoohi6s287lxel</t>
  </si>
  <si>
    <t>Bar 2 Mixtape</t>
  </si>
  <si>
    <t>2015-08-21</t>
  </si>
  <si>
    <t>3yndKI4zWEyC36BQYrdKBA</t>
  </si>
  <si>
    <t>5MynxBz4ZMqvUzpcxTZl4C,2pHk4wAmL7ofTAuvCIUWtv</t>
  </si>
  <si>
    <t>Hit Sale</t>
  </si>
  <si>
    <t>2018-02-02</t>
  </si>
  <si>
    <t>0F2BxpbxH8Yc3pLub48hrb</t>
  </si>
  <si>
    <t>5sm0jQ1mq0dusiLtDJ2b4R</t>
  </si>
  <si>
    <t>Pjanoo</t>
  </si>
  <si>
    <t>2008-08-29</t>
  </si>
  <si>
    <t>4JbmcPawCB84GH4DTrjqSK</t>
  </si>
  <si>
    <t>0SfsnGyD8FpIN4U4WCkBZ5</t>
  </si>
  <si>
    <t>2018-05-18</t>
  </si>
  <si>
    <t>5X1fF9lPpzQJdSxVpqMXcz</t>
  </si>
  <si>
    <t>5KQuLhckFhcox1K9UCgLuV,3HqP3nd8WI0VfHRhApPlan</t>
  </si>
  <si>
    <t>We Light the Sunshine (Remix)</t>
  </si>
  <si>
    <t>2016-10-07</t>
  </si>
  <si>
    <t>3hxRKXzZS0XRYGZ123JDNH</t>
  </si>
  <si>
    <t>5EGOerlVYxwqxaTLEWumBR,1FCJ4zmRfkGUOtY65Jettg</t>
  </si>
  <si>
    <t>Convergence</t>
  </si>
  <si>
    <t>2015-10-16</t>
  </si>
  <si>
    <t>6K4t31amVTZDgR3sKmwUJJ</t>
  </si>
  <si>
    <t>5INjqkS1o8h1imAzPqGZBb</t>
  </si>
  <si>
    <t>Currents</t>
  </si>
  <si>
    <t>2015-07-17</t>
  </si>
  <si>
    <t>26KOUSe9W0ZsTxMgNfbmq1</t>
  </si>
  <si>
    <t>4Q6nIcaBED8qUel8bBx6Cr,7uMh23xWiuR7zsNkuNcm2G</t>
  </si>
  <si>
    <t>2015-03-30</t>
  </si>
  <si>
    <t>5naYe7rLMZcLfO1DKg48MK</t>
  </si>
  <si>
    <t>4Q6nIcaBED8qUel8bBx6Cr,1bj5GrcLom5gZFF5t949Xl,2kRfqPViCqYdSGhYSM9R0Q,2NlKrNMdpYxGjt3Pvw87rC</t>
  </si>
  <si>
    <t>Snacks</t>
  </si>
  <si>
    <t>2019-07-12</t>
  </si>
  <si>
    <t>1vvNmPOiUuyCbgWmtc6yfm</t>
  </si>
  <si>
    <t>7CajNmpbOovFoOoasH2HaY</t>
  </si>
  <si>
    <t>2016-09-16</t>
  </si>
  <si>
    <t>70YPzqSEwJvAIQ6nMs1cjY</t>
  </si>
  <si>
    <t>45eNHdiiabvmbp4erw26rg,3NPpFNZtSTHheNBaWC82rB</t>
  </si>
  <si>
    <t>ASCEND</t>
  </si>
  <si>
    <t>2019-08-16</t>
  </si>
  <si>
    <t>3LxG9HkMMFP0MZuiw3O2rF</t>
  </si>
  <si>
    <t>45eNHdiiabvmbp4erw26rg,50JJSqHUf2RQ9xsHs0KMHg</t>
  </si>
  <si>
    <t>4HQwS0eDQ57zOER0fp7DoD</t>
  </si>
  <si>
    <t>45eNHdiiabvmbp4erw26rg,6wUAn24MOirNVNqQM47fda</t>
  </si>
  <si>
    <t>3NbKmRmtbamVzAy8Vvjjhq</t>
  </si>
  <si>
    <t>5TgQ66WuWkoQ2xYxaSTnVP</t>
  </si>
  <si>
    <t>2</t>
  </si>
  <si>
    <t>2012-06-25</t>
  </si>
  <si>
    <t>1Szod3mLKHywl09AOy08Xc</t>
  </si>
  <si>
    <t>76YIoWHp3Ri3q1ocOPtFzp</t>
  </si>
  <si>
    <t>2016-04-08</t>
  </si>
  <si>
    <t>7s1upm7yr7ZjrzXMwHawtG</t>
  </si>
  <si>
    <t>3koiLjNrgRTNbOwViDipeA,23fqKkggKUBHNkbKtXEls4</t>
  </si>
  <si>
    <t>Sexual Healing (Kygo Remix)</t>
  </si>
  <si>
    <t>2015-04-27</t>
  </si>
  <si>
    <t>0idc0XRnLRovVqpWnGQ6hC</t>
  </si>
  <si>
    <t>1dgdvbogmctybPrGEcnYf6,4ScCswdRlyA23odg9thgIO</t>
  </si>
  <si>
    <t>2VOomzT6VavJOGBeySqaMc</t>
  </si>
  <si>
    <t>5pKCCKE2ajJHZ9KAiaK11H</t>
  </si>
  <si>
    <t>Good Girl Gone Bad: Reloaded</t>
  </si>
  <si>
    <t>2008-06-02</t>
  </si>
  <si>
    <t>5B85OnAXN77ViAjRCOxfot</t>
  </si>
  <si>
    <t>3XFcu2NnGWceLNdxRCfYH3,1XJbEhsp5nvU3D1T6kS6bE</t>
  </si>
  <si>
    <t>2022-05-12</t>
  </si>
  <si>
    <t>3jhXwlBuSSxd0Vu6Y5pXDv</t>
  </si>
  <si>
    <t>0iui2Be5CP8EWxvHYsVspL,3nqQeOUvDPTu4vtYtPfBjX</t>
  </si>
  <si>
    <t>Baby I'm Yours</t>
  </si>
  <si>
    <t>2010</t>
  </si>
  <si>
    <t>1fuRUV3TYLxiR1h48zh4gh</t>
  </si>
  <si>
    <t>6i8Tae6takoQos2JZ4vdRn</t>
  </si>
  <si>
    <t>Tired Eyes</t>
  </si>
  <si>
    <t>2017-03-10</t>
  </si>
  <si>
    <t>1gJbFyxVnTF8RTGCLyQxCL</t>
  </si>
  <si>
    <t>5fahUm8t5c0GIdeTq0ZaG8</t>
  </si>
  <si>
    <t>House Party Jams</t>
  </si>
  <si>
    <t>2019-03-22</t>
  </si>
  <si>
    <t>7gaXVyPaSqUwIcLPTrnHLm</t>
  </si>
  <si>
    <t>7C1trmcQQ5n5RNy4l6ziCv</t>
  </si>
  <si>
    <t>7nqlScm2smydSRl13eaP8E,4bL2B6hmLlMWnUEZnorEtG</t>
  </si>
  <si>
    <t>Some Say (Felix Jaehn Remix)</t>
  </si>
  <si>
    <t>2020-01-10</t>
  </si>
  <si>
    <t>3HCfLj84q3qXdArLlA1dV5</t>
  </si>
  <si>
    <t>2019-08-08</t>
  </si>
  <si>
    <t>3FyK7HfeMLdhIA0OAQ9nT3</t>
  </si>
  <si>
    <t>5KnoVkIUGmK0PiDKMjz2LM,4AKwRarlmsUlLjIwt38NLw,0E4HZTP1Z1d4gOJmWrkZpe</t>
  </si>
  <si>
    <t>0Cp85ha3RN0FDytbku8nzq</t>
  </si>
  <si>
    <t>5KnoVkIUGmK0PiDKMjz2LM,7K9peN1sknRNqPr9YEYedM</t>
  </si>
  <si>
    <t>Goodbye (feat. Lyse) [Slow Version]</t>
  </si>
  <si>
    <t>2020-10-02</t>
  </si>
  <si>
    <t>7byStfoxyaaq2OPtVqa7dm</t>
  </si>
  <si>
    <t>7BUaQCq7sFUMJqkWPqApXE,4D75GcNG95ebPtNvoNVXhz,5OdVywqKqyCWwfE2fZb7IX,7ACEUD7UsmmXrnj4OLt8f9</t>
  </si>
  <si>
    <t>You Got The Love (twocolors Remix)</t>
  </si>
  <si>
    <t>2021-12-17</t>
  </si>
  <si>
    <t>3uLJbzEY4mtQ3JkuawHGLW</t>
  </si>
  <si>
    <t>2aQehkADOZJoY9nWhtOnLq</t>
  </si>
  <si>
    <t>Polaroid</t>
  </si>
  <si>
    <t>2019-03-21</t>
  </si>
  <si>
    <t>2fq1hRT412Ha85IMYEvCzI</t>
  </si>
  <si>
    <t>37J1PlAkhRK7yrZUtqaUpQ</t>
  </si>
  <si>
    <t>&lt;I°_°I&gt;</t>
  </si>
  <si>
    <t>1ql3hZ1WigNTTZXeGNHzVc</t>
  </si>
  <si>
    <t>39YDJ5QGEQvoUUqtWrHkSn</t>
  </si>
  <si>
    <t>Niquez tous vos daronne les grande salope</t>
  </si>
  <si>
    <t>2022-04-01</t>
  </si>
  <si>
    <t>0GUCG3rXFQXFBwl3hExO2p</t>
  </si>
  <si>
    <t>64N3o9z76C2APyfgQV2HMp</t>
  </si>
  <si>
    <t>2019-09-03</t>
  </si>
  <si>
    <t>7fZBQnc0zXwVybgCIrQQil</t>
  </si>
  <si>
    <t>5rGrDvrLOV2VV8SCFVGWlj,0Upxnyh9nIUNSOmNE8WF4R</t>
  </si>
  <si>
    <t>1yX6sh2TkrT5hsXodo7aS6</t>
  </si>
  <si>
    <t>1uU7g3DNSbsu0QjSEqZtEd,0NGAZxHanS9e0iNHpR8f2W</t>
  </si>
  <si>
    <t>Astronaut In The Ocean (Alok Remix)</t>
  </si>
  <si>
    <t>2021-04-30</t>
  </si>
  <si>
    <t>76hfruVvmfQbw0eYn1nmeC</t>
  </si>
  <si>
    <t>6T5tfhQCknKG4UnH90qGnz</t>
  </si>
  <si>
    <t>2016-11-18</t>
  </si>
  <si>
    <t>0ZhQIxC6CwPjdXkS6650mb</t>
  </si>
  <si>
    <t>5KnoVkIUGmK0PiDKMjz2LM</t>
  </si>
  <si>
    <t>59JaSl0dJPhXb8sa71EGGd</t>
  </si>
  <si>
    <t>4lDXfIznmGueBgTjI3qGUX,3S81oM6w9tzFUxEzvdql6I</t>
  </si>
  <si>
    <t>2yYb6Ru1cwcDUBS4txRYQL</t>
  </si>
  <si>
    <t>0SfsnGyD8FpIN4U4WCkBZ5,13wroZC00C9ix8fUR0JvaY</t>
  </si>
  <si>
    <t>10xV5l9nhLvFpR8mqzs0bL</t>
  </si>
  <si>
    <t>64KEffDW9EtZ1y2vBYgq8T,6LuN9FCkKOj5PcnpouEgny</t>
  </si>
  <si>
    <t>2022-06-10</t>
  </si>
  <si>
    <t>29p6UW08MXzwj9thWBW3uF</t>
  </si>
  <si>
    <t>4D75GcNG95ebPtNvoNVXhz,1Cs0zKBU1kc0i8ypK3B9ai</t>
  </si>
  <si>
    <t>5xKJI9aPQhuTdTq8BrJ8fL</t>
  </si>
  <si>
    <t>43BxCL6t4c73BQnIJtry5v,45ruzGUmIr8WLjLOPJ9mGU</t>
  </si>
  <si>
    <t>2022-03-15</t>
  </si>
  <si>
    <t>-4.4=03</t>
  </si>
  <si>
    <t>128.=02</t>
  </si>
  <si>
    <t>124.=021</t>
  </si>
  <si>
    <t>124.=0=01</t>
  </si>
  <si>
    <t>-4.=0=03</t>
  </si>
  <si>
    <t>-5.5=06</t>
  </si>
  <si>
    <t>125.=034</t>
  </si>
  <si>
    <t>116.=028</t>
  </si>
  <si>
    <t>124.=014</t>
  </si>
  <si>
    <t>124.=04</t>
  </si>
  <si>
    <t>124.=0=06</t>
  </si>
  <si>
    <t>1=05.949</t>
  </si>
  <si>
    <t>1=0</t>
  </si>
  <si>
    <t>123.=017</t>
  </si>
  <si>
    <t>12=0.966</t>
  </si>
  <si>
    <t>-5.=091</t>
  </si>
  <si>
    <t>128.=036</t>
  </si>
  <si>
    <t>111.=064</t>
  </si>
  <si>
    <t>-7.8=09</t>
  </si>
  <si>
    <t>129.=026</t>
  </si>
  <si>
    <t>-5.4=08</t>
  </si>
  <si>
    <t>125.=051</t>
  </si>
  <si>
    <t>125.=035</t>
  </si>
  <si>
    <t>127.=0=01</t>
  </si>
  <si>
    <t>12=0.=028</t>
  </si>
  <si>
    <t>125.=031</t>
  </si>
  <si>
    <t>-7.6=01</t>
  </si>
  <si>
    <t>92.=022</t>
  </si>
  <si>
    <t>124.=051</t>
  </si>
  <si>
    <t>1=09.987</t>
  </si>
  <si>
    <t>114.=071</t>
  </si>
  <si>
    <t>1=05.997</t>
  </si>
  <si>
    <t>8=0.87</t>
  </si>
  <si>
    <t>11=0.97</t>
  </si>
  <si>
    <t>125.=012</t>
  </si>
  <si>
    <t>-5.2=07</t>
  </si>
  <si>
    <t>-4.=095</t>
  </si>
  <si>
    <t>-7.5=07</t>
  </si>
  <si>
    <t>123.=065</t>
  </si>
  <si>
    <t>98.=02</t>
  </si>
  <si>
    <t>118.=019</t>
  </si>
  <si>
    <t>138.=095</t>
  </si>
  <si>
    <t>133.=047</t>
  </si>
  <si>
    <t>125.=088</t>
  </si>
  <si>
    <t>13=0</t>
  </si>
  <si>
    <t>148.=026</t>
  </si>
  <si>
    <t>-9.6=04</t>
  </si>
  <si>
    <t>142.=0=07</t>
  </si>
  <si>
    <t>152.=04</t>
  </si>
  <si>
    <t>12=0.122</t>
  </si>
  <si>
    <t>-1=0.=059</t>
  </si>
  <si>
    <t>1=09.928</t>
  </si>
  <si>
    <t>1=09.2=05</t>
  </si>
  <si>
    <t>-8.=094</t>
  </si>
  <si>
    <t>14=0.=06</t>
  </si>
  <si>
    <t>-7.5=03</t>
  </si>
  <si>
    <t>8=0.=025</t>
  </si>
  <si>
    <t>184.=086</t>
  </si>
  <si>
    <t>113.=0=04</t>
  </si>
  <si>
    <t>172.=055</t>
  </si>
  <si>
    <t>-7.8=01</t>
  </si>
  <si>
    <t>15=0.=031</t>
  </si>
  <si>
    <t>-6.=0=04</t>
  </si>
  <si>
    <t>14=0.=092</t>
  </si>
  <si>
    <t>12=0.1=05</t>
  </si>
  <si>
    <t>77.=029</t>
  </si>
  <si>
    <t>128.=016</t>
  </si>
  <si>
    <t>-7.=062</t>
  </si>
  <si>
    <t>1=05.=01</t>
  </si>
  <si>
    <t>175.=0=01</t>
  </si>
  <si>
    <t>128.=035</t>
  </si>
  <si>
    <t>1=08.=04</t>
  </si>
  <si>
    <t>-1=0.412</t>
  </si>
  <si>
    <t>11=0.=015</t>
  </si>
  <si>
    <t>1=04.9</t>
  </si>
  <si>
    <t>1=05.=011</t>
  </si>
  <si>
    <t>-6.=066</t>
  </si>
  <si>
    <t>75.=053</t>
  </si>
  <si>
    <t>117.7=08</t>
  </si>
  <si>
    <t>129.=023</t>
  </si>
  <si>
    <t>1=04.=028</t>
  </si>
  <si>
    <t>9=0.=03</t>
  </si>
  <si>
    <t>-5.=051</t>
  </si>
  <si>
    <t>9=0.111</t>
  </si>
  <si>
    <t>-6.8=01</t>
  </si>
  <si>
    <t>1=0=0.=079</t>
  </si>
  <si>
    <t>-8.7=03</t>
  </si>
  <si>
    <t>138.=015</t>
  </si>
  <si>
    <t>124.=01</t>
  </si>
  <si>
    <t>-6.1=05</t>
  </si>
  <si>
    <t>1=0=0.=05</t>
  </si>
  <si>
    <t>-4.=03</t>
  </si>
  <si>
    <t>1=05.1</t>
  </si>
  <si>
    <t>1=0=0.=036</t>
  </si>
  <si>
    <t>-5.1=04</t>
  </si>
  <si>
    <t>1=04.=04</t>
  </si>
  <si>
    <t>128.=013</t>
  </si>
  <si>
    <t>12=0.837</t>
  </si>
  <si>
    <t>1=03.=04</t>
  </si>
  <si>
    <t>128.=022</t>
  </si>
  <si>
    <t>1=09.942</t>
  </si>
  <si>
    <t>94.=0=04</t>
  </si>
  <si>
    <t>125.=0=08</t>
  </si>
  <si>
    <t>122.=018</t>
  </si>
  <si>
    <t>-9.5=06</t>
  </si>
  <si>
    <t>118.=039</t>
  </si>
  <si>
    <t>-7.4=09</t>
  </si>
  <si>
    <t>13=0.=0=01</t>
  </si>
  <si>
    <t>197.7=05</t>
  </si>
  <si>
    <t>124.=05</t>
  </si>
  <si>
    <t>123.=0=02</t>
  </si>
  <si>
    <t>14=0.797</t>
  </si>
  <si>
    <t>-7.9=03</t>
  </si>
  <si>
    <t>117.=0=04</t>
  </si>
  <si>
    <t>1=0=0.995</t>
  </si>
  <si>
    <t>-4.=078</t>
  </si>
  <si>
    <t>128.=024</t>
  </si>
  <si>
    <t>14=0.=082</t>
  </si>
  <si>
    <t>82.=0=09</t>
  </si>
  <si>
    <t>138.=0=09</t>
  </si>
  <si>
    <t>1=01.965</t>
  </si>
  <si>
    <t>1=05.=012</t>
  </si>
  <si>
    <t>-4.=083</t>
  </si>
  <si>
    <t>127.=042</t>
  </si>
  <si>
    <t>125.=011</t>
  </si>
  <si>
    <t>-4.1=07</t>
  </si>
  <si>
    <t>-3.=06</t>
  </si>
  <si>
    <t>148.=036</t>
  </si>
  <si>
    <t>144.=01</t>
  </si>
  <si>
    <t>14=0.=04</t>
  </si>
  <si>
    <t>128.=03</t>
  </si>
  <si>
    <t>15=0.=054</t>
  </si>
  <si>
    <t>1=0=0.987</t>
  </si>
  <si>
    <t>-3.7=01</t>
  </si>
  <si>
    <t>118.=075</t>
  </si>
  <si>
    <t>118.=062</t>
  </si>
  <si>
    <t>12=0.=03</t>
  </si>
  <si>
    <t>98.=027</t>
  </si>
  <si>
    <t>12=0.949</t>
  </si>
  <si>
    <t>125.=0=02</t>
  </si>
  <si>
    <t>168.=098</t>
  </si>
  <si>
    <t>-9.8=05</t>
  </si>
  <si>
    <t>119.=0=02</t>
  </si>
  <si>
    <t>121.=03</t>
  </si>
  <si>
    <t>-5.=032</t>
  </si>
  <si>
    <t>125.=0=01</t>
  </si>
  <si>
    <t>4q7JdJK6NXC7c4eORk8EUt</t>
  </si>
  <si>
    <t>7xGEs9CkxkOE8hX07ciCAy,6Ztv937rk7iQxBObBW9ye0</t>
  </si>
  <si>
    <t>spotify:user:215sa627dshkuziaio2vx325i</t>
  </si>
  <si>
    <t>4qxqLnWYd1zOoD3bG7qaSQ</t>
  </si>
  <si>
    <t>2Zvo5BEkHyaHD1zk180kMz</t>
  </si>
  <si>
    <t>2wsXmtsA08Pe3xZlGNkLgd</t>
  </si>
  <si>
    <t>6S3KljEiIOWoLMUyZrkQUc,5uJw4WCX5nYj4FHky9r1Ug</t>
  </si>
  <si>
    <t>2lBhQDBX4kbNrWQOS5HCk0</t>
  </si>
  <si>
    <t>7seaqlSfH73mAG2lRibVcp</t>
  </si>
  <si>
    <t>Best of Belik</t>
  </si>
  <si>
    <t>6fs4FmJFPisknFKnmSwTrn</t>
  </si>
  <si>
    <t>29zsVzEH33dD5QqxeL8dvy</t>
  </si>
  <si>
    <t>Future Classics</t>
  </si>
  <si>
    <t>0G6rdIsquisxkZZSUzLGxq</t>
  </si>
  <si>
    <t>0Ldjd0Z66CJ0rChWXx0jzB,4x4bLKxRPzmsR2HKMfo54b</t>
  </si>
  <si>
    <t>1Ic75bJnvNE3zpE7qZg7aA</t>
  </si>
  <si>
    <t>62RdOEwjfXjFOQpKdufMR7,29zsVzEH33dD5QqxeL8dvy</t>
  </si>
  <si>
    <t>Free Tibet - Vini Vici Remix</t>
  </si>
  <si>
    <t>Free Tibet (Vini Vici Remix)</t>
  </si>
  <si>
    <t>5gXKDmafOQ8i4lYr62wxTk</t>
  </si>
  <si>
    <t>3dUltShd2gJQc98Kc7Syit</t>
  </si>
  <si>
    <t>He.art</t>
  </si>
  <si>
    <t>5loB0lp0m3OSiv8ebZTJHm</t>
  </si>
  <si>
    <t>0Ldjd0Z66CJ0rChWXx0jzB</t>
  </si>
  <si>
    <t>Tree of Life</t>
  </si>
  <si>
    <t>76x2IsGuDbgu9eUnPvcOFx</t>
  </si>
  <si>
    <t>0Ldjd0Z66CJ0rChWXx0jzB,2J0lDAGktLohLwTWlABDE6</t>
  </si>
  <si>
    <t>610DvufmtyWBOudYGU6zJA</t>
  </si>
  <si>
    <t>2AfGElfjqXuSyUny7dsj9p</t>
  </si>
  <si>
    <t>Wrath of Warlords (Official Dominator 2018 Anthem)</t>
  </si>
  <si>
    <t>5taxi3t9jB9vOU91iOuasN</t>
  </si>
  <si>
    <t>4RbUYWWjEBb4umwqakOEd3,0Ldjd0Z66CJ0rChWXx0jzB</t>
  </si>
  <si>
    <t>04L5nFoKUUNePzgME42l88</t>
  </si>
  <si>
    <t>4ku2JEXg2nndNV75aeZKgs</t>
  </si>
  <si>
    <t>4qWKBkoYXBTafofmMSLKSy</t>
  </si>
  <si>
    <t>2IUcLN1s1vum52dtdQRBXe</t>
  </si>
  <si>
    <t>0caJEGgVuXuSHhhrMCmlkI,4RbUYWWjEBb4umwqakOEd3</t>
  </si>
  <si>
    <t>Frenchcore Worldwide 05</t>
  </si>
  <si>
    <t>4382x58elU8zBgibBQJQ8p</t>
  </si>
  <si>
    <t>7xGEs9CkxkOE8hX07ciCAy</t>
  </si>
  <si>
    <t>7seOXBlflZC8UR8bNi27u2</t>
  </si>
  <si>
    <t>6UOk7DmvqlzWmo6gjhZvn6,4FDj6mh458K7m9Txwyj2rt</t>
  </si>
  <si>
    <t>spotify:user:kut_tyno</t>
  </si>
  <si>
    <t>3RyrbzGTZL1WDJuQZjiEdC</t>
  </si>
  <si>
    <t>0Ldjd0Z66CJ0rChWXx0jzB,4Bf4aum2dV9QOMHk93q3Qh</t>
  </si>
  <si>
    <t>Floxytek Dominus - Nout Remix</t>
  </si>
  <si>
    <t>Le Diable Au Corps Compilation 03</t>
  </si>
  <si>
    <t>5Vda7xH4k6bduJVTCvFpCI</t>
  </si>
  <si>
    <t>4VkFTCab7CwMqXuStaHw0l</t>
  </si>
  <si>
    <t>2dQgOfBP52UwjegY8FwJAY,0aKXalHKVzkLJ6aeUY3HMf</t>
  </si>
  <si>
    <t>7CsIyQbMjWIFmrxfkTgf60</t>
  </si>
  <si>
    <t>7p0odCZxOVz684NjXt1dEf</t>
  </si>
  <si>
    <t>2bOByGgguzlxiTYdTc4ZeY</t>
  </si>
  <si>
    <t>5cQmRpjiW1N4Bv4BOIIjtx,433bbqlxHokixaQTTkXZ0S</t>
  </si>
  <si>
    <t>OFFEND THE WEAK,DEFEND THE CULTURE</t>
  </si>
  <si>
    <t>1BW2yN2OqDvWOevdkbHB9y</t>
  </si>
  <si>
    <t>6yFfHsTW76VoXts5QDvQgv,7FSj8kD4474FKP2gYjZPos</t>
  </si>
  <si>
    <t>6u8pHCsBSo1rahkWXUxPzW</t>
  </si>
  <si>
    <t>4RbUYWWjEBb4umwqakOEd3</t>
  </si>
  <si>
    <t>Trip Around The World</t>
  </si>
  <si>
    <t>1N4fG8bDejY2hz4cFL72fs</t>
  </si>
  <si>
    <t>5eacLGlDeiJHgDpoeWazVC</t>
  </si>
  <si>
    <t>3E31HqA00iCX9nRhesw6LD,0aKXalHKVzkLJ6aeUY3HMf</t>
  </si>
  <si>
    <t>Reünie - Outsiders Remix</t>
  </si>
  <si>
    <t>Reünie (Outsiders Remix)</t>
  </si>
  <si>
    <t>2pRmnaUpB45s6i3AvHS17F</t>
  </si>
  <si>
    <t>A State Of Trance 2017 (Mixed by Armin van Buuren)</t>
  </si>
  <si>
    <t>2Qvx5dy7zO870Fr0UWljZm</t>
  </si>
  <si>
    <t>6cEuCEZu7PAE9ZSzLLc2oQ,5wTdspmxzb8V4ZjvDodpBo,5QySqc6yAFDx9m7fedFZmC</t>
  </si>
  <si>
    <t>All Around The World (La La La) - Brennan Heart Remix</t>
  </si>
  <si>
    <t>All Around The World (La La La) [Brennan Heart Remix]</t>
  </si>
  <si>
    <t>4fVyuVMEFkSfM2Z5sbbEdP</t>
  </si>
  <si>
    <t>6NTwqXJnPHzdjegm45f8qh,6MUXMQLSPFynFBwF2Qz2CU</t>
  </si>
  <si>
    <t>Dominator - Wrath Of Warlords</t>
  </si>
  <si>
    <t>3hA1V8AeeUA41grLuWhRWK</t>
  </si>
  <si>
    <t>0Ldjd0Z66CJ0rChWXx0jzB,4RbUYWWjEBb4umwqakOEd3</t>
  </si>
  <si>
    <t>Frenchcore Worldwide 04</t>
  </si>
  <si>
    <t>0tjuvO3dOJyouKoPk9vmdI</t>
  </si>
  <si>
    <t>5oPmH9CCKvfcFa7629sFKJ</t>
  </si>
  <si>
    <t>7IeovKzVkfcG9mIJGNzTcT,5cPNMq5lKAoAKyv5kdpz9s,05ndiewdJogtosuRWN8iwF</t>
  </si>
  <si>
    <t>5zx1mmLOanYVOzrtjUb2aM</t>
  </si>
  <si>
    <t>6urGC3KsC2TRVmVUwvcRNz</t>
  </si>
  <si>
    <t>7nMlWFN9aJRBMOCewtMtm7</t>
  </si>
  <si>
    <t>0caJEGgVuXuSHhhrMCmlkI</t>
  </si>
  <si>
    <t>51czegKF9UbmUZkp8etKj2</t>
  </si>
  <si>
    <t>11aa081aKYUzmeFm0yHdT2</t>
  </si>
  <si>
    <t>Bass Slut / It Went / Crazy Ass Bitch</t>
  </si>
  <si>
    <t>1UymZaSfQII4vUkz4U5btm</t>
  </si>
  <si>
    <t>7E6DrjKJieOdJKO8mbwCMO,0caJEGgVuXuSHhhrMCmlkI</t>
  </si>
  <si>
    <t>4mALGoOhRMFVfphsMppSb2</t>
  </si>
  <si>
    <t>4RbUYWWjEBb4umwqakOEd3,0caJEGgVuXuSHhhrMCmlkI</t>
  </si>
  <si>
    <t>Muzika - Sefa Remix</t>
  </si>
  <si>
    <t>Leven Is Lijden</t>
  </si>
  <si>
    <t>5OPhnd9rLAVGBWrjr1GjL1</t>
  </si>
  <si>
    <t>0SfsnGyD8FpIN4U4WCkBZ5,7IFPeV5Ew63S7Hid0AjNgK</t>
  </si>
  <si>
    <t>Turn It Up - Sound Rush Remix</t>
  </si>
  <si>
    <t>Turn It Up (Remixes)</t>
  </si>
  <si>
    <t>3JRJoXFzG7gVHcOhh3YqKU</t>
  </si>
  <si>
    <t>27Z5l2Kfy1IaYZMg5INWqO</t>
  </si>
  <si>
    <t>5f8DlWcHH5w9od0yggzs6X</t>
  </si>
  <si>
    <t>5cPNMq5lKAoAKyv5kdpz9s,7AGSJihqYPhYy5QzMcwcQT</t>
  </si>
  <si>
    <t>7DmhyegXAiu0yTy7nRI0yg</t>
  </si>
  <si>
    <t>0XqFDQJjqW5PfhfBCb53LR,3RTklnRcfHgkQJwFpgOq3t,1naX4fxuRaDFlj9tGfIUZk</t>
  </si>
  <si>
    <t>Symphony - Dr Phunk Remix</t>
  </si>
  <si>
    <t>Symphony (Dr Phunk Remix)</t>
  </si>
  <si>
    <t>17DnHWO0WESaZzVcF6NapL</t>
  </si>
  <si>
    <t>5UD7lUztoHE12aTkwUWw7x</t>
  </si>
  <si>
    <t>43kgeL9rkPVCCIBdYHECWG,4OAC3olGybn9D0DJtzBsYa,54bUuo7WePzybSZws6C1jZ</t>
  </si>
  <si>
    <t>3fZIBSibgTdC4gaqoXmk8G</t>
  </si>
  <si>
    <t>6C0KWmCdqrLU2LzzWBPbOy,2DTw633fgdoxrqv7uPdcCw</t>
  </si>
  <si>
    <t>Orange Heart (feat. Sian Evans)</t>
  </si>
  <si>
    <t>1Othclu13izG3c1oFKbbMJ</t>
  </si>
  <si>
    <t>0aKXalHKVzkLJ6aeUY3HMf,2dQgOfBP52UwjegY8FwJAY,2ylIKKdMukkuprCgY4ZDFE</t>
  </si>
  <si>
    <t>5YjqaxkS4NLVlzMQVFjez8</t>
  </si>
  <si>
    <t>6C0KWmCdqrLU2LzzWBPbOy,0wr85NuJuAYZsRzP1lJgiV,6qJ61DomA73g7jQEKESw9Z</t>
  </si>
  <si>
    <t>The Return Of Headhunterz</t>
  </si>
  <si>
    <t>2Uky2FZyXXf6aG1RQkOUpN</t>
  </si>
  <si>
    <t>0wr85NuJuAYZsRzP1lJgiV,7IeovKzVkfcG9mIJGNzTcT</t>
  </si>
  <si>
    <t>7zG9vZinH8oplRRuvWf1e3</t>
  </si>
  <si>
    <t>3gk0OYeLFWYupGFRHqLSR7,1nT3e90Vy26Di8uY4O0256,0wr85NuJuAYZsRzP1lJgiV</t>
  </si>
  <si>
    <t>Listen to Your Momma - Wildstylez Remix</t>
  </si>
  <si>
    <t>Listen to Your Momma (Wildstylez Remix)</t>
  </si>
  <si>
    <t>6jzqY97VGs6UqEhAVOuGRz</t>
  </si>
  <si>
    <t>6C0KWmCdqrLU2LzzWBPbOy,4f0OXMMSxr0r8Ztx6CdpAl</t>
  </si>
  <si>
    <t>6LQVK3SpQ8HhcshNDBABig</t>
  </si>
  <si>
    <t>7jp5R1aY7kmwBYX3jIu9yk</t>
  </si>
  <si>
    <t>1fK5I9IuECrrSE6CkerxNa</t>
  </si>
  <si>
    <t>0SfsnGyD8FpIN4U4WCkBZ5,5QySqc6yAFDx9m7fedFZmC,4LBa6kTLaQHiONCfTfTaXV</t>
  </si>
  <si>
    <t>Blah Blah Blah - Brennan Heart &amp; Toneshifterz Extended Remix</t>
  </si>
  <si>
    <t>Blah Blah Blah (Remixes)</t>
  </si>
  <si>
    <t>1gi1nMTj5V7SKPDTRemBEk</t>
  </si>
  <si>
    <t>0Ldjd0Z66CJ0rChWXx0jzB,7bZpsazP9325Jy6LLx2p7J</t>
  </si>
  <si>
    <t>Rolling Paper (Hard edit)</t>
  </si>
  <si>
    <t>5gxc4MLtCws4DDkkmSYBlc</t>
  </si>
  <si>
    <t>0q9N0BB6s9r3kxcfrVnrkd</t>
  </si>
  <si>
    <t>U Can't Stop the Rave</t>
  </si>
  <si>
    <t>6M8EMAnTPPnZN58u94iPzg</t>
  </si>
  <si>
    <t>7bAQjf1HZKNahH6W2f2lta</t>
  </si>
  <si>
    <t>7fMJN4fdEwmFWd8uz5pnKx,6C0KWmCdqrLU2LzzWBPbOy,0wr85NuJuAYZsRzP1lJgiV</t>
  </si>
  <si>
    <t>Maximum Force (Defqon.1 Anthem 2018)</t>
  </si>
  <si>
    <t>5AtpIUEM221ILCVt93RMj4</t>
  </si>
  <si>
    <t>4RbUYWWjEBb4umwqakOEd3,3QUpjXKcTee8KscFqpkSfv</t>
  </si>
  <si>
    <t>Frenchcore Worldwide 03</t>
  </si>
  <si>
    <t>5P442Jm9PtGnuFSF8dhg23</t>
  </si>
  <si>
    <t>6C0KWmCdqrLU2LzzWBPbOy,7yhRUp1m94EmlkPRw7VoVQ</t>
  </si>
  <si>
    <t>3Pq2A5RylTGFr6NKrCPa79</t>
  </si>
  <si>
    <t>7IFPeV5Ew63S7Hid0AjNgK,0jqSpIpPWIxPpAyvfExLQC</t>
  </si>
  <si>
    <t>1JI70l1lE5IF2tgJm5TnMD</t>
  </si>
  <si>
    <t>69GGBxA162lTqCwzJG5jLp,6Dd3NScHWwnW6obMFbl1BH,6BrvowZBreEkXzJQMpL174,7MXzeG7zoG8pKpqKCOqcZL</t>
  </si>
  <si>
    <t>Don't Let Me Down (feat. Daya) - Hardwell &amp; Sephyx Remix</t>
  </si>
  <si>
    <t>Don't Let Me Down (feat. Daya) [Hardwell &amp; Sephyx Remix]</t>
  </si>
  <si>
    <t>4yQAB0Ep7CoZYRBqfGUfHX</t>
  </si>
  <si>
    <t>4OPaH4YIqua9DUnI7t0fOQ,5CVwY7MrkxGF1aM4f1u6Xk</t>
  </si>
  <si>
    <t>Warrior</t>
  </si>
  <si>
    <t>5DWoPJxISs9VMRCJBzujB6</t>
  </si>
  <si>
    <t>6L7a6wPGpvLtTwOsMLnF1z,4f0OXMMSxr0r8Ztx6CdpAl</t>
  </si>
  <si>
    <t>6PtXobrqImYfnpIxNsJApa</t>
  </si>
  <si>
    <t>1Cs0zKBU1kc0i8ypK3B9ai,3gk0OYeLFWYupGFRHqLSR7,7HqEmV7FeCi16bQyHMpIrF</t>
  </si>
  <si>
    <t>Bad (feat. Vassy) [Radio Edit]</t>
  </si>
  <si>
    <t>59o6ojGNGJOYiVJSzC6Lsa</t>
  </si>
  <si>
    <t>1Cs0zKBU1kc0i8ypK3B9ai,0fA0VVWsXO9YnASrzqfmYu</t>
  </si>
  <si>
    <t>Memories (feat. Kid Cudi) [2021 Remix]</t>
  </si>
  <si>
    <t>1bjV7xi0pvLsOHqEAxRri0</t>
  </si>
  <si>
    <t>0SfsnGyD8FpIN4U4WCkBZ5,5lHeHJPYUJdDBXIApseBwO</t>
  </si>
  <si>
    <t>Blah Blah Blah - Zany Remix</t>
  </si>
  <si>
    <t>67awxiNHNyjMXhVgsHuIrs</t>
  </si>
  <si>
    <t>540vIaP2JwjQb9dm3aArA4,7sfl4Xt5KmfyDs2T3SVSMK</t>
  </si>
  <si>
    <t>5okvHWU4eDKQzeihQFuYaP</t>
  </si>
  <si>
    <t>0I5is4tdxHhT3Ft2EzPjlB,0MBGxwmCdXdO26ojaNcT64</t>
  </si>
  <si>
    <t>3puJ4f4wzYC79XboCfvPWo</t>
  </si>
  <si>
    <t>6cEuCEZu7PAE9ZSzLLc2oQ,6C0KWmCdqrLU2LzzWBPbOy</t>
  </si>
  <si>
    <t>71KexJPDNV9o5mEl869ddV</t>
  </si>
  <si>
    <t>6BrvowZBreEkXzJQMpL174,4RTCIP5yp2tL1AtBCq7ukj,1naX4fxuRaDFlj9tGfIUZk</t>
  </si>
  <si>
    <t>Apollo - Dr Phunk Remix</t>
  </si>
  <si>
    <t>Apollo (Dr Phunk Remix)</t>
  </si>
  <si>
    <t>3mBF8vSXfgfz2S9XXWiq27</t>
  </si>
  <si>
    <t>3gk0OYeLFWYupGFRHqLSR7</t>
  </si>
  <si>
    <t>05yYceDA8edH0L98bYCQOs</t>
  </si>
  <si>
    <t>6C0KWmCdqrLU2LzzWBPbOy</t>
  </si>
  <si>
    <t>64Y4ku179mqMCimjT6cShE</t>
  </si>
  <si>
    <t>4FDj6mh458K7m9Txwyj2rt</t>
  </si>
  <si>
    <t>57G2C1TvEUbyiMhaPJc3v2</t>
  </si>
  <si>
    <t>7jp5R1aY7kmwBYX3jIu9yk,1naX4fxuRaDFlj9tGfIUZk</t>
  </si>
  <si>
    <t>06lUC60bYItTvFWGuEKyvt</t>
  </si>
  <si>
    <t>73jBynjsVtofjRpdpRAJGk,1V3VTM7VspiQjcmRhC010n</t>
  </si>
  <si>
    <t>4v0pQjXKhn23KCOymfoSsh</t>
  </si>
  <si>
    <t>5QySqc6yAFDx9m7fedFZmC,1Wt63OMKtv6v2ivHuQLm2C,7D76Zt5h5OIV4zHi1AtCqw</t>
  </si>
  <si>
    <t>Show Your True Colors</t>
  </si>
  <si>
    <t>0GTPmh5G40joBg93vcSQNq</t>
  </si>
  <si>
    <t>0NGAZxHanS9e0iNHpR8f2W,5deLgmgAEgy8UHOfJ9Dj8w,4NHQUGzhtTLFvgF5SZesLK</t>
  </si>
  <si>
    <t>1hCUDhTF5sLEQHW7TXGKP6</t>
  </si>
  <si>
    <t>0caJEGgVuXuSHhhrMCmlkI,2WZK4ltsxqMCsLbsjzfGyY</t>
  </si>
  <si>
    <t>3wSrPtJpnGaUC2hOmJy0BV</t>
  </si>
  <si>
    <t>73jBynjsVtofjRpdpRAJGk,7e1BNCygl2Gf7CX8LrByPv,5QySqc6yAFDx9m7fedFZmC</t>
  </si>
  <si>
    <t>6609cCUb8ayZkTUvkJ03Rm</t>
  </si>
  <si>
    <t>0Cd6nHYwecCNM1sVEXKlYr</t>
  </si>
  <si>
    <t>Ammunition</t>
  </si>
  <si>
    <t>7gl45ID8nmkd1H4HqasK3E</t>
  </si>
  <si>
    <t>The Qontinent 2019</t>
  </si>
  <si>
    <t>7AeYomUuCNb965CWyfLTjK</t>
  </si>
  <si>
    <t>3UOr59cDPUuMoQSyiLbFmw</t>
  </si>
  <si>
    <t>7CCjtD0hCK005Bvg2WG1a7,6G1en7nfPSAWElhPgUOy0h,2y1VzMKAa5nmfXKtJL9jnj,1Wt63OMKtv6v2ivHuQLm2C</t>
  </si>
  <si>
    <t>Blitzkrieg - Coone Remix</t>
  </si>
  <si>
    <t>Blitzkrieg (Coone Remix)</t>
  </si>
  <si>
    <t>4rwpZEcnalkuhPyGkEdhu0</t>
  </si>
  <si>
    <t>5he5w2lnU9x7JFhnwcekXX</t>
  </si>
  <si>
    <t>Scary Monsters and Nice Sprites EP</t>
  </si>
  <si>
    <t>6VRhkROS2SZHGlp0pxndbJ</t>
  </si>
  <si>
    <t>5he5w2lnU9x7JFhnwcekXX,3oAazIwC0nAYkOKVQPUC38</t>
  </si>
  <si>
    <t>Bangarang EP</t>
  </si>
  <si>
    <t>5FvdZ8gbPKr6qfen05303Q</t>
  </si>
  <si>
    <t>1BpCQRsYuiRg1TXKR2SQe1</t>
  </si>
  <si>
    <t>24hYr62Cz2iA3OOef8mykI</t>
  </si>
  <si>
    <t>7MqnCTCAX6SsIYYdJCQj9B,5he5w2lnU9x7JFhnwcekXX</t>
  </si>
  <si>
    <t>The Island, Pt. 1 (Dawn) - Skrillex Remix</t>
  </si>
  <si>
    <t>The Island, Pt. 1 (Dawn) [Skrillex Remix]</t>
  </si>
  <si>
    <t>0zP1BZps3Or5ukfRZDwTjt</t>
  </si>
  <si>
    <t>7jp5R1aY7kmwBYX3jIu9yk,4FDj6mh458K7m9Txwyj2rt</t>
  </si>
  <si>
    <t>5vUVe1o9MvB6161zjXlMxc</t>
  </si>
  <si>
    <t>6UOk7DmvqlzWmo6gjhZvn6</t>
  </si>
  <si>
    <t>19UGEZoMAqqaTEcEYNvsox</t>
  </si>
  <si>
    <t>10 Years Da Tweekaz - The Definitive Collection</t>
  </si>
  <si>
    <t>64BbRFQBFPpSKhmCZ5w7K1</t>
  </si>
  <si>
    <t>2rTo8KIkBTFjQS7VvaKYQ4</t>
  </si>
  <si>
    <t>4b2tcjrG1qUkSdsqEFP2dB</t>
  </si>
  <si>
    <t>2XnBwblw31dfGnspMIwgWz,1xNmvlEiICkRlRGqlNFZ43,6hyMWrxGBsOx6sWcVj1DqP</t>
  </si>
  <si>
    <t>7Amvz178u6dFeTBvkKjfMt</t>
  </si>
  <si>
    <t>715bpdFomgaPE1PgnLCf5f</t>
  </si>
  <si>
    <t>1moKH1sGouxco5VNQx8P7W,1ak7Jr0XfSsXZGf3GnZ5H4</t>
  </si>
  <si>
    <t>Thunderbird</t>
  </si>
  <si>
    <t>44aNaaHvLcEUkjQmdwElpw</t>
  </si>
  <si>
    <t>47z7ZrgFoBvVpCnElCE3Zh,1x0ScxgiyFRQDKT4VwcLHa</t>
  </si>
  <si>
    <t>0cSfexJhFLljpynHGdIXvM</t>
  </si>
  <si>
    <t>4OPaH4YIqua9DUnI7t0fOQ</t>
  </si>
  <si>
    <t>Music Is My Alibi - Da Tweekaz remix</t>
  </si>
  <si>
    <t>Forever Young</t>
  </si>
  <si>
    <t>50ctXKlhrJ8Qokv8OuzEwb</t>
  </si>
  <si>
    <t>5I9QeVQ3vV3bwcYNaPIhsr,6L7a6wPGpvLtTwOsMLnF1z</t>
  </si>
  <si>
    <t>Let The Music Play - D-Block &amp; S-te-Fan Remix</t>
  </si>
  <si>
    <t>Let The Music Play (D-Block &amp; S-te-Fan Remix)</t>
  </si>
  <si>
    <t>6RXgRxJLlPcyjnTPrCYeWJ</t>
  </si>
  <si>
    <t>5QySqc6yAFDx9m7fedFZmC</t>
  </si>
  <si>
    <t>Midify Digital 005</t>
  </si>
  <si>
    <t>3ys19VoXY9NMi4SvRvb2BM</t>
  </si>
  <si>
    <t>5eSbXcprPmrh8Jyz06VVeV</t>
  </si>
  <si>
    <t>7hx1RqoAcuAsHfQM93nycC</t>
  </si>
  <si>
    <t>4Pw979OeQublQjHdnNb5Mk,4FDj6mh458K7m9Txwyj2rt</t>
  </si>
  <si>
    <t>He's a Pirate - Harris &amp; Ford Remix</t>
  </si>
  <si>
    <t>He's a Pirate</t>
  </si>
  <si>
    <t>2MxsTNQvvAJuuHK1V6nMQV</t>
  </si>
  <si>
    <t>7E6DrjKJieOdJKO8mbwCMO</t>
  </si>
  <si>
    <t>0vtR1BWnjKvzs85eqcC5gn</t>
  </si>
  <si>
    <t>6WLP1sraOcF3Gaxp7xBa4p</t>
  </si>
  <si>
    <t>61W3SIqjjMvKgE3CC0GVTh</t>
  </si>
  <si>
    <t>7kBTFueiOHgnbxQB4IedXI</t>
  </si>
  <si>
    <t>Drug Collection - Coone remix</t>
  </si>
  <si>
    <t>Drug Collection EP</t>
  </si>
  <si>
    <t>20w1womRlnQ9oLwqI5oZ4s</t>
  </si>
  <si>
    <t>0b2rM3fXiBkA4c1SpSkoqE,1Yc03TvBp08WN2oHVuvewX</t>
  </si>
  <si>
    <t>Break Your Mind</t>
  </si>
  <si>
    <t>5zZTBC2kuFZMfPpx47TjiQ</t>
  </si>
  <si>
    <t>6twYjkIFnzVKNJgEEpfnvI,4pgWT5ILNkaphcJucFWJkx</t>
  </si>
  <si>
    <t>4UJie4npIuGkiA8rkndBS6</t>
  </si>
  <si>
    <t>5QySqc6yAFDx9m7fedFZmC,4FDj6mh458K7m9Txwyj2rt</t>
  </si>
  <si>
    <t>5YJ1QhgbyHwfLhwW4xttsF</t>
  </si>
  <si>
    <t>37jL2LnGjAkadOCszr8v7C,3mZnhzeAyjpFhO3cIepzBr,2FmgW6Jee0JQKtb6EnBWCq</t>
  </si>
  <si>
    <t>Digital Nation</t>
  </si>
  <si>
    <t>5r69A87KyL53dnEsT8GUNC</t>
  </si>
  <si>
    <t>6WLP1sraOcF3Gaxp7xBa4p,6Tu0luJL7EoFv1RsHZP30p</t>
  </si>
  <si>
    <t>Blastoyz + Friends vol.2</t>
  </si>
  <si>
    <t>643KtzPEqzke4AtNGFYphF</t>
  </si>
  <si>
    <t>3lfps4zRbW0NyfIptTYmvn,3MsoO992mez3M5D23AxzQW</t>
  </si>
  <si>
    <t>Part of the Dream (Compiled by Vini Vici)</t>
  </si>
  <si>
    <t>6LSgZv4ksTqH6SxG844ysg</t>
  </si>
  <si>
    <t>2qNYTspRpXKdl4MJ6TGC5T</t>
  </si>
  <si>
    <t>Make It Loud - Headhunterz Remix</t>
  </si>
  <si>
    <t>Hard Bass 2011</t>
  </si>
  <si>
    <t>4nGjez2Gk8sFMXkE080HOA</t>
  </si>
  <si>
    <t>0boEQJQri9DBsu6ue1aXQz</t>
  </si>
  <si>
    <t>Psychedelica</t>
  </si>
  <si>
    <t>1eKCX3gO4aNFi72zIaisTl</t>
  </si>
  <si>
    <t>1TlTz1l8LzQ7AiXjBO77Ep</t>
  </si>
  <si>
    <t>2AoZNmF5NTaJaeaqPspXwI</t>
  </si>
  <si>
    <t>5eSbXcprPmrh8Jyz06VVeV,2Zvo5BEkHyaHD1zk180kMz,5Nqs1Ap8F1oxX1hBm9a3gm</t>
  </si>
  <si>
    <t>5akqkEtFmak1xcC3Y8ebUs</t>
  </si>
  <si>
    <t>5zOy8g7BSZJ8rWVLc08lrv</t>
  </si>
  <si>
    <t>The Graveyard Shift</t>
  </si>
  <si>
    <t>0dxnB2ZHtt0Vmf4Uft3Sz5</t>
  </si>
  <si>
    <t>6z8RI8xA1F8c9XC3rSLVKO</t>
  </si>
  <si>
    <t>Indian Vibes</t>
  </si>
  <si>
    <t>2Xw9nJ8YyJ3TEKfHOlGyZX</t>
  </si>
  <si>
    <t>4bi8SmsdSp5AoD6RFZjyjW,4OPaH4YIqua9DUnI7t0fOQ</t>
  </si>
  <si>
    <t>4nGPkwJneWvC3ckbQvgEdJ</t>
  </si>
  <si>
    <t>3HjmdK69N8hal2kZLIx6GS</t>
  </si>
  <si>
    <t>2kK1cYRoYo24RzsHADtD0E,0caJEGgVuXuSHhhrMCmlkI</t>
  </si>
  <si>
    <t>Get It Crackin - Sefa Remix</t>
  </si>
  <si>
    <t>Get It Crackin (Sefa Remix)</t>
  </si>
  <si>
    <t>7itqliMZptunXCWBruDmi5</t>
  </si>
  <si>
    <t>5DOL2R736GPvEL6yE05n4R</t>
  </si>
  <si>
    <t>0SfsnGyD8FpIN4U4WCkBZ5,29zsVzEH33dD5QqxeL8dvy,62RdOEwjfXjFOQpKdufMR7,0wr85NuJuAYZsRzP1lJgiV</t>
  </si>
  <si>
    <t>Great Spirit (Wildstylez Remix)</t>
  </si>
  <si>
    <t>2h7COWHiqen0n1fcMckN0o</t>
  </si>
  <si>
    <t>0S6b11xqvO6XOWZSukSjiY,0caJEGgVuXuSHhhrMCmlkI</t>
  </si>
  <si>
    <t>Approach To Midnight</t>
  </si>
  <si>
    <t>2NEV6VJiB6N27tQ1bE3DSd</t>
  </si>
  <si>
    <t>4RbUYWWjEBb4umwqakOEd3,1v2lA2moEBT9UFfnRd6Pkx</t>
  </si>
  <si>
    <t>Acid Bomb</t>
  </si>
  <si>
    <t>7vJnS6ZQDVlPaWKoPPl3z9</t>
  </si>
  <si>
    <t>4rjpzgu5YnVodi62T50yjV,4RbUYWWjEBb4umwqakOEd3</t>
  </si>
  <si>
    <t>1NVr2ucSniYMKRZURFGvgP</t>
  </si>
  <si>
    <t>4puPYeOQBVoDEWNDPG9En1</t>
  </si>
  <si>
    <t>4RbUYWWjEBb4umwqakOEd3,6GhHpobLFwP7PwixWz6otN,0b2rM3fXiBkA4c1SpSkoqE</t>
  </si>
  <si>
    <t>Eat This - Broken Minds Remix</t>
  </si>
  <si>
    <t>1ni5Npp74mAsrImDdfb8Kw</t>
  </si>
  <si>
    <t>0caJEGgVuXuSHhhrMCmlkI,592FgKnDnLHT1jLLLwGjR2</t>
  </si>
  <si>
    <t>7eFHzgSCf2HLQHTYiBb9Io</t>
  </si>
  <si>
    <t>4RbUYWWjEBb4umwqakOEd3,123hDJRbi4KtCdBaaKNHW6</t>
  </si>
  <si>
    <t>2iraDELX1sG5qeps2v98ai</t>
  </si>
  <si>
    <t>7DyHG5Vg4oFAJRsgMEoDWo</t>
  </si>
  <si>
    <t>4RbUYWWjEBb4umwqakOEd3,5yirHkilaq4YSjO9BY6oy3</t>
  </si>
  <si>
    <t>7M5zDEAy4mKkiLtA3Dnva1</t>
  </si>
  <si>
    <t>2lpFs8QJyIeVDb2Sq4vZYi,0caJEGgVuXuSHhhrMCmlkI</t>
  </si>
  <si>
    <t>DOMINATION - SEFA REMIX</t>
  </si>
  <si>
    <t>STRAIGHT OUTTA FUTURE</t>
  </si>
  <si>
    <t>1Omwh7BtiY2E2OT5Lmbhoa</t>
  </si>
  <si>
    <t>39cgo5SPJygKIlIcrwkd73,4RbUYWWjEBb4umwqakOEd3</t>
  </si>
  <si>
    <t>1naXrE7tX1peW9zL2LlziG</t>
  </si>
  <si>
    <t>0caJEGgVuXuSHhhrMCmlkI,4rjpzgu5YnVodi62T50yjV</t>
  </si>
  <si>
    <t>22iyqD0gyzWHy6oAvPVAWk</t>
  </si>
  <si>
    <t>7vk5e3vY1uw9plTHJAMwjN,4npEfmQ6YuiwW1GpUmaq3F,6UOk7DmvqlzWmo6gjhZvn6</t>
  </si>
  <si>
    <t>Alone, Pt. II - Da Tweekaz Remix</t>
  </si>
  <si>
    <t>Alone, Pt. II (Remixes)</t>
  </si>
  <si>
    <t>4VjlsvbmJoDmgVCLJI78kL</t>
  </si>
  <si>
    <t>7IeovKzVkfcG9mIJGNzTcT</t>
  </si>
  <si>
    <t>40PNoHlTWzatS0dbhah6AW</t>
  </si>
  <si>
    <t>1Wt63OMKtv6v2ivHuQLm2C,7IFPeV5Ew63S7Hid0AjNgK</t>
  </si>
  <si>
    <t>6ax5UucZXlLO0oGg3jLWMG</t>
  </si>
  <si>
    <t>0MnM8NE69iw1cVc7GVIZ41,0nC1zkioNJaPntz8XAeLx9</t>
  </si>
  <si>
    <t>4EncVGXlw9yTuaPXMRLTw1</t>
  </si>
  <si>
    <t>0aKXalHKVzkLJ6aeUY3HMf,7jp5R1aY7kmwBYX3jIu9yk,3Lu9zTGOtzT2MZpfxdaHJv</t>
  </si>
  <si>
    <t>7ipZRNyXP2r9rJQD4z4vS0</t>
  </si>
  <si>
    <t>4OPaH4YIqua9DUnI7t0fOQ,4bi8SmsdSp5AoD6RFZjyjW</t>
  </si>
  <si>
    <t>45RRHJIKmLpsdTok1UhN4M</t>
  </si>
  <si>
    <t>0wr85NuJuAYZsRzP1lJgiV</t>
  </si>
  <si>
    <t>76s3XgfRlBhPjiDFhZQvZO</t>
  </si>
  <si>
    <t>4rjpzgu5YnVodi62T50yjV,0ceEjm8IKMdK5BjMmnGMrd</t>
  </si>
  <si>
    <t>You can say Ivex</t>
  </si>
  <si>
    <t>1H1t63Jv0nX7ayhnoLPIiB</t>
  </si>
  <si>
    <t>24To1vtxXzfI8ok2WUeRMs,1qF8DC6uIBjskqP0hyw1Gk</t>
  </si>
  <si>
    <t>ResuRection - Maurice West Remix</t>
  </si>
  <si>
    <t>ResuRection (Maurice West Remix)</t>
  </si>
  <si>
    <t>2XmEGldFYYmpNFyJtAZEEu</t>
  </si>
  <si>
    <t>1vDMUXdbIJHTSC8ZAf2Zqp</t>
  </si>
  <si>
    <t>260YRCuchW8G1HedyYAz7x</t>
  </si>
  <si>
    <t>2AasvmwafZPTgQANaoLoQY</t>
  </si>
  <si>
    <t>2ZKkSNzQlZKIpUHlctKqaI</t>
  </si>
  <si>
    <t>0Ldjd0Z66CJ0rChWXx0jzB,4FBIoq9iy1wcNWWzYzEbl9</t>
  </si>
  <si>
    <t>5wnp6uV25Z92zoQh8NuMKj</t>
  </si>
  <si>
    <t>7Cl5q3bk91eP6JTsV0gb2G</t>
  </si>
  <si>
    <t>4HtJlTZH8uc0Bw8U0RXlGH</t>
  </si>
  <si>
    <t>5b4R0928g89y6qmOgtEN1O,6GR6nVejsTwxyjtPqBHqyo</t>
  </si>
  <si>
    <t>34Bw1YNUaB58jL6dgRB3ST</t>
  </si>
  <si>
    <t>3vDh2Mern1I2k53Oy0pDlD,6UZvJbrEJxkycbgUznMIF9</t>
  </si>
  <si>
    <t>0KoIrrbZr8rMXhFQK8T5Eg</t>
  </si>
  <si>
    <t>4jxFb0CASzyps1aMpZOxyi</t>
  </si>
  <si>
    <t>3tc9Kbro2cpggcOWTRTS5x</t>
  </si>
  <si>
    <t>776uRsooWrGiVZkVWtvfgO,4sQNUQjOYj9rV2sdfJ8laS</t>
  </si>
  <si>
    <t>Immortality EP</t>
  </si>
  <si>
    <t>5GvsJLEXJyToDg86RbNGd1</t>
  </si>
  <si>
    <t>4sQNUQjOYj9rV2sdfJ8laS</t>
  </si>
  <si>
    <t>6CfSkSgeS4qR7EucYNfpIY</t>
  </si>
  <si>
    <t>7IeovKzVkfcG9mIJGNzTcT,6CVjs7KznQ47r8xZwPtZsO</t>
  </si>
  <si>
    <t>4Pe6l47Xj750MFxGNw8VOL</t>
  </si>
  <si>
    <t>5V8DnjDZI7uvoLARQquzsU</t>
  </si>
  <si>
    <t>1n9qeXgQufKhjWdgKFd3no,45mQUJrPyctvf2IhkVE0ym</t>
  </si>
  <si>
    <t>5VCUf3CJuflyaCHf7Fa4mS</t>
  </si>
  <si>
    <t>7IeovKzVkfcG9mIJGNzTcT,7E6DrjKJieOdJKO8mbwCMO,3vH8Rv37KXuUZzSHICjTnm</t>
  </si>
  <si>
    <t>4y4dJ4TO3lwTMrc3Eg9JwZ</t>
  </si>
  <si>
    <t>0Ldjd0Z66CJ0rChWXx0jzB,1ScFJG5ccOnTPPUin8cPFu</t>
  </si>
  <si>
    <t>La mort avec toi - Billx remix</t>
  </si>
  <si>
    <t>La mort avec toi (Billx remix)</t>
  </si>
  <si>
    <t>01kRyXOOZfmZLV7E4GGSQe</t>
  </si>
  <si>
    <t>5cQmRpjiW1N4Bv4BOIIjtx</t>
  </si>
  <si>
    <t>2NtrNJtbcL3gxgmcjjTtuB</t>
  </si>
  <si>
    <t>0WbAxASsYdodSlqwserDAW</t>
  </si>
  <si>
    <t>5hZuHOC9L0OAYz26BHWsh3</t>
  </si>
  <si>
    <t>5eHs2hHfUzGizdnrLjc3CW,6kudMw2A0xOBJHpW8VNaDA</t>
  </si>
  <si>
    <t>1ptI7SsCGuO8aqDy7yrqXy</t>
  </si>
  <si>
    <t>2lpFs8QJyIeVDb2Sq4vZYi</t>
  </si>
  <si>
    <t>AGGRESSIVE RECORDS MIXTAPE VOL. 1</t>
  </si>
  <si>
    <t>68ADIJRgmhuy1nUoBPYZxt</t>
  </si>
  <si>
    <t>0p6dP7jQz5qAAVejF9I86T,4RbUYWWjEBb4umwqakOEd3</t>
  </si>
  <si>
    <t>Overload EP</t>
  </si>
  <si>
    <t>3CNI3RfUkT27USpZn7qDL5</t>
  </si>
  <si>
    <t>4uiMn2g0pgTrhN096QJhbp,2paaWadjhhY3shymyR5TcH,7sfl4Xt5KmfyDs2T3SVSMK,31DUXycJt0YIBoMXLI5UdV</t>
  </si>
  <si>
    <t>Savage - Trampa Remix</t>
  </si>
  <si>
    <t>13 (Remixes)</t>
  </si>
  <si>
    <t>11wtXwdgLVqFUykf2pM4p6</t>
  </si>
  <si>
    <t>4rBAiM4X8nQq5r8XkW4CM1,2UBCeOEjEhqNkm6IFzVV4D</t>
  </si>
  <si>
    <t>Freefall - Hypnose Remix</t>
  </si>
  <si>
    <t>Freefall (Hypnose Remix)</t>
  </si>
  <si>
    <t>023ms71X72kztdOBBA0kAl</t>
  </si>
  <si>
    <t>73jBynjsVtofjRpdpRAJGk,77AiFEVeAVj2ORpC85QVJs,7e1BNCygl2Gf7CX8LrByPv</t>
  </si>
  <si>
    <t>Melody - Coone Remix</t>
  </si>
  <si>
    <t>Less Is More</t>
  </si>
  <si>
    <t>0XRbPt9t2YgAYE0bggT783</t>
  </si>
  <si>
    <t>2AasvmwafZPTgQANaoLoQY,3zlIIVkWyNrNpeN8lO49aH</t>
  </si>
  <si>
    <t>Mechanics of Travel</t>
  </si>
  <si>
    <t>6xfxTOmDqJDCF4ya83oXfK</t>
  </si>
  <si>
    <t>27Z5l2Kfy1IaYZMg5INWqO,3HtRYXRlrI6b3lLPRASke8</t>
  </si>
  <si>
    <t>New World Order</t>
  </si>
  <si>
    <t>50cGSettAlbsMdF9OTLrSM</t>
  </si>
  <si>
    <t>Hardcore Top 100 2018</t>
  </si>
  <si>
    <t>29NwyV0G9dArjBUNLiDih4</t>
  </si>
  <si>
    <t>1dW7WGn1eCRKcbiLemFE7d</t>
  </si>
  <si>
    <t>4sQNUQjOYj9rV2sdfJ8laS,776uRsooWrGiVZkVWtvfgO</t>
  </si>
  <si>
    <t>6yQ2racbdOQ2HaglFo4OEd</t>
  </si>
  <si>
    <t>0S6b11xqvO6XOWZSukSjiY,2AfGElfjqXuSyUny7dsj9p</t>
  </si>
  <si>
    <t>Dominator The Hardcore Festival - Methods Of Mutilation</t>
  </si>
  <si>
    <t>5Twubz3SaJmTykgAn8t7IS</t>
  </si>
  <si>
    <t>4ZBPl8bv68teqVD2OFMFmy</t>
  </si>
  <si>
    <t>2AasvmwafZPTgQANaoLoQY,02xYwCW4WypA3nRQv6qEcX</t>
  </si>
  <si>
    <t>Aladin</t>
  </si>
  <si>
    <t>6iBL6TOzsO75Yz0cG1MO0o</t>
  </si>
  <si>
    <t>2iRqqPkOyIvvb7qFZN1Onz</t>
  </si>
  <si>
    <t>25xa84ZW8Wy3cHvRUzpvrY</t>
  </si>
  <si>
    <t>2Jurm0dPDTJlUNyTJ9jmdV</t>
  </si>
  <si>
    <t>Jebroer 4 Life</t>
  </si>
  <si>
    <t>0pKujVFb0bAPeCorHRkEjG</t>
  </si>
  <si>
    <t>1vDMUXdbIJHTSC8ZAf2Zqp,4AGDRCSqrobTOwmsvPuSrC</t>
  </si>
  <si>
    <t>Imma Boss (Fraw Remix)</t>
  </si>
  <si>
    <t>1AQH4K1OX1KHbTt5ojMonp</t>
  </si>
  <si>
    <t>Disc 1</t>
  </si>
  <si>
    <t>20Q0qLW27rm9Pq2pO1bwzK</t>
  </si>
  <si>
    <t>7syhVf5ojD0CvqHzfReYEv</t>
  </si>
  <si>
    <t>Hardstyle Top 100 - Best Of 2019</t>
  </si>
  <si>
    <t>065sihpKBPOeO39rEz4Vir</t>
  </si>
  <si>
    <t>Hardstyle XXL Megamix 2021</t>
  </si>
  <si>
    <t>5CpLGNPs2rH0OpFf4RxfGv</t>
  </si>
  <si>
    <t>Defqon.1 2018</t>
  </si>
  <si>
    <t>41CZypLTQY7eUu5LAijRuR</t>
  </si>
  <si>
    <t>6KjX86OwTOcAlbcVNVcjsh</t>
  </si>
  <si>
    <t>6Q9tqkD827DTEsAySwW0og</t>
  </si>
  <si>
    <t>7yYLIIScUpH76gDKUyFahn</t>
  </si>
  <si>
    <t>3nAdmhth5AczU6YwCJOlYh,1uWqntptAqPf40kWURWSXV</t>
  </si>
  <si>
    <t>3cNQtWCCC75MJcwn2PkwHp</t>
  </si>
  <si>
    <t>DEDIQATED - 20 Years Of Q-dance</t>
  </si>
  <si>
    <t>3QFVJxsqDK6ThOX5CLSBOM</t>
  </si>
  <si>
    <t>1Wt63OMKtv6v2ivHuQLm2C,6UOk7DmvqlzWmo6gjhZvn6,1rpLzYzfrueWdkpcIunZQl</t>
  </si>
  <si>
    <t>2duePX43McQzRmM2wvjlSC</t>
  </si>
  <si>
    <t>1Wt63OMKtv6v2ivHuQLm2C,27Z5l2Kfy1IaYZMg5INWqO</t>
  </si>
  <si>
    <t>0m1iYDD8Ochxt15aVLk4Yf</t>
  </si>
  <si>
    <t>3qIi1SS7b6hNlsCF8e4IWb</t>
  </si>
  <si>
    <t>1Wt63OMKtv6v2ivHuQLm2C,6UOk7DmvqlzWmo6gjhZvn6,1rpLzYzfrueWdkpcIunZQl,1VUCpVmcvvkZ9W65lm7Wob</t>
  </si>
  <si>
    <t>Loyalty Is Everything</t>
  </si>
  <si>
    <t>6RbtosFO5C2pMbPaFeMf9b</t>
  </si>
  <si>
    <t>4ax2yCfEFGewYgz6pF5QQp</t>
  </si>
  <si>
    <t>7s110BVIPaRVSvmUCj0JPD</t>
  </si>
  <si>
    <t>Diabolic Dice</t>
  </si>
  <si>
    <t>3wemTXF3XxnrD2Gve87FRf</t>
  </si>
  <si>
    <t>1Ar6FiOnKp8XSaU5g1d7cR</t>
  </si>
  <si>
    <t>Tree of Life (Psy to Hard)</t>
  </si>
  <si>
    <t>3Gh3191tWa7RvJPyHrucxC</t>
  </si>
  <si>
    <t>Hard</t>
  </si>
  <si>
    <t>15=0.=034</t>
  </si>
  <si>
    <t>14=0.=026</t>
  </si>
  <si>
    <t>138.=0=07</t>
  </si>
  <si>
    <t>138.=029</t>
  </si>
  <si>
    <t>143.=02</t>
  </si>
  <si>
    <t>1=03.512</t>
  </si>
  <si>
    <t>16=0.1=08</t>
  </si>
  <si>
    <t>156.=014</t>
  </si>
  <si>
    <t>138.=042</t>
  </si>
  <si>
    <t>14=0.144</t>
  </si>
  <si>
    <t>-3.3=03</t>
  </si>
  <si>
    <t>15=0.=027</t>
  </si>
  <si>
    <t>16=0.=051</t>
  </si>
  <si>
    <t>-7.=086</t>
  </si>
  <si>
    <t>75.=01</t>
  </si>
  <si>
    <t>-4.=063</t>
  </si>
  <si>
    <t>15=0.=019</t>
  </si>
  <si>
    <t>-3.1=06</t>
  </si>
  <si>
    <t>9=0</t>
  </si>
  <si>
    <t>-1=0.191</t>
  </si>
  <si>
    <t>174.=021</t>
  </si>
  <si>
    <t>-4.=038</t>
  </si>
  <si>
    <t>155.=03</t>
  </si>
  <si>
    <t>138.=025</t>
  </si>
  <si>
    <t>1=0=0.=039</t>
  </si>
  <si>
    <t>-3.4=04</t>
  </si>
  <si>
    <t>2=0=0.=07</t>
  </si>
  <si>
    <t>-=0.77</t>
  </si>
  <si>
    <t>1=0=0.=0=05</t>
  </si>
  <si>
    <t>16=0.=016</t>
  </si>
  <si>
    <t>-2.=023</t>
  </si>
  <si>
    <t>15=0.=0=01</t>
  </si>
  <si>
    <t>-=0.793</t>
  </si>
  <si>
    <t>75.=023</t>
  </si>
  <si>
    <t>-4.8=07</t>
  </si>
  <si>
    <t>15=0.=029</t>
  </si>
  <si>
    <t>1=0=0.=064</t>
  </si>
  <si>
    <t>1=0=0.=0=03</t>
  </si>
  <si>
    <t>-4.5=08</t>
  </si>
  <si>
    <t>15=0.=016</t>
  </si>
  <si>
    <t>95.=025</t>
  </si>
  <si>
    <t>155.=021</t>
  </si>
  <si>
    <t>15=0.=022</t>
  </si>
  <si>
    <t>15=0.1=01</t>
  </si>
  <si>
    <t>1=0=0.=014</t>
  </si>
  <si>
    <t>15=0.=024</t>
  </si>
  <si>
    <t>128.=037</t>
  </si>
  <si>
    <t>149.9=03</t>
  </si>
  <si>
    <t>-5.=089</t>
  </si>
  <si>
    <t>15=0.=011</t>
  </si>
  <si>
    <t>12=0.=062</t>
  </si>
  <si>
    <t>95.=061</t>
  </si>
  <si>
    <t>-1.=015</t>
  </si>
  <si>
    <t>-5.=016</t>
  </si>
  <si>
    <t>-2.3=02</t>
  </si>
  <si>
    <t>11=0.=026</t>
  </si>
  <si>
    <t>75.=028</t>
  </si>
  <si>
    <t>-3.5=08</t>
  </si>
  <si>
    <t>15=0.=055</t>
  </si>
  <si>
    <t>-3.=075</t>
  </si>
  <si>
    <t>15=0.=0=07</t>
  </si>
  <si>
    <t>-3.=01</t>
  </si>
  <si>
    <t>-5.=067</t>
  </si>
  <si>
    <t>175.=048</t>
  </si>
  <si>
    <t>15=0.=012</t>
  </si>
  <si>
    <t>148.=056</t>
  </si>
  <si>
    <t>143.=016</t>
  </si>
  <si>
    <t>15=0.=0=06</t>
  </si>
  <si>
    <t>95.=027</t>
  </si>
  <si>
    <t>-9.6=03</t>
  </si>
  <si>
    <t>14=0.=033</t>
  </si>
  <si>
    <t>-2.9=09</t>
  </si>
  <si>
    <t>14=0.=023</t>
  </si>
  <si>
    <t>-5.4=03</t>
  </si>
  <si>
    <t>148.=02</t>
  </si>
  <si>
    <t>138.=01</t>
  </si>
  <si>
    <t>14=0.=012</t>
  </si>
  <si>
    <t>156.=037</t>
  </si>
  <si>
    <t>189.=081</t>
  </si>
  <si>
    <t>1=0=0.=035</t>
  </si>
  <si>
    <t>1=0=0.=0=04</t>
  </si>
  <si>
    <t>199.9=03</t>
  </si>
  <si>
    <t>18=0.=015</t>
  </si>
  <si>
    <t>1=05.=056</t>
  </si>
  <si>
    <t>1=0=0.=062</t>
  </si>
  <si>
    <t>-=0.445</t>
  </si>
  <si>
    <t>1=0=0.=017</t>
  </si>
  <si>
    <t>199.=065</t>
  </si>
  <si>
    <t>1=02.5=03</t>
  </si>
  <si>
    <t>97.4=06</t>
  </si>
  <si>
    <t>155.=051</t>
  </si>
  <si>
    <t>-4.2=07</t>
  </si>
  <si>
    <t>75.=019</t>
  </si>
  <si>
    <t>15=0.=071</t>
  </si>
  <si>
    <t>147.9=04</t>
  </si>
  <si>
    <t>13=0.=0=04</t>
  </si>
  <si>
    <t>1=0=0.=016</t>
  </si>
  <si>
    <t>155.=022</t>
  </si>
  <si>
    <t>-=0.329</t>
  </si>
  <si>
    <t>-=0.847</t>
  </si>
  <si>
    <t>165.=0=06</t>
  </si>
  <si>
    <t>155.=06</t>
  </si>
  <si>
    <t>1=04.985</t>
  </si>
  <si>
    <t>-5.=066</t>
  </si>
  <si>
    <t>95.=06</t>
  </si>
  <si>
    <t>-2.3=04</t>
  </si>
  <si>
    <t>145.=052</t>
  </si>
  <si>
    <t>-4.1=02</t>
  </si>
  <si>
    <t>18=0.=013</t>
  </si>
  <si>
    <t>16=0.=093</t>
  </si>
  <si>
    <t>-=0.496</t>
  </si>
  <si>
    <t>18=0.=072</t>
  </si>
  <si>
    <t>1=0=0.=023</t>
  </si>
  <si>
    <t>-9.=073</t>
  </si>
  <si>
    <t>128.=015</t>
  </si>
  <si>
    <t>-=0.45</t>
  </si>
  <si>
    <t>1=0=0.=02</t>
  </si>
  <si>
    <t>-2.=068</t>
  </si>
  <si>
    <t>14=0.=0=04</t>
  </si>
  <si>
    <t>128.=0=03</t>
  </si>
  <si>
    <t>155.=039</t>
  </si>
  <si>
    <t>95.=036</t>
  </si>
  <si>
    <t>15=0.=0=02</t>
  </si>
  <si>
    <t>15=0.=06</t>
  </si>
  <si>
    <t>-=0.897</t>
  </si>
  <si>
    <t>16=0.=037</t>
  </si>
  <si>
    <t>spotify:user:</t>
  </si>
  <si>
    <t>3nEHrvNNtgLv9rneTAYVr4</t>
  </si>
  <si>
    <t>1h6Cn3P4NGzXbaXidqURXs,4RB2kk5dmocmMiHFBlmOEt</t>
  </si>
  <si>
    <t>1RF02Cf80mTaeNXG2P2boR</t>
  </si>
  <si>
    <t>2gduEC76ry33RVurAvT05p,7nDsS0l5ZAzMedVRKPP8F1</t>
  </si>
  <si>
    <t>1dt220OBbkTsYz1NLVKIaw</t>
  </si>
  <si>
    <t>5ENS85nZShljwNgg4wFD7D,6cEuCEZu7PAE9ZSzLLc2oQ,0CbeG1224FS58EUx4tPevZ</t>
  </si>
  <si>
    <t>3sa06xVNmLLYIxdNNmVQN8</t>
  </si>
  <si>
    <t>Where Did You Go (feat. MNEK)</t>
  </si>
  <si>
    <t>6nxWCVXbOlEVRexSbLsTer,5J8UACGRZtDb4WdOzo9YJN</t>
  </si>
  <si>
    <t>4XeIiGpUBshIfs9yrBDVZC</t>
  </si>
  <si>
    <t>21mKp7DqtSNHhCAU2ugvUw,55U998XxmxjicLMKDSz6R3</t>
  </si>
  <si>
    <t>1D2ZNECRd7KIlA4pyOUGsv</t>
  </si>
  <si>
    <t>6DgP9otnZw5z6daOntINxp,1Cs0zKBU1kc0i8ypK3B9ai,2EMAnMvWE2eb56ToJVfCWs</t>
  </si>
  <si>
    <t>20cmhoGvN0eyzhmsHJH1Mg,5mxB08ktCukEhGMg2YZeEv</t>
  </si>
  <si>
    <t>5fMUXHkw8R8eOP2RNVYEZX,360IAlyVv4PCEVjgyMZrxK</t>
  </si>
  <si>
    <t>7ElC7VjUNl3oJ20Q5OpEh9</t>
  </si>
  <si>
    <t>06vEAqcicwoSBw85e8biJx</t>
  </si>
  <si>
    <t>0zqBZqm5czQ3A4EoSdKFHj</t>
  </si>
  <si>
    <t>7vk5e3vY1uw9plTHJAMwjN,7jEEE187pVG6InOxn03oA5</t>
  </si>
  <si>
    <t>World Of Walker</t>
  </si>
  <si>
    <t>2USlegnFJLrVLpoVfPimKB</t>
  </si>
  <si>
    <t>5ENS85nZShljwNgg4wFD7D,0TKFPt9w0AAEnhB9bd0pLy,3iMzbvXlgNUpoFccD60bvr</t>
  </si>
  <si>
    <t>3Zs7UPRJeoy3uycdPHVfwv</t>
  </si>
  <si>
    <t>4ofCBoyEiGSePFAG500xev,0r0KdmVS1Er3kaFnl1KPog</t>
  </si>
  <si>
    <t>46nvQpUDsxpS08UTFOeKTA</t>
  </si>
  <si>
    <t>0xRXCcSX89eobfrshSVdyu,2FXC3k01G6Gw61bmprjgqS</t>
  </si>
  <si>
    <t>6zSpb8dQRaw0M1dK8PBwQz</t>
  </si>
  <si>
    <t>3PhoLpVuITZKcymswpck5b,6M2wZ9GZgrQXHCFfjv46we,6n28c9qs9hNGriNa72b26u</t>
  </si>
  <si>
    <t>Cold Heart (PNAU Remix)</t>
  </si>
  <si>
    <t>4D75GcNG95ebPtNvoNVXhz,5wwneIFdawNgQ7GvKK29Z3,3XINWZaloea97SIRiyTJxX</t>
  </si>
  <si>
    <t>2Xy1UIVfOlukyye6Fd0wrI</t>
  </si>
  <si>
    <t>20gsENnposVs2I4rQ5kvrf,5CCwRZC6euC8Odo6y9X8jr</t>
  </si>
  <si>
    <t>4d2NUjh9ZrzG1ZZdhpSDKH</t>
  </si>
  <si>
    <t>6FRxFke9VsjXmibGgSeKki</t>
  </si>
  <si>
    <t>5vBSrE1xujD2FXYRarbAXc,4sTQVOfp9vEMCemLw50sbu</t>
  </si>
  <si>
    <t>0JpEMzTHbt2zBIXrntrXzG</t>
  </si>
  <si>
    <t>3t5xRXzsuZmMDkQzgOX35S,3EOEK57CV77D4ovYVcmiyt</t>
  </si>
  <si>
    <t>0YORgvqP1MotwCnDZzOwII</t>
  </si>
  <si>
    <t>6DgP9otnZw5z6daOntINxp,1MIVXf74SZHmTIp4V4paH4</t>
  </si>
  <si>
    <t>63aj87TQG6F3RVO5nbG2VQ</t>
  </si>
  <si>
    <t>1vyhD5VmyZ7KMfW5gqLgo5,5he5w2lnU9x7JFhnwcekXX</t>
  </si>
  <si>
    <t>7zx1i0jGcFwMBurajgKlO7</t>
  </si>
  <si>
    <t>7u4ayw4QFEsolPxZgnPAMT</t>
  </si>
  <si>
    <t>7dDLAQ1y0qOq3E4DhNh8FS</t>
  </si>
  <si>
    <t>5eKqhPrKad0J9xGAtq3rW7</t>
  </si>
  <si>
    <t>5ZduaRci3iNUiDfJbBfAaf</t>
  </si>
  <si>
    <t>21dVknSLCsK37cWozWDZZS</t>
  </si>
  <si>
    <t>Give It To Me (Full Vocal Mix)</t>
  </si>
  <si>
    <t>2prnn41CblB8B4yWACDljP</t>
  </si>
  <si>
    <t>2TcGJdSOiOvITBzhvfX8XB,1Cs0zKBU1kc0i8ypK3B9ai</t>
  </si>
  <si>
    <t>Love Tonight (David Guetta Remix)</t>
  </si>
  <si>
    <t>0b18g3G5spr4ZCkz7Y6Q0Q</t>
  </si>
  <si>
    <t>6QMABvTzixnxzsLYyhqRxI,54R6Y0I7jGUCveDTtI21nb</t>
  </si>
  <si>
    <t>4YprqLB3jEAlHNOMXEcZtm</t>
  </si>
  <si>
    <t>24Sxfn1uAoJmuR9N72drt9</t>
  </si>
  <si>
    <t>2uGKgNuq7MnKksXiSO6HjB,2qvWyc9Z0oHK156P65vH4d</t>
  </si>
  <si>
    <t>2pPO9YecZimmuVQfIzfV6U</t>
  </si>
  <si>
    <t>4AKwRarlmsUlLjIwt38NLw,1PbtWtrN7jZpd4toqxrjm2</t>
  </si>
  <si>
    <t>125.=037</t>
  </si>
  <si>
    <t>127.=034</t>
  </si>
  <si>
    <t>123.=039</t>
  </si>
  <si>
    <t>7snMDOhoYrd4oQpVjPv3Ut</t>
  </si>
  <si>
    <t>1xyz2xqqpnhT3k1ApFPu6S</t>
  </si>
  <si>
    <t>4RSyJzf7ef6Iu2rnLdabNq</t>
  </si>
  <si>
    <t>493Rk3iS7rs8uPfpnfm95u</t>
  </si>
  <si>
    <t>329e4yvIujISKGKz1BZZbO,00CMSJdbf36zOzKB3z8JrR,3JfbHWZ07sSBjbojTU2hAt</t>
  </si>
  <si>
    <t>4KHXk0rTD80mEf7bbdK29j</t>
  </si>
  <si>
    <t>0GgY7hjMoGDsX8ZDe2mwds</t>
  </si>
  <si>
    <t>3tzR2HUk6FAGaXzkrXZpQj</t>
  </si>
  <si>
    <t>0oXTS2yHUnuji1R7kc9J9a,2NpPlwwDVYR5dIj0F31EcC</t>
  </si>
  <si>
    <t>6hgoYQDUcPyCz7LcTUHKxa</t>
  </si>
  <si>
    <t>46pWGuE3dSwY3bMMXGBvVS</t>
  </si>
  <si>
    <t>2DufAlDkMT5qeTwTjVL0mo</t>
  </si>
  <si>
    <t>7eehGkMnqCS6Hp7HJIXH9e,4o5VpOIpQtpayG0gbDaNzO,4ZRiZlB8TEZwhXqwLr0U9R,13ZyK3pNDA6pAvzzmmWNiC,1hBkUOJB8qTXo9gLH2GbxW</t>
  </si>
  <si>
    <t>3ElGRG3DqSzzkh1b2wnbzf</t>
  </si>
  <si>
    <t>5ENS85nZShljwNgg4wFD7D,0TKFPt9w0AAEnhB9bd0pLy,2Bc52Zzq4Hx7Dqm0Qw8bJL</t>
  </si>
  <si>
    <t>295xtgZ3JSGn94tYWbM5QG</t>
  </si>
  <si>
    <t>7MIhUdNJtaOnDmC5nBC1fb</t>
  </si>
  <si>
    <t>0NGAZxHanS9e0iNHpR8f2W,66TrUkUZ3RM29dqeDQRgyA,1TrfxjXu8quyDw05p2bacX,2u3rmzZC0psTER2sDfUebm</t>
  </si>
  <si>
    <t>37DnQQzvedZUOhtjEEaHQT</t>
  </si>
  <si>
    <t>3mirzmIKVfvqcW0M5OKAzR</t>
  </si>
  <si>
    <t>5px2CcFnmRJecJMNPYz4Io</t>
  </si>
  <si>
    <t>0OROVBEZCocg0FcgJpyBse,329e4yvIujISKGKz1BZZbO,3MHaV05u0io8fQbZ2XPtlC,0KKUc4amZyvswV2YL6WTar,1GaBsp1ICIp1e6udgE7fba</t>
  </si>
  <si>
    <t>0RVmOh80HfpuygCBt2d1va</t>
  </si>
  <si>
    <t>540vIaP2JwjQb9dm3aArA4</t>
  </si>
  <si>
    <t>4qtdkdTY1t3RmlmSbWykzR</t>
  </si>
  <si>
    <t>1IueXOQyABrMOprrzwQJWN,7zoc6JsY8GWVcl2qFwiKay</t>
  </si>
  <si>
    <t>1HvTxgCj0mTzQlEo0zLvFb</t>
  </si>
  <si>
    <t>6jGMq4yGs7aQzuGsMgVgZR</t>
  </si>
  <si>
    <t>3IAfUEeaXRX9s9UdKOJrFI</t>
  </si>
  <si>
    <t>7FNnA9vBm6EKceENgCGRMb</t>
  </si>
  <si>
    <t>0Z5J7G9K6yeNUBiTJZ033b</t>
  </si>
  <si>
    <t>2CuzDPkRD6BJBvdWqCrt2I</t>
  </si>
  <si>
    <t>Stranger Things: Soundtrack from the Netflix Series, Season 4</t>
  </si>
  <si>
    <t>0QBzMgT7NIeoCYy3sJCof1</t>
  </si>
  <si>
    <t>4nDoRrQiYLoBzwC5BhVJzF,6eUKZXaKkcviH0Ku9w2n3V</t>
  </si>
  <si>
    <t>6lZ5p6VTbZ2ZvnsdTlLv7I</t>
  </si>
  <si>
    <t>048LktY5zMnakWq7PTtFrz</t>
  </si>
  <si>
    <t>0qP6EVaD4J2QzHohrqhfqp</t>
  </si>
  <si>
    <t>3v6Ji4uoWtKRkhuDUaxi9n,2o08sCWF5yyo2G4DCiT7T9,6mtV83LQpDVyR23kBRn5OX</t>
  </si>
  <si>
    <t>3UGAJ5bHrDvxH28oJq5Uiw</t>
  </si>
  <si>
    <t>4AKwRarlmsUlLjIwt38NLw</t>
  </si>
  <si>
    <t>1cgy2FSOQMbq7DHCVgMAUA</t>
  </si>
  <si>
    <t>7f5Zgnp2spUuuzKplmRkt7,4IWBUUAFIplrNtaOHcJPRM</t>
  </si>
  <si>
    <t>6dmXZ9B5HdFAyzHeTneYBK</t>
  </si>
  <si>
    <t>7ltDVBr6mKbRvohxheJ9h1,1Xyo4u8uXC1ZmMpatF05PJ</t>
  </si>
  <si>
    <t>3k3NWokhRRkEPhCzPmV8TW</t>
  </si>
  <si>
    <t>4q3ewBCX7sLwd24euuV69X,5n9bMYfz9qss2VOW89EVs2</t>
  </si>
  <si>
    <t>Un Verano Sin Ti</t>
  </si>
  <si>
    <t>2GS9AEoOjgbztBfIbCJ2mr</t>
  </si>
  <si>
    <t>5bv5RplEOwdCvhq0EILh9E</t>
  </si>
  <si>
    <t>2ykXJ9QVwx9Li8nsW0h6b2</t>
  </si>
  <si>
    <t>2w9zwq3AktTeYYMuhMjju8,3Isy6kedDrgPYoTS1dazA9</t>
  </si>
  <si>
    <t>3s1KwrLP0NlFWiWbjz6bfQ</t>
  </si>
  <si>
    <t>75VKfyoBlkmrJFDqo1o2VY,6eUKZXaKkcviH0Ku9w2n3V</t>
  </si>
  <si>
    <t>2rurDawMfoKP4uHyb2kJBt</t>
  </si>
  <si>
    <t>0EmeFodog0BfCgMzAIvKQp,1mcTU81TzQhprhouKaTkpq</t>
  </si>
  <si>
    <t>4p7OviN9MPv35abfu8UBnH</t>
  </si>
  <si>
    <t>2NpPlwwDVYR5dIj0F31EcC</t>
  </si>
  <si>
    <t>76A1RRDEyHKtmV3Vh6PeVN</t>
  </si>
  <si>
    <t>2o5jDhtHVPhrJdv3cEQ99Z,6VD4UEUPvtsemqD3mmTqCR</t>
  </si>
  <si>
    <t>1A7lwaWzcPtflW1bvrrvDJ</t>
  </si>
  <si>
    <t>7oNtf1MwhHcyXRsYXE1WsG,6vXTefBL93Dj5IqAWq6OTv,0KKUc4amZyvswV2YL6WTar,76Xa625geVw0Q7BdyxNjA2,2zTuJejwDNORTLRCkQPbHy</t>
  </si>
  <si>
    <t>17XwUcwd6SmoypiA3tIwHH</t>
  </si>
  <si>
    <t>1HBjj22wzbscIZ9sEb5dyf,2JLl6rSFWx9YuSPLcLhkAG</t>
  </si>
  <si>
    <t>2M4MsNop9n0G9HLskcv0k8</t>
  </si>
  <si>
    <t>4FcZfItjVIsfO9TynErl7X</t>
  </si>
  <si>
    <t>4QtiVmuA88tPQiCOHZuQ5b</t>
  </si>
  <si>
    <t>0haZhu4fFKt0Ag94kZDiz2,07YZf4WDAMNwqr4jfgOZ8y,3EiLUeyEcA6fbRPSHkG5kb</t>
  </si>
  <si>
    <t>7dSZ6zGTQx66c2GF91xCrb</t>
  </si>
  <si>
    <t>790FomKkXshlbRYZFtlgla</t>
  </si>
  <si>
    <t>2ZLcMQmxJvHHQgcRbawsjz</t>
  </si>
  <si>
    <t>048LktY5zMnakWq7PTtFrz,2GJMSZ7M3D0KyyKRhYgWju,0Y3agQaa6g2r0YmHPOO9rh,1Ck3UYsoNkZ63PLY8yZR33</t>
  </si>
  <si>
    <t>WATAWI (feat. Davido, Focalistic &amp; Abidoza) [Edit]</t>
  </si>
  <si>
    <t>6Xom58OOXk2SoU711L2IXO</t>
  </si>
  <si>
    <t>4q3ewBCX7sLwd24euuV69X</t>
  </si>
  <si>
    <t>1bgKMxPQU7JIZEhNsM1vFs</t>
  </si>
  <si>
    <t>4AVFqumd2ogHFlRbKIjp1t,1Xylc3o4UrD53lo9CvFvVg</t>
  </si>
  <si>
    <t>7hJU6SBf0imF3QN52KUM4o</t>
  </si>
  <si>
    <t>5YFS41yoX0YuFY39fq21oN,1ciw0LLweRvHpU9zhiOYyq</t>
  </si>
  <si>
    <t>145.=012</t>
  </si>
  <si>
    <t>128.=034</t>
  </si>
  <si>
    <t>128.=019</t>
  </si>
  <si>
    <t>14=0.=052</t>
  </si>
  <si>
    <t>1=07.=0=07</t>
  </si>
  <si>
    <t>125.=0=09</t>
  </si>
  <si>
    <t>132.=016</t>
  </si>
  <si>
    <t>1=06.9=01</t>
  </si>
  <si>
    <t>124.=034</t>
  </si>
  <si>
    <t>143.=049</t>
  </si>
  <si>
    <t>15=0.235</t>
  </si>
  <si>
    <t>-9.7=04</t>
  </si>
  <si>
    <t>121.=067</t>
  </si>
  <si>
    <t>-7.=0=08</t>
  </si>
  <si>
    <t>136.=01</t>
  </si>
  <si>
    <t>98.=029</t>
  </si>
  <si>
    <t>1=08.=015</t>
  </si>
  <si>
    <t>1=09.99</t>
  </si>
  <si>
    <t>-6.=052</t>
  </si>
  <si>
    <t>-8.=0=06</t>
  </si>
  <si>
    <t>111.=0=05</t>
  </si>
  <si>
    <t>-11.=034</t>
  </si>
  <si>
    <t>-5.=079</t>
  </si>
  <si>
    <t>124.=026</t>
  </si>
  <si>
    <t>-6.=028</t>
  </si>
  <si>
    <t>7kUBocchlTtTZVNplR9ZJI</t>
  </si>
  <si>
    <t>4f0OXMMSxr0r8Ztx6CdpAl</t>
  </si>
  <si>
    <t>spotify:user:11124443444</t>
  </si>
  <si>
    <t>4qfD7xjF4ZhteeAc6B7TjA</t>
  </si>
  <si>
    <t>5PbgCU02dfdBCAzpOaNmYW</t>
  </si>
  <si>
    <t>1f1oSxTFtI9WN7X6GvzMtF</t>
  </si>
  <si>
    <t>6UOk7DmvqlzWmo6gjhZvn6,76TM3QXivQvlLmZxdYxMZr</t>
  </si>
  <si>
    <t>5nXwto7SKQ5cp4XhLv5aNB</t>
  </si>
  <si>
    <t>4ZTlYecOR3S5CYneO8L99s</t>
  </si>
  <si>
    <t>7momuad2Twkv5O7MY3dODa,4NgLhqI1DnFwrvxaujQv1g</t>
  </si>
  <si>
    <t>7dRuNBMc0ha8KjCsYuSEUC</t>
  </si>
  <si>
    <t>2DYDFBqoaBP2i9XrTGpOgF,2eOPTQxZPGde8cZPJv80SX</t>
  </si>
  <si>
    <t>0eSpHVgZCpDYlhKVv9aWB4</t>
  </si>
  <si>
    <t>1wuQQfTDZhgNb4GJyhThUs</t>
  </si>
  <si>
    <t>1AL97In5wDss9kvY8wRHH4</t>
  </si>
  <si>
    <t>6J6UF3GqOLdt6f4gfazSzf,6L7a6wPGpvLtTwOsMLnF1z</t>
  </si>
  <si>
    <t>0wM5xMaTddQjAXkNcFBcrR</t>
  </si>
  <si>
    <t>6UOk7DmvqlzWmo6gjhZvn6,1rpLzYzfrueWdkpcIunZQl,1Wt63OMKtv6v2ivHuQLm2C</t>
  </si>
  <si>
    <t>Legends Of The Elite</t>
  </si>
  <si>
    <t>7vlnsFTtXPgvScUtyAC2gX</t>
  </si>
  <si>
    <t>7E6DrjKJieOdJKO8mbwCMO,07E7avQ9K8W8Gr6BCx8aU9,2CREMC4YATn7Bx9ZQku6IH</t>
  </si>
  <si>
    <t>Party At My Place (Vertile remix)</t>
  </si>
  <si>
    <t>5T4IZNtPoKCCwbv7la17dR</t>
  </si>
  <si>
    <t>5eHs2hHfUzGizdnrLjc3CW,5NkT0VLTEXldi82KVVnG1b</t>
  </si>
  <si>
    <t>Gangster For Life (Cryex Remix)</t>
  </si>
  <si>
    <t>07B46HFSAMauWkHwp5n50P</t>
  </si>
  <si>
    <t>0vBOyqICis94fkSwJbfUeF</t>
  </si>
  <si>
    <t>5PbgCU02dfdBCAzpOaNmYW,2lpFs8QJyIeVDb2Sq4vZYi</t>
  </si>
  <si>
    <t>3xeaR6dAHQHU6rtUPRK9tX</t>
  </si>
  <si>
    <t>3LMyXZVHozagfHXCM7wS4s</t>
  </si>
  <si>
    <t>3Ij56hbjOTHq8RgutQwfxC</t>
  </si>
  <si>
    <t>01xdiGuSuIf5qZulm1uqkY</t>
  </si>
  <si>
    <t>6L7a6wPGpvLtTwOsMLnF1z,7E6DrjKJieOdJKO8mbwCMO</t>
  </si>
  <si>
    <t>5z7eJwNSulodOuFB0faCnp</t>
  </si>
  <si>
    <t>7xmvyYQEVNhY21cWYdj3Yo</t>
  </si>
  <si>
    <t>1CqOLQmjzVWXQTiIN5Wucs,37jL2LnGjAkadOCszr8v7C,3Ij56hbjOTHq8RgutQwfxC</t>
  </si>
  <si>
    <t>Countdown (Radical Redemption Remix)</t>
  </si>
  <si>
    <t>6AQpd05OyowTvtO7I3BdBU</t>
  </si>
  <si>
    <t>3gk0OYeLFWYupGFRHqLSR7,37jL2LnGjAkadOCszr8v7C,3mZnhzeAyjpFhO3cIepzBr</t>
  </si>
  <si>
    <t>4bidbyOK1pdyHM3Hu0cvKO</t>
  </si>
  <si>
    <t>1a3M9MU7mmhQerLzHSGD3w</t>
  </si>
  <si>
    <t>7AGSJihqYPhYy5QzMcwcQT,6Xhhpra0X0hpvC3yZaQ0Du</t>
  </si>
  <si>
    <t>5ooJpstPzU3mYDS3PVstCR</t>
  </si>
  <si>
    <t>5BeV0OiC4VQ3TG7ZlNHHsz</t>
  </si>
  <si>
    <t>5nd7jnne7zbsV2J5jBKNOY,2DYDFBqoaBP2i9XrTGpOgF,2OxrEwDhVZodk9XEVBkA6E</t>
  </si>
  <si>
    <t>Virtual Gaming (Gammer Remix)</t>
  </si>
  <si>
    <t>7CwUoENzTnkHzFlmFfFby4</t>
  </si>
  <si>
    <t>4LBa6kTLaQHiONCfTfTaXV,7FTQICqfx93tZdwZJb3wt2</t>
  </si>
  <si>
    <t>5rlO2Wr2jifgjiBbPy25Su</t>
  </si>
  <si>
    <t>0WbAxASsYdodSlqwserDAW,0l6LU5NRvLTVeRDJZznwLX</t>
  </si>
  <si>
    <t>2cpyfpwJay3ruq1xHSe9qx</t>
  </si>
  <si>
    <t>1IzL8byyge5NpSaiTpj5tK,0hugeeQ7SoeVifIKCi1QP7</t>
  </si>
  <si>
    <t>05EG9LwFCVjkoYEWzsrHHO</t>
  </si>
  <si>
    <t>3ZaPFQ05J5qSM5I3Smbp44</t>
  </si>
  <si>
    <t>Phantom</t>
  </si>
  <si>
    <t>3ppJijBGMSBnz45elmwh5V</t>
  </si>
  <si>
    <t>6L7a6wPGpvLtTwOsMLnF1z</t>
  </si>
  <si>
    <t>0cfxGRaCEFKwz66bURIYz5</t>
  </si>
  <si>
    <t>0IUq1plF3ON4Fboj1bE6kN,4NgNsOXSwIzXlUIJcpnNUp,5QySqc6yAFDx9m7fedFZmC</t>
  </si>
  <si>
    <t>Silence (feat. Sarah McLachlan) [Brennan Heart Remix]</t>
  </si>
  <si>
    <t>2WEAjQeoTRm7T3leqV2YfQ</t>
  </si>
  <si>
    <t>0aKXalHKVzkLJ6aeUY3HMf,5SxjKJ2HIg3dVQ427HYVHS,7xhR4wM8X8SeGTKKPujotA</t>
  </si>
  <si>
    <t>0YHL0wDP6b7ov6h0yEhorO</t>
  </si>
  <si>
    <t>2rTo8KIkBTFjQS7VvaKYQ4,5QWt56OIzFSPRpD7VeRkbc,7rEAvtkj6sNUlQXlYRldrs</t>
  </si>
  <si>
    <t>45y8anJchQhBeBRuw9KJle</t>
  </si>
  <si>
    <t>6UOk7DmvqlzWmo6gjhZvn6,7IFPeV5Ew63S7Hid0AjNgK,3vH8Rv37KXuUZzSHICjTnm</t>
  </si>
  <si>
    <t>74CkeJ0vYYTdQImnaLy759</t>
  </si>
  <si>
    <t>49CE2ffZ6Z3zeYSDauSKck,6KZDXtSj0SzGOV705nNeh3,5QySqc6yAFDx9m7fedFZmC</t>
  </si>
  <si>
    <t>Ride With Me (feat. Kid Ink) [Brennan Heart Remix]</t>
  </si>
  <si>
    <t>0N4QGYBSaeRwmo4pxuEG0x</t>
  </si>
  <si>
    <t>70w4eBsa2UagTSYLkPT5yv</t>
  </si>
  <si>
    <t>7ikySCCJo3shAEZsoKEtVK,1gFaP9K5NYWzaBLZkFx4ch</t>
  </si>
  <si>
    <t>Darkness Disappears (feat. Niclas Lundin)</t>
  </si>
  <si>
    <t>1aBr1v8aS3fealiWZv653k</t>
  </si>
  <si>
    <t>7IFPeV5Ew63S7Hid0AjNgK,6C0KWmCdqrLU2LzzWBPbOy</t>
  </si>
  <si>
    <t>The Art Of Remixes EP 2021 Part III</t>
  </si>
  <si>
    <t>2xw66v4Dh3IDfSNwVHeDDq</t>
  </si>
  <si>
    <t>2CREMC4YATn7Bx9ZQku6IH</t>
  </si>
  <si>
    <t>22sqJxkSYyrYRz2CCH9Nbl</t>
  </si>
  <si>
    <t>5CBV7Q4ZXw3r2wVd5aGaDt</t>
  </si>
  <si>
    <t>4SR46lHTitWMTzRTwsFIa6</t>
  </si>
  <si>
    <t>4FDj6mh458K7m9Txwyj2rt,0aKXalHKVzkLJ6aeUY3HMf</t>
  </si>
  <si>
    <t>5be1i9zXIIl6FGaxOlFZ4o</t>
  </si>
  <si>
    <t>5zXPv1332E2IWXvjotBr09,0xMCuSqF7uPefaatWnEx7F</t>
  </si>
  <si>
    <t>2SfZz1PiMgma882CqeEvqf</t>
  </si>
  <si>
    <t>1Wt63OMKtv6v2ivHuQLm2C</t>
  </si>
  <si>
    <t>7KRWjS9cKpKksx9OVtJqbI</t>
  </si>
  <si>
    <t>7AGSJihqYPhYy5QzMcwcQT</t>
  </si>
  <si>
    <t>1P0mcQCTn85NY7I1cKFVZh</t>
  </si>
  <si>
    <t>26aTIeF87ZP7IprFP3vqbi</t>
  </si>
  <si>
    <t>0wr85NuJuAYZsRzP1lJgiV,7mE37XRULrIzHfg9OWmIud</t>
  </si>
  <si>
    <t>Shake The Ground (feat. Noubya)</t>
  </si>
  <si>
    <t>2ybm6gECxGAXmmsoNUtgLc</t>
  </si>
  <si>
    <t>0MBGxwmCdXdO26ojaNcT64,0I5is4tdxHhT3Ft2EzPjlB,4LBa6kTLaQHiONCfTfTaXV</t>
  </si>
  <si>
    <t>27OTwxrYEXm7KowtJ8QqMN</t>
  </si>
  <si>
    <t>1CqOLQmjzVWXQTiIN5Wucs,2gZzTzeACSwFqkMroVxmnm</t>
  </si>
  <si>
    <t>2jkoanGKXN9I3gfeYo4aph</t>
  </si>
  <si>
    <t>3QeEf7TMugwZkmn0hPmXio</t>
  </si>
  <si>
    <t>6L7a6wPGpvLtTwOsMLnF1z,2FmgW6Jee0JQKtb6EnBWCq</t>
  </si>
  <si>
    <t>7aKme0bvekUFoMI0cHGIRk</t>
  </si>
  <si>
    <t>1Wt63OMKtv6v2ivHuQLm2C,5QySqc6yAFDx9m7fedFZmC</t>
  </si>
  <si>
    <t>1yzRHp7bEhYHhpEU8ji8Y9</t>
  </si>
  <si>
    <t>1CqOLQmjzVWXQTiIN5Wucs,37jL2LnGjAkadOCszr8v7C,3mZnhzeAyjpFhO3cIepzBr</t>
  </si>
  <si>
    <t>4yCzT5UoxQ6z5xKc8Trgxk</t>
  </si>
  <si>
    <t>5cPNMq5lKAoAKyv5kdpz9s,4by5ENA6ZMNCQkOX3RIh0G</t>
  </si>
  <si>
    <t>Burning (JNXD Remix)</t>
  </si>
  <si>
    <t>6eyuU00bw19YhHGhvbLKcr</t>
  </si>
  <si>
    <t>We Rule The Night</t>
  </si>
  <si>
    <t>3tvFbMS6E3mk6KY3hJn3Ht</t>
  </si>
  <si>
    <t>2DYDFBqoaBP2i9XrTGpOgF,6jZl6risV5vg6O83zKSHHs</t>
  </si>
  <si>
    <t>Danse Macabre</t>
  </si>
  <si>
    <t>5zpE5HInlIIxJpnjEZ3FwU</t>
  </si>
  <si>
    <t>4j1Br3T2yrQIWd7LUip8t4</t>
  </si>
  <si>
    <t>7cUbbqojFIokFmTuybmKPd</t>
  </si>
  <si>
    <t>2Zvo5BEkHyaHD1zk180kMz,2485N1Onccs2tfXtK0AQV8,2amxfbxgDICl7hpPlxBd0J</t>
  </si>
  <si>
    <t>4xepEyAafqTlomdgs7HprF</t>
  </si>
  <si>
    <t>3gk0OYeLFWYupGFRHqLSR7,7bNqXqIrIfwJnipx7oGeU4,6UOk7DmvqlzWmo6gjhZvn6</t>
  </si>
  <si>
    <t>Pum Pum (Da Tweekaz Remix)</t>
  </si>
  <si>
    <t>793EkBVuRQKkRHnuXKANtd</t>
  </si>
  <si>
    <t>7momuad2Twkv5O7MY3dODa,1pDBb4n20yenVKIfmchhQC</t>
  </si>
  <si>
    <t>Loud</t>
  </si>
  <si>
    <t>2rPj7LoFWCYE0i3bqF73eS</t>
  </si>
  <si>
    <t>1Wt63OMKtv6v2ivHuQLm2C,4CBytrQX85XtpfDzvdL3DI</t>
  </si>
  <si>
    <t>Trip To Tomorrow</t>
  </si>
  <si>
    <t>0G2gHbnJmpGoi4uCkvkkZh</t>
  </si>
  <si>
    <t>4f0OXMMSxr0r8Ztx6CdpAl,4EnzLaY6syM2lVhfMRolW2</t>
  </si>
  <si>
    <t>3pVVFQ4D1yRBpztapn2hHG</t>
  </si>
  <si>
    <t>0wr85NuJuAYZsRzP1lJgiV,5QySqc6yAFDx9m7fedFZmC</t>
  </si>
  <si>
    <t>Qlimax - 2011</t>
  </si>
  <si>
    <t>0YVx5YZIgfYHzlq19hqDeE</t>
  </si>
  <si>
    <t>Antidote</t>
  </si>
  <si>
    <t>2TgDK4TC5KsywTYafAE4Gd</t>
  </si>
  <si>
    <t>5QySqc6yAFDx9m7fedFZmC,5d1oOpLkM76Tgr2zWMTYkm</t>
  </si>
  <si>
    <t>3Zv7N5Xh7Az7odjfNEvAPT</t>
  </si>
  <si>
    <t>1x0ScxgiyFRQDKT4VwcLHa,0Z00sSHBoJ9wsqTY5hT3mP</t>
  </si>
  <si>
    <t>Anywhere (feat. Andrew Galucki)</t>
  </si>
  <si>
    <t>6ir9zD1NGFdMhFvIrMoiMZ</t>
  </si>
  <si>
    <t>6aJRwrwfOffz7RMh2Cfm8e</t>
  </si>
  <si>
    <t>5PSR3ul57ZNTQi4Al6xtUz</t>
  </si>
  <si>
    <t>0MBGxwmCdXdO26ojaNcT64,0F1UBU7ZD8HOR44X5M6eMT</t>
  </si>
  <si>
    <t>Release</t>
  </si>
  <si>
    <t>2TC7je10DQftOBez1PRDRC</t>
  </si>
  <si>
    <t>52I8HbScEEvgwiiSDaM7gP,7iajTuviby3038TmfrpvZ3</t>
  </si>
  <si>
    <t>0X89hVtXc6V04eRMCjB1Vj</t>
  </si>
  <si>
    <t>4f0OXMMSxr0r8Ztx6CdpAl,5gdYdbKxGw2Mq25TfsmH6q</t>
  </si>
  <si>
    <t>6c0vdY5EZOx8g95uWcp3uI</t>
  </si>
  <si>
    <t>Dragonborn part 3 (Oceans Apart) [feat. Sian Evans]</t>
  </si>
  <si>
    <t>2fR4NdUZJditzpS2iBWxiY</t>
  </si>
  <si>
    <t>3b6ieVXywj9HJjcu16mr2J</t>
  </si>
  <si>
    <t>5QySqc6yAFDx9m7fedFZmC,6NXk2pLFocS2OkNdT7ncBt</t>
  </si>
  <si>
    <t>1umoIL3ShVbbYdvtGZm8lY</t>
  </si>
  <si>
    <t>7fMJN4fdEwmFWd8uz5pnKx</t>
  </si>
  <si>
    <t>EP I</t>
  </si>
  <si>
    <t>0mWGz6hPTPuOK3SaETnqCo</t>
  </si>
  <si>
    <t>1Uk4IDpF1OIuTzANugS5JC</t>
  </si>
  <si>
    <t>57mgyauwTOeC725Xa0zJdw</t>
  </si>
  <si>
    <t>7IFPeV5Ew63S7Hid0AjNgK,1rpLzYzfrueWdkpcIunZQl,6kK6lCbJfPgDH6plFWQQID</t>
  </si>
  <si>
    <t>0OKHUom3gY9xWago6Y1BKk</t>
  </si>
  <si>
    <t>45eNHdiiabvmbp4erw26rg,5h7oZ7t5CU9lst1mIrjp3R,7xklw3WodFZiNNmQt3DIgp,6C0KWmCdqrLU2LzzWBPbOy</t>
  </si>
  <si>
    <t>Paper Thin (Headhunterz Remix)</t>
  </si>
  <si>
    <t>21eGoV8gNSgKWuYE6HCqXO</t>
  </si>
  <si>
    <t>1x0ScxgiyFRQDKT4VwcLHa,6UOk7DmvqlzWmo6gjhZvn6</t>
  </si>
  <si>
    <t>We Go Up (Remixes)</t>
  </si>
  <si>
    <t>3uJnYKR844kT7MLpm0cquz</t>
  </si>
  <si>
    <t>2gZzTzeACSwFqkMroVxmnm,6UOk7DmvqlzWmo6gjhZvn6</t>
  </si>
  <si>
    <t>The Qontinent 2017</t>
  </si>
  <si>
    <t>7tniXeRpDkUhJ5WlBkcs6l</t>
  </si>
  <si>
    <t>7rKS9FoVpE1mLrbxCnlokX</t>
  </si>
  <si>
    <t>0ZNPSYOzJxUig6B12NC7RN</t>
  </si>
  <si>
    <t>1x0ScxgiyFRQDKT4VwcLHa,5DzNxD4vwCDEIa20oEzB9l</t>
  </si>
  <si>
    <t>7zVtu5K61OivymXHENlZqb</t>
  </si>
  <si>
    <t>See Me Now (Da Tweekaz Remix)</t>
  </si>
  <si>
    <t>4Dbt2x7GA318BDSyVBhr8l</t>
  </si>
  <si>
    <t>2Zvo5BEkHyaHD1zk180kMz,3qmNvfj1RIoMrfqmjZpwXi</t>
  </si>
  <si>
    <t>3ZofBN4FoNuRlBqRN2q9Mg</t>
  </si>
  <si>
    <t>Halos</t>
  </si>
  <si>
    <t>4OoCOOeNECyO01S8L89Flv</t>
  </si>
  <si>
    <t>6UOk7DmvqlzWmo6gjhZvn6,5nd7jnne7zbsV2J5jBKNOY</t>
  </si>
  <si>
    <t>20ke4pe9bd0xgtSxITAhqU</t>
  </si>
  <si>
    <t>2kK1cYRoYo24RzsHADtD0E,05ndiewdJogtosuRWN8iwF</t>
  </si>
  <si>
    <t>Wildfire (Adaro Remix)</t>
  </si>
  <si>
    <t>6YUB4Wv4yJluyWsq3s9gjb</t>
  </si>
  <si>
    <t>6L7a6wPGpvLtTwOsMLnF1z,6J6UF3GqOLdt6f4gfazSzf</t>
  </si>
  <si>
    <t>0yTzy8hWBrN0rLlM7oUF7L</t>
  </si>
  <si>
    <t>6xQvQwZQQuq9R3TdPNbcR8</t>
  </si>
  <si>
    <t>3KQVhTF2eqfU1jR1b74Xcw</t>
  </si>
  <si>
    <t>4j1Br3T2yrQIWd7LUip8t4,54m0kWStkzCaCVimZJOXRW</t>
  </si>
  <si>
    <t>Hard Bass 2019 The Last Formation</t>
  </si>
  <si>
    <t>2OhvhEa8B0GI88Zedl7xGl</t>
  </si>
  <si>
    <t>Music Made Addictz</t>
  </si>
  <si>
    <t>0aQKFxHXdaWLJK4gFVGIdp</t>
  </si>
  <si>
    <t>Tonight (Alpha2 RMX)</t>
  </si>
  <si>
    <t>5ZHdiROs72t0QpMHggDSNW</t>
  </si>
  <si>
    <t>5QySqc6yAFDx9m7fedFZmC,0wr85NuJuAYZsRzP1lJgiV</t>
  </si>
  <si>
    <t>10ZpPhFc9rMNdlyW3WsL0s</t>
  </si>
  <si>
    <t>5FOKOPyNOyxJRClqv6XBOl</t>
  </si>
  <si>
    <t>4dihx3emTRixgkskB8n8lH</t>
  </si>
  <si>
    <t>The Best of Headhunterz</t>
  </si>
  <si>
    <t>1TwbzKMxFBExaDEUWqQ832</t>
  </si>
  <si>
    <t>1h2ZpjNE4OKn9ZPEm5Nmye</t>
  </si>
  <si>
    <t>05ndiewdJogtosuRWN8iwF,2Bg6vhG3aY7ixxqEGZeos6,3paZuq5Z5ujlOTr3XvQEU0</t>
  </si>
  <si>
    <t>7f8sMzOd2e5eHfiTqThjtQ</t>
  </si>
  <si>
    <t>6UOk7DmvqlzWmo6gjhZvn6,1wuQQfTDZhgNb4GJyhThUs</t>
  </si>
  <si>
    <t>6rJRzzKjqwLnhRs8Tk3ESj</t>
  </si>
  <si>
    <t>6JLQTMDtMKKza7MLbqtoFc</t>
  </si>
  <si>
    <t>7IeovKzVkfcG9mIJGNzTcT,7IFPeV5Ew63S7Hid0AjNgK,6CVjs7KznQ47r8xZwPtZsO</t>
  </si>
  <si>
    <t>64actPn8eUBEg5BvH8voL1</t>
  </si>
  <si>
    <t>6TEgtcO3zqHQMe6ko8EHgU</t>
  </si>
  <si>
    <t>SCK</t>
  </si>
  <si>
    <t>6jzRTAJ1FBasSiwEylBnCq</t>
  </si>
  <si>
    <t>2Zvo5BEkHyaHD1zk180kMz,6Mu4CynRtQyYX8al5IJO47</t>
  </si>
  <si>
    <t>3BrjDL7NEUuvwGOhG10O0e</t>
  </si>
  <si>
    <t>00YDGBvUs8njlhyfE0cOa1</t>
  </si>
  <si>
    <t>6Xhhpra0X0hpvC3yZaQ0Du,7momuad2Twkv5O7MY3dODa</t>
  </si>
  <si>
    <t>5IisJ3M2Sacfry7nNJ04Re</t>
  </si>
  <si>
    <t>7IFPeV5Ew63S7Hid0AjNgK,3paZuq5Z5ujlOTr3XvQEU0</t>
  </si>
  <si>
    <t>Mantra (feat. LXCPR)</t>
  </si>
  <si>
    <t>4RWYlRUY38uyft6SWGcXpA</t>
  </si>
  <si>
    <t>5nd7jnne7zbsV2J5jBKNOY,6g7nQh1zK0QGZVphaMCGWj,6UOk7DmvqlzWmo6gjhZvn6</t>
  </si>
  <si>
    <t>2XxeonOOGertSBiqmZcwTG</t>
  </si>
  <si>
    <t>1x0ScxgiyFRQDKT4VwcLHa,5zXPv1332E2IWXvjotBr09,7zKk52i6Ad4So5HltHRPa9</t>
  </si>
  <si>
    <t>4AnTa4D6tqOPi9AkDbybV1</t>
  </si>
  <si>
    <t>18pYFSeMi7sOL6nGMICHtS</t>
  </si>
  <si>
    <t>2bp5cA0vO66JOyS1UNx02Y</t>
  </si>
  <si>
    <t>1x0ScxgiyFRQDKT4VwcLHa</t>
  </si>
  <si>
    <t>FVCK GENRES The Remixes</t>
  </si>
  <si>
    <t>52IZuB1orjT6VQoWEby7gU</t>
  </si>
  <si>
    <t>1u7OVFmWah4wQhOPIbUb8U,7FTQICqfx93tZdwZJb3wt2</t>
  </si>
  <si>
    <t>10WobHNbDyqUBpSc2tfw8m</t>
  </si>
  <si>
    <t>18PNlguj4UWXG46wBu567s</t>
  </si>
  <si>
    <t>Lost In Paradise</t>
  </si>
  <si>
    <t>44O5uIpErSgzn4HOhI6xSe</t>
  </si>
  <si>
    <t>0xMCuSqF7uPefaatWnEx7F,5zXPv1332E2IWXvjotBr09</t>
  </si>
  <si>
    <t>74tFLjFWzdydNgufg1XpNw</t>
  </si>
  <si>
    <t>7IeovKzVkfcG9mIJGNzTcT,6wagDejDLL6ujxepmXcj9m</t>
  </si>
  <si>
    <t>No Guts No Glory (Defqon.1 Anthem 2015)</t>
  </si>
  <si>
    <t>6dxJs7E10HvvRypGRgcOSU</t>
  </si>
  <si>
    <t>7BDzpOG4JFka6ab0O1jn8k</t>
  </si>
  <si>
    <t>6qJ61DomA73g7jQEKESw9Z,1Uk4IDpF1OIuTzANugS5JC</t>
  </si>
  <si>
    <t>5rEwVrcWQy2hn7bV78rwJC</t>
  </si>
  <si>
    <t>6UOk7DmvqlzWmo6gjhZvn6,2FpmZwomIGHEVAICcfIg5T</t>
  </si>
  <si>
    <t>4Pz8GNHkByRlPSnhBK0Qj9</t>
  </si>
  <si>
    <t>4DYgSG7OSTyFuuSQvsXomn</t>
  </si>
  <si>
    <t>0wr85NuJuAYZsRzP1lJgiV,4EnzLaY6syM2lVhfMRolW2,0x7ArNSRftvPyCIBHGy1az</t>
  </si>
  <si>
    <t>0i0sko6XxXYGyQKbqWNSko</t>
  </si>
  <si>
    <t>5JcSyYpBdqCmjJyVlKh7Yg</t>
  </si>
  <si>
    <t>Artificial Intoxication</t>
  </si>
  <si>
    <t>1GQmuhnQxZpvuGSi3GI58n</t>
  </si>
  <si>
    <t>52NpY0nQvHw021b9j9Ke3y</t>
  </si>
  <si>
    <t>5GebyDL0Z2uZYcjtGHk8Kt</t>
  </si>
  <si>
    <t>3Ij56hbjOTHq8RgutQwfxC,6kudMw2A0xOBJHpW8VNaDA</t>
  </si>
  <si>
    <t>4oXfq53zABX3oq2fQ7zDzj</t>
  </si>
  <si>
    <t>0caJEGgVuXuSHhhrMCmlkI,6L7a6wPGpvLtTwOsMLnF1z</t>
  </si>
  <si>
    <t>7fE0SzSas23BVIsYFkFaCH</t>
  </si>
  <si>
    <t>2Zvo5BEkHyaHD1zk180kMz,7FTQICqfx93tZdwZJb3wt2</t>
  </si>
  <si>
    <t>6G4gb0qbS3m8XjUUXGd5vr</t>
  </si>
  <si>
    <t>0MBGxwmCdXdO26ojaNcT64</t>
  </si>
  <si>
    <t>5nkG1wVGbxWMJkFcg6SwYJ</t>
  </si>
  <si>
    <t>1rpLzYzfrueWdkpcIunZQl</t>
  </si>
  <si>
    <t>7j3yHIUcCQzuQv3fiQp4BN</t>
  </si>
  <si>
    <t>2m5uCiZcpQ50tXsJrThFoM</t>
  </si>
  <si>
    <t>5fN5insqaHVxLg5f75RyN2</t>
  </si>
  <si>
    <t>1IQKojkhmlt1N4JRFS1IkH</t>
  </si>
  <si>
    <t>2uy2x6SVdasJCrcbMzKvMg</t>
  </si>
  <si>
    <t>05qXxRLLCqng7W9z9cL0J1</t>
  </si>
  <si>
    <t>5JYwZvbIVMYv0smWL26aOo</t>
  </si>
  <si>
    <t>5JcSyYpBdqCmjJyVlKh7Yg,4i8u1FZVapjZBcCyyrAnU3</t>
  </si>
  <si>
    <t>6Cqo0qJSJlKinxjuflSr9H</t>
  </si>
  <si>
    <t>0NyLWvBrcbWWpVEZkz3UVA</t>
  </si>
  <si>
    <t>3I15MHvYprvenj5oR3WHWM,1hwhYNM496KpV1DbuBjYyR,02oW60rlHXuLMBiODd6nob</t>
  </si>
  <si>
    <t>2tld2PLZXQvA7Toq38txGT</t>
  </si>
  <si>
    <t>2gZzTzeACSwFqkMroVxmnm,4Dn8TwLoOeWtznIg0LLWFL,5nd7jnne7zbsV2J5jBKNOY</t>
  </si>
  <si>
    <t>7qK0mNHVdVbnqt3Prd26Vs</t>
  </si>
  <si>
    <t>0LhHRmSd1EYM5QdNeNnCoQ,4hNpdlfPY7R51u4FEkBxJG,2lPR8qx4H6y586exb4SyXk,79PC6rrXA39xOdNTf71dvN</t>
  </si>
  <si>
    <t>Surrender (The Remixes)</t>
  </si>
  <si>
    <t>0jPoiWQ7QiC8mvp2yd6RdS</t>
  </si>
  <si>
    <t>0ovuXuKfpKwn5oXLhqRj9p</t>
  </si>
  <si>
    <t>4uNw48Ory7s2FsgxCgUOUr</t>
  </si>
  <si>
    <t>5mWpD43MObzKfamIwMKHE2</t>
  </si>
  <si>
    <t>6Xhhpra0X0hpvC3yZaQ0Du,7tEAlsvmuaVnKQyswnonem,4pqY01dGuzojomnVCXYbXC</t>
  </si>
  <si>
    <t>3ytpNDBUIoqJtqm6Xe8mtF</t>
  </si>
  <si>
    <t>1BpCQRsYuiRg1TXKR2SQe1,3OhUveXjN6gDbNt7ygN8z6</t>
  </si>
  <si>
    <t>7hiRSdih4ICJ2rCrEevMif</t>
  </si>
  <si>
    <t>5vFNYfxQeOHxUUlXDltAS7</t>
  </si>
  <si>
    <t>5pfNOHJ8AtdYWzpAYaF5vt</t>
  </si>
  <si>
    <t>5zfKM5dXUfXLyekDkBUfyM</t>
  </si>
  <si>
    <t>7mD85iEVS1TQa8zBLQZSIM</t>
  </si>
  <si>
    <t>4DGxtRF8XG98zSC9V1kkE6</t>
  </si>
  <si>
    <t>6d5J48EfFtR9nam5d6j4My</t>
  </si>
  <si>
    <t>0xMCuSqF7uPefaatWnEx7F,5dJQQmKFxJoEovL4YqImlJ</t>
  </si>
  <si>
    <t>3wV1CAw2Z83GU7gzTHNAUU</t>
  </si>
  <si>
    <t>0jYxHO34RyqiV6N6OCPHrU</t>
  </si>
  <si>
    <t>7pb3kBTl91oY2uszVWyxBe</t>
  </si>
  <si>
    <t>7FTQICqfx93tZdwZJb3wt2</t>
  </si>
  <si>
    <t>1B2FQ2tntp1udaUuHd5XUB</t>
  </si>
  <si>
    <t>7IeovKzVkfcG9mIJGNzTcT,6yyPaE45AE346XVgFJgiaI</t>
  </si>
  <si>
    <t>52173U8Lw9eFYIQUGZUpQT</t>
  </si>
  <si>
    <t>0AHRkAho9lWERZ8HZu0gOx</t>
  </si>
  <si>
    <t>Black Mirror Society</t>
  </si>
  <si>
    <t>0kd4QYttPngU4rG9fekZvj</t>
  </si>
  <si>
    <t>2nsCjA4fEasmnlOK0wXU7T</t>
  </si>
  <si>
    <t>2rtPJAoZWyR7amEHMngAUc</t>
  </si>
  <si>
    <t>2gZzTzeACSwFqkMroVxmnm,4lC8Q0azW5ij2e1skZo377</t>
  </si>
  <si>
    <t>1PVnSZcmBg0ObTk3x0Z8Me</t>
  </si>
  <si>
    <t>2xdkWIfBR6GLBOtoZDmnBw</t>
  </si>
  <si>
    <t>6K4XQXfV7Gill2ULeRu6fw</t>
  </si>
  <si>
    <t>-6.=068</t>
  </si>
  <si>
    <t>16=0.=04</t>
  </si>
  <si>
    <t>-5.=074</t>
  </si>
  <si>
    <t>-3.=0=01</t>
  </si>
  <si>
    <t>-3.5=07</t>
  </si>
  <si>
    <t>15=0.185</t>
  </si>
  <si>
    <t>-1.6=09</t>
  </si>
  <si>
    <t>155.=0=04</t>
  </si>
  <si>
    <t>16=0.=046</t>
  </si>
  <si>
    <t>-2.=053</t>
  </si>
  <si>
    <t>155.=023</t>
  </si>
  <si>
    <t>155.=098</t>
  </si>
  <si>
    <t>-5.=081</t>
  </si>
  <si>
    <t>15=0.=036</t>
  </si>
  <si>
    <t>-5.5=07</t>
  </si>
  <si>
    <t>75.=058</t>
  </si>
  <si>
    <t>15=0.=0=08</t>
  </si>
  <si>
    <t>-2.=044</t>
  </si>
  <si>
    <t>-4.=054</t>
  </si>
  <si>
    <t>112.6=03</t>
  </si>
  <si>
    <t>-3.7=06</t>
  </si>
  <si>
    <t>16=0.=057</t>
  </si>
  <si>
    <t>15=0.339</t>
  </si>
  <si>
    <t>-=0.779</t>
  </si>
  <si>
    <t>155.=065</t>
  </si>
  <si>
    <t>-1.7=01</t>
  </si>
  <si>
    <t>16=0.=017</t>
  </si>
  <si>
    <t>155.=058</t>
  </si>
  <si>
    <t>153.=038</t>
  </si>
  <si>
    <t>-2.5=08</t>
  </si>
  <si>
    <t>155.=0=08</t>
  </si>
  <si>
    <t>15=0.=051</t>
  </si>
  <si>
    <t>15=0.=018</t>
  </si>
  <si>
    <t>16=0.7=08</t>
  </si>
  <si>
    <t>15=0.=059</t>
  </si>
  <si>
    <t>75.=02</t>
  </si>
  <si>
    <t>15=0.111</t>
  </si>
  <si>
    <t>149.9=07</t>
  </si>
  <si>
    <t>15=0.118</t>
  </si>
  <si>
    <t>-6.9=03</t>
  </si>
  <si>
    <t>15=0.146</t>
  </si>
  <si>
    <t>15=0.127</t>
  </si>
  <si>
    <t>15=0.=049</t>
  </si>
  <si>
    <t>15=0.12</t>
  </si>
  <si>
    <t>15=0.=082</t>
  </si>
  <si>
    <t>-4.=011</t>
  </si>
  <si>
    <t>154.=046</t>
  </si>
  <si>
    <t>15=0.=04</t>
  </si>
  <si>
    <t>155.=032</t>
  </si>
  <si>
    <t>15=0.=047</t>
  </si>
  <si>
    <t>15=0.=02</t>
  </si>
  <si>
    <t>155.=048</t>
  </si>
  <si>
    <t>15=0.119</t>
  </si>
  <si>
    <t>13=0.=016</t>
  </si>
  <si>
    <t>15=0.=095</t>
  </si>
  <si>
    <t>148.=033</t>
  </si>
  <si>
    <t>-4.=0=01</t>
  </si>
  <si>
    <t>15=0.=043</t>
  </si>
  <si>
    <t>15=0</t>
  </si>
  <si>
    <t>155.=024</t>
  </si>
  <si>
    <t>155.=047</t>
  </si>
  <si>
    <t>155.=017</t>
  </si>
  <si>
    <t>155.=05</t>
  </si>
  <si>
    <t>15=0.121</t>
  </si>
  <si>
    <t>15=0.=026</t>
  </si>
  <si>
    <t>-5.=0=07</t>
  </si>
  <si>
    <t>155.=031</t>
  </si>
  <si>
    <t>15=0.428</t>
  </si>
  <si>
    <t>157.1=03</t>
  </si>
  <si>
    <t>145.1=09</t>
  </si>
  <si>
    <t>16=0.=042</t>
  </si>
  <si>
    <t>155.=043</t>
  </si>
  <si>
    <t>76.5=07</t>
  </si>
  <si>
    <t>15=0.11</t>
  </si>
  <si>
    <t>155.=026</t>
  </si>
  <si>
    <t>-1.=064</t>
  </si>
  <si>
    <t>154.9=03</t>
  </si>
  <si>
    <t>155.=013</t>
  </si>
  <si>
    <t>-5.6=05</t>
  </si>
  <si>
    <t>74.=077</t>
  </si>
  <si>
    <t>15=0.=0=09</t>
  </si>
  <si>
    <t>149.9=05</t>
  </si>
  <si>
    <t>-4.=044</t>
  </si>
  <si>
    <t>153.=037</t>
  </si>
  <si>
    <t>16=0.193</t>
  </si>
  <si>
    <t>-2.8=02</t>
  </si>
  <si>
    <t>1wrnhZmN2HXPJ30QAzFLSZ</t>
  </si>
  <si>
    <t>7y97mc3bZRFXzT2szRM4L4,2omtDN111E4lwx3vz3xR4f,4jq1dmUHoQcDOE2eRyTEGS</t>
  </si>
  <si>
    <t>Classical Piano Best Of - 14 Most Famous Classical &amp; Modern Piano Masterpieces</t>
  </si>
  <si>
    <t>2020-01-18</t>
  </si>
  <si>
    <t>1LNqr2FALBNFX1smNJcKD2</t>
  </si>
  <si>
    <t>5BWwOqYJwIlEbS858Kmh2E</t>
  </si>
  <si>
    <t>Betoven - Best Piano Pieces</t>
  </si>
  <si>
    <t>2020-03-06</t>
  </si>
  <si>
    <t>0dQZmVKzYF3F9W64ESs8h4</t>
  </si>
  <si>
    <t>73FM6KfVTjgUUEyH6NqDBd</t>
  </si>
  <si>
    <t>7y97mc3bZRFXzT2szRM4L4,6iawb1h0XmXI9k5GNhkTvJ</t>
  </si>
  <si>
    <t>2020-02-05</t>
  </si>
  <si>
    <t>6GXPVW6kZNqhgKmFv2HnuV</t>
  </si>
  <si>
    <t>1Uff91EOsvd99rtAupatMP,2omtDN111E4lwx3vz3xR4f,4jq1dmUHoQcDOE2eRyTEGS</t>
  </si>
  <si>
    <t>69JxLSmBK4u134IDyO2zUJ</t>
  </si>
  <si>
    <t>6t26lJyF9QkbHzUMI5k3Fd</t>
  </si>
  <si>
    <t>00sazWvoTLOqg5MFwC68Um,4jq1dmUHoQcDOE2eRyTEGS</t>
  </si>
  <si>
    <t>7wyOeWMb8aiR2qjdCEEYZJ</t>
  </si>
  <si>
    <t>6O4MAAXOQ7mmLFpHqi7kMU</t>
  </si>
  <si>
    <t>29i15whXYvAclIabh8MwFb</t>
  </si>
  <si>
    <t>Pop Piano Covers</t>
  </si>
  <si>
    <t>2020-01-25</t>
  </si>
  <si>
    <t>0U8QSYMw4xJTNM8IaP6PnD</t>
  </si>
  <si>
    <t>62TD7509VQIxUe4WpwO0s3,2omtDN111E4lwx3vz3xR4f,4jq1dmUHoQcDOE2eRyTEGS</t>
  </si>
  <si>
    <t>59d6uevB0QGLjUilTex8Qn</t>
  </si>
  <si>
    <t>6iawb1h0XmXI9k5GNhkTvJ</t>
  </si>
  <si>
    <t>Piano Soundtrack</t>
  </si>
  <si>
    <t>2020-02-14</t>
  </si>
  <si>
    <t>70xgYbOQxi9XRbf7c7LwIZ</t>
  </si>
  <si>
    <t>1385hLNbrnbCJGokfH2ac2,2omtDN111E4lwx3vz3xR4f,4jq1dmUHoQcDOE2eRyTEGS</t>
  </si>
  <si>
    <t>53gjVXIaYliSNUlvamzcPp</t>
  </si>
  <si>
    <t>2p0UyoPfYfI76PCStuXfOP,1385hLNbrnbCJGokfH2ac2,6iawb1h0XmXI9k5GNhkTvJ</t>
  </si>
  <si>
    <t>5iPeralcsBvYAVKvCWPEAt</t>
  </si>
  <si>
    <t>459INk8vcC0ebEef82WjIK,2omtDN111E4lwx3vz3xR4f,4jq1dmUHoQcDOE2eRyTEGS</t>
  </si>
  <si>
    <t>3pA7cZpRMiPMwQIJUnWRrj</t>
  </si>
  <si>
    <t>17hR0sYHpx7VYTMRfFUOmY,6iawb1h0XmXI9k5GNhkTvJ</t>
  </si>
  <si>
    <t>0BJpqDSyXSlIPFvwuOK3Wv</t>
  </si>
  <si>
    <t>2UqjDAXnDxejEyE0CzfUrZ,6iawb1h0XmXI9k5GNhkTvJ</t>
  </si>
  <si>
    <t>2St2m1RskZmhzWUCp4ucPw</t>
  </si>
  <si>
    <t>1385hLNbrnbCJGokfH2ac2,6iawb1h0XmXI9k5GNhkTvJ</t>
  </si>
  <si>
    <t>1onpBEdjVNDuJofNbduon1</t>
  </si>
  <si>
    <t>6MF58APd3YV72Ln2eVg710,6iawb1h0XmXI9k5GNhkTvJ</t>
  </si>
  <si>
    <t>57eaF9LgQO2epyhtcYQa5z</t>
  </si>
  <si>
    <t>1Uff91EOsvd99rtAupatMP,6iawb1h0XmXI9k5GNhkTvJ</t>
  </si>
  <si>
    <t>3amF9qc8806rmprCbt8rpp</t>
  </si>
  <si>
    <t>4mKzyur5MjXbNp7K4R9qSC,4jq1dmUHoQcDOE2eRyTEGS</t>
  </si>
  <si>
    <t>542GUvNpIGlwYXDbjsT5UW</t>
  </si>
  <si>
    <t>1uNGBc7tjVyVOMu8y0tcCj</t>
  </si>
  <si>
    <t>2uFUBdaVGtyMqckSeCl0Qj,4jq1dmUHoQcDOE2eRyTEGS</t>
  </si>
  <si>
    <t>70fNVvnVv4J1PcQJsi0D0v</t>
  </si>
  <si>
    <t>4NJhFmfw43RLBLjQvxDuRS,6iawb1h0XmXI9k5GNhkTvJ</t>
  </si>
  <si>
    <t>0BNzTF7piaXxPQhucFMEuA</t>
  </si>
  <si>
    <t>7F1ny89lDLYuY7Ua3LDjcA</t>
  </si>
  <si>
    <t>2wOqMjp9TyABvtHdOSOTUS,6iawb1h0XmXI9k5GNhkTvJ</t>
  </si>
  <si>
    <t>362v1xIk2anDa2PLv0shcg</t>
  </si>
  <si>
    <t>2GRXu9e3E1h2xiCXUeOzuP</t>
  </si>
  <si>
    <t>5Nb7LxV9voRG5uNr72Hiwj</t>
  </si>
  <si>
    <t>5aIqB5nVVvmFsvSdExz408,2omtDN111E4lwx3vz3xR4f,4jq1dmUHoQcDOE2eRyTEGS</t>
  </si>
  <si>
    <t>7qghQ3RlCC0BXa3gwD9iJi</t>
  </si>
  <si>
    <t>0dxduPNKKthcQxzPZEPk05</t>
  </si>
  <si>
    <t>6QkV6BahHhv0zjQ3zKLg1r</t>
  </si>
  <si>
    <t>0Kekt6CKSo0m5mivKcoH51,6iawb1h0XmXI9k5GNhkTvJ</t>
  </si>
  <si>
    <t>557OZa2yJhNQp5Bv12GKhZ</t>
  </si>
  <si>
    <t>5OheM4dT5kwlgoaNnL5Dgd</t>
  </si>
  <si>
    <t>6yZjW6jJmpUnrRhYqRWB3O</t>
  </si>
  <si>
    <t>6bvohMRq4PWppPq6PtLSJo</t>
  </si>
  <si>
    <t>0U9RP9AtlHdyBOBKAw1Hhl</t>
  </si>
  <si>
    <t>6K64ZB0gTApGygfzVyE1Gh</t>
  </si>
  <si>
    <t>3JAvgDP5wMtZNYdLc71Ipy</t>
  </si>
  <si>
    <t>2kXJ68O899XvWOBdpzlXgs,6iawb1h0XmXI9k5GNhkTvJ</t>
  </si>
  <si>
    <t>7s2LRlQznQba27yRFiuq3y</t>
  </si>
  <si>
    <t>459INk8vcC0ebEef82WjIK,40hK7bcR0mDKDeGSOEedpn,6RmuLYzCAon1ZG7wS6bk3c</t>
  </si>
  <si>
    <t>Classic Piano Collection</t>
  </si>
  <si>
    <t>2020-02-10</t>
  </si>
  <si>
    <t>0BLV91AHFIInJwY8WUXwH9</t>
  </si>
  <si>
    <t>653NitGZ4pRUnlkBtRr33n</t>
  </si>
  <si>
    <t>16MoFbm3bnW8IHfssDzefa</t>
  </si>
  <si>
    <t>0i3xrAT0dj7T9Yi9cSlmJl</t>
  </si>
  <si>
    <t>2p0UyoPfYfI76PCStuXfOP,40hK7bcR0mDKDeGSOEedpn,6RmuLYzCAon1ZG7wS6bk3c</t>
  </si>
  <si>
    <t>7wK5CRJM8icoiKJLWrYcNz</t>
  </si>
  <si>
    <t>2GeVven1f0Nfb4MzKcswg0</t>
  </si>
  <si>
    <t>7y97mc3bZRFXzT2szRM4L4,40hK7bcR0mDKDeGSOEedpn,6RmuLYzCAon1ZG7wS6bk3c</t>
  </si>
  <si>
    <t>1bc5B8sU4u8UgHNJIXAoJZ</t>
  </si>
  <si>
    <t>6nZiWg5ZB511S24WmB7TCV,40hK7bcR0mDKDeGSOEedpn,6RmuLYzCAon1ZG7wS6bk3c</t>
  </si>
  <si>
    <t>1dm7qjgPhjft5bZqbHJBzm</t>
  </si>
  <si>
    <t>3Z8jTUtARyeJfELMZA0gJD</t>
  </si>
  <si>
    <t>0ulKqNZLNE7dg6eqG60Lzj,40hK7bcR0mDKDeGSOEedpn,6RmuLYzCAon1ZG7wS6bk3c</t>
  </si>
  <si>
    <t>6dMV8s6a3EjyH2n8rBVgEV</t>
  </si>
  <si>
    <t>6n7nd5iceYpXVwcx8VPpxF,40hK7bcR0mDKDeGSOEedpn,6RmuLYzCAon1ZG7wS6bk3c</t>
  </si>
  <si>
    <t>0eq9dxnxCDGgBRErdlQTBa</t>
  </si>
  <si>
    <t>5ihY290YPGc3aY2xTyx7Gy,40hK7bcR0mDKDeGSOEedpn,6RmuLYzCAon1ZG7wS6bk3c</t>
  </si>
  <si>
    <t>5lYX237Cg4zi1ze2hbqA3y</t>
  </si>
  <si>
    <t>1385hLNbrnbCJGokfH2ac2,40hK7bcR0mDKDeGSOEedpn,6RmuLYzCAon1ZG7wS6bk3c</t>
  </si>
  <si>
    <t>7ml18jJ5MgtuKz13BzoxdG</t>
  </si>
  <si>
    <t>4NJhFmfw43RLBLjQvxDuRS,40hK7bcR0mDKDeGSOEedpn,6RmuLYzCAon1ZG7wS6bk3c</t>
  </si>
  <si>
    <t>718v1nVNQfiJoNP7o01hIP</t>
  </si>
  <si>
    <t>7oilAebemSj7MXPCf5ZgI2</t>
  </si>
  <si>
    <t>3MKCzCnpzw3TjUYs2v7vDA,40hK7bcR0mDKDeGSOEedpn,6RmuLYzCAon1ZG7wS6bk3c</t>
  </si>
  <si>
    <t>65Ds8OFHgjlbWopjIChArh</t>
  </si>
  <si>
    <t>17hR0sYHpx7VYTMRfFUOmY,40hK7bcR0mDKDeGSOEedpn,6RmuLYzCAon1ZG7wS6bk3c</t>
  </si>
  <si>
    <t>2f1wxfeVu5NYugFBUa68vy</t>
  </si>
  <si>
    <t>2UqjDAXnDxejEyE0CzfUrZ,1385hLNbrnbCJGokfH2ac2,40hK7bcR0mDKDeGSOEedpn,6RmuLYzCAon1ZG7wS6bk3c</t>
  </si>
  <si>
    <t>7uIopsPJ0239j7tMcfxTiz</t>
  </si>
  <si>
    <t>5wTAi7QkpP6kp8a54lmTOq,40hK7bcR0mDKDeGSOEedpn,6RmuLYzCAon1ZG7wS6bk3c</t>
  </si>
  <si>
    <t>0fJvB9KeBF783rfRsvoJoG</t>
  </si>
  <si>
    <t>4Grxm5wHr4uOQuHHYeU3hJ</t>
  </si>
  <si>
    <t>3AtRoqUxRqAXsJqfwPHkUy</t>
  </si>
  <si>
    <t>3Tn3xWY0nbKm1YzsUj3ayC</t>
  </si>
  <si>
    <t>2yh2Bz1TedP0ajaHL2DzrO</t>
  </si>
  <si>
    <t>0I467Psshd7B9NIT4n9fkU</t>
  </si>
  <si>
    <t>5eNRLFX3rhqtuVWD8pHGGT</t>
  </si>
  <si>
    <t>7bVmjdzXJ43buCgEQZuhCn</t>
  </si>
  <si>
    <t>6br3CZxAs0ehQYJHDEFpSW</t>
  </si>
  <si>
    <t>2VvfbYspMx0yGqmIAqQNpI</t>
  </si>
  <si>
    <t>4Vspn656FeljEH1HBUAZtk</t>
  </si>
  <si>
    <t>1Uff91EOsvd99rtAupatMP,40hK7bcR0mDKDeGSOEedpn,6RmuLYzCAon1ZG7wS6bk3c</t>
  </si>
  <si>
    <t>5DteDervqiUZgqq0t0MAJV</t>
  </si>
  <si>
    <t>28YrbqKDaKBngAHHqm7GIN</t>
  </si>
  <si>
    <t>0IQ8pQfVj4Xch8gRU7pxKf</t>
  </si>
  <si>
    <t>6ExowkcIBzX1MfleYpxr3H</t>
  </si>
  <si>
    <t>6QZDdzBlKBmBTCVto8ssxF</t>
  </si>
  <si>
    <t>21Q626ue3X562aanSY6CiP</t>
  </si>
  <si>
    <t>08TwDVzVc4BfE25rKDTTEs</t>
  </si>
  <si>
    <t>79IlJCeKRnNSd0Riu0H2MO</t>
  </si>
  <si>
    <t>6XKSTfSFEQl5PVTLEBQuEV</t>
  </si>
  <si>
    <t>4IC76kL1KQHhmNoyrF2qPw</t>
  </si>
  <si>
    <t>7n5bQsTQ5GA1BATie7hqL0</t>
  </si>
  <si>
    <t>6MF58APd3YV72Ln2eVg710,40hK7bcR0mDKDeGSOEedpn,6RmuLYzCAon1ZG7wS6bk3c</t>
  </si>
  <si>
    <t>4hdvNtYI1zVIJJejs5uRBS</t>
  </si>
  <si>
    <t>3T7wt23xNhYheYCCtKKntb</t>
  </si>
  <si>
    <t>Mozart Effect</t>
  </si>
  <si>
    <t>2020-03-08</t>
  </si>
  <si>
    <t>4NJKR0F3m0pZ0SWuYJZbf4</t>
  </si>
  <si>
    <t>3kY6ifFFZIq9LVO6bIQb15,1385hLNbrnbCJGokfH2ac2</t>
  </si>
  <si>
    <t>Romantic Liszt</t>
  </si>
  <si>
    <t>2020-05-23</t>
  </si>
  <si>
    <t>4aLuIwrsqd79xweBx5M1HW</t>
  </si>
  <si>
    <t>7y97mc3bZRFXzT2szRM4L4,6wH3FXYafeARUkupv4XjGm</t>
  </si>
  <si>
    <t>Chopin: Waltzes</t>
  </si>
  <si>
    <t>3ogwFGLaTYfEshY9VfTIHA</t>
  </si>
  <si>
    <t>2WJ5Jh2DxFhkyA3xRoq77z</t>
  </si>
  <si>
    <t>Pianissimo</t>
  </si>
  <si>
    <t>2013-12-15</t>
  </si>
  <si>
    <t>7tqC7d7qs8rgxy9C3e1Je8</t>
  </si>
  <si>
    <t>7y97mc3bZRFXzT2szRM4L4,5PBkqMGQIERbzE5fSqdMr0</t>
  </si>
  <si>
    <t>The Nocturnes</t>
  </si>
  <si>
    <t>2019-12-13</t>
  </si>
  <si>
    <t>2WwWeZvHcbHidLsvn27mOa</t>
  </si>
  <si>
    <t>7y97mc3bZRFXzT2szRM4L4,5HG9Eg7Ik8ZuNtMyGYTxLG</t>
  </si>
  <si>
    <t>Chopin: Pièces pour piano</t>
  </si>
  <si>
    <t>2009-11-23</t>
  </si>
  <si>
    <t>4r6dN7hJF960vCPFyvxQ4l</t>
  </si>
  <si>
    <t>2YJgIsU0vreWfKytQelclt</t>
  </si>
  <si>
    <t>7y97mc3bZRFXzT2szRM4L4,1KAYt5PzgkE6W3ExmqoNPn</t>
  </si>
  <si>
    <t>Chopin: 4 Ballades, Polonaise Héroïque, Polonaise Fantaisie, Nocturnes, Waltzes</t>
  </si>
  <si>
    <t>2JW7SBwGDaSl1x6A29IpNg</t>
  </si>
  <si>
    <t>4E7SqOwOtQijkVpHGccXR8,0PhAoxJ5J8PZFVkMrfnDUt</t>
  </si>
  <si>
    <t>Pathetique Sonata</t>
  </si>
  <si>
    <t>2021-02-01</t>
  </si>
  <si>
    <t>2nbMCBBmKc3B6A30jYPmpD</t>
  </si>
  <si>
    <t>5aIqB5nVVvmFsvSdExz408,0gLd6Ag1s1yaqh1xsanXR7</t>
  </si>
  <si>
    <t>The Piano Album</t>
  </si>
  <si>
    <t>2017-09-29</t>
  </si>
  <si>
    <t>6oCI2tE0YBbKHvN3uoO9oX</t>
  </si>
  <si>
    <t>7IHEJdJhju1F2rhIiwgawx</t>
  </si>
  <si>
    <t>4NJhFmfw43RLBLjQvxDuRS,5vBh0nve44zwwVF5KWtCwA</t>
  </si>
  <si>
    <t>Mozart: Piano Sonatas K.310, K.311 &amp; K.533/494</t>
  </si>
  <si>
    <t>2003-01-01</t>
  </si>
  <si>
    <t>4NVmEVNj24X6dI8EMytkbE</t>
  </si>
  <si>
    <t>7lAOLNDVHWwvBohU5frfG7</t>
  </si>
  <si>
    <t>7y97mc3bZRFXzT2szRM4L4,5SBOWUBQdfga0xprPVBxOr</t>
  </si>
  <si>
    <t>Chopin: Waltzes (Complete)</t>
  </si>
  <si>
    <t>1992-06-10</t>
  </si>
  <si>
    <t>1Fdp0yLsiMhxAp03w5yqZ4</t>
  </si>
  <si>
    <t>3m8qh3adp23dCoZBHZt5IH</t>
  </si>
  <si>
    <t>2020-04-28</t>
  </si>
  <si>
    <t>51GyOWic9d8VN1xZawE4l6</t>
  </si>
  <si>
    <t>2p0UyoPfYfI76PCStuXfOP,6mh9rp5dooZMF0xCaALktv</t>
  </si>
  <si>
    <t>Schubert Monday Evening</t>
  </si>
  <si>
    <t>2021-01-25</t>
  </si>
  <si>
    <t>6xkYAK0duVMRfWOglN2z3G</t>
  </si>
  <si>
    <t>7rf95Gwkznfir1dOcA0BYs</t>
  </si>
  <si>
    <t>2tsvZvIYQM2Hh1eAlku4re</t>
  </si>
  <si>
    <t>2020-07-30</t>
  </si>
  <si>
    <t>1SItHiHPqABSEgLckb1WHd</t>
  </si>
  <si>
    <t>7y97mc3bZRFXzT2szRM4L4,22B1T23YzVRPPQkvN6AjSX</t>
  </si>
  <si>
    <t>Chopin The Complete Nocturnes</t>
  </si>
  <si>
    <t>2018-03-05</t>
  </si>
  <si>
    <t>3twdAlhDhUbknsU4yyg5Um</t>
  </si>
  <si>
    <t>3OU851re05D9gDkB5pXQee</t>
  </si>
  <si>
    <t>At the grand hotel (Refined instrumental music for luxury hotels)</t>
  </si>
  <si>
    <t>2015-04-08</t>
  </si>
  <si>
    <t>7kI6djJSMciKQHWwpLRmr4</t>
  </si>
  <si>
    <t>2wOqMjp9TyABvtHdOSOTUS,15NSFL63oPhmpXLcZHny2N</t>
  </si>
  <si>
    <t>Beethoven: Complete Piano Sonatas</t>
  </si>
  <si>
    <t>2020-01-17</t>
  </si>
  <si>
    <t>4jKUdMQlnQEL5FNmACniF9</t>
  </si>
  <si>
    <t>7y97mc3bZRFXzT2szRM4L4,3pxt6077A2xXBAgMrgHRPg</t>
  </si>
  <si>
    <t>Chopin: Four Impromptus, Barcarolle &amp; Sonata No. 3</t>
  </si>
  <si>
    <t>1993-05-01</t>
  </si>
  <si>
    <t>6iyaxzEyqPaiplwhmiW7mS</t>
  </si>
  <si>
    <t>61r0gpyOLgDz7475HFaJop</t>
  </si>
  <si>
    <t>Vivaldi's 4 Seasons - Piano Transcription</t>
  </si>
  <si>
    <t>2010-12-10</t>
  </si>
  <si>
    <t>1Uld5u6GAksDqd6K8xnmGS</t>
  </si>
  <si>
    <t>2p0UyoPfYfI76PCStuXfOP,0bouHpX4JiuPnIfP2jFxRi</t>
  </si>
  <si>
    <t>Schubert</t>
  </si>
  <si>
    <t>2019-03-15</t>
  </si>
  <si>
    <t>0aJDvIeUkceMRueD84rRDR</t>
  </si>
  <si>
    <t>3b1p2uoKyYmxF3YGvVHCQF</t>
  </si>
  <si>
    <t>1Mtd57xUzIfeCexQtWRvgr</t>
  </si>
  <si>
    <t>2019-02-03</t>
  </si>
  <si>
    <t>266pahK31Y6cZd4BMzTcAj</t>
  </si>
  <si>
    <t>7y97mc3bZRFXzT2szRM4L4,0yPINB4V6U9g9i9iLRRJjx</t>
  </si>
  <si>
    <t>Chopin: Nocturnes</t>
  </si>
  <si>
    <t>2019-09-27</t>
  </si>
  <si>
    <t>7lzrO2JngHzowRt7CzuKrC</t>
  </si>
  <si>
    <t>09jxdQxEDIWvwqYcT4w4Oc,33SgMdQogwHNZOV33pzbPK</t>
  </si>
  <si>
    <t>Musica Clasica Relajante Piano</t>
  </si>
  <si>
    <t>2019-11-17</t>
  </si>
  <si>
    <t>1cKk3AnXgzLi7xl2Rqhoix</t>
  </si>
  <si>
    <t>2018-08-27</t>
  </si>
  <si>
    <t>0SqIZFex7iT94oU8BJxdar</t>
  </si>
  <si>
    <t>4tDa5P1so01pdVc5Ywl6Or</t>
  </si>
  <si>
    <t>7y97mc3bZRFXzT2szRM4L4,41YFPXmww0HCdIBjJj0uPs</t>
  </si>
  <si>
    <t>Chopin: Piano Sonata No. 2 - Liszt: Dante Sonata &amp; 3 Petrarch Sonnets</t>
  </si>
  <si>
    <t>1900</t>
  </si>
  <si>
    <t>57lZt8awEUA7ULV2YOe4vw</t>
  </si>
  <si>
    <t>3XwL5sEvTzT6yzlFFsQCEl</t>
  </si>
  <si>
    <t>7y97mc3bZRFXzT2szRM4L4,0bouHpX4JiuPnIfP2jFxRi</t>
  </si>
  <si>
    <t>Labyrinth</t>
  </si>
  <si>
    <t>2020-10-09</t>
  </si>
  <si>
    <t>4femsEly2KDon1wgtsPSfK</t>
  </si>
  <si>
    <t>7y97mc3bZRFXzT2szRM4L4,0WBFyyZxQ5CeA31cKSmhU2</t>
  </si>
  <si>
    <t>Chopin: Complete Nocturnes</t>
  </si>
  <si>
    <t>2010-06-22</t>
  </si>
  <si>
    <t>4obkD1Jz7JcgxKQgcidQ8a</t>
  </si>
  <si>
    <t>7y97mc3bZRFXzT2szRM4L4,7Ko3m6zrJJ8yokj3KLJa7I</t>
  </si>
  <si>
    <t>Chopin: 4 Ballades - 4 Impromptus</t>
  </si>
  <si>
    <t>2012-03-06</t>
  </si>
  <si>
    <t>0ASO1lZksZauY9nfhBNYj0</t>
  </si>
  <si>
    <t>4pTB18dbtjTTCLkybdylX6</t>
  </si>
  <si>
    <t>0HN6rwcaXi6rqM87RkoBb8</t>
  </si>
  <si>
    <t>1bT6EuKO7eTU4KVWLhrVrv</t>
  </si>
  <si>
    <t>5dRU7EyZhCaSBDHBBNwXOa</t>
  </si>
  <si>
    <t>Amélie Soundtrack Piano</t>
  </si>
  <si>
    <t>2020-09-23</t>
  </si>
  <si>
    <t>23FTbX8itC4H9SxYiUFP3v</t>
  </si>
  <si>
    <t>4NJhFmfw43RLBLjQvxDuRS,5Cy6BjgpzVTTP4FURizqmQ</t>
  </si>
  <si>
    <t>Mozart: Violin Concertos Nos. 3, 4 &amp; Violin Sonata No. 22</t>
  </si>
  <si>
    <t>2014-01-13</t>
  </si>
  <si>
    <t>0llCGkKfqA22zAxHzOcRoG</t>
  </si>
  <si>
    <t>4NJhFmfw43RLBLjQvxDuRS,5Cy6BjgpzVTTP4FURizqmQ,0xfOM47aJ8EcFX7T6Ugr9W,3cvUIuR3vm3Ybomo8VdubX</t>
  </si>
  <si>
    <t>4i3AfdygCIDJ5A1nb9mEPj</t>
  </si>
  <si>
    <t>46x75iFAkipaG5IEAFN4L4,5Cy6BjgpzVTTP4FURizqmQ</t>
  </si>
  <si>
    <t>Virtuoso</t>
  </si>
  <si>
    <t>2011-01-17</t>
  </si>
  <si>
    <t>2yuxVUVg9E7r0V4wv2STyb</t>
  </si>
  <si>
    <t>1C3sffOOvQNUwg4YIsvKqy,5Cy6BjgpzVTTP4FURizqmQ</t>
  </si>
  <si>
    <t>3CGmzfgZOl1lkKO9plSXFC</t>
  </si>
  <si>
    <t>1U5zgr455OGyIkLNXvDdrf,5Cy6BjgpzVTTP4FURizqmQ,4XMjjLsYeGOh6AwrrwtC74</t>
  </si>
  <si>
    <t>Traditional: Waltzing Matilda (Arr. Koncz)</t>
  </si>
  <si>
    <t>14rZjW3RioG7WesZhYESso</t>
  </si>
  <si>
    <t>00sazWvoTLOqg5MFwC68Um</t>
  </si>
  <si>
    <t>Le Fabuleux destin d'Amélie Poulain (Bande originale du film)</t>
  </si>
  <si>
    <t>2001-04-23</t>
  </si>
  <si>
    <t>6bpmBNPfQ2KFAW0ik6F9Vq</t>
  </si>
  <si>
    <t>73RvVHXXnU89qBaaNYYzb9</t>
  </si>
  <si>
    <t>7I45dkQ1tQqUQmZJ8cJCOl</t>
  </si>
  <si>
    <t>2021-02-24</t>
  </si>
  <si>
    <t>Classico</t>
  </si>
  <si>
    <t>-25.=092</t>
  </si>
  <si>
    <t>14=0.442</t>
  </si>
  <si>
    <t>129.=047</t>
  </si>
  <si>
    <t>69.=053</t>
  </si>
  <si>
    <t>13=0.349</t>
  </si>
  <si>
    <t>77.=043</t>
  </si>
  <si>
    <t>-3=0.=099</t>
  </si>
  <si>
    <t>-26.=013</t>
  </si>
  <si>
    <t>-34.9=03</t>
  </si>
  <si>
    <t>67.=073</t>
  </si>
  <si>
    <t>9=0.6=04</t>
  </si>
  <si>
    <t>-29.=09</t>
  </si>
  <si>
    <t>-3=0.31</t>
  </si>
  <si>
    <t>12=0.287</t>
  </si>
  <si>
    <t>-22.7=07</t>
  </si>
  <si>
    <t>12=0.=052</t>
  </si>
  <si>
    <t>-21.=025</t>
  </si>
  <si>
    <t>134.=0=08</t>
  </si>
  <si>
    <t>-2=0.772</t>
  </si>
  <si>
    <t>93.=031</t>
  </si>
  <si>
    <t>-3=0.275</t>
  </si>
  <si>
    <t>-2=0.437</t>
  </si>
  <si>
    <t>69.8=08</t>
  </si>
  <si>
    <t>6=0.577</t>
  </si>
  <si>
    <t>1=03.388</t>
  </si>
  <si>
    <t>-2=0.318</t>
  </si>
  <si>
    <t>112.=0=05</t>
  </si>
  <si>
    <t>-25.=041</t>
  </si>
  <si>
    <t>-29.=0=08</t>
  </si>
  <si>
    <t>173.6=02</t>
  </si>
  <si>
    <t>-26.=026</t>
  </si>
  <si>
    <t>-23.3=07</t>
  </si>
  <si>
    <t>-24.6=05</t>
  </si>
  <si>
    <t>122.=03</t>
  </si>
  <si>
    <t>128.=056</t>
  </si>
  <si>
    <t>1=02.=042</t>
  </si>
  <si>
    <t>-22.=04</t>
  </si>
  <si>
    <t>1=03.=096</t>
  </si>
  <si>
    <t>169.=026</t>
  </si>
  <si>
    <t>7=0.623</t>
  </si>
  <si>
    <t>67.5=03</t>
  </si>
  <si>
    <t>-3=0.131</t>
  </si>
  <si>
    <t>-24.5=03</t>
  </si>
  <si>
    <t>179.1=04</t>
  </si>
  <si>
    <t>92.=041</t>
  </si>
  <si>
    <t>-27.1=04</t>
  </si>
  <si>
    <t>89.=014</t>
  </si>
  <si>
    <t>62.=016</t>
  </si>
  <si>
    <t>7=0.178</t>
  </si>
  <si>
    <t>-19.=031</t>
  </si>
  <si>
    <t>-2=0.814</t>
  </si>
  <si>
    <t>-27.=095</t>
  </si>
  <si>
    <t>-3=0.235</t>
  </si>
  <si>
    <t>125.9=03</t>
  </si>
  <si>
    <t>1=06.=099</t>
  </si>
  <si>
    <t>165.=032</t>
  </si>
  <si>
    <t>-4=0.119</t>
  </si>
  <si>
    <t>-23.=033</t>
  </si>
  <si>
    <t>7=0.77</t>
  </si>
  <si>
    <t>7=0.939</t>
  </si>
  <si>
    <t>-29.=025</t>
  </si>
  <si>
    <t>12=0.128</t>
  </si>
  <si>
    <t>75.4=09</t>
  </si>
  <si>
    <t>-24.=076</t>
  </si>
  <si>
    <t>13=0.814</t>
  </si>
  <si>
    <t>1=0=0.848</t>
  </si>
  <si>
    <t>1xQ6trAsedVPCdbtDAmk0c</t>
  </si>
  <si>
    <t>56mfhUDKa1vec6rSLZV5Eg,07YZf4WDAMNwqr4jfgOZ8y</t>
  </si>
  <si>
    <t>2020-06-11</t>
  </si>
  <si>
    <t>6kex4EBAj0WHXDKZMEJaaF</t>
  </si>
  <si>
    <t>07YZf4WDAMNwqr4jfgOZ8y,0hCNtLu0JehylgoiP8L4Gh,7c0XG5cIJTrrAgEC3ULPiq</t>
  </si>
  <si>
    <t>2017-02-23</t>
  </si>
  <si>
    <t>7795WJLVKJoAyVoOtCWqXN</t>
  </si>
  <si>
    <t>2wY79sveU1sp5g7SokKOiI</t>
  </si>
  <si>
    <t>In The Lonely Hour</t>
  </si>
  <si>
    <t>2014-05-26</t>
  </si>
  <si>
    <t>5Nm9ERjJZ5oyfXZTECKmRt</t>
  </si>
  <si>
    <t>5rGWjWX6ZCbFbhg18ZrwMm</t>
  </si>
  <si>
    <t>3S81oM6w9tzFUxEzvdql6I</t>
  </si>
  <si>
    <t>2015-08-06</t>
  </si>
  <si>
    <t>7xHfguzndSR2jOpMxzqh3r</t>
  </si>
  <si>
    <t>2017-12-01</t>
  </si>
  <si>
    <t>39cmB3ZoTOLwOTq7tMNqKa</t>
  </si>
  <si>
    <t>0NGAZxHanS9e0iNHpR8f2W,7qPLO2XOUaRrRxkvLZ3AEK,5veVxxPm1vzgi6pO2iVA8L</t>
  </si>
  <si>
    <t>6iW38RGqdDGOofmz2HeXLW</t>
  </si>
  <si>
    <t>0xRXCcSX89eobfrshSVdyu,0NGAZxHanS9e0iNHpR8f2W,2nm38smINjms1LtczR0Cei</t>
  </si>
  <si>
    <t>Piece Of Your Heart (Alok Remix)</t>
  </si>
  <si>
    <t>2019-06-07</t>
  </si>
  <si>
    <t>69Z9CGFvblV0qTb6wMoCpP</t>
  </si>
  <si>
    <t>3fwPbUnAOAhzd60TyDfE8t</t>
  </si>
  <si>
    <t>Best of Collector: Piano Fantasia (Le meilleur des années 80)</t>
  </si>
  <si>
    <t>2012-03-19</t>
  </si>
  <si>
    <t>2022-04-29</t>
  </si>
  <si>
    <t>6E90gq0KO6FYZVOXx8kCcC</t>
  </si>
  <si>
    <t>1uU7g3DNSbsu0QjSEqZtEd</t>
  </si>
  <si>
    <t>Astronomical</t>
  </si>
  <si>
    <t>6olNDT3k55JrVcJooPEZPo</t>
  </si>
  <si>
    <t>2FF8wcGpikv5RFbAK1rvdZ,0jyCthHjGBs9nAqwi5KSNt</t>
  </si>
  <si>
    <t>24 Hours</t>
  </si>
  <si>
    <t>31uzlT0K911AXXin4hokx2</t>
  </si>
  <si>
    <t>6g878dtAhjegRHVe5X0ALf,5hMewFhywS8hP4kcpVYySW</t>
  </si>
  <si>
    <t>2022-06-03</t>
  </si>
  <si>
    <t>3ndUEyT1uOX5cPvsJScvEq</t>
  </si>
  <si>
    <t>5iNrZmtVMtYev5M9yoWpEq,2Tg0aF5cbZktYFzgR1iAKv</t>
  </si>
  <si>
    <t>6QZtJumgFJwVrb7O3x1Zu7</t>
  </si>
  <si>
    <t>6ioOEWNNGK40H8xrGj6XPW</t>
  </si>
  <si>
    <t>7qGTqLLIHXStOkmnSkZAbY</t>
  </si>
  <si>
    <t>7z2avKuuiMAT4XZJFv8Rvh</t>
  </si>
  <si>
    <t>0bPjOJdD1OV1x3ihKbJMBS</t>
  </si>
  <si>
    <t>1AaSeUFzwt47HhkGtWE1xn,2wUjUUtkb5lvLKcGKsKqsR</t>
  </si>
  <si>
    <t>1Mpi5Yt3Ldso648r2lZVv2</t>
  </si>
  <si>
    <t>4rQTEdG6hDVOlDUFKs9EjZ,3hyEbRtp617pNCuuQjyOmc</t>
  </si>
  <si>
    <t>Automatic (Lost Kings Remix)</t>
  </si>
  <si>
    <t>6kxaaIeowajN7w21PfMLbu</t>
  </si>
  <si>
    <t>26VFTg2z8YR0cCuwLzESi2</t>
  </si>
  <si>
    <t>2022-06-09</t>
  </si>
  <si>
    <t>4lKSHi12cKgQlXwkrPHQ6s</t>
  </si>
  <si>
    <t>21mKp7DqtSNHhCAU2ugvUw,6BkSTbIWZrLZZK0sa2GehR</t>
  </si>
  <si>
    <t>2022-06-08</t>
  </si>
  <si>
    <t>5LzBIh1CxOnNknwoi5hCb8</t>
  </si>
  <si>
    <t>5WUlDfRSoLAfcVSX1WnrxN,4CuipEvwcoQggmCV8jpKF9</t>
  </si>
  <si>
    <t>Courage to Change (Michael Calfan Remix)</t>
  </si>
  <si>
    <t>5DlwOwWvIA9MOGixQnkwXD</t>
  </si>
  <si>
    <t>7EQ0qTo7fWT7DPxmxtSYEc</t>
  </si>
  <si>
    <t>24h3RnZnm3hUcWQ9AF52wt</t>
  </si>
  <si>
    <t>4zjO8Jhi2pciJJzd8Q6rga</t>
  </si>
  <si>
    <t>0FS7B5o3QyvOD8eWjnbLoO</t>
  </si>
  <si>
    <t>6sFIWsNpZYqfjUpaCgueju</t>
  </si>
  <si>
    <t>Emotion (Deluxe Expanded Edition)</t>
  </si>
  <si>
    <t>507tQXutCPYNFkpOq8tmKF</t>
  </si>
  <si>
    <t>1Xylc3o4UrD53lo9CvFvVg</t>
  </si>
  <si>
    <t>2019-03-28</t>
  </si>
  <si>
    <t>2022-01-14</t>
  </si>
  <si>
    <t>6WVHfpzYW3HooQaCC80opC</t>
  </si>
  <si>
    <t>0TKFPt9w0AAEnhB9bd0pLy,76FvAg4V0F4hX5rNFF0MFZ</t>
  </si>
  <si>
    <t>4MDrGVm2yYsMj97CLGdhdI</t>
  </si>
  <si>
    <t>5JJc8is4VzgOz8ZanDj18J,4xklx5DAtVru5uf3vSXTgf,7voVuewp9js4Ru1FQCw2RI</t>
  </si>
  <si>
    <t>2022-03-04</t>
  </si>
  <si>
    <t>2022-05-13</t>
  </si>
  <si>
    <t>1aoX2MyyPNxKYpQccwAvII</t>
  </si>
  <si>
    <t>0XqFDQJjqW5PfhfBCb53LR,0K7K5CMqnCK1hZinqP55SB,7u4ayw4QFEsolPxZgnPAMT</t>
  </si>
  <si>
    <t>Easy (feat. MPH) [Jonasu Remix]</t>
  </si>
  <si>
    <t>2019-01-25</t>
  </si>
  <si>
    <t>4ACzVRfKxUMora4HZbnK4b</t>
  </si>
  <si>
    <t>26PnCYGyS31j6bvJjaK6J9</t>
  </si>
  <si>
    <t>Stood In The Dark / We Let Em Go</t>
  </si>
  <si>
    <t>2016-07-01</t>
  </si>
  <si>
    <t>05gxI00vPgmHWjfsi5z7Wz</t>
  </si>
  <si>
    <t>2MbY32LPINIi9P6PCkrOJI,2i6DCdjOpqQGf5ICVpn8dj</t>
  </si>
  <si>
    <t>2021-02-26</t>
  </si>
  <si>
    <t>5NNwep4XHMqZsJSYheh6LI</t>
  </si>
  <si>
    <t>4lC8Q0azW5ij2e1skZo377</t>
  </si>
  <si>
    <t>Back To Start</t>
  </si>
  <si>
    <t>2016-11-28</t>
  </si>
  <si>
    <t>5hquKiRUsOh0079PvO7EJN</t>
  </si>
  <si>
    <t>3NIFl4tsySuu3eu8Yt8c0s</t>
  </si>
  <si>
    <t>2022-04-19</t>
  </si>
  <si>
    <t>2022-04-18</t>
  </si>
  <si>
    <t>2Y8OTlI2muZTiFASMRONpJ</t>
  </si>
  <si>
    <t>Sweet Dreams (Are Made of This)</t>
  </si>
  <si>
    <t>2019-12-06</t>
  </si>
  <si>
    <t>6EQR7Y5vVZFiPD0RUECIDv</t>
  </si>
  <si>
    <t>0vR2qb8m9WHeZ5ByCbimq2,0L1f9i3L3fkMNENljDOsjG,6k8mwkKJKKjBILo7ypBspl</t>
  </si>
  <si>
    <t>A Un Paso De La Luna (Remix)</t>
  </si>
  <si>
    <t>2021-03-23</t>
  </si>
  <si>
    <t>6PQ88X9TkUIAUIZJHW2upE</t>
  </si>
  <si>
    <t>6eUKZXaKkcviH0Ku9w2n3V</t>
  </si>
  <si>
    <t>4poybupy26pTWPr9zY1i7h</t>
  </si>
  <si>
    <t>7nqlScm2smydSRl13eaP8E</t>
  </si>
  <si>
    <t>2019-09-06</t>
  </si>
  <si>
    <t>0xfMlIW8lS40qvpsUw1l0X</t>
  </si>
  <si>
    <t>2021-05-21</t>
  </si>
  <si>
    <t>75MNhvTCCKsST3YqqUiU9r</t>
  </si>
  <si>
    <t>2021-09-13</t>
  </si>
  <si>
    <t>6osaMSJh9NguagEDQcZaKx</t>
  </si>
  <si>
    <t>540vIaP2JwjQb9dm3aArA4,1vyhD5VmyZ7KMfW5gqLgo5,5LHRHt1k9lMyONurDHEdrp</t>
  </si>
  <si>
    <t>Carte Blanche</t>
  </si>
  <si>
    <t>2019-07-25</t>
  </si>
  <si>
    <t>2MlOUXmcofMackX3bxfSwi</t>
  </si>
  <si>
    <t>523y9KSneKh6APd1hKxLuF,4cfKtwkefMW3aiXtxfw8w6</t>
  </si>
  <si>
    <t>Jerusalema</t>
  </si>
  <si>
    <t>7g3HQ4npoO3Zrp9Zia0J0E</t>
  </si>
  <si>
    <t>Une seule vie</t>
  </si>
  <si>
    <t>2016-03-18</t>
  </si>
  <si>
    <t>4ipnJyDU3Lq15qBAYNqlqK</t>
  </si>
  <si>
    <t>1vyhD5VmyZ7KMfW5gqLgo5,4RSyJzf7ef6Iu2rnLdabNq</t>
  </si>
  <si>
    <t>2017-06-30</t>
  </si>
  <si>
    <t>1UfBAJfmofTffrae5ls6DA</t>
  </si>
  <si>
    <t>2015-07-31</t>
  </si>
  <si>
    <t>6ksRossV4vKsXntCCZbhaM</t>
  </si>
  <si>
    <t>20gsENnposVs2I4rQ5kvrf,3dfslm6CkJXlsvGSQxGgxt</t>
  </si>
  <si>
    <t>2015-05-18</t>
  </si>
  <si>
    <t>3VZmChrnVW8JK6ano4gSED</t>
  </si>
  <si>
    <t>3koiLjNrgRTNbOwViDipeA</t>
  </si>
  <si>
    <t>Midnight Love</t>
  </si>
  <si>
    <t>1982-10-01</t>
  </si>
  <si>
    <t>40riOy7x9W7GXjyGp4pjAv</t>
  </si>
  <si>
    <t>0ECwFtbIWEVNwjlrfc6xoL</t>
  </si>
  <si>
    <t>Hotel California (2013 Remaster)</t>
  </si>
  <si>
    <t>1976-12-08</t>
  </si>
  <si>
    <t>2HnbQUKe1joI2tSFuUhqZs</t>
  </si>
  <si>
    <t>7dc6hUwyuIhrZdh80eaCEE,30ut8L4gmEz4vNr1zNhpbh</t>
  </si>
  <si>
    <t>2017-12-08</t>
  </si>
  <si>
    <t>0Vw98EX4aRLiBcNbeUYst9</t>
  </si>
  <si>
    <t>0Ye4nfYAA91T1X56gnlXAA</t>
  </si>
  <si>
    <t>Smoke Filled Room (Acoustic Session)</t>
  </si>
  <si>
    <t>2016-03-04</t>
  </si>
  <si>
    <t>08tGpySnoqE6MxGyrDx0q2</t>
  </si>
  <si>
    <t>5SZayIKDZvxXaJrxLfnIRN</t>
  </si>
  <si>
    <t>2022-05-05</t>
  </si>
  <si>
    <t>1fqsRpUEDjkqZl9vHrjk01</t>
  </si>
  <si>
    <t>3OicELscJlOf5XnrApq6ur,40kIqrhldGZVCR1PgMIi7M</t>
  </si>
  <si>
    <t>2016-05-16</t>
  </si>
  <si>
    <t>0GNM3NbetTm96GqbaQslQF</t>
  </si>
  <si>
    <t>0nTbVTXLLbBA4xCtn0cFkv,2Wzb0u138rgoZQTK3ytknT,0l044F6bMOeoWWvk4Neru8</t>
  </si>
  <si>
    <t>4gTngPj65e6XFrxRXs61eT</t>
  </si>
  <si>
    <t>3YZPWi4bdsYF22lQWHo5nf</t>
  </si>
  <si>
    <t>Evolve</t>
  </si>
  <si>
    <t>2016-06-20</t>
  </si>
  <si>
    <t>1MhdaEmBlc71o9ID1eP9Io</t>
  </si>
  <si>
    <t>59Yq0xrABEihHANsfo9QMT,29siAJ78u7y79BYOyh0lbp</t>
  </si>
  <si>
    <t>6yGNS6MoZpDJ23IiZSVPQw</t>
  </si>
  <si>
    <t>4EDCf6apSbfCPkoDqGyVOy,0wJDbxpqtwjA2FxfU6KI0E</t>
  </si>
  <si>
    <t>4QfrbKEYdcnsprpRg0VYQP</t>
  </si>
  <si>
    <t>4EukMPjtYsdi87lkU1hIxN,4F18x5o9JJ3TbuXfyry04n</t>
  </si>
  <si>
    <t>1993</t>
  </si>
  <si>
    <t>2019-02-22</t>
  </si>
  <si>
    <t>1TQTYsynFasqExckACAoWb</t>
  </si>
  <si>
    <t>Greatest Hits Vol. 1</t>
  </si>
  <si>
    <t>2021-11-12</t>
  </si>
  <si>
    <t>0uqCkLnmsYyWcbT17WD7cy</t>
  </si>
  <si>
    <t>Better Days: The Collection</t>
  </si>
  <si>
    <t>2022-05-25</t>
  </si>
  <si>
    <t>2yXRunfzz6u8wxKoZRRJP7</t>
  </si>
  <si>
    <t>45eNHdiiabvmbp4erw26rg,2WxjxdeF7GGdcCK276qViY,3HHfEn7yPOy3IiHS6CHG97</t>
  </si>
  <si>
    <t>Fallen Embers (Remixes)</t>
  </si>
  <si>
    <t>1afXT2ntjBUlydAFZ3db66</t>
  </si>
  <si>
    <t>4sTQVOfp9vEMCemLw50sbu</t>
  </si>
  <si>
    <t>2koCmuvlEIoH3fE9vdsHlH</t>
  </si>
  <si>
    <t>2tLI4kPsmsxQQv6zr2jbgt,4baMXYKAKEfErCf84fOwyY,6k1PUqfJwVvqumfOUCPPzh</t>
  </si>
  <si>
    <t>2022-05-11</t>
  </si>
  <si>
    <t>1tBTGM9KtbCZvt6EPXWGrP</t>
  </si>
  <si>
    <t>0MqXw0plXKIaJtM342hIag,50tDsT4wwq8FCMJNkn1D67</t>
  </si>
  <si>
    <t>7pc1L1xwGkg48SIz4qIChI</t>
  </si>
  <si>
    <t>5nPOO9iTcrs9k6yFffPxjH,3AVfmawzu83sp94QW7CEGm</t>
  </si>
  <si>
    <t>Breathe (Röyksopp Remix)</t>
  </si>
  <si>
    <t>2022-05-20</t>
  </si>
  <si>
    <t>0dSECwEBAtUBonYWLKNmVK</t>
  </si>
  <si>
    <t>7z8fkGpUDt6eb6fyysRTH9,58QNei6HY9fAmKKUeTOneM,1Ars2RdXFbmt04pZ5g2RNr</t>
  </si>
  <si>
    <t>6IKm0YQdjGLOqj4IrhCC5b</t>
  </si>
  <si>
    <t>6f0hUHWLOCxCSDQMtdVAS7,3iri9nBFs9e4wN7PLIetAw</t>
  </si>
  <si>
    <t>3GGToIEOAr2yHkc6GGGcOy</t>
  </si>
  <si>
    <t>7o9Nl7K1Al6NNAHX6jn6iG,6wKxOKEA3K6R2UZ3COLXEY</t>
  </si>
  <si>
    <t>29CjxMNo7FHHgTfgqC7xZu</t>
  </si>
  <si>
    <t>0BKwEzD2wCnjfuZFwmKMPz,39YDJ5QGEQvoUUqtWrHkSn</t>
  </si>
  <si>
    <t>73PAbYaVbnFG0tQ4aBfxeN</t>
  </si>
  <si>
    <t>5Pwc4xIPtQLFEnJriah9YJ</t>
  </si>
  <si>
    <t>Top Gun: Maverick (Music From The Motion Picture)</t>
  </si>
  <si>
    <t>5lUkY94stGwpp1fJD0dIWJ</t>
  </si>
  <si>
    <t>7hbUuHOl7TB6uBYDlbFbvH</t>
  </si>
  <si>
    <t>Pixelated Oblivion</t>
  </si>
  <si>
    <t>0VmGR5vY7xYjpDnKZORLn1</t>
  </si>
  <si>
    <t>7vUJCRmF1if4uhMp2V3tRP,5v7efr4mqt3RQxkT0Mmh5g</t>
  </si>
  <si>
    <t>4zRgRsfH13bAAKrTkldFKb</t>
  </si>
  <si>
    <t>7uzKFCBLb6SLQ5c4ML6fQw</t>
  </si>
  <si>
    <t>Sun 7</t>
  </si>
  <si>
    <t>2018-08-10</t>
  </si>
  <si>
    <t>5vqkbdqGgSYpLWSsOiXkrj</t>
  </si>
  <si>
    <t>3t5xRXzsuZmMDkQzgOX35S,61ipISvUVa5LkJlKZnm3Oo,4ogvuDRerGhZfSf7TtzHlr</t>
  </si>
  <si>
    <t>2021-07-09</t>
  </si>
  <si>
    <t>748mdHapucXQri7IAO8yFK</t>
  </si>
  <si>
    <t>2021-04-09</t>
  </si>
  <si>
    <t>1R4KCEwucJLsVk5L9o250Y</t>
  </si>
  <si>
    <t>76M2Ekj8bG8W7X2nbx2CpF,3NJ94iuAmmMjbszODYT6pO,4zlw0jXUzd4dRcqI3Y1OiY</t>
  </si>
  <si>
    <t>2020-05-29</t>
  </si>
  <si>
    <t>3hEaLQI3dRyONBEZWS1VXD</t>
  </si>
  <si>
    <t>2ZRQcIgzPCVaT9XKhXZIzh,0id62QV2SZZfvBn9xpmuCl</t>
  </si>
  <si>
    <t>1br1KHZHkKhCcjz6sHysT5</t>
  </si>
  <si>
    <t>2ZRQcIgzPCVaT9XKhXZIzh,3zrUX1hQrUB9aXcOiyQLmN</t>
  </si>
  <si>
    <t>1a0M7E4aQgkMkuwpjnX9Nr</t>
  </si>
  <si>
    <t>2ZRQcIgzPCVaT9XKhXZIzh,6sFIWsNpZYqfjUpaCgueju</t>
  </si>
  <si>
    <t>0sdLzD6YytK2DXiChFXRyz</t>
  </si>
  <si>
    <t>5mEdu358hFKpuN4YbJ2ZQy</t>
  </si>
  <si>
    <t>2ZRQcIgzPCVaT9XKhXZIzh,6CwfuxIqcltXDGjfZsMd9A,3zZPv8aJhRywJjUqOLFe0O</t>
  </si>
  <si>
    <t>676eXXtx6I7yxaDfXvMpjK</t>
  </si>
  <si>
    <t>2ZRQcIgzPCVaT9XKhXZIzh,43G7qlx7v7OGJJrUTXIqLq</t>
  </si>
  <si>
    <t>0nC1pxQNPsQwW2keoIFBnx</t>
  </si>
  <si>
    <t>2ZRQcIgzPCVaT9XKhXZIzh,0u18Cq5stIQLUoIaULzDmA,224Zsim3dmWXWYUXFuHv0o</t>
  </si>
  <si>
    <t>6hciDCyJDYCsYQp2lH6kdA</t>
  </si>
  <si>
    <t>2ZRQcIgzPCVaT9XKhXZIzh,6fcTRFpz0yH79qSKfof7lp,2RQXRUsr4IW1f3mKyKsy4B</t>
  </si>
  <si>
    <t>4nRbhflKt9BAc6YulQ22ga</t>
  </si>
  <si>
    <t>45eNHdiiabvmbp4erw26rg,5FKchcZpQOkqFvXBj1aCvb,1sKIizVYeHkGy7Tjmn9QRj</t>
  </si>
  <si>
    <t>Fallen Embers</t>
  </si>
  <si>
    <t>5Z9gjSD3mglkexfM8QbGHo</t>
  </si>
  <si>
    <t>5FKchcZpQOkqFvXBj1aCvb,37PZXblQTqpEWGdjctNcGP</t>
  </si>
  <si>
    <t>Virus</t>
  </si>
  <si>
    <t>2016-10-25</t>
  </si>
  <si>
    <t>4VSDHncHqb5DjWdVAGF9Nq</t>
  </si>
  <si>
    <t>48q2mPVwlKnlSaCx07i6Ta,6MiWYUZOD7VJbJNSx8nUNW,7xTKLpo7UCzXSnlH7fOIoM,1tCaVerFstPJotxmXX6lFL</t>
  </si>
  <si>
    <t>2017-08-18</t>
  </si>
  <si>
    <t>5Y1JDF28qQDml25pVadnzb</t>
  </si>
  <si>
    <t>28Ky95tmlHktB96DBUoB0g,1SFSz2SewAsgPeFvGmAouI</t>
  </si>
  <si>
    <t>2014-04-25</t>
  </si>
  <si>
    <t>6tVUYXoARGbnPVegcWsIEt</t>
  </si>
  <si>
    <t>Mostly We Grow Pt. 2</t>
  </si>
  <si>
    <t>2019-11-01</t>
  </si>
  <si>
    <t>3e9SHIwbbDTsc3TkM1wrrM</t>
  </si>
  <si>
    <t>64N3o9z76C2APyfgQV2HMp,7jKdwKEJDwdloy2X6fyk9Y</t>
  </si>
  <si>
    <t>2018-06-26</t>
  </si>
  <si>
    <t>2gwH0dT4aDth8VqbPl1uEj</t>
  </si>
  <si>
    <t>64N3o9z76C2APyfgQV2HMp,7xYcJfhrRx9Iv8smhoEibc</t>
  </si>
  <si>
    <t>2020-02-04</t>
  </si>
  <si>
    <t>3Bn7BTwgrtohxSwoVMq0RU</t>
  </si>
  <si>
    <t>1mB4aweE1XGdjbFVFC8i5m</t>
  </si>
  <si>
    <t>2017-03-03</t>
  </si>
  <si>
    <t>21dE2qk8jtqdUyML6hXwrB</t>
  </si>
  <si>
    <t>4JMdvZoXArDVuMNNelKmjo,14eQOEJwQwEFzqlaXuSMjf,3sKeaby6GMSJWgYueZaSjE</t>
  </si>
  <si>
    <t>Feel Something (feat. Remmi) (feat. Remmi) [Remixes]</t>
  </si>
  <si>
    <t>2017-07-07</t>
  </si>
  <si>
    <t>18pRgKSLf5c8hxMPT3hklU</t>
  </si>
  <si>
    <t>3iTfyg1mtl3iIgR8jbtdUM</t>
  </si>
  <si>
    <t>SLEEPLUST</t>
  </si>
  <si>
    <t>2015-10-30</t>
  </si>
  <si>
    <t>0oC2A8KyHwofxRKDAICcKR</t>
  </si>
  <si>
    <t>3HqP3nd8WI0VfHRhApPlan</t>
  </si>
  <si>
    <t>Exit</t>
  </si>
  <si>
    <t>2014-12-22</t>
  </si>
  <si>
    <t>6UelLqGlWMcVH1E5c4H7lY</t>
  </si>
  <si>
    <t>6KImCVD70vtIoJWnq6nGn3</t>
  </si>
  <si>
    <t>Fine Line</t>
  </si>
  <si>
    <t>7rTzmiwE6lmBG8vQvBzNg7</t>
  </si>
  <si>
    <t>7bXgB6jMjp9ATFy66eO08Z</t>
  </si>
  <si>
    <t>6lZbLMHu98qpkOY0t3efUK</t>
  </si>
  <si>
    <t>3DCWeG2J1fZeu0Oe6i5Q6m</t>
  </si>
  <si>
    <t>Mental</t>
  </si>
  <si>
    <t>0FZ4Dmg8jJJAPJnvBIzD9z</t>
  </si>
  <si>
    <t>46SHBwWsqBkxI7EeeBEQG7,4DdkRBBYG6Yk9Ka8tdJ9BW,0Y5tJX1MQlPlqiwlOH1tJY</t>
  </si>
  <si>
    <t>2G1tXoGBaEMJ7FKGnkf6ud</t>
  </si>
  <si>
    <t>13y7CgLHjMVRMDqxdx0Xdo,0du5cEVh5yTK9QJze8zA0C,46SHBwWsqBkxI7EeeBEQG7</t>
  </si>
  <si>
    <t>Evil Genius</t>
  </si>
  <si>
    <t>1f5cbQtDrykjarZVrShaDI</t>
  </si>
  <si>
    <t>31W5EY0aAly4Qieq6OFu6I,46SHBwWsqBkxI7EeeBEQG7</t>
  </si>
  <si>
    <t>The Bigger Artist</t>
  </si>
  <si>
    <t>2FeBslNBMdR9V58uv6hd2t</t>
  </si>
  <si>
    <t>2YZyLoL8N0Wb9xBt1NhZWg</t>
  </si>
  <si>
    <t>Mr. Morale &amp; The Big Steppers</t>
  </si>
  <si>
    <t>3nef5W8jTkXrOKgCu4kmq7</t>
  </si>
  <si>
    <t>66CXWjxzNUsdJxJ2JdwvnR</t>
  </si>
  <si>
    <t>2016-04-01</t>
  </si>
  <si>
    <t>3xFyVvBr2zPJkBMXsyGNX9</t>
  </si>
  <si>
    <t>5XX9oGZfgKMXdHnEp4t2JB</t>
  </si>
  <si>
    <t>5TRPicyLGbAF2LGBFbHGvO</t>
  </si>
  <si>
    <t>5K4W6rqBFWDnAN6FQUkS6x,7u6LfVyYpEzMpHLL7jTyvU</t>
  </si>
  <si>
    <t>Graduation</t>
  </si>
  <si>
    <t>2007-09-11</t>
  </si>
  <si>
    <t>0j2T0R9dR9qdJYsB7ciXhf</t>
  </si>
  <si>
    <t>5K4W6rqBFWDnAN6FQUkS6x</t>
  </si>
  <si>
    <t>3sNVsP50132BTNlImLx70i</t>
  </si>
  <si>
    <t>Yeezus</t>
  </si>
  <si>
    <t>2013-06-18</t>
  </si>
  <si>
    <t>4EWCNWgDS8707fNSZ1oaA5</t>
  </si>
  <si>
    <t>808s &amp; Heartbreak</t>
  </si>
  <si>
    <t>2008-11-24</t>
  </si>
  <si>
    <t>4Li2WHPkuyCdtmokzW2007</t>
  </si>
  <si>
    <t>3nFkdlSjzX9mRTtwJOzDYB,5K4W6rqBFWDnAN6FQUkS6x</t>
  </si>
  <si>
    <t>Watch The Throne (Deluxe)</t>
  </si>
  <si>
    <t>2011-08-08</t>
  </si>
  <si>
    <t>22UDw8rSfLbUsaAGTXQ4Z8</t>
  </si>
  <si>
    <t>5T0MSzX9RC5NA6gAI6irSn,5K4W6rqBFWDnAN6FQUkS6x</t>
  </si>
  <si>
    <t>Shine</t>
  </si>
  <si>
    <t>2008-03-28</t>
  </si>
  <si>
    <t>1Lg9aMPCykp6LybqcVCXiO</t>
  </si>
  <si>
    <t>6tbjWDEIzxoDsBA1FuhfPW</t>
  </si>
  <si>
    <t>Hung Up</t>
  </si>
  <si>
    <t>2005-11-04</t>
  </si>
  <si>
    <t>10Q3ASy9okYt85040yV46c</t>
  </si>
  <si>
    <t>45eNHdiiabvmbp4erw26rg,4MzJMcHQBl9SIYSjwWn8QW</t>
  </si>
  <si>
    <t>6oJflQkp7lFXOQce4wPTAW</t>
  </si>
  <si>
    <t>49CE2ffZ6Z3zeYSDauSKck,4cSYNpczcvTUpnPMFDLsIc,3AlnY6JafbuFhod8D3Lo8l</t>
  </si>
  <si>
    <t>2015-01-21</t>
  </si>
  <si>
    <t>52t3lx38kiruAIGY2gISfc</t>
  </si>
  <si>
    <t>3NKVm2Jedcf6ibJr6pMUVx</t>
  </si>
  <si>
    <t>All I Need (DJ-Kicks)</t>
  </si>
  <si>
    <t>0gNXY64y1CKoNsIo96WuLn</t>
  </si>
  <si>
    <t>4AVFqumd2ogHFlRbKIjp1t,0SfsnGyD8FpIN4U4WCkBZ5</t>
  </si>
  <si>
    <t>2021-02-25</t>
  </si>
  <si>
    <t>5OJbBrGPY4scEGwMysuyLb</t>
  </si>
  <si>
    <t>05GvwwTLLID738BbKN1ze0</t>
  </si>
  <si>
    <t>2017-07-31</t>
  </si>
  <si>
    <t>2021-06-11</t>
  </si>
  <si>
    <t>2021-10-22</t>
  </si>
  <si>
    <t>2020-12-18</t>
  </si>
  <si>
    <t>2021-12-10</t>
  </si>
  <si>
    <t>1yApeqGiKKeAMptbNUv2Mf</t>
  </si>
  <si>
    <t>5MxKAr6Ui5hQ9TtjdnlmrR</t>
  </si>
  <si>
    <t>2021-05-07</t>
  </si>
  <si>
    <t>2OZZpID4LgZ0GGm8XB99e3</t>
  </si>
  <si>
    <t>2022-03-18</t>
  </si>
  <si>
    <t>7AVyve7cFYTd51ha5i9kE2</t>
  </si>
  <si>
    <t>2022-02-08</t>
  </si>
  <si>
    <t>424Uwmm1kNW07Ty1nOhSpl</t>
  </si>
  <si>
    <t>2022-02-02</t>
  </si>
  <si>
    <t>0BRbI3ZMPXuj9yA7ChDGOW</t>
  </si>
  <si>
    <t>1SwmXTElW9TlkK2Rydgb4D</t>
  </si>
  <si>
    <t>2021-03-16</t>
  </si>
  <si>
    <t>3CLSHJv5aUROAN2vfOyCOh</t>
  </si>
  <si>
    <t>0XFgyr4jwM0MGeZZW0VzA5</t>
  </si>
  <si>
    <t>2021-05-25</t>
  </si>
  <si>
    <t>6Sf2YqGzNmVfSNpLFWuYbz</t>
  </si>
  <si>
    <t>5vCOdeiQt9LyzdI87kt5Sh,1KYt3TMGpa1LtVi0m2A0F9</t>
  </si>
  <si>
    <t>5MhsZlmKJG6X5kTHkdwC4B</t>
  </si>
  <si>
    <t>2014-08-08</t>
  </si>
  <si>
    <t>0M0NxwnVNQfLVclV852dQ6</t>
  </si>
  <si>
    <t>6HraHl4uwIQFixUu3J49BK,46OtpY1n8PieZ55v1gujZJ,1DGpuIJ6KAI5bcaFGbJZJs,2PyT6zhFlnRTEIKZUHh5NO</t>
  </si>
  <si>
    <t>The Chasm (Ben Walter and Satellite Empire Remix)</t>
  </si>
  <si>
    <t>2017-08-14</t>
  </si>
  <si>
    <t>2s1VpaLKaFTPHwP7q2QXT1</t>
  </si>
  <si>
    <t>6mqoRGBXxcWtOzK3mNn4xP,4Td7DjmnDqvSDBHtuJomoF</t>
  </si>
  <si>
    <t>Tokyo (Popeska Remix)</t>
  </si>
  <si>
    <t>2018-03-23</t>
  </si>
  <si>
    <t>6O2eMeVNJnbmHC721q9EFV</t>
  </si>
  <si>
    <t>01olvHW7uzIInQx9VTNuJm,1DUd25ybTBglvAohsXTmBx</t>
  </si>
  <si>
    <t>Recursion</t>
  </si>
  <si>
    <t>2020-12-10</t>
  </si>
  <si>
    <t>0XFFKlcnZrpM3KolWDLVlJ</t>
  </si>
  <si>
    <t>1vel3DV1tV73y5qMZ7Nthm</t>
  </si>
  <si>
    <t>4yffABDkB5A9flvr9vQFck</t>
  </si>
  <si>
    <t>7mnBLXK823vNxN3UWB7Gfz</t>
  </si>
  <si>
    <t>Brothers (Deluxe Remastered Anniversary Edition)</t>
  </si>
  <si>
    <t>5V1bKI60cPKn4K4g0y8EV1</t>
  </si>
  <si>
    <t>6IW91qUpcrhbGuZxubrG70</t>
  </si>
  <si>
    <t>チキチキバンバン (TV Ver.)</t>
  </si>
  <si>
    <t>2022-04-05</t>
  </si>
  <si>
    <t>5G1sTBGbZT5o4PNRc75RKI</t>
  </si>
  <si>
    <t>El Camino</t>
  </si>
  <si>
    <t>2011-12-06</t>
  </si>
  <si>
    <t>7pdDBqpilpdW7c40DpFMW9</t>
  </si>
  <si>
    <t>1gR0gsQYfi6joyO1dlp76N</t>
  </si>
  <si>
    <t>2007-06-11</t>
  </si>
  <si>
    <t>2A3emhzbZo7eSvEUtAm3ZS</t>
  </si>
  <si>
    <t>4wSmqFg31t6LsQWtzYAJob</t>
  </si>
  <si>
    <t>49ErwcBYfYRPNBdRuPvpYA</t>
  </si>
  <si>
    <t>1gR0gsQYfi6joyO1dlp76N,19rgRqYVP3LJf9tGmMWLjP</t>
  </si>
  <si>
    <t>We Are Your Friends</t>
  </si>
  <si>
    <t>2006-01-01</t>
  </si>
  <si>
    <t>3gcmn2CtOE9SjBevmvGVEk</t>
  </si>
  <si>
    <t>2007-04-30</t>
  </si>
  <si>
    <t>33yAEqzKXexYM3WlOYtTfQ</t>
  </si>
  <si>
    <t>2hHLbkatPwOOmrNxTiD41L</t>
  </si>
  <si>
    <t>1kPpge9JDLpcj15qgrPbYX</t>
  </si>
  <si>
    <t>07QEuhtrNmmZ0zEcqE9SF6,6sFIWsNpZYqfjUpaCgueju</t>
  </si>
  <si>
    <t>The Midsummer Station</t>
  </si>
  <si>
    <t>20I6sIOMTCkB6w7ryavxtO</t>
  </si>
  <si>
    <t>Kiss</t>
  </si>
  <si>
    <t>76fqWMe0buqQoaNTIbLWmr</t>
  </si>
  <si>
    <t>73jBynjsVtofjRpdpRAJGk,4xgFgBZ7CRtgtHcziClOwQ</t>
  </si>
  <si>
    <t>2013-03-19</t>
  </si>
  <si>
    <t>3w3y8KPTfNeOKPiqUTakBh</t>
  </si>
  <si>
    <t>0du5cEVh5yTK9QJze8zA0C</t>
  </si>
  <si>
    <t>Unorthodox Jukebox</t>
  </si>
  <si>
    <t>2012-12-07</t>
  </si>
  <si>
    <t>6b8Be6ljOzmkOmFslEb23P</t>
  </si>
  <si>
    <t>2016-11-17</t>
  </si>
  <si>
    <t>0KKkJNfGyhkQ5aFogxQAPU</t>
  </si>
  <si>
    <t>3stOygN0I7CIvkEB2LJGbv</t>
  </si>
  <si>
    <t>7dGJo4pcD2V6oG8kP0tJRR</t>
  </si>
  <si>
    <t>The Marshall Mathers LP2 (Deluxe)</t>
  </si>
  <si>
    <t>2013-11-05</t>
  </si>
  <si>
    <t>561jH07mF1jHuk7KlaeF0s</t>
  </si>
  <si>
    <t>Encore (Deluxe Version)</t>
  </si>
  <si>
    <t>2004-11-12</t>
  </si>
  <si>
    <t>3x2nWCAqpyAtgU7ccU0W1d</t>
  </si>
  <si>
    <t>4QwYToL3TwakcPOuxRXtyj</t>
  </si>
  <si>
    <t>2R2j9X1YjUmirjO2VMNiEJ</t>
  </si>
  <si>
    <t>7pgAiDWreHX7CEqwlPBBpK</t>
  </si>
  <si>
    <t>1PkjHpAfaGxZBRfTrYkjbs</t>
  </si>
  <si>
    <t>4poL7YCSkG7kMnWjAdDU91,1qskAseW7apRxJBpYAO9Yk</t>
  </si>
  <si>
    <t>2017-02-24</t>
  </si>
  <si>
    <t>79Nnbjlw4ulw59lkHUZm9N</t>
  </si>
  <si>
    <t>4poL7YCSkG7kMnWjAdDU91</t>
  </si>
  <si>
    <t>Bonbon EP</t>
  </si>
  <si>
    <t>2016-07-21</t>
  </si>
  <si>
    <t>750jVPZnBVLItCUxaRR5iC</t>
  </si>
  <si>
    <t>5fbSIKNisMBlP1tXxjziJb</t>
  </si>
  <si>
    <t>1IELhvOMg5VQlU7syRm6CS,5vCOdeiQt9LyzdI87kt5Sh,5mKNjpx3SmjNqtxQTmuo9Z</t>
  </si>
  <si>
    <t>2016-05-13</t>
  </si>
  <si>
    <t>0rHVd8h0cFwgLgPFem6S60</t>
  </si>
  <si>
    <t>0Tob4H0FLtEONHU1MjpUEp,1Xylc3o4UrD53lo9CvFvVg</t>
  </si>
  <si>
    <t>2016-02-26</t>
  </si>
  <si>
    <t>2bL2gyO6kBdLkNSkxXNh6x</t>
  </si>
  <si>
    <t>04gDigrS5kc9YWfZHwBETP</t>
  </si>
  <si>
    <t>2014-09-02</t>
  </si>
  <si>
    <t>72JlIpEVjdNwFtffVJP2kK</t>
  </si>
  <si>
    <t>38wxcfNEqMwuPniHvplin5,0xD6n0wj7aqV5g5LcRNBUd</t>
  </si>
  <si>
    <t>7tRXTDi87CiAqU5sIBQfIC</t>
  </si>
  <si>
    <t>21mKp7DqtSNHhCAU2ugvUw</t>
  </si>
  <si>
    <t>2022-04-26</t>
  </si>
  <si>
    <t>7AN0hFYz8HBixfNKRn1sls</t>
  </si>
  <si>
    <t>0b1r8Sjr506QTYGeCbCoZZ</t>
  </si>
  <si>
    <t>65gExOYkBkGgJlKil5fD7D</t>
  </si>
  <si>
    <t>5PLfjUnpV6eFXymcsXwa37</t>
  </si>
  <si>
    <t>2qcfEaY1fZKzSlmthTowRl</t>
  </si>
  <si>
    <t>3gDRZkL8YfzpZg1N1YsW5x</t>
  </si>
  <si>
    <t>1h6Cn3P4NGzXbaXidqURXs,13ubrt8QOOCPljQ2FL1Kca</t>
  </si>
  <si>
    <t>0OxkuJtKL6Gk3ykxvHII3n</t>
  </si>
  <si>
    <t>0W9ctmXJPjc0yhIAhera1D</t>
  </si>
  <si>
    <t>0Cd6nHYwecCNM1sVEXKlYr,2Wzb0u138rgoZQTK3ytknT,5oREZfPeedk4nyo1GpqKfU</t>
  </si>
  <si>
    <t>Never Been Hurt (Remixes)</t>
  </si>
  <si>
    <t>2022-04-22</t>
  </si>
  <si>
    <t>2UYeqwRXXMeYY1qrnBz036</t>
  </si>
  <si>
    <t>0jNDKefhfSbLR9sFvcPLHo,0CjWKoS55T7DOt0HJuwF1H,6wKxOKEA3K6R2UZ3COLXEY</t>
  </si>
  <si>
    <t>find your way (Elohim Remix)</t>
  </si>
  <si>
    <t>2022-04-20</t>
  </si>
  <si>
    <t>7I7K394sitCyan5ileCCye</t>
  </si>
  <si>
    <t>5THQw2QDTWwOP1Hj543Rb2</t>
  </si>
  <si>
    <t>2SHhfs4BiDxGQ3oxqf0UHY,4sTQVOfp9vEMCemLw50sbu</t>
  </si>
  <si>
    <t>3DWH2ElS137GfWMzGcXVp2</t>
  </si>
  <si>
    <t>4LZ4De2MoO3lP6QaNCfvcu,45eNHdiiabvmbp4erw26rg,59Yq0xrABEihHANsfo9QMT,5JMLG56F1X5mFmWNmS0iAp</t>
  </si>
  <si>
    <t>Walk Me Home (Blanke Remix)</t>
  </si>
  <si>
    <t>6rWblGW0pBcB3uygxBuWZV</t>
  </si>
  <si>
    <t>1iJuIKRRtGp0t6gJQvd6W1</t>
  </si>
  <si>
    <t>3HeZam86SuxGp1wZ3XMIjE</t>
  </si>
  <si>
    <t>3HqP3nd8WI0VfHRhApPlan,6DP0yD9AqeiK3V57URKt4W</t>
  </si>
  <si>
    <t>3O0e0LHTpza0rYVDbZfQ4r</t>
  </si>
  <si>
    <t>1KCSPY1glIKqW2TotWuXOR,1LOB7jTeEV14pHai6EXSzF</t>
  </si>
  <si>
    <t>2019-04-11</t>
  </si>
  <si>
    <t>3XKMO7tvyyUmxRvlJGhYQm</t>
  </si>
  <si>
    <t>6T4K8YuFc0JPDrYgABbxao</t>
  </si>
  <si>
    <t>地方都市のメメント・モリ</t>
  </si>
  <si>
    <t>2017-12-13</t>
  </si>
  <si>
    <t>2j1r3ubqqxuoTFaPVnTV1j</t>
  </si>
  <si>
    <t>2SIBY7Jwq1kYng12Zguo3C</t>
  </si>
  <si>
    <t>unknown</t>
  </si>
  <si>
    <t>2020-10-07</t>
  </si>
  <si>
    <t>1VVFJeC7AWaDcC6eCr3XqV</t>
  </si>
  <si>
    <t>2021-04-26</t>
  </si>
  <si>
    <t>55Y4oE6oE6XBT2e71vK2yA</t>
  </si>
  <si>
    <t>0SfsnGyD8FpIN4U4WCkBZ5,5PoZtBo8xZKqPWlZrIDq82,2TAqN8fwfaKauvviN4pOsv</t>
  </si>
  <si>
    <t>2B4GHvToeLTOBB4QLzW3Ni</t>
  </si>
  <si>
    <t>La 167</t>
  </si>
  <si>
    <t>2021-10-01</t>
  </si>
  <si>
    <t>0nrRP2bk19rLc0orkWPQk2</t>
  </si>
  <si>
    <t>1vCWHaC5f2uS3yhpwWbIA6</t>
  </si>
  <si>
    <t>True</t>
  </si>
  <si>
    <t>2013-01-01</t>
  </si>
  <si>
    <t>4LdZOQk0wN8t4xU7L7iEWJ</t>
  </si>
  <si>
    <t>5WoWlP0ihSFIxnppxjwSgE</t>
  </si>
  <si>
    <t>Once in a Long, Long While...</t>
  </si>
  <si>
    <t>2017-10-20</t>
  </si>
  <si>
    <t>5Pf5HwjqLAbYDVBQU7H7Oz</t>
  </si>
  <si>
    <t>2014-08-05</t>
  </si>
  <si>
    <t>4wzHOPBchA7Ab5wOmBHkiO</t>
  </si>
  <si>
    <t>4E69riquObrTmBTVuF1b7B,0FIENxWAWlIBKgjGOoktIo,4AGZVmwi9IwFZ6y6TlMqLt</t>
  </si>
  <si>
    <t>2017-11-17</t>
  </si>
  <si>
    <t>1FtYN2OwwvNgxfqf5XsD6M</t>
  </si>
  <si>
    <t>7vUJCRmF1if4uhMp2V3tRP,5v7efr4mqt3RQxkT0Mmh5g,24CzPFC4y3bM4AkUnZfuAU</t>
  </si>
  <si>
    <t>2019-11-15</t>
  </si>
  <si>
    <t>3FZEv9JddkjHNFiMVxJYpS</t>
  </si>
  <si>
    <t>23fqKkggKUBHNkbKtXEls4,0ZED1XzwlLHW4ZaG4lOT6m</t>
  </si>
  <si>
    <t>Cloud Nine</t>
  </si>
  <si>
    <t>3hENlPbIlUZXQ3MiosF87Q</t>
  </si>
  <si>
    <t>1l2ekx5skC4gJH8djERwh1</t>
  </si>
  <si>
    <t>Past.Present.Future.</t>
  </si>
  <si>
    <t>2017-02-06</t>
  </si>
  <si>
    <t>4rXsapBjwYiYffFPW7G4zr</t>
  </si>
  <si>
    <t>1WgXqy2Dd70QQOU7Ay074N</t>
  </si>
  <si>
    <t>All My Demons Greeting Me As A Friend (Deluxe)</t>
  </si>
  <si>
    <t>2016-08-26</t>
  </si>
  <si>
    <t>5C2mUkFTs51bizl4LAaqRy</t>
  </si>
  <si>
    <t>0NGAZxHanS9e0iNHpR8f2W,7EQ0qTo7fWT7DPxmxtSYEc</t>
  </si>
  <si>
    <t>5EcN4hZ85eZ45MTS1oRyHY</t>
  </si>
  <si>
    <t>6nxWCVXbOlEVRexSbLsTer,4Ge8xMJNwt6EEXOzVXju9a</t>
  </si>
  <si>
    <t>2022-03-30</t>
  </si>
  <si>
    <t>1XVV4kghwYVW33D8JrnnYy</t>
  </si>
  <si>
    <t>4UhExRgMW9QR7oNmTI2lPG,3GK2baUfq1sC80Ss1TIJx0</t>
  </si>
  <si>
    <t>Find My Own Way (Klassic Remix)</t>
  </si>
  <si>
    <t>0ZClN9JcY9c54uDyWz2CWd</t>
  </si>
  <si>
    <t>3VuZZ1n0XGacnz96Ys8mrZ,5dGsIOepO9ufQlXjW8KrPL</t>
  </si>
  <si>
    <t>21AziTMaZwcLflGMAj85o5</t>
  </si>
  <si>
    <t>5JZ7CnR6gTvEMKX4g70Amv</t>
  </si>
  <si>
    <t>5Yg3kRGlB8UB6Sa8Fq4njc</t>
  </si>
  <si>
    <t>6YCM9JwkqdEFQSzztmh4Kb,4sTQVOfp9vEMCemLw50sbu,266PvBAoJzPdxt3dgkEsBW</t>
  </si>
  <si>
    <t>6in1DzqAL34ZhshZN426vi</t>
  </si>
  <si>
    <t>0jNDKefhfSbLR9sFvcPLHo,3oKnyRhYWzNsTiss5n4Z1J</t>
  </si>
  <si>
    <t>bb u ok? (LP Giobbi Remix)</t>
  </si>
  <si>
    <t>2022-04-06</t>
  </si>
  <si>
    <t>3SrSjUKxAJ6Cq1vpe1mqCZ</t>
  </si>
  <si>
    <t>4xnihxcoXWK3UqryOSnbw5</t>
  </si>
  <si>
    <t>0hdiC2o5agqlpH9G9dqbGg</t>
  </si>
  <si>
    <t>0CUDJNdyr5XhIblZRYIpe9</t>
  </si>
  <si>
    <t>34enNnTqxTFXEp5BFpgD5l</t>
  </si>
  <si>
    <t>0u18Cq5stIQLUoIaULzDmA</t>
  </si>
  <si>
    <t>2022-04-07</t>
  </si>
  <si>
    <t>72VWeN4sOkXy6ctgm1pSKV</t>
  </si>
  <si>
    <t>2ONoOunWxnWn1DikA6rjBM,24CzPFC4y3bM4AkUnZfuAU</t>
  </si>
  <si>
    <t>2017-05-05</t>
  </si>
  <si>
    <t>7dTxcPYXcsMnsrEUG3Z9Nx</t>
  </si>
  <si>
    <t>4qcV2C9N3gpyOt2vE0NFUn,1cLT5zJP6Rdbo6EBnLQO99</t>
  </si>
  <si>
    <t>2016-05-31</t>
  </si>
  <si>
    <t>2kddqmIjvjbQe53ISu6kj6</t>
  </si>
  <si>
    <t>3SArT8JtWehqNmycXIZren,4aCkc4HrwC4Dopig7RELoH</t>
  </si>
  <si>
    <t>2018-09-21</t>
  </si>
  <si>
    <t>69etw6dq1ag7w77Yjq2Rvj</t>
  </si>
  <si>
    <t>34yA07sOWHmruBJksNc0EY</t>
  </si>
  <si>
    <t>2021-02-09</t>
  </si>
  <si>
    <t>4wxH9rLs2nI3h1oWeOj83c</t>
  </si>
  <si>
    <t>3YpKkSd9uluZRtrh2oUsVn,4yd7yIMgOjvfUnubRvz3YT</t>
  </si>
  <si>
    <t>Reimagined</t>
  </si>
  <si>
    <t>2018-03-21</t>
  </si>
  <si>
    <t>3DQ6N6Y1SKWeplAx1oFeMz</t>
  </si>
  <si>
    <t>4XIIdT0K7u7d1Tz5Vfx0JG,24CzPFC4y3bM4AkUnZfuAU</t>
  </si>
  <si>
    <t>2017-05-23</t>
  </si>
  <si>
    <t>2uTPHrN8zqYnHUb6Wuz1FC</t>
  </si>
  <si>
    <t>5RPzPJCg4ER1LzQkorZ31p</t>
  </si>
  <si>
    <t>2014-08-22</t>
  </si>
  <si>
    <t>4cvgGuDsaCefcACGsIaTaK</t>
  </si>
  <si>
    <t>3xDYZyU0u2UORxJh6BcZe4,4Eq842LsSWEo0xm9TPe6ND</t>
  </si>
  <si>
    <t>7pf01odICRjg7yGgDsnkAP</t>
  </si>
  <si>
    <t>5oJvmyeWzyeahRtjup3Oys</t>
  </si>
  <si>
    <t>2020-11-13</t>
  </si>
  <si>
    <t>1XutAsAMUAmVgLy0RXOb1k</t>
  </si>
  <si>
    <t>5x0R3zoC09GMiRJomoexLV</t>
  </si>
  <si>
    <t>2021-03-31</t>
  </si>
  <si>
    <t>21jx7ZJ9bH0xQugaPa1wG0</t>
  </si>
  <si>
    <t>12YEsOa2fYlRWSRrVolP54</t>
  </si>
  <si>
    <t>6SnMMbLQ4iS8WIyt3ksmCR</t>
  </si>
  <si>
    <t>2016-10-03</t>
  </si>
  <si>
    <t>5wcPNZPjhluIkV8efKF1vf</t>
  </si>
  <si>
    <t>72heZIc2iMXdpDwsTjTcCQ</t>
  </si>
  <si>
    <t>6gMP4GwRrLRClBVoUL8cbp</t>
  </si>
  <si>
    <t>6rTFfPwNNFIpBOdBShd47e,6tgHGou8FeGY9MmHNsIHYQ</t>
  </si>
  <si>
    <t>2AMysGXOe0zzZJMtH3Nizb</t>
  </si>
  <si>
    <t>racine carrée</t>
  </si>
  <si>
    <t>34dx8DACTJsc3rsJdaEIQw</t>
  </si>
  <si>
    <t>2GYHyAoLWpkxLVa4oYTVko</t>
  </si>
  <si>
    <t>Cheese</t>
  </si>
  <si>
    <t>2010-01-01</t>
  </si>
  <si>
    <t>4UDiEqmOsoKxS7o1KOepa8</t>
  </si>
  <si>
    <t>5AJAHdyy4gHuDZVFjvQmCs,7HQDDheUFh5Hee9LowopCx</t>
  </si>
  <si>
    <t>Radio Silence (Remixes)</t>
  </si>
  <si>
    <t>2018-05-17</t>
  </si>
  <si>
    <t>4x3qqSA4cP49oZQXPLnDBe</t>
  </si>
  <si>
    <t>6prmLEyn4LfHlD9NnXWlf7</t>
  </si>
  <si>
    <t>Trespassing (Deluxe Version)</t>
  </si>
  <si>
    <t>2012-05-08</t>
  </si>
  <si>
    <t>4IqcDJPzDL8Hq8KwAX4jUE</t>
  </si>
  <si>
    <t>7H55rcKCfwqkyDFH9wpKM6</t>
  </si>
  <si>
    <t>head or heart</t>
  </si>
  <si>
    <t>2014-03-28</t>
  </si>
  <si>
    <t>5FazJBNgurMEDrVaUqqliH</t>
  </si>
  <si>
    <t>0UF7XLthtbSF2Eur7559oV,0Fb9qTWnjsB90xH3zWr4oa</t>
  </si>
  <si>
    <t>0qKX14YZHptDWiEN0CgxGz</t>
  </si>
  <si>
    <t>0UF7XLthtbSF2Eur7559oV,6G7P1WNRTlg3FxiYaW0hYh,31XcLJj5SRtJ0smI0iV9g8</t>
  </si>
  <si>
    <t>2U7aXicPJAjJBYEIWIXsVI</t>
  </si>
  <si>
    <t>2ThS82RFj5GcH07OOd1AYa</t>
  </si>
  <si>
    <t>0UF7XLthtbSF2Eur7559oV</t>
  </si>
  <si>
    <t>69fx4BG9cZFOrBJk5aXDeL</t>
  </si>
  <si>
    <t>6rRDxcSfYeTbauwXykXtP1</t>
  </si>
  <si>
    <t>2C7c0KbR93OOIxnyq0pxUF</t>
  </si>
  <si>
    <t>0UF7XLthtbSF2Eur7559oV,23ymPLjbtAMzTJS2qRtQ8Z</t>
  </si>
  <si>
    <t>0RpLGjZOMMYdufFi0hL0Sq</t>
  </si>
  <si>
    <t>28S23Em86OmWd88RspoRrx</t>
  </si>
  <si>
    <t>0UF7XLthtbSF2Eur7559oV,43MFF1y8czFwbjB8kf24oG</t>
  </si>
  <si>
    <t>4GRMPDD3V6rM2BlmRdYCUJ</t>
  </si>
  <si>
    <t>0wbDgMuAoy7O7pL3a69uZx</t>
  </si>
  <si>
    <t>5Y5TRrQiqgUO4S36tzjIRZ,31TPClRtHm23RisEBtV3X7,2jw70GZXlAI8QzWeY2bgRc</t>
  </si>
  <si>
    <t>Shock Value</t>
  </si>
  <si>
    <t>2007-01-01</t>
  </si>
  <si>
    <t>6KL88T4Ma4ABXqzgUoEwkd</t>
  </si>
  <si>
    <t>Human (Deluxe)</t>
  </si>
  <si>
    <t>6mmtxbG5pzkrJ0BrSdg9uW</t>
  </si>
  <si>
    <t>5Y5TRrQiqgUO4S36tzjIRZ,2jw70GZXlAI8QzWeY2bgRc,1LXdHdzVmQV1GJE0EUxjFp</t>
  </si>
  <si>
    <t>Shock Value II</t>
  </si>
  <si>
    <t>6ucR4KfvsBFWCMVFDvyKKl</t>
  </si>
  <si>
    <t>5Y5TRrQiqgUO4S36tzjIRZ,5Pwc4xIPtQLFEnJriah9YJ</t>
  </si>
  <si>
    <t>2aI21FnmY7TJVKeMaoQZ0t</t>
  </si>
  <si>
    <t>2jw70GZXlAI8QzWeY2bgRc</t>
  </si>
  <si>
    <t>Loose</t>
  </si>
  <si>
    <t>2gam98EZKrF9XuOkU13ApN</t>
  </si>
  <si>
    <t>2jw70GZXlAI8QzWeY2bgRc,5Y5TRrQiqgUO4S36tzjIRZ</t>
  </si>
  <si>
    <t>5XND8aufA4UvtqAgARcjfN</t>
  </si>
  <si>
    <t>6pWcSL9wSJZQ9ne0TnhdWr,7axZFTseO96HmG1u4ABDAI</t>
  </si>
  <si>
    <t>2020-10-23</t>
  </si>
  <si>
    <t>1zFttiDxUN4FDl91XAeeY5</t>
  </si>
  <si>
    <t>619CzMJPPWrCeZwx5qw6ko,31r6yVmmkwBaiF1PEJahvP</t>
  </si>
  <si>
    <t>3WOxzFAjb5TSegNithFDxf</t>
  </si>
  <si>
    <t>6nxWCVXbOlEVRexSbLsTer,5J8UACGRZtDb4WdOzo9YJN,1KpCi9BOfviCVhmpI4G2sY</t>
  </si>
  <si>
    <t>Say Nothing (Tchami Remix)</t>
  </si>
  <si>
    <t>4jnHTcs0sHvao5OuPcPXVV</t>
  </si>
  <si>
    <t>Point de rupture</t>
  </si>
  <si>
    <t>2018-05-11</t>
  </si>
  <si>
    <t>5FuK6E2DynWyaaHSscmlE1</t>
  </si>
  <si>
    <t>2017</t>
  </si>
  <si>
    <t>4PlQjmh328M3fWh6PmA7O7</t>
  </si>
  <si>
    <t>Au final</t>
  </si>
  <si>
    <t>2018-11-09</t>
  </si>
  <si>
    <t>53Pou9bEz2bAfyboSAb3ay</t>
  </si>
  <si>
    <t>5hGH63SupT65lD5iuyJPcO</t>
  </si>
  <si>
    <t>1uXtKoRnSL2151WEZFN9Ab</t>
  </si>
  <si>
    <t>2019-09-22</t>
  </si>
  <si>
    <t>32BeYxKPrig1LefHsC0Xuo</t>
  </si>
  <si>
    <t>6qqNVTkY8uBg9cP3Jd7DAH</t>
  </si>
  <si>
    <t>Happier Than Ever (Edit)</t>
  </si>
  <si>
    <t>2021-07-28</t>
  </si>
  <si>
    <t>1WB2O3f26426i1WNfFDAyD</t>
  </si>
  <si>
    <t>6olAhxDEja5fYKEHF6tA2W</t>
  </si>
  <si>
    <t>2020-07-22</t>
  </si>
  <si>
    <t>7h65MWUd9uivXQm6EIlLrM</t>
  </si>
  <si>
    <t>39NVVFq6UCzTXcNc7Ns0tc</t>
  </si>
  <si>
    <t>Chaos</t>
  </si>
  <si>
    <t>2017-02-01</t>
  </si>
  <si>
    <t>6MyFzWJv92xEZV3xt3us2D</t>
  </si>
  <si>
    <t>4ISzA5zhHdncqZa4zkIQYZ</t>
  </si>
  <si>
    <t>44TGR1CzjKBxSHsSEy7bi9</t>
  </si>
  <si>
    <t>S16</t>
  </si>
  <si>
    <t>2020-10-16</t>
  </si>
  <si>
    <t>6P8ybaG1EAEl1E1d5ZQqEo</t>
  </si>
  <si>
    <t>5nki7yRhxgM509M5ADlN1p,0BBwlSQvHHtahgYpLj1wJE,3fuxStOqQv8TiytHeuGiE8,2umsZ02zeHsHDRgx4nOXDb,1Frst4BeSh9KmOKAc2qvUC</t>
  </si>
  <si>
    <t>Shades Of Grey (Remixes)</t>
  </si>
  <si>
    <t>2015-10-22</t>
  </si>
  <si>
    <t>0JP9xo3adEtGSdUEISiszL</t>
  </si>
  <si>
    <t>15UsOTVnJzReFVN1VCnxy4</t>
  </si>
  <si>
    <t>?</t>
  </si>
  <si>
    <t>2018-03-16</t>
  </si>
  <si>
    <t>5YUyW9opqNsMSEzzecZih1</t>
  </si>
  <si>
    <t>1SupJlEpv7RS2tPNRaHViT,1vyhD5VmyZ7KMfW5gqLgo5</t>
  </si>
  <si>
    <t>Intimo</t>
  </si>
  <si>
    <t>5JLv62qFIS1DR3zGEcApRt</t>
  </si>
  <si>
    <t>6jJ0s89eD6GaHleKKya26X</t>
  </si>
  <si>
    <t>Teenage Dream: The Complete Confection</t>
  </si>
  <si>
    <t>2012-03-12</t>
  </si>
  <si>
    <t>1nZzRJbFvCEct3uzu04ZoL</t>
  </si>
  <si>
    <t>4lCv7b86sLynZbXhfScfm2</t>
  </si>
  <si>
    <t>55qBw1900pZKfXJ6Q9A2Lc</t>
  </si>
  <si>
    <t>6tS3XVuOyu10897O3ae7bi</t>
  </si>
  <si>
    <t>6jJ0s89eD6GaHleKKya26X,7hJcb9fa4alzcOq3EaNPoG</t>
  </si>
  <si>
    <t>36ux3YuUsGTWPT8fXclS45</t>
  </si>
  <si>
    <t>6jJ0s89eD6GaHleKKya26X,5K4W6rqBFWDnAN6FQUkS6x</t>
  </si>
  <si>
    <t>6ocbgoVGwYJhOv1GgI9NsF</t>
  </si>
  <si>
    <t>thank u, next</t>
  </si>
  <si>
    <t>2019-02-08</t>
  </si>
  <si>
    <t>76FZM38RC8XaAjJ77CVTNe</t>
  </si>
  <si>
    <t>0iqqq5B7HsvP46ALowMdPX</t>
  </si>
  <si>
    <t>619CzMJPPWrCeZwx5qw6ko,1RdQK73ZgvXjkaBJkibE6X,02qHcQfJCm2XlAnaJ5a6Rh</t>
  </si>
  <si>
    <t>4NZrZgrRoR4GwR7flWOXRI</t>
  </si>
  <si>
    <t>First Steps</t>
  </si>
  <si>
    <t>2016-07-29</t>
  </si>
  <si>
    <t>30vKuRr3o1KJpioSLhRQ3z</t>
  </si>
  <si>
    <t>Play the Part &amp; My Life</t>
  </si>
  <si>
    <t>3aauaXWRgwCMoykMbI0Jq1</t>
  </si>
  <si>
    <t>A 20 Something Fuck</t>
  </si>
  <si>
    <t>2018-10-05</t>
  </si>
  <si>
    <t>47OVJBeRysyaJiaEuR3T6Y</t>
  </si>
  <si>
    <t>0AhdWP01wLAKxDfhsKMEKf,1lT7lZfUPax7zFFGPJOoUn</t>
  </si>
  <si>
    <t>2020-12-17</t>
  </si>
  <si>
    <t>6oCwkZwWVJHrVWS4idhALR</t>
  </si>
  <si>
    <t>5IqyGfpBzT30zaatdUkauJ</t>
  </si>
  <si>
    <t>Breathe Into Love</t>
  </si>
  <si>
    <t>2022-02-22</t>
  </si>
  <si>
    <t>0dCKW0nce1XJT35xmw2lT6</t>
  </si>
  <si>
    <t>6Lumiuk67kiAjDa9Al13Fy</t>
  </si>
  <si>
    <t>2017-10-16</t>
  </si>
  <si>
    <t>1ASo7euq1w4KHaz9tq6jkt</t>
  </si>
  <si>
    <t>53XhwfbYqKCa1cC15pYq2q,3836OTICMPjhTMMcpPw4EC</t>
  </si>
  <si>
    <t>463r5bsN1VqGXtaMctn4Rr</t>
  </si>
  <si>
    <t>0I6yADrmeyvw66g7yjkqIF</t>
  </si>
  <si>
    <t>2014-12-04</t>
  </si>
  <si>
    <t>7BhmwvCdQZNwuQXSHw5TzP</t>
  </si>
  <si>
    <t>0NGAZxHanS9e0iNHpR8f2W,7vk5e3vY1uw9plTHJAMwjN,5pXe6yFchq1oyYK3rq2A8i</t>
  </si>
  <si>
    <t>6egcAZcsWMTXDnAUzMXioh</t>
  </si>
  <si>
    <t>0u18Cq5stIQLUoIaULzDmA,44MTZ4Gl4TGilst3cCDq9G</t>
  </si>
  <si>
    <t>PILLARS ///</t>
  </si>
  <si>
    <t>1IUWIwZrxpyktrxGqI7FN7</t>
  </si>
  <si>
    <t>7cTaYwNT1P49mASgKULKab</t>
  </si>
  <si>
    <t>2017-03-28</t>
  </si>
  <si>
    <t>2BrzlUj1u1CtvaJDGIKpsP</t>
  </si>
  <si>
    <t>55fhWPvDiMpLnE4ZzNXZyW,2feDdbD5araYcm6JhFHHw7</t>
  </si>
  <si>
    <t>2016-11-15</t>
  </si>
  <si>
    <t>4gHnSNHs8RyVukKoWdS99f</t>
  </si>
  <si>
    <t>6olE6TJLqED3rqDCT0FyPh</t>
  </si>
  <si>
    <t>Nevermind (Remastered)</t>
  </si>
  <si>
    <t>1991-09-26</t>
  </si>
  <si>
    <t>503OTo2dSqe7qk76rgsbep</t>
  </si>
  <si>
    <t>6DPYiyq5kWVQS4RGwxzPC7,7hJcb9fa4alzcOq3EaNPoG</t>
  </si>
  <si>
    <t>2001</t>
  </si>
  <si>
    <t>1999-11-16</t>
  </si>
  <si>
    <t>1OAh8uOEOvTDqkKFsKksCi</t>
  </si>
  <si>
    <t>0QHgL1lAIqAw0HtD7YldmP,5pKCCKE2ajJHZ9KAiaK11H,2EMAnMvWE2eb56ToJVfCWs</t>
  </si>
  <si>
    <t>2017-06-22</t>
  </si>
  <si>
    <t>5FIgvhOU2KiC6irF1RBGVd</t>
  </si>
  <si>
    <t>4ivfOZMa6lNjfcfpubOg6q,44CMqAkutKvmCaE2OxyCbd</t>
  </si>
  <si>
    <t>2021-07-15</t>
  </si>
  <si>
    <t>70ATm56tH7OrQ1zurYssz0</t>
  </si>
  <si>
    <t>6DPYiyq5kWVQS4RGwxzPC7,7dGJo4pcD2V6oG8kP0tJRR,4utLUGcTvOJFr6aqIJtYWV</t>
  </si>
  <si>
    <t>2011-02-01</t>
  </si>
  <si>
    <t>0jbGm0dpPUnr8omDSpLKW6</t>
  </si>
  <si>
    <t>Multitude</t>
  </si>
  <si>
    <t>2022-03-03</t>
  </si>
  <si>
    <t>0i0ESj6M9eV8ck3LP07QzD</t>
  </si>
  <si>
    <t>6w2jx3gzQAtoKP22czcANv</t>
  </si>
  <si>
    <t>4DpNNXFMMxQEKl7r0ykkWA</t>
  </si>
  <si>
    <t>63yrD80RY3RNEM2YDpUpO8</t>
  </si>
  <si>
    <t>Cry Baby (Deluxe Edition)</t>
  </si>
  <si>
    <t>2015-08-14</t>
  </si>
  <si>
    <t>6kQVOlCE9LYVpinhqGFxft</t>
  </si>
  <si>
    <t>2wx1SwH78waV7t1dVM2SWS</t>
  </si>
  <si>
    <t>2019-11-07</t>
  </si>
  <si>
    <t>6A9mBYvdpo3CLDjxaS6P1l</t>
  </si>
  <si>
    <t>7dgIauPOyCkDRfiQeDN4XJ</t>
  </si>
  <si>
    <t>2020-04-10</t>
  </si>
  <si>
    <t>1dcFLnyY1wTysd5aPjYMBH</t>
  </si>
  <si>
    <t>022hDFiSTA1SSbykVp8D09</t>
  </si>
  <si>
    <t>2019-07-01</t>
  </si>
  <si>
    <t>543wm5mEFwImu5Slerrr7k</t>
  </si>
  <si>
    <t>0feTT1PT96kDWSd3xhbUTg</t>
  </si>
  <si>
    <t>2017-12-11</t>
  </si>
  <si>
    <t>1P2bHAenJF5wtnbYHmWEry</t>
  </si>
  <si>
    <t>5D3rEA0QYWzFEefSOX4QFj</t>
  </si>
  <si>
    <t>2018-10-25</t>
  </si>
  <si>
    <t>0BWbVptQRSojeI8vevbLNR</t>
  </si>
  <si>
    <t>3EtYyb5JdElZFTq7sR8dAs</t>
  </si>
  <si>
    <t>Modern Disco</t>
  </si>
  <si>
    <t>7jegAQaVUJ6ACAOOXoGI7j</t>
  </si>
  <si>
    <t>3lQvg5w1PYUH7HzcbTBsLu,3tjRdPCZTpme7vslZJYtJx</t>
  </si>
  <si>
    <t>As You Fall In (Deluxe Version)</t>
  </si>
  <si>
    <t>2020-11-12</t>
  </si>
  <si>
    <t>4o1nV0gmw4jHeBz1Kk5uPO</t>
  </si>
  <si>
    <t>6S3KljEiIOWoLMUyZrkQUc,0JvtoI1m1MFbXukBpztHK8,33JQK4UoS2aMPYBfdB5Ftt</t>
  </si>
  <si>
    <t>Burn (Ryan Riback Remix)</t>
  </si>
  <si>
    <t>2017-12-15</t>
  </si>
  <si>
    <t>5ids0N0UPvFHDYDtvDgVCl</t>
  </si>
  <si>
    <t>6RQ9kYbHisp1UUbnfwHNeU,7nwTgB0QOv2yGprKxofyT8,5mMt0V809N7Y5mOUYsmOW6</t>
  </si>
  <si>
    <t>2022-02-21</t>
  </si>
  <si>
    <t>6oYXbji1rn7U6bFuNYekpQ</t>
  </si>
  <si>
    <t>4EPJlUEBy49EX1wuFOvtjK,4sTQVOfp9vEMCemLw50sbu</t>
  </si>
  <si>
    <t>2vWYHrRiJhc2iIXxaZUnG5</t>
  </si>
  <si>
    <t>0u18Cq5stIQLUoIaULzDmA,7cTaYwNT1P49mASgKULKab</t>
  </si>
  <si>
    <t>5UgGwualVA3rcPHGcdgvGe</t>
  </si>
  <si>
    <t>1dv3asdm5nQKyTwxtYdluk</t>
  </si>
  <si>
    <t>5CVsjwjuzUOrlEc2OJbUg4,6zFuIjAuUMu6Jeyeqp4Twr</t>
  </si>
  <si>
    <t>1ZN3EnL4tP2Zkh8DovRgS6</t>
  </si>
  <si>
    <t>50tDsT4wwq8FCMJNkn1D67</t>
  </si>
  <si>
    <t>27Aet7xWrKxC6Yvw6S6Si3</t>
  </si>
  <si>
    <t>7zyObVag8rUjItn71SkIrh</t>
  </si>
  <si>
    <t>2016-04-03</t>
  </si>
  <si>
    <t>6HU7h9RYOaPRFeh0R3UeAr</t>
  </si>
  <si>
    <t>1McMsnEElThX1knmY4oliG</t>
  </si>
  <si>
    <t>SOUR</t>
  </si>
  <si>
    <t>07uMDONIdcNsmC6a5B9dhy</t>
  </si>
  <si>
    <t>5keDbKEPwrbe36cPzRpzsK,2RDXcxQgmEyomb2g9SERuf</t>
  </si>
  <si>
    <t>2017-10-13</t>
  </si>
  <si>
    <t>6WqrGbkeXPT7Lqz8DNywoQ</t>
  </si>
  <si>
    <t>5CI6YfdGj33Dk91IiUge82,5AInC7phDPYS3gF7y0mYPi</t>
  </si>
  <si>
    <t>2019-12-11</t>
  </si>
  <si>
    <t>5q8idxw8fkJCajhQoYN894</t>
  </si>
  <si>
    <t>4yNluGAiPbYXLwlA9KspbG</t>
  </si>
  <si>
    <t>The Best of the Red Army Choir</t>
  </si>
  <si>
    <t>2002</t>
  </si>
  <si>
    <t>4jqHTcvb6IcVrYqucJwojk</t>
  </si>
  <si>
    <t>2021-01-21</t>
  </si>
  <si>
    <t>4zdXCsRLnMPknSFcH3ekxm</t>
  </si>
  <si>
    <t>2gZzTzeACSwFqkMroVxmnm,4CBytrQX85XtpfDzvdL3DI</t>
  </si>
  <si>
    <t>17PX2FwFNWTDJqLiI3rzz1</t>
  </si>
  <si>
    <t>0fxz1p44vvxBpDA4yK99Nl,1cIkuQCV7CvADErrMCo7eJ</t>
  </si>
  <si>
    <t>2016-08-16</t>
  </si>
  <si>
    <t>63drferUmuE4REWotsj9j6</t>
  </si>
  <si>
    <t>5R48KbtdnilPFtn6i1O81s</t>
  </si>
  <si>
    <t>Olympus</t>
  </si>
  <si>
    <t>2021-10-17</t>
  </si>
  <si>
    <t>1e5wQrkQetPeFGrkRxKdkZ</t>
  </si>
  <si>
    <t>1YznSk5tLLp9BnzuNgghrZ</t>
  </si>
  <si>
    <t>4kK4iLu5NmvnS8XraniFos</t>
  </si>
  <si>
    <t>7muzHifhMdnfN1xncRLOqk,6hBrJJrcYoNhvLC6KaFR4b</t>
  </si>
  <si>
    <t>2018-09-07</t>
  </si>
  <si>
    <t>1qDrWA6lyx8cLECdZE7TV7</t>
  </si>
  <si>
    <t>2AsusXITU8P25dlRNhcAbG,6hk7Yq1DU9QcCCrz9uc0Ti</t>
  </si>
  <si>
    <t>Making Mirrors</t>
  </si>
  <si>
    <t>2011-01-01</t>
  </si>
  <si>
    <t>3UmaczJpikHgJFyBTAJVoz</t>
  </si>
  <si>
    <t>7dGJo4pcD2V6oG8kP0tJRR,2mpeljBig2IXLXRAFO9AAs</t>
  </si>
  <si>
    <t>The Marshall Mathers LP</t>
  </si>
  <si>
    <t>2000-05-23</t>
  </si>
  <si>
    <t>7iL6o9tox1zgHpKUfh9vuC</t>
  </si>
  <si>
    <t>3q7HBObVc0L8jNeTe5Gofh</t>
  </si>
  <si>
    <t>Get Rich Or Die Tryin'</t>
  </si>
  <si>
    <t>2003-02-06</t>
  </si>
  <si>
    <t>5wANPM4fQCJwkGd4rN57mH</t>
  </si>
  <si>
    <t>6Wtc1K3dvTIEsWU3rSIZXn</t>
  </si>
  <si>
    <t>Feel So Close</t>
  </si>
  <si>
    <t>2011-08-19</t>
  </si>
  <si>
    <t>4ZtFanR9U6ndgddUvNcjcG</t>
  </si>
  <si>
    <t>4fouWK6XVHhzl78KzQ1UjL</t>
  </si>
  <si>
    <t>61ftQL8nb6KeQKtTzRL0AJ</t>
  </si>
  <si>
    <t>7EQ0qTo7fWT7DPxmxtSYEc,4nPeiGLLiSRWBFJm5DsDfC</t>
  </si>
  <si>
    <t>Give Me The Future (Deluxe Edition)</t>
  </si>
  <si>
    <t>2022-02-07</t>
  </si>
  <si>
    <t>6yFuexjIGUagtt3fyLgJgb</t>
  </si>
  <si>
    <t>50tDsT4wwq8FCMJNkn1D67,06bun5reMRmLxFCbcB6UHW</t>
  </si>
  <si>
    <t>7rnNkVDXH6RQUNQTXVClCr</t>
  </si>
  <si>
    <t>619CzMJPPWrCeZwx5qw6ko,0xD6n0wj7aqV5g5LcRNBUd</t>
  </si>
  <si>
    <t>2qTtA6lgLLwfuYphfT4f8C</t>
  </si>
  <si>
    <t>4LZ4De2MoO3lP6QaNCfvcu,45eNHdiiabvmbp4erw26rg,5JMLG56F1X5mFmWNmS0iAp</t>
  </si>
  <si>
    <t>06WnUZymWyJamDivTWqJZA</t>
  </si>
  <si>
    <t>6nxWCVXbOlEVRexSbLsTer,6UcJxoeHWWWyT5HZP064om</t>
  </si>
  <si>
    <t>Lockjaw</t>
  </si>
  <si>
    <t>2013-11-22</t>
  </si>
  <si>
    <t>35XB41L0gtDG2EXqMqq1wu</t>
  </si>
  <si>
    <t>6nxWCVXbOlEVRexSbLsTer,4TpW7t4Cz0RG1gOEU6EcUm</t>
  </si>
  <si>
    <t>2015-05-29</t>
  </si>
  <si>
    <t>1QJN61zuPWRy6nj58ndREm</t>
  </si>
  <si>
    <t>0daugAjUgbJSqdlyYNwIbT,2S5DXnDpQlpDXFUcvqAb4E</t>
  </si>
  <si>
    <t>4yE7HVRA3L1cG1oDjPeU9r</t>
  </si>
  <si>
    <t>1DIr8qPcgJS50FFNfC3nnp</t>
  </si>
  <si>
    <t>2018-04-06</t>
  </si>
  <si>
    <t>02OwAKwV8Llib1jOqwJMnr</t>
  </si>
  <si>
    <t>2kgvaYV2tbNyOonFI3YlfH,2xW3pBjCngD69hC1wIUgjA</t>
  </si>
  <si>
    <t>1NQEXqj0JFNCQNBq2bqwlU</t>
  </si>
  <si>
    <t>The Lost Levels Part 2</t>
  </si>
  <si>
    <t>258QqB2zhweDE2ZLEtT1GU</t>
  </si>
  <si>
    <t>6Emw7N6BUeyLQOB9E4GeMn</t>
  </si>
  <si>
    <t>5UgxIxOJKTSW3MEsyHg64S</t>
  </si>
  <si>
    <t>3ntXOAGhqRRjRbGF5Jtbuf</t>
  </si>
  <si>
    <t>5FHewCm87pZHevn3wc1zDp</t>
  </si>
  <si>
    <t>6GWNh4A7t4UHtUupgL5Evj</t>
  </si>
  <si>
    <t>3wjsrpfO6odEphTZWx45RQ</t>
  </si>
  <si>
    <t>4rvfuttxt34i3rPbHYkSw1</t>
  </si>
  <si>
    <t>6ZgKMPtqbeSTMuQ6FQlxKh,7g2fAkpu95ztHLENOjvOo7</t>
  </si>
  <si>
    <t>0Wn1SrhAtneAmOx0hSHWee</t>
  </si>
  <si>
    <t>Elephunk</t>
  </si>
  <si>
    <t>7vWFaMq63AwkFDhS2OAg5u</t>
  </si>
  <si>
    <t>The Beginning (Deluxe)</t>
  </si>
  <si>
    <t>5tGmm0neYI87Dtxefd0VH0</t>
  </si>
  <si>
    <t>2022-01-28</t>
  </si>
  <si>
    <t>59zrASvoFolvYcBSewxuT4</t>
  </si>
  <si>
    <t>5JMLG56F1X5mFmWNmS0iAp</t>
  </si>
  <si>
    <t>30G6Ns8OTeUe11ik22aBpo</t>
  </si>
  <si>
    <t>6fSNDuge2fLINdnCCbpZx6,67qogtRNI0GjUr8PlaG6Zh</t>
  </si>
  <si>
    <t>39kS4TwUw5yTJETWusq2VS</t>
  </si>
  <si>
    <t>2fICdpdRotwfmGYzvs8Ngf</t>
  </si>
  <si>
    <t>27T030eWyCQRmDyuvr1kxY</t>
  </si>
  <si>
    <t>Love At First Sting (Deluxe Edition)</t>
  </si>
  <si>
    <t>1984-03-27</t>
  </si>
  <si>
    <t>0RdUX4WE0fO30VnlUbDVL6</t>
  </si>
  <si>
    <t>Comeblack</t>
  </si>
  <si>
    <t>2011-11-04</t>
  </si>
  <si>
    <t>3ovjw5HZZv43SxTwApooCM</t>
  </si>
  <si>
    <t>Crazy World</t>
  </si>
  <si>
    <t>1990-01-01</t>
  </si>
  <si>
    <t>1gDOxSVOiyNl9NPj2B0axH</t>
  </si>
  <si>
    <t>1EQiPk32D03HxHmExyCg9l</t>
  </si>
  <si>
    <t>3GncMmDEtdAp0E95RHlKKp</t>
  </si>
  <si>
    <t>5ijyJAflvGUkt5ctox73gf,7MZqrH05RJH2qTOszwnv6U</t>
  </si>
  <si>
    <t>2020-03-19</t>
  </si>
  <si>
    <t>0PMkCvpN04TsIALiPGopMn</t>
  </si>
  <si>
    <t>24jCxKfFEU6FP7jmRwg8AY</t>
  </si>
  <si>
    <t>2018-03-01</t>
  </si>
  <si>
    <t>5eZ21ZCQNjP2mEbwB90zAT</t>
  </si>
  <si>
    <t>15zaxlMHoaKDmYC7Q4339l,4D9a1UPPFCoOm1kBtJfni5</t>
  </si>
  <si>
    <t>3RGz1UbLFkDdxgs0JFFsnD</t>
  </si>
  <si>
    <t>5iWNGhdgW9MA0l5AqFLqh9</t>
  </si>
  <si>
    <t>Astrophysical</t>
  </si>
  <si>
    <t>3hJ0W4rnpaQIRdhNQgSmod</t>
  </si>
  <si>
    <t>4OXTyr247BzbYjri0bUu0h</t>
  </si>
  <si>
    <t>22CnT1ncRYUUPtT6hzTj84</t>
  </si>
  <si>
    <t>3UV0wVQkft6lKLDGioqnyO</t>
  </si>
  <si>
    <t>2018-11-02</t>
  </si>
  <si>
    <t>0etfehlj3zXviCWWqnOtxZ</t>
  </si>
  <si>
    <t>5Km9FGFMEKaT4HJvIhmZ7q,042mLfOBpH8OoX8A6sUYhf</t>
  </si>
  <si>
    <t>Breathe (GHOST DATA Remix)</t>
  </si>
  <si>
    <t>2019-11-13</t>
  </si>
  <si>
    <t>0f1l1k368GpL7q3em3vKWc</t>
  </si>
  <si>
    <t>4ZuhZLrrtnoOMp8cpDXjzR,1l4KX90OWJtVuj970u9qqe,3JED4McgKAqYMqDrPStAxg</t>
  </si>
  <si>
    <t>2018-12-03</t>
  </si>
  <si>
    <t>5xdg4CT3qdwJBvpqo05bMC</t>
  </si>
  <si>
    <t>62Jfwxon19ZOT9eSL6bvtY,1VBflYyxBhnDc9uVib98rw,45UHclgIcRavRoRa2MET5i</t>
  </si>
  <si>
    <t>Faded Away (feat. Icona Pop) [Remixes]</t>
  </si>
  <si>
    <t>1RuSmAD4rKVpUHY7lb6sz9</t>
  </si>
  <si>
    <t>2qZwOcOK5pr8WaNJWvuZd2,27Sc6g0Utbc8hvWrzTFVc8,05mJ8KngxCS4l9dBlwgh2h</t>
  </si>
  <si>
    <t>FIRE</t>
  </si>
  <si>
    <t>2015-12-04</t>
  </si>
  <si>
    <t>2jKNgExnwVrnERvQVSHeqt</t>
  </si>
  <si>
    <t>1cxgK9QATO1nSr8GqcjoA1,2cxmruuz4hqTtaCQQmajRQ</t>
  </si>
  <si>
    <t>2018-12-04</t>
  </si>
  <si>
    <t>12qk6Dj0KX698NsYpi1Man</t>
  </si>
  <si>
    <t>0q4NrXqJnc367PieejuROJ,2TL8gYTNgD6nXkyuUdDrMg,00Z3UDoAQwzvGu13HoAM7J,18bof4dt1gOAe3NGWRTamw</t>
  </si>
  <si>
    <t>Steady 1234 (feat. Jasmine Thompson &amp; Skizzy Mars) [Justice Skolnik Remix]</t>
  </si>
  <si>
    <t>2017-01-27</t>
  </si>
  <si>
    <t>7EwNGyM05261K8rxXvtSg4</t>
  </si>
  <si>
    <t>1DGpuIJ6KAI5bcaFGbJZJs,3HHfEn7yPOy3IiHS6CHG97</t>
  </si>
  <si>
    <t>Thrones (The Second Canon)</t>
  </si>
  <si>
    <t>2017-03-17</t>
  </si>
  <si>
    <t>6gWrairivzfDEbtM0OAEvF</t>
  </si>
  <si>
    <t>4D75GcNG95ebPtNvoNVXhz,77AiFEVeAVj2ORpC85QVJs,2Vd2ZmSFVZ9LEwHeJ8vf7U</t>
  </si>
  <si>
    <t>No Beef</t>
  </si>
  <si>
    <t>2011-11-24</t>
  </si>
  <si>
    <t>4qO03RMQm88DdpTJcxlglY</t>
  </si>
  <si>
    <t>4tpUmLEVLCGFr93o8hFFIB</t>
  </si>
  <si>
    <t>Atomic/Atomix</t>
  </si>
  <si>
    <t>1999-01-01</t>
  </si>
  <si>
    <t>0a4agFmqHXxcZl1nho1BxM</t>
  </si>
  <si>
    <t>Best Of Blondie</t>
  </si>
  <si>
    <t>1981-10-31</t>
  </si>
  <si>
    <t>3mMWre0KnZ4aPuhZF62KmV</t>
  </si>
  <si>
    <t>6rcE30MaP92XafelMNZ2Sq,5sWHDYs0csV6RS48xBl0tH</t>
  </si>
  <si>
    <t>0U0M0gwxc62sIK9rLBSnBp</t>
  </si>
  <si>
    <t>1kwGj7uDO5WXVXtQLvGJr0,46jtLFOHGcnIqW74ESazFQ</t>
  </si>
  <si>
    <t>2022-01-13</t>
  </si>
  <si>
    <t>6Au9UDzjeGFen7qMEDKju7</t>
  </si>
  <si>
    <t>1l4ECTzIWn243dEboPzDFp</t>
  </si>
  <si>
    <t>2022-01-12</t>
  </si>
  <si>
    <t>5RhWszHMSKzb7KiXk4Ae0M</t>
  </si>
  <si>
    <t>7lbSsjYACZHn1MSDXPxNF2</t>
  </si>
  <si>
    <t>2021-03-09</t>
  </si>
  <si>
    <t>0oks4FnzhNp5QPTZtoet7c</t>
  </si>
  <si>
    <t>4tZwfgrHOc3mvqYlEYSvVi</t>
  </si>
  <si>
    <t>0k1xMUwn9sb7bZiqdT9ygx</t>
  </si>
  <si>
    <t>4IBkR62QBXApyiI2rIRZzS</t>
  </si>
  <si>
    <t>Angels (Radio Edit)</t>
  </si>
  <si>
    <t>2015-04-20</t>
  </si>
  <si>
    <t>2IxoxL1FHw0RxN5r6y5mjF</t>
  </si>
  <si>
    <t>5MmVJVhhYKQ86izuGHzJYA</t>
  </si>
  <si>
    <t>Life In Cartoon Motion</t>
  </si>
  <si>
    <t>2NjhV99ncY4A5lSkTHvTtU</t>
  </si>
  <si>
    <t>3xUhchyBGEUNAwelO2yzqp</t>
  </si>
  <si>
    <t>The Origin Of Love</t>
  </si>
  <si>
    <t>2SDx0PooHZI1SQKR0y44bs</t>
  </si>
  <si>
    <t>1IqteGavH6JGNfQ6XjeRds</t>
  </si>
  <si>
    <t>57Gbza8PAWUhQfoArMnEJk</t>
  </si>
  <si>
    <t>5FKchcZpQOkqFvXBj1aCvb,06VibSJEr3GLxLBBZhRums,39czNpwEAe5tGKIE53XDmm</t>
  </si>
  <si>
    <t>2022-01-05</t>
  </si>
  <si>
    <t>7adZFwp4PnLDL2QrQhv8fD</t>
  </si>
  <si>
    <t>5dfgX2GxEMQsGycPvjxhdP</t>
  </si>
  <si>
    <t>2022-01-07</t>
  </si>
  <si>
    <t>3LEgGAl9zLcQWGTp7ptqtQ</t>
  </si>
  <si>
    <t>1HBjj22wzbscIZ9sEb5dyf,2jnIB6XdLvnJUeNTy5A0J2</t>
  </si>
  <si>
    <t>3SsepQPdBbByeC2pG4Lguu</t>
  </si>
  <si>
    <t>1h6Cn3P4NGzXbaXidqURXs,0P9g1ss8CfLwU62fzm8Ldf</t>
  </si>
  <si>
    <t>2022-01-01</t>
  </si>
  <si>
    <t>28pyXNW0jwILn3SZ0zIzJc</t>
  </si>
  <si>
    <t>1l2ekx5skC4gJH8djERwh1,4B3aifxHtpcKHuNi12lmSt</t>
  </si>
  <si>
    <t>0h5DW0Y1vvqrKA4OKuNVIq</t>
  </si>
  <si>
    <t>7vUJCRmF1if4uhMp2V3tRP,5FjiYgLczmrP2j1gijAGWp</t>
  </si>
  <si>
    <t>6uwjDA0Qi6hk8C6lPJIMc9</t>
  </si>
  <si>
    <t>67qogtRNI0GjUr8PlaG6Zh,3NJ94iuAmmMjbszODYT6pO,07CimrZi5vs9iEao47TNQ4</t>
  </si>
  <si>
    <t>2022-01-06</t>
  </si>
  <si>
    <t>4pXG8Q82L8WvypAm5Wo86y</t>
  </si>
  <si>
    <t>6fcTRFpz0yH79qSKfof7lp,6CCTvLyIHqUhY6VQizt150,2r7POU2f5jV6x3k4vsNwrM</t>
  </si>
  <si>
    <t>See You Again EP</t>
  </si>
  <si>
    <t>4OZz1wpsGddZPW5BJQSrZV</t>
  </si>
  <si>
    <t>66AE89GQTx88zLYhXn1wFK,0JpuGd5LWwUn9fHGj8zCTI</t>
  </si>
  <si>
    <t>Bring Me Home (Remixes)</t>
  </si>
  <si>
    <t>2017-08-11</t>
  </si>
  <si>
    <t>6Hp57iv0VLGgmWyOFx8iUm</t>
  </si>
  <si>
    <t>566MlWaCa63jvMZV9YMj3V,3yhgVqRLh6DyzacZyQPNWc</t>
  </si>
  <si>
    <t>The Witcher: Season 2 (Soundtrack from the Netflix Original Series)</t>
  </si>
  <si>
    <t>7fVk1KvrGbiADXtgIVrbfP</t>
  </si>
  <si>
    <t>7us9kFadl2fztbHSvlNk6M,3AS4k4Y30uoDzYUigyNESN,5cofRYrqWWoDByaV4GiodV</t>
  </si>
  <si>
    <t>Discover Love (Remixes)</t>
  </si>
  <si>
    <t>2017-10-09</t>
  </si>
  <si>
    <t>7ynoqt8gQP5rRAmLdHx8tr</t>
  </si>
  <si>
    <t>1DIr8qPcgJS50FFNfC3nnp,390x0qxDdsMmN20RAwspbf,1GLAqcJYuPXy7MjwVvKUgp</t>
  </si>
  <si>
    <t>On Again (Best Night Ever Remix)</t>
  </si>
  <si>
    <t>2018-06-15</t>
  </si>
  <si>
    <t>7qm9Qos1S4JKRnvOGXJcbo</t>
  </si>
  <si>
    <t>6qDAseNQcBQiKVv35eitem</t>
  </si>
  <si>
    <t>2018-06-22</t>
  </si>
  <si>
    <t>4szvAhxC8ZT7mTpdslbjzz</t>
  </si>
  <si>
    <t>4vQq5N5YIPOnn4FnEO35ME</t>
  </si>
  <si>
    <t>2018-05-12</t>
  </si>
  <si>
    <t>4ejT1nYTpsBM6jBXrJixbU</t>
  </si>
  <si>
    <t>3CiuuHKIxxJPoNRvF94GtR,2sDYrBTHVJqI8ZTVBxmjvF</t>
  </si>
  <si>
    <t>1nInOsHbtotAmEOQhtvnzP</t>
  </si>
  <si>
    <t>3BmGtnKgCSGYIUhmivXKWX</t>
  </si>
  <si>
    <t>Stronger (Deluxe Version)</t>
  </si>
  <si>
    <t>2011-10-24</t>
  </si>
  <si>
    <t>6OGogr19zPTM4BALXuMQpF</t>
  </si>
  <si>
    <t>Take My Breath</t>
  </si>
  <si>
    <t>2021-08-06</t>
  </si>
  <si>
    <t>3FeVmId7tL5YN8B7R3imoM</t>
  </si>
  <si>
    <t>4gzpq5DPGxSnKTe4SA8HAU,3Nrfpe0tUJi4K4DXYWgMUX</t>
  </si>
  <si>
    <t>0163ud7I4Vb0ID5K7WBkq9</t>
  </si>
  <si>
    <t>47mIJdHORyRerp4os813jD,0Ye4nfYAA91T1X56gnlXAA</t>
  </si>
  <si>
    <t>Warsongs</t>
  </si>
  <si>
    <t>2016-01-14</t>
  </si>
  <si>
    <t>2usrT8QIbIk9y0NEtQwS4j</t>
  </si>
  <si>
    <t>3iOvXCl6edW5Um0fXEBRXy</t>
  </si>
  <si>
    <t>xx</t>
  </si>
  <si>
    <t>2009-08-16</t>
  </si>
  <si>
    <t>4y90oxZPFxJgDSqnOmmEqY</t>
  </si>
  <si>
    <t>1QBkrW9kGVFGHd1eS2Hsiw</t>
  </si>
  <si>
    <t>75eQ7NabzgaaUYcrqSY0FK</t>
  </si>
  <si>
    <t>2021-10-10</t>
  </si>
  <si>
    <t>4Btg1zMSYU2iJ0mQGQGokv</t>
  </si>
  <si>
    <t>2ubn2zwyYaLdHOCKnTouU2</t>
  </si>
  <si>
    <t>2021-11-11</t>
  </si>
  <si>
    <t>050WeI5Ld60K3L8nP8b2nq</t>
  </si>
  <si>
    <t>2jGvmFH6YE352p9LKmuB0y,0YdFvpH7MvXv5vBsfGvt7g,7bCWp0OGCR9OOHedxrIMox</t>
  </si>
  <si>
    <t>Freeze time (Price &amp; Takis Remix)</t>
  </si>
  <si>
    <t>2017-12-04</t>
  </si>
  <si>
    <t>2dvaIuHQyfnaa3Wv8rmzwX</t>
  </si>
  <si>
    <t>4A18NGfdKU0HrkmvVlPO7I,66VgJGpaRMwrNaS2MPqIDf</t>
  </si>
  <si>
    <t>2019-03-29</t>
  </si>
  <si>
    <t>4L1oxL4LBUZIdXXm7aDpc4</t>
  </si>
  <si>
    <t>25vU5DYwHIHhg1ViWV3SJq,09KYpkm7IEPR3nc8omKpSY</t>
  </si>
  <si>
    <t>2017-08-28</t>
  </si>
  <si>
    <t>39Hpybgua0RgOciVl1C4Sy</t>
  </si>
  <si>
    <t>3NJ94iuAmmMjbszODYT6pO,3RTklnRcfHgkQJwFpgOq3t</t>
  </si>
  <si>
    <t>2021-12-15</t>
  </si>
  <si>
    <t>22DnBQIIXFPJNRGuNjWlSg</t>
  </si>
  <si>
    <t>6S2tas4z6DyIklBajDqJxI</t>
  </si>
  <si>
    <t>Vicious Delicious</t>
  </si>
  <si>
    <t>2007-04-01</t>
  </si>
  <si>
    <t>5wE12WDUvty3rLhI19CZNF</t>
  </si>
  <si>
    <t>3NR7hAacOhmcztWvD7vJfS</t>
  </si>
  <si>
    <t>2017-11-25</t>
  </si>
  <si>
    <t>5sbooPcNgIE22DwO0VNGUJ</t>
  </si>
  <si>
    <t>4gOc8TsQed9eqnqJct2c5v,2kRfqPViCqYdSGhYSM9R0Q,2AfmfGFbe0A0WsTYm0SDTx,0tRFWXqKBBQcu5oFVOgVzX,47mIJdHORyRerp4os813jD</t>
  </si>
  <si>
    <t>2018-11-03</t>
  </si>
  <si>
    <t>1iXkMRIHkutEsOdN2SkvdP</t>
  </si>
  <si>
    <t>6J4zegMTYP4nGJSpSDvy49,6R44YeR0cv8sCeCi2GUWAf,0M3cZtjQZ8fz3Hbw1A4CwF</t>
  </si>
  <si>
    <t>Habit (The Remixes)</t>
  </si>
  <si>
    <t>2017-02-03</t>
  </si>
  <si>
    <t>5QWjrWckcPcSVqQNfbD4Bc</t>
  </si>
  <si>
    <t>1se3w7gpZkwcJYgHSPDoQ8,57nPqD7z62gDdq37US9XJR,47mIJdHORyRerp4os813jD</t>
  </si>
  <si>
    <t>2021-11-05</t>
  </si>
  <si>
    <t>7DnAm9FOTWE3cUvso43HhI</t>
  </si>
  <si>
    <t>4npEfmQ6YuiwW1GpUmaq3F</t>
  </si>
  <si>
    <t>Heaven &amp; Hell</t>
  </si>
  <si>
    <t>2020-09-18</t>
  </si>
  <si>
    <t>0VQjTLPG8l3egUHmIxe265</t>
  </si>
  <si>
    <t>25u4wHJWxCA9vO0CzxAbK7</t>
  </si>
  <si>
    <t>Lukas Graham (Blue Album)</t>
  </si>
  <si>
    <t>2016-03-25</t>
  </si>
  <si>
    <t>6cpk00i5TxCqSeqNi2HuIe</t>
  </si>
  <si>
    <t>Overexposed Track By Track</t>
  </si>
  <si>
    <t>0JQ5MbyriK6ruD3t6RZ7ix</t>
  </si>
  <si>
    <t>The Kids Are Coming</t>
  </si>
  <si>
    <t>2019-08-29</t>
  </si>
  <si>
    <t>0JeSTBrC32aWMSEwWVlNvK</t>
  </si>
  <si>
    <t>21uIYuekO1alWINGMj9Cz7</t>
  </si>
  <si>
    <t>Your Lie in April</t>
  </si>
  <si>
    <t>5KE5yYcdsj3iXemq73pK3U</t>
  </si>
  <si>
    <t>1NuIBLKEzarZ6jW0LWBWDU</t>
  </si>
  <si>
    <t>5TD67ukVHXuP8Cxp4MxhYb</t>
  </si>
  <si>
    <t>619CzMJPPWrCeZwx5qw6ko,4gmndqcVVyxmzgOunTiuAD</t>
  </si>
  <si>
    <t>7qj9vWYsBKtaXfXVn4PSkl</t>
  </si>
  <si>
    <t>2Wzb0u138rgoZQTK3ytknT,4yQnBW6WRRKjJwYBJwHHG3</t>
  </si>
  <si>
    <t>2017-09-26</t>
  </si>
  <si>
    <t>2K43l7QKRvmiNrrgz0Lfgt</t>
  </si>
  <si>
    <t>1hHhlYmo4C03IoCJ7RnpS2,5NbLht1MNVM19gY3OIBDwK</t>
  </si>
  <si>
    <t>Hollow Mind</t>
  </si>
  <si>
    <t>2016-08-24</t>
  </si>
  <si>
    <t>6OkP1t5se0cYZTfnNE5gC4</t>
  </si>
  <si>
    <t>7bKJsFgjE6XoO5fDhTCCqX,0AepkoQhYvkjEzzwIcGxdV</t>
  </si>
  <si>
    <t>2016-03-14</t>
  </si>
  <si>
    <t>1yuiZBk3QnvZWmttWEiaSg</t>
  </si>
  <si>
    <t>6cHi0QWaBxWN71YpvTR4Jr,2InIVjILfVHmvET4a35JaF</t>
  </si>
  <si>
    <t>2017-09-04</t>
  </si>
  <si>
    <t>7i3YqtsWQhr5MQmhCF25hS</t>
  </si>
  <si>
    <t>5mXk5yufaVz1wTuEAiaBN6,58OT6Rhdj8R1bIkeXPlLdP,2hM7Rb0V5wKjvDEgYt1zed</t>
  </si>
  <si>
    <t>2019-09-10</t>
  </si>
  <si>
    <t>6PEffWE5dFwOa1Vc7ZS0Ss</t>
  </si>
  <si>
    <t>1iFDlldazsxhcE1uKnIsXr,5wkJtQNhMLXmkfdnZfYpGw</t>
  </si>
  <si>
    <t>2017-08-23</t>
  </si>
  <si>
    <t>0PPGU2orJrl4A8viRvJjL8</t>
  </si>
  <si>
    <t>7vUJCRmF1if4uhMp2V3tRP,2FnjEL8SlmLe3YBFmPkV9N</t>
  </si>
  <si>
    <t>58kZ9spgxmlEznXGu6FPdQ</t>
  </si>
  <si>
    <t>69GGBxA162lTqCwzJG5jLp</t>
  </si>
  <si>
    <t>4EQ887mCwaoQK53m7FORE2</t>
  </si>
  <si>
    <t>3c5CN8VntREa0y3kBhNFss</t>
  </si>
  <si>
    <t>2018-04-10</t>
  </si>
  <si>
    <t>4B3NahKokb7lLkvaLFZFzn</t>
  </si>
  <si>
    <t>69GGBxA162lTqCwzJG5jLp,4ZjJmxiWDURUeXl9erCsE5</t>
  </si>
  <si>
    <t>Sick Boy (Remixes)</t>
  </si>
  <si>
    <t>2018-02-09</t>
  </si>
  <si>
    <t>1zIUArWL3LaY7ANBGoQr36</t>
  </si>
  <si>
    <t>4bi8SmsdSp5AoD6RFZjyjW</t>
  </si>
  <si>
    <t>2016-11-22</t>
  </si>
  <si>
    <t>14qIxRnStQdWnuRt7F7Dvo</t>
  </si>
  <si>
    <t>01olvHW7uzIInQx9VTNuJm,3bmpMHIiXjoOP4KORU9bCL</t>
  </si>
  <si>
    <t>2019-05-03</t>
  </si>
  <si>
    <t>3BHzJzCQ6B2AIuv2I8QmRU</t>
  </si>
  <si>
    <t>0OirGRY55NlQeqOHKhvpbm,28mfRvwE7L7uRmYzuwdXNX</t>
  </si>
  <si>
    <t>74xQo5DO57Mpuo1iQ8usSs</t>
  </si>
  <si>
    <t>6de7jZIefPNqphliOpTifX,1eaZr8i51tqXm5t8bPjKuj,43BmOTbp0fKzSvC4YxykMl</t>
  </si>
  <si>
    <t>2018-09-18</t>
  </si>
  <si>
    <t>0ePeGyJeURzbmXvC8N9qHj</t>
  </si>
  <si>
    <t>7ymczLNmjz6AVMGApVNWbB</t>
  </si>
  <si>
    <t>340UVheS8z3ncW9TTUhAbc</t>
  </si>
  <si>
    <t>3E7ZwUMJFqpsDOJzEkBrQ7</t>
  </si>
  <si>
    <t>4RVnAU35WRWra6OZ3CbbMA</t>
  </si>
  <si>
    <t>2001-10-01</t>
  </si>
  <si>
    <t>2YdX7PEziOImkySNDWsaKM</t>
  </si>
  <si>
    <t>2P1h10tRBVlC2lVUqhl6wm</t>
  </si>
  <si>
    <t>Rise Up (The Remixes)</t>
  </si>
  <si>
    <t>2015-11-20</t>
  </si>
  <si>
    <t>0uQooVBpHlIDWz3gb0H1VH</t>
  </si>
  <si>
    <t>New Years Eve Party 2021</t>
  </si>
  <si>
    <t>2021-12-08</t>
  </si>
  <si>
    <t>7oZryU4VFbqOxT0bRceSjj</t>
  </si>
  <si>
    <t>Cadavre exquis</t>
  </si>
  <si>
    <t>44aMB5yGZL7k4AmpMYectd</t>
  </si>
  <si>
    <t>2tLI4kPsmsxQQv6zr2jbgt,4baMXYKAKEfErCf84fOwyY</t>
  </si>
  <si>
    <t>7l7Wtqi4ybiGVnFZ8vOYaf</t>
  </si>
  <si>
    <t>2tLI4kPsmsxQQv6zr2jbgt,6ATGuATiaPOyjNIc5AjP3R</t>
  </si>
  <si>
    <t>2016-09-22</t>
  </si>
  <si>
    <t>2VmfqHyGhgBhu8TXa9qCOu</t>
  </si>
  <si>
    <t>2020-04-03</t>
  </si>
  <si>
    <t>4c2FHHtnHFMWs5vpbGXr6i</t>
  </si>
  <si>
    <t>3AVfmawzu83sp94QW7CEGm,6Paz0vXJJ9bCPf0fEm3qzg</t>
  </si>
  <si>
    <t>6VBLbFCArFuTTEXFlQFZZs</t>
  </si>
  <si>
    <t>4sTQVOfp9vEMCemLw50sbu,5wwneIFdawNgQ7GvKK29Z3,6mzs66iVW15C5iLt0JLt41</t>
  </si>
  <si>
    <t>2lz3zjQ5QCVXiyOzIk02vW</t>
  </si>
  <si>
    <t>3wrFoI9EVjWg6m8xXeWr5t,4fv1OFJywZ7DHCz3mVQQ45</t>
  </si>
  <si>
    <t>2021-11-22</t>
  </si>
  <si>
    <t>6xcL5RyFeS5qNlX1W6sNYU</t>
  </si>
  <si>
    <t>24O8Ftz6AqboC3Uawbiw4r,4bGN5XDSLCLYd01uQqR3JA</t>
  </si>
  <si>
    <t>2017-10-22</t>
  </si>
  <si>
    <t>4TnFANpjVwVKWzkxNzIyFH</t>
  </si>
  <si>
    <t>2tcoLkA9Hexz70Kuc1NTUl,3YwqjMyrRfuixi2pbgTGCE</t>
  </si>
  <si>
    <t>Zone 59</t>
  </si>
  <si>
    <t>2019-11-29</t>
  </si>
  <si>
    <t>1bwhDrXcAtqePp8mNJ0pTe</t>
  </si>
  <si>
    <t>6W5uA6CNMf3hd2j4a2XWCx</t>
  </si>
  <si>
    <t>Les mains faites pour l'or</t>
  </si>
  <si>
    <t>2021-04-02</t>
  </si>
  <si>
    <t>1vv4jkgnIfDrMfjFs6f9kb</t>
  </si>
  <si>
    <t>3yp2YaULLKDy8KyfyZ5seO</t>
  </si>
  <si>
    <t>Rumble In The Jungle</t>
  </si>
  <si>
    <t>2015-11-03</t>
  </si>
  <si>
    <t>4PTmyrVwLvTVP7IlFy8BCd</t>
  </si>
  <si>
    <t>6EmSzH0r12lNsYQCFzCFS3</t>
  </si>
  <si>
    <t>Come to the End; Then Stop</t>
  </si>
  <si>
    <t>2016-02-24</t>
  </si>
  <si>
    <t>553fhwT5wTWJ6DpRUHR7hD</t>
  </si>
  <si>
    <t>7w0ZnYz4kQLyGIdlgoTLfO,3CiuuHKIxxJPoNRvF94GtR</t>
  </si>
  <si>
    <t>2019-01-21</t>
  </si>
  <si>
    <t>5sZFZFxHHBEtxsjHYbVeKq</t>
  </si>
  <si>
    <t>7bCWp0OGCR9OOHedxrIMox</t>
  </si>
  <si>
    <t>2018-01-26</t>
  </si>
  <si>
    <t>2KxfknWQP06fmrF5YpWmca</t>
  </si>
  <si>
    <t>3JWALxcmd7a0mS0TEo0BIy,25HuR0ozWpMVHtUR5WQGts</t>
  </si>
  <si>
    <t>2018-07-27</t>
  </si>
  <si>
    <t>7BjBDt52upI92r3V9O7dNQ</t>
  </si>
  <si>
    <t>4Zv449cAssgslcvInvc0wa,0EHYuPn9Xng2lZP2cfz4cV,7d5SfGXKpgS3JK8BFIq59h</t>
  </si>
  <si>
    <t>Glimmer (William Black Remix)</t>
  </si>
  <si>
    <t>2018-06-06</t>
  </si>
  <si>
    <t>4G9NHCx2mqiYrmBYpNyEbU</t>
  </si>
  <si>
    <t>4lTzofj5yifSwIHhpUCypb,7Jj785137zNlJfDF6Bhkm6</t>
  </si>
  <si>
    <t>60MK5MewocGQELIu2oCTgD</t>
  </si>
  <si>
    <t>3exvMmrLV6o4R42YnG3Id6,1sYqoSkHgdrI7G80A0TxLL</t>
  </si>
  <si>
    <t>Fly (feat. Caiti Patton)</t>
  </si>
  <si>
    <t>2017-02-10</t>
  </si>
  <si>
    <t>5yId5vztDqFdpYIMkDs4XV</t>
  </si>
  <si>
    <t>0daugAjUgbJSqdlyYNwIbT,5wMfct6VVvaVQ8xGCXxIUa</t>
  </si>
  <si>
    <t>2018-03-09</t>
  </si>
  <si>
    <t>4IbDTrLxImTJfZePAX2nKB</t>
  </si>
  <si>
    <t>1q7T9rFQ2a2ukA1PU51fo3,5gqmbbfjcikQBzPB5Hv13I</t>
  </si>
  <si>
    <t>Cartel : volume 1</t>
  </si>
  <si>
    <t>2021-06-17</t>
  </si>
  <si>
    <t>7rBP4bLjMLNkix1nGHjheP</t>
  </si>
  <si>
    <t>3QVolfxko2UyCOtexhVTli</t>
  </si>
  <si>
    <t>Brol La Suite</t>
  </si>
  <si>
    <t>2jX5c5RFp0A9E1GDsvGxIa</t>
  </si>
  <si>
    <t>Brol</t>
  </si>
  <si>
    <t>06O3hxudc6V0BOuoCFSy71</t>
  </si>
  <si>
    <t>3QVolfxko2UyCOtexhVTli,2pHk4wAmL7ofTAuvCIUWtv</t>
  </si>
  <si>
    <t>6stxV2bl7xSiPUornxwyNR</t>
  </si>
  <si>
    <t>3YwqjMyrRfuixi2pbgTGCE,6qFt3TjvxMt77YGsktWG8Z</t>
  </si>
  <si>
    <t>En esprit</t>
  </si>
  <si>
    <t>5BfCoUcWNXcpyJfjXRIeyC</t>
  </si>
  <si>
    <t>3YwqjMyrRfuixi2pbgTGCE,3IW7ScrzXmPvZhB27hmfgy</t>
  </si>
  <si>
    <t>24l2mDpWEmA7gWgmFJ8CIG</t>
  </si>
  <si>
    <t>0oeiA5U9u1U45Gos5cywUU,3DCWeG2J1fZeu0Oe6i5Q6m</t>
  </si>
  <si>
    <t>2021-06-03</t>
  </si>
  <si>
    <t>7wFK2ReVQpq80IAGs6eI1l</t>
  </si>
  <si>
    <t>6VOUfCrjmxH62oijWgbC6O</t>
  </si>
  <si>
    <t>4c3TC1eWvz6BgOqSlOAKdT</t>
  </si>
  <si>
    <t>17gkoi8EGPO1XssTOYK5ki</t>
  </si>
  <si>
    <t>3IM7zXywZ6sRTtkRjRLxJ8</t>
  </si>
  <si>
    <t>Le chant des sirènes</t>
  </si>
  <si>
    <t>2011-09-26</t>
  </si>
  <si>
    <t>4cYFep5SECqb4EsSkF82e0</t>
  </si>
  <si>
    <t>4FpJcNgOvIpSBeJgRg3OfN,5j4HeCoUlzhfWtjAfM1acR</t>
  </si>
  <si>
    <t>La fête est finie</t>
  </si>
  <si>
    <t>2ICdvchXmDh5mdLyyL2opB</t>
  </si>
  <si>
    <t>10iesoGb4mCYTcur1QfdO9</t>
  </si>
  <si>
    <t>3IW7ScrzXmPvZhB27hmfgy</t>
  </si>
  <si>
    <t>Rien 100 Rien</t>
  </si>
  <si>
    <t>2019-06-28</t>
  </si>
  <si>
    <t>205HNJ73cgpC0LAOnuQiWT</t>
  </si>
  <si>
    <t>5RaQ9nmVGoTye2SI76x3yw,0oeiA5U9u1U45Gos5cywUU,2IoSLl3tqYMq9DzR0d6NJN,3IW7ScrzXmPvZhB27hmfgy,2kXKa3aAFngGz2P4GjG5w2,6W5uA6CNMf3hd2j4a2XWCx,7FXX45sHqoQoCwqtG0ZV8H,6zrOXBaNn0DqJeXxgC2eyH,19u3RGWKsjmbg9eI6zAiNp</t>
  </si>
  <si>
    <t>2020-08-15</t>
  </si>
  <si>
    <t>14M6BbiHt2w9KHVvoIUIUF</t>
  </si>
  <si>
    <t>Demain ça ira</t>
  </si>
  <si>
    <t>5gdM1wTSYyRus22N6jXeFF</t>
  </si>
  <si>
    <t>6MvRVq0CtpQQlwnIiszV8F,5YFS41yoX0YuFY39fq21oN</t>
  </si>
  <si>
    <t>Premier Gaou, The Remixes</t>
  </si>
  <si>
    <t>2002-01-01</t>
  </si>
  <si>
    <t>3s6ltUrI93LBKU8taezsLn</t>
  </si>
  <si>
    <t>6MvRVq0CtpQQlwnIiszV8F,79b2ipSR68Uf9EzA438KZt</t>
  </si>
  <si>
    <t>Africainement vôtre</t>
  </si>
  <si>
    <t>2014-05-16</t>
  </si>
  <si>
    <t>7M13FwBAKWNa2jqcZeUhL6</t>
  </si>
  <si>
    <t>5YFS41yoX0YuFY39fq21oN,2cSQyZg5t274Y3Nv0uuwjd</t>
  </si>
  <si>
    <t>Love Generation (Radio Edit)</t>
  </si>
  <si>
    <t>2005-06-20</t>
  </si>
  <si>
    <t>0Qn0i8df7Q76ej3RAXAtI2</t>
  </si>
  <si>
    <t>5YFS41yoX0YuFY39fq21oN,5PTDGbHPxxXf81RrubpIOO,0TsTesOYlZmHOLnFPLPKLZ,4LqXqd68BBoEk9RDYeS0ls,0f5cjky3a6ee9e0WicpzhW</t>
  </si>
  <si>
    <t>Rock This Party (Everybody Dance Now)</t>
  </si>
  <si>
    <t>2006-08-22</t>
  </si>
  <si>
    <t>7zKaYgEl0ywPF3zUOw2BKg</t>
  </si>
  <si>
    <t>4cdyqaBREB68H77QKCrKP1,2beRTIJ89kb6a011vFqGuk,4qB4n69ENaMdCb37AYd6wk</t>
  </si>
  <si>
    <t>4t8ilMPQ7E7S6pB4i4Kf2I</t>
  </si>
  <si>
    <t>4cdyqaBREB68H77QKCrKP1</t>
  </si>
  <si>
    <t>3hbi5zXAgQt0Z9V5JSOnCe</t>
  </si>
  <si>
    <t>4cdyqaBREB68H77QKCrKP1,2dhLVCzAEMbAu1SSkAoOGV</t>
  </si>
  <si>
    <t>0VdwHBLCTSdrTJFIjWOsEC</t>
  </si>
  <si>
    <t>5YFS41yoX0YuFY39fq21oN,28uJnu5EsrGml2tBd7y8ts,4cdyqaBREB68H77QKCrKP1,2SwhNukah1MYpLR594PnuC</t>
  </si>
  <si>
    <t>1kKYjjfNYxE0YYgLa7vgVY</t>
  </si>
  <si>
    <t>23fqKkggKUBHNkbKtXEls4,6XpaIBNiVzIetEPCWDvAFP</t>
  </si>
  <si>
    <t>Golden Hour</t>
  </si>
  <si>
    <t>6lknMmJZALXxx7emwwZWLX</t>
  </si>
  <si>
    <t>6tbjWDEIzxoDsBA1FuhfPW,3NR7hAacOhmcztWvD7vJfS</t>
  </si>
  <si>
    <t>2021-12-03</t>
  </si>
  <si>
    <t>67o1zHGmbdkyrodvsJMZm9</t>
  </si>
  <si>
    <t>Loud Fantasy, Quiet Reality</t>
  </si>
  <si>
    <t>7Htpx6uYJeIwu8IIVeB975</t>
  </si>
  <si>
    <t>0qPGd8tOMHlFZt8EA1uLFY,7aB2KbM3pphL9mU3dXbyh2,3l0H4QNiYYNdIsnZ4JgJAg</t>
  </si>
  <si>
    <t>0JyWZ4BrLIlvyJ5lt7HNM1</t>
  </si>
  <si>
    <t>2OvhGFmPOZsUAH8XD3CVsf</t>
  </si>
  <si>
    <t>5WUlDfRSoLAfcVSX1WnrxN</t>
  </si>
  <si>
    <t>2021-12-02</t>
  </si>
  <si>
    <t>77mJ7Df0Atprdy7O2T7uMT</t>
  </si>
  <si>
    <t>2vqPBDRdyZtQBALpP0YJdM</t>
  </si>
  <si>
    <t>1g7j5AxiNKTGjryhFIlAsA</t>
  </si>
  <si>
    <t>45eNHdiiabvmbp4erw26rg,4iDroUFo89Y7YBsdDTBmTD,6Xgp2XMz1fhVYe7i6yNAax</t>
  </si>
  <si>
    <t>2iLGveANIUf2UmYTKENlm6</t>
  </si>
  <si>
    <t>Pluto Tapes: Volume 2</t>
  </si>
  <si>
    <t>2019-04-26</t>
  </si>
  <si>
    <t>25JmQ3qFQkhbLZMJpdftO9</t>
  </si>
  <si>
    <t>16yUpGkBRgc2eDMd3bB3Uw,2Iyxo030DdKWKmhhEaS22p</t>
  </si>
  <si>
    <t>'Til the End</t>
  </si>
  <si>
    <t>0Bk3gDVe5fQV7quGbLcwzg</t>
  </si>
  <si>
    <t>7aB2KbM3pphL9mU3dXbyh2,6heMlLFM6RDDHRz99uKMqS,24CzPFC4y3bM4AkUnZfuAU</t>
  </si>
  <si>
    <t>Truest Lies (Remixes)</t>
  </si>
  <si>
    <t>0OjgLzwCvAmKoiYpaTlMmf</t>
  </si>
  <si>
    <t>45f1m9SROETaiqSyGcqTzv</t>
  </si>
  <si>
    <t>Closure</t>
  </si>
  <si>
    <t>2019-04-05</t>
  </si>
  <si>
    <t>1DQeHZkiQ0sBWKTH7eGQhh</t>
  </si>
  <si>
    <t>2tLI4kPsmsxQQv6zr2jbgt,23GMmLeVwj1yKMo1WGEwIj,5zId1SmYy46E9v2KQsSTFR</t>
  </si>
  <si>
    <t>Wildcard (Remixes)</t>
  </si>
  <si>
    <t>2017-07-12</t>
  </si>
  <si>
    <t>7K7PuDJvsbmfhOvIuAnHiE</t>
  </si>
  <si>
    <t>23ostNBoB9z6GMXLtHdg7y</t>
  </si>
  <si>
    <t>2017-05-08</t>
  </si>
  <si>
    <t>7ezhI3KA4j9IVmE27hOmJ1</t>
  </si>
  <si>
    <t>2017-10-17</t>
  </si>
  <si>
    <t>7ibOga7LQWzeNd7hZ0FZpe</t>
  </si>
  <si>
    <t>2kgvaYV2tbNyOonFI3YlfH,5e3mMdJvt2idfBhdEPbfyO</t>
  </si>
  <si>
    <t>2017-05-24</t>
  </si>
  <si>
    <t>7aRHrobd5E1xD3z5KFO57i</t>
  </si>
  <si>
    <t>7yDfYjXXVC2LCOwTgO4Ae2,2hlndQ5rSm5zIwM7BmYSrT</t>
  </si>
  <si>
    <t>2020-02-25</t>
  </si>
  <si>
    <t>4YmSVzZJxgxMPMdDdH0mpU</t>
  </si>
  <si>
    <t>7z8fkGpUDt6eb6fyysRTH9,5MgD9TR3HkFylnaZULDGAQ</t>
  </si>
  <si>
    <t>2019-05-22</t>
  </si>
  <si>
    <t>7LjalVbaR7UsYQFoqhxZ3b</t>
  </si>
  <si>
    <t>2cFrymmkijnjDg9SS92EPM,0SXgKLNtpIrH29F1vMRWzj</t>
  </si>
  <si>
    <t>2016-02-05</t>
  </si>
  <si>
    <t>7GScDnzsquRFoRIqZoMOPZ</t>
  </si>
  <si>
    <t>6cEuCEZu7PAE9ZSzLLc2oQ,4CrDEHL7ysNabeYvL3xjUX</t>
  </si>
  <si>
    <t>Icarus (Remixes)</t>
  </si>
  <si>
    <t>2016-12-02</t>
  </si>
  <si>
    <t>1JyXEzDAzuGfeAFT4QLPh2</t>
  </si>
  <si>
    <t>3uKSQRJFp1pnRWT95Yso12,1qs72LBhNBAQGwxFAnlo0x</t>
  </si>
  <si>
    <t>2016-06-17</t>
  </si>
  <si>
    <t>68Neo1Tq4z0QEpXbzMkOyg</t>
  </si>
  <si>
    <t>2LY0E3xg8svCVYXVNTze5T,2E19mfEFhCr6UgZUYJGOEW,1GrQQZ7U31WfQPQbd3MHx9</t>
  </si>
  <si>
    <t>Samurai (Remixes) (feat. Katy Tiz)</t>
  </si>
  <si>
    <t>2017-03-14</t>
  </si>
  <si>
    <t>3414VbLCsU5UUcfUn55bgB</t>
  </si>
  <si>
    <t>69DKP6GuG0YiUc5K7tJ4an,1GrQQZ7U31WfQPQbd3MHx9,6OPUscoxZHZHQ2wUbiQhmR</t>
  </si>
  <si>
    <t>2016-12-01</t>
  </si>
  <si>
    <t>1kQGDLfahiOes7o3ChGscL</t>
  </si>
  <si>
    <t>21lT1nj3XwbDi3ZiHLQP3d,1t5gYxqXSjiwvmtD3vQwcz</t>
  </si>
  <si>
    <t>3WjsaQylfVq87F6hLfayiQ</t>
  </si>
  <si>
    <t>4lC8Q0azW5ij2e1skZo377,1bZhxzq9mhYkPf0wdxGko9</t>
  </si>
  <si>
    <t>2018-10-26</t>
  </si>
  <si>
    <t>4Oih3RDrSFg3afaOphBVuy</t>
  </si>
  <si>
    <t>0Ty63ceoRnnJKVEYP0VQpk,5Cy6BjgpzVTTP4FURizqmQ</t>
  </si>
  <si>
    <t>Arcane League of Legends (Soundtrack from the Animated Series)</t>
  </si>
  <si>
    <t>2021-11-20</t>
  </si>
  <si>
    <t>48JYYEXKNZdXuDdZvkRvaQ</t>
  </si>
  <si>
    <t>3KfcM6hHFpjs7z9fkAlRhD</t>
  </si>
  <si>
    <t>5mmEMfYChd6MImBagU7zCs,6gK1Uct5FEdaUWRWpU4Cl2</t>
  </si>
  <si>
    <t>La vie de rêve</t>
  </si>
  <si>
    <t>2018-11-24</t>
  </si>
  <si>
    <t>3NjyrsDr4qS0L424H4muQd</t>
  </si>
  <si>
    <t>4csQIMQm6vI2A2SCVDuM2z,2jn9JOmdrR9BdiR1LTvYG4</t>
  </si>
  <si>
    <t>Between Us</t>
  </si>
  <si>
    <t>2019-06-14</t>
  </si>
  <si>
    <t>5Noh8bcE7NFSjFA9bLSNub</t>
  </si>
  <si>
    <t>0a8BrKaJ80jFDVudXKkGab,0Dt97GvTO4dxdBYqyxLwLY</t>
  </si>
  <si>
    <t>2017-05-11</t>
  </si>
  <si>
    <t>780be5fB7823aHG06mwTat</t>
  </si>
  <si>
    <t>3MyFDtqB80WZvbtCZRsekM</t>
  </si>
  <si>
    <t>The Ringmaster</t>
  </si>
  <si>
    <t>4NM72r7orR4QPkgox7astH</t>
  </si>
  <si>
    <t>2021-10-19</t>
  </si>
  <si>
    <t>41p5vXIOW68TFHwPw2O8aL</t>
  </si>
  <si>
    <t>3fREHN5zWLjSlRzicDxE3c</t>
  </si>
  <si>
    <t>Crash Test</t>
  </si>
  <si>
    <t>7twgWIgzj4hmcAVAsYHIqb</t>
  </si>
  <si>
    <t>356FCJoyYWyzONni54Dgrv,2SFFqOzlRC7xCZkgozbVee</t>
  </si>
  <si>
    <t>2021-11-25</t>
  </si>
  <si>
    <t>2021-11-24</t>
  </si>
  <si>
    <t>3JHDvmoOfA5IzyETYbTL5u</t>
  </si>
  <si>
    <t>2tLI4kPsmsxQQv6zr2jbgt,2js39lyEUjoD0x3VxshU5o</t>
  </si>
  <si>
    <t>40giNwfX1pR3smltxvs3dB</t>
  </si>
  <si>
    <t>0ONHkAv9pCAFxb0zJwDNTy,0Ye4nfYAA91T1X56gnlXAA,57nPqD7z62gDdq37US9XJR,47mIJdHORyRerp4os813jD</t>
  </si>
  <si>
    <t>7zN7l6yep9kPdBJeevfPvY</t>
  </si>
  <si>
    <t>76M2Ekj8bG8W7X2nbx2CpF,67qogtRNI0GjUr8PlaG6Zh,0VXSswAMDSlObSftPEkPqL</t>
  </si>
  <si>
    <t>1n57AukEXifaY4B0CYnui1</t>
  </si>
  <si>
    <t>6aIFY0XEfKOPkcHsva1WOt</t>
  </si>
  <si>
    <t>100sLnojEpcadRx4edEBA6,6fLrPFLWLSCrp7gcTZXcKb</t>
  </si>
  <si>
    <t>Golden (Twin Shadow Remix)</t>
  </si>
  <si>
    <t>6nGtbklEfeXapvjTbV8kzn</t>
  </si>
  <si>
    <t>1Cs0zKBU1kc0i8ypK3B9ai,4bXUaTjc7TQTvLqqCAlfYt,4Eoddnw0pOewmCHQYofuwh,4OGlp2UdUQGPJVbvJ82Cz5</t>
  </si>
  <si>
    <t>2zJFeCI8KtP0Olwf3W3w8R</t>
  </si>
  <si>
    <t>6wKxOKEA3K6R2UZ3COLXEY</t>
  </si>
  <si>
    <t>1X2rMbAqosdceDd3XSfR4Z</t>
  </si>
  <si>
    <t>1nYKNvUW066oMNknmQs5UJ,3RTklnRcfHgkQJwFpgOq3t</t>
  </si>
  <si>
    <t>2021-11-16</t>
  </si>
  <si>
    <t>2mozbqXyO5NOmpOZc9O5s9</t>
  </si>
  <si>
    <t>4mrBetqy378Jf1y6NLszlx,6WamMeXO2jN9tUYxSBUclQ</t>
  </si>
  <si>
    <t>0ZWfWytIwA7UwvB8oCNndU</t>
  </si>
  <si>
    <t>5sWHDYs0csV6RS48xBl0tH,4ZgQDCtRqZlhLswVS6MHN4</t>
  </si>
  <si>
    <t>57zslQlwkYyVqErssPWDvA</t>
  </si>
  <si>
    <t>6RHKEd9dpzQ4c09x8Zdaxu</t>
  </si>
  <si>
    <t>4hMmDDMdjWgsgXmdlkkY7d</t>
  </si>
  <si>
    <t>Something Beautiful (Stripped)</t>
  </si>
  <si>
    <t>2021-11-18</t>
  </si>
  <si>
    <t>4BxjbpktDfYXu47W2Q9GMJ</t>
  </si>
  <si>
    <t>2kgvaYV2tbNyOonFI3YlfH,4u1nYxjl132D6rcMeYQ6Zz,2jrBiKykLqcIp2S7GLiahy</t>
  </si>
  <si>
    <t>2021-11-15</t>
  </si>
  <si>
    <t>3h2aYVv7RHnOW0qGGYdYIT</t>
  </si>
  <si>
    <t>2wX6xSig4Rig5kZU6ePlWe,49CE2ffZ6Z3zeYSDauSKck</t>
  </si>
  <si>
    <t>3McSdvuko2yY53gfqkwHxM</t>
  </si>
  <si>
    <t>2H3HPGuPyhcbg5AqoQ4BWr</t>
  </si>
  <si>
    <t>Guns for Hire (From the series Arcane League of Legends)</t>
  </si>
  <si>
    <t>2021-11-13</t>
  </si>
  <si>
    <t>1e6aAbWR0MXCNcr4yQovNr</t>
  </si>
  <si>
    <t>2018-02-28</t>
  </si>
  <si>
    <t>2V6nQ7ZzUcJyC7zQcQwuhH</t>
  </si>
  <si>
    <t>3MwmjpfJvIoCarmc1eehbu</t>
  </si>
  <si>
    <t>2019-02-15</t>
  </si>
  <si>
    <t>2aMFRnAiWUcnDdqaHsSqTW</t>
  </si>
  <si>
    <t>5EJxNJGLdKQPfS1MsLPFvg</t>
  </si>
  <si>
    <t>2015-07-29</t>
  </si>
  <si>
    <t>3boOSED3lTKY1SOTUVX4d5</t>
  </si>
  <si>
    <t>2RDXcxQgmEyomb2g9SERuf,047WXnK2tIG3FGth7FyXaK</t>
  </si>
  <si>
    <t>2018-05-25</t>
  </si>
  <si>
    <t>3MrQskQ7ExAVWe5stEJLxY</t>
  </si>
  <si>
    <t>2OQpMQGdpN1kb9vf7Sn9Em,3CiuuHKIxxJPoNRvF94GtR</t>
  </si>
  <si>
    <t>2019-04-08</t>
  </si>
  <si>
    <t>31uuND03OyPbUXLWCmolwj</t>
  </si>
  <si>
    <t>6ysdYD8AVy5zq1lY1V3lOg</t>
  </si>
  <si>
    <t>2019-01-11</t>
  </si>
  <si>
    <t>2fOFZSdaXGhq53EfIiUT5g</t>
  </si>
  <si>
    <t>74xeHqz5Ap8ZHq69TkxI0r</t>
  </si>
  <si>
    <t>2016-02-23</t>
  </si>
  <si>
    <t>5iocPExg0EmLoj5d8FVTPF</t>
  </si>
  <si>
    <t>6d7AYr4nvqHPhfPaDLLeRU,3RTklnRcfHgkQJwFpgOq3t</t>
  </si>
  <si>
    <t>World Gone Crazy</t>
  </si>
  <si>
    <t>1Pz2FNGmyvRYnlKd58ANEW</t>
  </si>
  <si>
    <t>3bffaBH7akOhsSLsVJcJug</t>
  </si>
  <si>
    <t>Voodoo - EP</t>
  </si>
  <si>
    <t>2014-09-29</t>
  </si>
  <si>
    <t>3QHS04rCTvidflzLmYmOZ1</t>
  </si>
  <si>
    <t>4R0EwsTKt1LIFcdezmuezM,1bqxdqvUtPWZri43cKHac8</t>
  </si>
  <si>
    <t>2017-12-05</t>
  </si>
  <si>
    <t>4yYfNqiM0GAdeErMav3MuW</t>
  </si>
  <si>
    <t>1rHE9GIzQio52kTCadXdyL,440CkJeA4aZmro26BGCyt0</t>
  </si>
  <si>
    <t>6Rc7GmnS96YKgSzO3IrloJ</t>
  </si>
  <si>
    <t>3EG6B7xCYrCokW2HJiwpPd</t>
  </si>
  <si>
    <t>2019-12-12</t>
  </si>
  <si>
    <t>3njjYn6f9aOo3bB3rnVU3a</t>
  </si>
  <si>
    <t>1bNEG4iSClCqQRyZgho3YV,6G1oXdo6yh7ib7ARKvQgjA</t>
  </si>
  <si>
    <t>2016-03-15</t>
  </si>
  <si>
    <t>6SwzyUa1WU3AFZIc4r1Tr5</t>
  </si>
  <si>
    <t>3UCbp6D1lvILlxRJT9LnFa</t>
  </si>
  <si>
    <t>Retrospective</t>
  </si>
  <si>
    <t>5EIkdrmuu2xkoQWOWjoeFY</t>
  </si>
  <si>
    <t>6fxyWrfmjcbj5d12gXeiNV,0xukYGKRRwBWS1N9sfCQoq,4vZ5UD5pIliRPSdHHj9EUp,57nPqD7z62gDdq37US9XJR,47mIJdHORyRerp4os813jD</t>
  </si>
  <si>
    <t>2cN0S4DrXpedsiovTLYJMz</t>
  </si>
  <si>
    <t>Everyday Is Christmas (Snowman Deluxe Edition)</t>
  </si>
  <si>
    <t>3xNM6we9XWkEWUdGtmsEzZ</t>
  </si>
  <si>
    <t>619CzMJPPWrCeZwx5qw6ko,0y4czH6DnvpftiSoy7V3HY,0JB4i9bhEANaZv1c3i3oYq</t>
  </si>
  <si>
    <t>56leojYMGkc6q60IdV45eD</t>
  </si>
  <si>
    <t>7z8fkGpUDt6eb6fyysRTH9</t>
  </si>
  <si>
    <t>5hlxswETS4FB4oCg6g7JHk</t>
  </si>
  <si>
    <t>4EukMPjtYsdi87lkU1hIxN,15NoI73ol1fVF11li1RKMB,0jNDKefhfSbLR9sFvcPLHo</t>
  </si>
  <si>
    <t>3pq2MYMK3wc0Q7WpF4U69S</t>
  </si>
  <si>
    <t>5JnKhmYW8tyDXSSgmtd8cm</t>
  </si>
  <si>
    <t>3XFcu2NnGWceLNdxRCfYH3,7Ez6lTtSMjMf2YSYpukP1I</t>
  </si>
  <si>
    <t>3kdKhMpkjx1RNYTPcX4lNa</t>
  </si>
  <si>
    <t>3z97WMRi731dCvKklIf2X6,2rWCIhENZyPVDAeFC0ESWN</t>
  </si>
  <si>
    <t>2021-11-17</t>
  </si>
  <si>
    <t>7ksAGloyLZyKThB86rErvT</t>
  </si>
  <si>
    <t>45eNHdiiabvmbp4erw26rg,0kErUwb6xgWfkdn0RyZWHZ</t>
  </si>
  <si>
    <t>7qDQhmvXb27hqKQxZ49GYr</t>
  </si>
  <si>
    <t>7pMqgUModTCyS7hpa5n2Lc</t>
  </si>
  <si>
    <t>2HJQDba3IGpXZCVaPUJRuK</t>
  </si>
  <si>
    <t>5UyjnQfu4OsLGiOi3sIoEN,6HL3uLHjsLddvoSXVGDfbQ,3CiuuHKIxxJPoNRvF94GtR</t>
  </si>
  <si>
    <t>2015-10-09</t>
  </si>
  <si>
    <t>3cRi3XR81GltxQOgMfjNBA</t>
  </si>
  <si>
    <t>0DdDnziut7wOo6cAYWVZC5,6RHKEd9dpzQ4c09x8Zdaxu</t>
  </si>
  <si>
    <t>Taped Up Heart (feat. Clara Mae)</t>
  </si>
  <si>
    <t>2016-10-13</t>
  </si>
  <si>
    <t>4GITtbZtRCQXhWLMXrWXHt</t>
  </si>
  <si>
    <t>2015-08-27</t>
  </si>
  <si>
    <t>0R3mkRW66QDuy9VyCemMTz</t>
  </si>
  <si>
    <t>Night Visions (Deluxe)</t>
  </si>
  <si>
    <t>3gnUJ718yQ9a4LNWnlK0nV</t>
  </si>
  <si>
    <t>2r3nT8U59ulAVtSjcccOYG</t>
  </si>
  <si>
    <t>6SCDzH7OCgpzwCP8yo7HIP</t>
  </si>
  <si>
    <t>2GjMaJ7DacMIkgoe8oMXGg</t>
  </si>
  <si>
    <t>0X2BH1fck6amBIoJhDVmmJ,5fMUXHkw8R8eOP2RNVYEZX,1zNqQNIdeOUZHb8zbZRFMX</t>
  </si>
  <si>
    <t>Brightest Blue</t>
  </si>
  <si>
    <t>2020-07-17</t>
  </si>
  <si>
    <t>05SBRd4fXgn8FX7bf8BCAE</t>
  </si>
  <si>
    <t>5P9exvsk9y6jtZQOTevxGa</t>
  </si>
  <si>
    <t>0X2BH1fck6amBIoJhDVmmJ,1JPy5PsJtkhftfdr6saN2i</t>
  </si>
  <si>
    <t>Workout Mix 2021</t>
  </si>
  <si>
    <t>0LRCcpSgeozipxPpRg5wzx</t>
  </si>
  <si>
    <t>0X2BH1fck6amBIoJhDVmmJ</t>
  </si>
  <si>
    <t>International Women's Day</t>
  </si>
  <si>
    <t>5wKDPtbdggE1roeVp3UdXX</t>
  </si>
  <si>
    <t>1APMveRvLxWAB5AI0j11DD,0xECfhlRzRRIIe2Co5HX6n,3QFiymmbJlVBPpnrOatEAk,7B53Suqn5TsVu6S6gIgqeA</t>
  </si>
  <si>
    <t>3hH4JiJWA57DmOSDmMNo73</t>
  </si>
  <si>
    <t>2n2jly4e9kmWEHSX8N0XUa</t>
  </si>
  <si>
    <t>5KrQbdqvojQAp2wxIO1dtQ</t>
  </si>
  <si>
    <t>0lLY20XpZ9yDobkbHI7u1y,2a9bCkqCkLvXM0s3uPvR7M</t>
  </si>
  <si>
    <t>2014-03-17</t>
  </si>
  <si>
    <t>430RPEf2sTLVwdzjjFu7Hk</t>
  </si>
  <si>
    <t>6cwRqYSDYwWsLveCcDRhyY</t>
  </si>
  <si>
    <t>2021-06-02</t>
  </si>
  <si>
    <t>57yL3161hUMuw06zzzUCHi</t>
  </si>
  <si>
    <t>0qMip0B2D4ePEjBJvAtYre</t>
  </si>
  <si>
    <t>0blbVefuxOGltDBa00dspv</t>
  </si>
  <si>
    <t>LEO-NiNE</t>
  </si>
  <si>
    <t>2020-10-14</t>
  </si>
  <si>
    <t>0iGPqIcglmqPUTMv7X2VEb</t>
  </si>
  <si>
    <t>Army of Mushrooms</t>
  </si>
  <si>
    <t>5e447qV9VjEOQfGM682o3W</t>
  </si>
  <si>
    <t>0lLY20XpZ9yDobkbHI7u1y,2a9bCkqCkLvXM0s3uPvR7M,6S2tas4z6DyIklBajDqJxI</t>
  </si>
  <si>
    <t>Hero (Infected Mushroom Remix)</t>
  </si>
  <si>
    <t>0r48OlPoyHrw63U5txtxGi</t>
  </si>
  <si>
    <t>0lLY20XpZ9yDobkbHI7u1y</t>
  </si>
  <si>
    <t>2015-04-03</t>
  </si>
  <si>
    <t>6z1aQHQohZv1WuXYamJFr6</t>
  </si>
  <si>
    <t>0lLY20XpZ9yDobkbHI7u1y,0JP3kmkFK32jTcsDEnYYAr</t>
  </si>
  <si>
    <t>2020-09-11</t>
  </si>
  <si>
    <t>0yJ3zAsOzmPgjTzBbbMWlP</t>
  </si>
  <si>
    <t>3ahHdzUaLWYfWKovnVfqpg,1lAwVq9MxNJkB0dEY6xNoV,1JV42BPeocUJ0EyQh8ug6V,1gi49JL4LNUMlylXm5Z0ZG</t>
  </si>
  <si>
    <t>Can't Kill Me (smle Remix)</t>
  </si>
  <si>
    <t>5W9iFHqiu7QOdiSRPzB0sg</t>
  </si>
  <si>
    <t>4LZ4De2MoO3lP6QaNCfvcu,6u6w26aq4RMgO0i4ZRvAwd,4o0pNHbyj36LPvukNqEug0</t>
  </si>
  <si>
    <t>Go On Then, Love (Odea Remix)</t>
  </si>
  <si>
    <t>6VCAchFXzyE5OYk5Si2zxp</t>
  </si>
  <si>
    <t>72Kc3s9sqNDruvVBYgRSVd</t>
  </si>
  <si>
    <t>0vqJkZ0RpLZixt3lTmD8vP,7502fDxg339jvGV08Jd4R0,4YEl33ar2WlUSF94Yh9CCf</t>
  </si>
  <si>
    <t>1ZxxfkeHKl0YKcPjKzeS4c</t>
  </si>
  <si>
    <t>5jAMCwdNHWr7JThxtMuEyy,6d4jrmreCmsenscuieJERc</t>
  </si>
  <si>
    <t>3GF1jfgwS68YwAdeO92oIA</t>
  </si>
  <si>
    <t>6J3RPKUwZlKMzh3vWa9wPc</t>
  </si>
  <si>
    <t>6ZeCjX9ijwNYkfRsTHWGBz</t>
  </si>
  <si>
    <t>619CzMJPPWrCeZwx5qw6ko,6Nva7JhU0nL9SZ8ZvJni6O</t>
  </si>
  <si>
    <t>23y8qcp5cyHHBHMmKkuaqp</t>
  </si>
  <si>
    <t>6Ld4LUwUqWcMOwX6ka7mv5</t>
  </si>
  <si>
    <t>7pwufEBGfggjoI8twqlsmQ,67qogtRNI0GjUr8PlaG6Zh</t>
  </si>
  <si>
    <t>i hope ur miserable until ur dead (Zeds Dead Remix)</t>
  </si>
  <si>
    <t>1I8pMiv8c8mTP0fvt0pqQs</t>
  </si>
  <si>
    <t>7vk5e3vY1uw9plTHJAMwjN,3XC57xz74X3xUi1hv4mge1</t>
  </si>
  <si>
    <t>24Dz4BuswUpKX4eSTQ7yTj</t>
  </si>
  <si>
    <t>Addict</t>
  </si>
  <si>
    <t>2021-11-10</t>
  </si>
  <si>
    <t>3ZhvnLYY8kyipQVHNyDG20</t>
  </si>
  <si>
    <t>6mqoRGBXxcWtOzK3mNn4xP</t>
  </si>
  <si>
    <t>2017-10-27</t>
  </si>
  <si>
    <t>57JRZbE80MLsYbmb24cPee</t>
  </si>
  <si>
    <t>5V5nbAJxIcyws8m48gnQ6U</t>
  </si>
  <si>
    <t>10th Anniversary Bad Apple!! feat.nomico PHASE3</t>
  </si>
  <si>
    <t>5tJVdHErWeof8gCXJCtDDk</t>
  </si>
  <si>
    <t>0C8ZW7ezQVs4URX5aX7Kqx</t>
  </si>
  <si>
    <t>Rare (Deluxe)</t>
  </si>
  <si>
    <t>2020-04-09</t>
  </si>
  <si>
    <t>5Nu5Uyoauauy9LFePYL1Z3</t>
  </si>
  <si>
    <t>2WWfjbHALIb3e7FMcj9mr4</t>
  </si>
  <si>
    <t>21mKp7DqtSNHhCAU2ugvUw,7MtZPIh0gpnInKFnXGcYDS,4qOzMSukiZoiSjPQw8Zs7s</t>
  </si>
  <si>
    <t>59wlTaYOL5tDUgXnbBQ3my</t>
  </si>
  <si>
    <t>5RkJMrhW5aU2zMuJcZUNmh</t>
  </si>
  <si>
    <t>6RQ9kYbHisp1UUbnfwHNeU</t>
  </si>
  <si>
    <t>2021-02-02</t>
  </si>
  <si>
    <t>52RK8UVEDgUAgpecOpTQM3</t>
  </si>
  <si>
    <t>4lhqb6JvbHId48OUJGwymk</t>
  </si>
  <si>
    <t>4eDYMhIin1pSLIG96f1aD0</t>
  </si>
  <si>
    <t>2tvU2aZg5shvddP8FfDA3g</t>
  </si>
  <si>
    <t>7ddnIV2r4SLjuwyGlgLIWt</t>
  </si>
  <si>
    <t>2016-11-23</t>
  </si>
  <si>
    <t>0MIOfGrjcy8XulxkkR1XXn</t>
  </si>
  <si>
    <t>7D3Q08a4fPvlfImxhKCtUw,7kXDaUD3imvM6el5qK6tAu</t>
  </si>
  <si>
    <t>2017-11-20</t>
  </si>
  <si>
    <t>3binnmgEg49YUDmS8AJTB7</t>
  </si>
  <si>
    <t>5VWI9kk48FmhYiFrKSG35r,33j3x91hqAdS25DWARw3cd</t>
  </si>
  <si>
    <t>2018-06-08</t>
  </si>
  <si>
    <t>62B0mEmX0Nxrbc02OSrnDF</t>
  </si>
  <si>
    <t>3OicELscJlOf5XnrApq6ur,1ZMZiTyBzV869PoeeJrT4a</t>
  </si>
  <si>
    <t>2016-07-12</t>
  </si>
  <si>
    <t>2RCQ5nfZGHGlxQkjoWE7Mq</t>
  </si>
  <si>
    <t>5Z8Qlj0jWh0OOmJ55EwSnu,62ih54WQXcbwFrvhffPxcq</t>
  </si>
  <si>
    <t>2019-03-27</t>
  </si>
  <si>
    <t>5TLTsfTkqp8Oxc2X4H6iRk</t>
  </si>
  <si>
    <t>3HHfEn7yPOy3IiHS6CHG97,46OtpY1n8PieZ55v1gujZJ,1bFCewX0zWBG0oSObnNH8t</t>
  </si>
  <si>
    <t>2018-08-13</t>
  </si>
  <si>
    <t>78dJaE74e3wcZhJF6wlJKw</t>
  </si>
  <si>
    <t>1xA5AOXX36WRToBlM06O4K,13Ughdnah08MoMi0V6EhGO</t>
  </si>
  <si>
    <t>Butterfly (Bass Remixes)</t>
  </si>
  <si>
    <t>2014-11-08</t>
  </si>
  <si>
    <t>3hQwuHwIVvHY8Y9R3K2W29</t>
  </si>
  <si>
    <t>1f5i5Bw85OxpzVdTzcz3Ah,7ppllgzNRgrnOjYbsyDzO6,1521R3ksLyQyFeqdtaSZUZ</t>
  </si>
  <si>
    <t>Your Love (Remixes)</t>
  </si>
  <si>
    <t>2015-12-23</t>
  </si>
  <si>
    <t>690z9mt6FTqWa3kPld9rzD</t>
  </si>
  <si>
    <t>1Ok5WQlGEnuFOiUlpCKcVT</t>
  </si>
  <si>
    <t>74Iek9QLydiQPtGcnHqHe8</t>
  </si>
  <si>
    <t>3L7JnVovGbYSUmRyqhXMYO,3RTklnRcfHgkQJwFpgOq3t</t>
  </si>
  <si>
    <t>2018-08-23</t>
  </si>
  <si>
    <t>2EeujvJimt6SNSbIKOjI4v</t>
  </si>
  <si>
    <t>0cWwLbhs4bX6RLNR0r3FMN</t>
  </si>
  <si>
    <t>2016-04-11</t>
  </si>
  <si>
    <t>5jB0IkgKoNeHcCObpZuPXP</t>
  </si>
  <si>
    <t>3OKg7YbOIatODzkRIbLJR4,4DTbdShHu2RPYEEMUp2XWV</t>
  </si>
  <si>
    <t>3HKYCqtS4pX9YVKGLxfudI</t>
  </si>
  <si>
    <t>0k7WzMGRJ1IDUDM7Ku7qWA</t>
  </si>
  <si>
    <t>3OKg7YbOIatODzkRIbLJR4,23kOQsgl3Wmza7ppIaq0SB,378dH6EszOLFShpRzAQkVM</t>
  </si>
  <si>
    <t>7aXxFccN9szosMa4zV716w</t>
  </si>
  <si>
    <t>3OKg7YbOIatODzkRIbLJR4,1A1ZXMqcpElewwm16R0cmk</t>
  </si>
  <si>
    <t>6XO7MAFWi7H1tHJUbXVHUb</t>
  </si>
  <si>
    <t>5Z9KJZvQzH6PFmb8SNkxuk</t>
  </si>
  <si>
    <t>6T7RlwsNCmCvyYLOvqzpGW</t>
  </si>
  <si>
    <t>56OjNTX2bkrdGcB0staUOV,0jNDKefhfSbLR9sFvcPLHo</t>
  </si>
  <si>
    <t>Loverboy (San Holo Version)</t>
  </si>
  <si>
    <t>1FpVJ7HpZInE2GvhVE2TwT</t>
  </si>
  <si>
    <t>47mIJdHORyRerp4os813jD,6yhD1KjhLxIETFF7vIRf8B</t>
  </si>
  <si>
    <t>2017-09-15</t>
  </si>
  <si>
    <t>1r9xUipOqoNwggBpENDsvJ</t>
  </si>
  <si>
    <t>53XhwfbYqKCa1cC15pYq2q,6U3ybJ9UHNKEdsH7ktGBZ7,57nPqD7z62gDdq37US9XJR,47mIJdHORyRerp4os813jD</t>
  </si>
  <si>
    <t>Enemy (with JID) [from the series Arcane League of Legends]</t>
  </si>
  <si>
    <t>2021-10-28</t>
  </si>
  <si>
    <t>5NnzZNyb6xkleEmGHIxwJu</t>
  </si>
  <si>
    <t>07sxccsfOMu3ZiNG31pn4d</t>
  </si>
  <si>
    <t>5T4UKHhr4HGIC0VzdZQtAE</t>
  </si>
  <si>
    <t>Headliners</t>
  </si>
  <si>
    <t>2007-06-15</t>
  </si>
  <si>
    <t>2yoX1ilBLMw7Zs790aj5Sq</t>
  </si>
  <si>
    <t>6HYyeW4R4oZbUvkjG7t3qH,5aNJpeK3hUdPY9orfExdOF</t>
  </si>
  <si>
    <t>6dvjPTnrQoXfKjgxtE0wF7</t>
  </si>
  <si>
    <t>5HqJR4LXclbZPAwQ636j84,68Spx9j3Okz0PeAjH95QPp</t>
  </si>
  <si>
    <t>5o2ZEjbaRw7Su7oJSmAjzA</t>
  </si>
  <si>
    <t>0UUg4WqiuFaqavE3JSZtHQ,26WhfuY1AlbaDtGueXJJXN</t>
  </si>
  <si>
    <t>2019-09-04</t>
  </si>
  <si>
    <t>4pdiWRzBu8ktzjsx6dvexg</t>
  </si>
  <si>
    <t>3cMInYqk6yzf37zo8iznoz,3RTklnRcfHgkQJwFpgOq3t</t>
  </si>
  <si>
    <t>0U7mpjNkCqXY9pgzHXh2lW</t>
  </si>
  <si>
    <t>4yzZdtb9UicgY2M23eEtL9,3l0H4QNiYYNdIsnZ4JgJAg</t>
  </si>
  <si>
    <t>Where Do We Go (VIP)</t>
  </si>
  <si>
    <t>2019-12-20</t>
  </si>
  <si>
    <t>3kl8KxcJL3RFXw6olRgvjI</t>
  </si>
  <si>
    <t>4nE5XDjvi5Gd4XbVnHGjnE</t>
  </si>
  <si>
    <t>2019-06-21</t>
  </si>
  <si>
    <t>7oOSqyTBbSwUiyHuQT6nWw</t>
  </si>
  <si>
    <t>68WwJXWrpo1yVOOIZjLSeT</t>
  </si>
  <si>
    <t>Salvation</t>
  </si>
  <si>
    <t>2ppvC01nG83dAwD8uNQPfT</t>
  </si>
  <si>
    <t>0qz9rkkUxl0bw1eE2dJRlL,5ozPcZIq58t9l0ESTJ04om,25c6kCI03Lse7RhppTngkU</t>
  </si>
  <si>
    <t>2018-07-07</t>
  </si>
  <si>
    <t>5X9NXoU3sBboFn7lrOP5f5</t>
  </si>
  <si>
    <t>7mnuMLgvXdCWzyB4sQCG7k</t>
  </si>
  <si>
    <t>2018-08-30</t>
  </si>
  <si>
    <t>1GwqcAFR5f3r5xdwtYuuY4</t>
  </si>
  <si>
    <t>007nYTXRhZJUZGH7ct5Y3v,17aCDXnpzF1XYVe0QrsRvs,3RTklnRcfHgkQJwFpgOq3t</t>
  </si>
  <si>
    <t>2018-10-19</t>
  </si>
  <si>
    <t>3pHgessdtkevxngWcUzsGU</t>
  </si>
  <si>
    <t>7p24N1hqcZaGRNmaYMCTjx,4w5LgUT6bfJnNq6wSFbND7,1y2nMsmj0osjLiXHri15M1</t>
  </si>
  <si>
    <t>2019-08-06</t>
  </si>
  <si>
    <t>0sdjMnXYPbWiyK1WkjZSDT</t>
  </si>
  <si>
    <t>4E69riquObrTmBTVuF1b7B,4w5LgUT6bfJnNq6wSFbND7</t>
  </si>
  <si>
    <t>2016-09-12</t>
  </si>
  <si>
    <t>17r4VyWLomx5kbyzS0Jk3c</t>
  </si>
  <si>
    <t>4QDvXnbmw1znkqkK1119Fc,1kvPwRRVHcVdA8YY7RHmoz</t>
  </si>
  <si>
    <t>Elevated: The Remixes</t>
  </si>
  <si>
    <t>2016-07-22</t>
  </si>
  <si>
    <t>2u4teTqHFfLdQfm5hIDYq7</t>
  </si>
  <si>
    <t>6kx1NiHogZzkSU7lHMc3Ow</t>
  </si>
  <si>
    <t>2018-12-12</t>
  </si>
  <si>
    <t>15t8MX7yaDzyQixsI2TFEe</t>
  </si>
  <si>
    <t>3GTclJDhrh2C4k8VveMhM6,7wLyGTO9vUS7ndlq4BvBGe</t>
  </si>
  <si>
    <t>2017-08-30</t>
  </si>
  <si>
    <t>1O8ZaFRNHEse7DgmPI1rZX</t>
  </si>
  <si>
    <t>11gWrKZMBsGQWmobv3oNfW,0AlNB0yIoyxdKloLmK9AOR</t>
  </si>
  <si>
    <t>Church (The Remixes)</t>
  </si>
  <si>
    <t>2018-03-30</t>
  </si>
  <si>
    <t>2yLZhcqXkvdFVqiJTSw9FG</t>
  </si>
  <si>
    <t>0CFUv5iCAvSy9DkMxIkUwG,73XgyFPPVBCDDSj1lp2Gmx</t>
  </si>
  <si>
    <t>2018-10-17</t>
  </si>
  <si>
    <t>4uUR5DzNHxOiF04b0s4BOK</t>
  </si>
  <si>
    <t>0AlNB0yIoyxdKloLmK9AOR,4eQdWmZw2wUyWb2jV3wcYi</t>
  </si>
  <si>
    <t>3EoGvb5vjZxYwbkeA9UeCj</t>
  </si>
  <si>
    <t>7vWC03wqXwUqjPON8hc1tz,0mEUqATSCsYZUTyL09kB8g</t>
  </si>
  <si>
    <t>Imaginary Friends (TELYKast Remix)</t>
  </si>
  <si>
    <t>2016-12-13</t>
  </si>
  <si>
    <t>646kATrg64tASb337eJfH9</t>
  </si>
  <si>
    <t>6HraHl4uwIQFixUu3J49BK,24CzPFC4y3bM4AkUnZfuAU</t>
  </si>
  <si>
    <t>2018-07-23</t>
  </si>
  <si>
    <t>6j0xFTxOxYlSGMZketPIGp</t>
  </si>
  <si>
    <t>7wqWpJmkmXr5e8dcXdbrC6,3CiuuHKIxxJPoNRvF94GtR</t>
  </si>
  <si>
    <t>2013-03-31</t>
  </si>
  <si>
    <t>5J8m6w5VmswbMBYUAFf44t</t>
  </si>
  <si>
    <t>4gzpq5DPGxSnKTe4SA8HAU,1h6Cn3P4NGzXbaXidqURXs</t>
  </si>
  <si>
    <t>Until Now</t>
  </si>
  <si>
    <t>5EJcVJZBl6HTfSf6z4dC78</t>
  </si>
  <si>
    <t>1h6Cn3P4NGzXbaXidqURXs,2RdwBSPQiwcmiDo9kixcl8</t>
  </si>
  <si>
    <t>4NGikVnR4wpcB79gZE7tgg</t>
  </si>
  <si>
    <t>3sgFRtyBnxXD5ESfmbK4dl,6wdvERzX4CUCOXu6hSS95x</t>
  </si>
  <si>
    <t>68rRbbwmXydDOqhArVTFTX</t>
  </si>
  <si>
    <t>3sgFRtyBnxXD5ESfmbK4dl</t>
  </si>
  <si>
    <t>70Vdd1gx5tn84jkAU31ASv</t>
  </si>
  <si>
    <t>7mitXLIMCflkhZiD34uEQI</t>
  </si>
  <si>
    <t>3sgFRtyBnxXD5ESfmbK4dl,2jLE4BoXHriQ96JagEtiDP,53sIBaVjXQhfH89Vu6nEGh</t>
  </si>
  <si>
    <t>3JA9Jsuxr4xgHXEawAdCp4</t>
  </si>
  <si>
    <t>The Beginning</t>
  </si>
  <si>
    <t>4NCsrTzgVfsDo8nWyP8PPc</t>
  </si>
  <si>
    <t>1yxSLGMDHlW21z4YXirZDS,1vyhD5VmyZ7KMfW5gqLgo5</t>
  </si>
  <si>
    <t>4kLLWz7srcuLKA7Et40PQR</t>
  </si>
  <si>
    <t>5pmL3RzOy3IvGFaSDi4hZL</t>
  </si>
  <si>
    <t>6MF9fzBmfXghAz953czmBC,0jnsk9HBra6NMjO2oANoPY</t>
  </si>
  <si>
    <t>TY.O (International Version)</t>
  </si>
  <si>
    <t>7ElF5zxOwYP4qVSWVvse3W</t>
  </si>
  <si>
    <t>6MF9fzBmfXghAz953czmBC</t>
  </si>
  <si>
    <t>The Rokstarr Hits Collection</t>
  </si>
  <si>
    <t>2CEgGE6aESpnmtfiZwYlbV</t>
  </si>
  <si>
    <t>5A8jUZatix87xG0Zj6HSKG</t>
  </si>
  <si>
    <t>2C2sVVXanbOpymYBMpsi89</t>
  </si>
  <si>
    <t>Symphony Soldier</t>
  </si>
  <si>
    <t>2011</t>
  </si>
  <si>
    <t>6BX787r5M59aRtAcywwzr6</t>
  </si>
  <si>
    <t>5nkYRuiIHg2xXHFC8bfosJ</t>
  </si>
  <si>
    <t>Stamp!</t>
  </si>
  <si>
    <t>7H881krNfbDK6IgOp3mApQ</t>
  </si>
  <si>
    <t>50YUlSM9xB8BSdZC0EKk9Z</t>
  </si>
  <si>
    <t>2018-06-13</t>
  </si>
  <si>
    <t>45EDI3rk0f4cAMt9f8b56R</t>
  </si>
  <si>
    <t>4M6Z1wubeKtwPqbjJygTOc</t>
  </si>
  <si>
    <t>No Gravity</t>
  </si>
  <si>
    <t>0fQfJFfngYfG26560HLMLN</t>
  </si>
  <si>
    <t>3Isy6kedDrgPYoTS1dazA9,5WUlDfRSoLAfcVSX1WnrxN</t>
  </si>
  <si>
    <t>5zRljvpgY1elGsc18Qp3tC</t>
  </si>
  <si>
    <t>45eNHdiiabvmbp4erw26rg,4LZ4De2MoO3lP6QaNCfvcu</t>
  </si>
  <si>
    <t>Fallen Embers (Deluxe Version)</t>
  </si>
  <si>
    <t>1dVn0YP06AMySJXG6hdC55</t>
  </si>
  <si>
    <t>45eNHdiiabvmbp4erw26rg,7d5SfGXKpgS3JK8BFIq59h,42CbYw1Y9fAdCr6UND2P5f</t>
  </si>
  <si>
    <t>0jitsmziKMI9MpzENnB0Tc</t>
  </si>
  <si>
    <t>45eNHdiiabvmbp4erw26rg,4qWnlmXWuGv2TtuxtIWlJX</t>
  </si>
  <si>
    <t>72srz1PlxoUUNiw6JcqaaI</t>
  </si>
  <si>
    <t>45eNHdiiabvmbp4erw26rg,1vSN1fsvrzpbttOYGsliDr,4FXGRMSHh2JjHxVwS8dhH1</t>
  </si>
  <si>
    <t>2nLtzopw4rPReszdYBJU6h</t>
  </si>
  <si>
    <t>6XyY86QOPPrYVGvF9ch6wz</t>
  </si>
  <si>
    <t>Meteora</t>
  </si>
  <si>
    <t>2003-03-24</t>
  </si>
  <si>
    <t>18lR4BzEs7e3qzc0KVkTpU</t>
  </si>
  <si>
    <t>Minutes to Midnight</t>
  </si>
  <si>
    <t>2007-05-14</t>
  </si>
  <si>
    <t>5rYkBePHNBTB9CmHP8Bsek</t>
  </si>
  <si>
    <t>619CzMJPPWrCeZwx5qw6ko,6UZvJbrEJxkycbgUznMIF9,1YjaVTeHBlVRRxbk7H30HN</t>
  </si>
  <si>
    <t>2020-12-16</t>
  </si>
  <si>
    <t>0n0NNaHwAvYpWdTJyGxrnS</t>
  </si>
  <si>
    <t>619CzMJPPWrCeZwx5qw6ko</t>
  </si>
  <si>
    <t>2019-10-25</t>
  </si>
  <si>
    <t>7aJh7TGMukLyAml4uAwTti</t>
  </si>
  <si>
    <t>0Uo43DNldd7aNxizhKgowg</t>
  </si>
  <si>
    <t>619CzMJPPWrCeZwx5qw6ko,0y4czH6DnvpftiSoy7V3HY,1YjaVTeHBlVRRxbk7H30HN</t>
  </si>
  <si>
    <t>2020-05-08</t>
  </si>
  <si>
    <t>5spdcS6enZ9tQrsIbUbD1R</t>
  </si>
  <si>
    <t>4ivfOZMa6lNjfcfpubOg6q,2muaKB2dAVbfGrPySPiZqF,0xD6n0wj7aqV5g5LcRNBUd</t>
  </si>
  <si>
    <t>2BITjwt5C8UZsqmhQMFcSY</t>
  </si>
  <si>
    <t>0YVFdCm1S3ikQU0yl110lu,2ezBCz6kkE2zjl04mecpUM</t>
  </si>
  <si>
    <t>2019-06-12</t>
  </si>
  <si>
    <t>630NiPTctVxSOSXaqFdPVS</t>
  </si>
  <si>
    <t>1bgWqGp78w6C8CNPvD6Qlo,7zVOa12T0RhNRzpbwZ4OCt</t>
  </si>
  <si>
    <t>2018-07-05</t>
  </si>
  <si>
    <t>3OoYjnQYsR5ztIxni5Cb7K</t>
  </si>
  <si>
    <t>5eOyDcFvvdc7D7BD6gCdsi,09KYpkm7IEPR3nc8omKpSY</t>
  </si>
  <si>
    <t>Through the Night (The Remixes)</t>
  </si>
  <si>
    <t>2016-04-05</t>
  </si>
  <si>
    <t>2BHaCW8suuDdHWtY4TRj0g</t>
  </si>
  <si>
    <t>0eW2N88UpBG0giW7LJOaY2</t>
  </si>
  <si>
    <t>351b8ocIp8LVDz9rzp8YmA</t>
  </si>
  <si>
    <t>54pgkpWVgQYbQXD8bkUP8n</t>
  </si>
  <si>
    <t>2veguFezRMkboJqtctEI8B</t>
  </si>
  <si>
    <t>4JznCAfxUluG6YAdAiM0YE,46schiPKx3WhuYpa4XykpL</t>
  </si>
  <si>
    <t>2017-02-17</t>
  </si>
  <si>
    <t>2DpfZvnUliPXDoLyamKsDw</t>
  </si>
  <si>
    <t>6TaaqqCMRMSpvNHClfnbEL,7rKQj8DUrHJcmEnQKCrh1L</t>
  </si>
  <si>
    <t>2016-04-29</t>
  </si>
  <si>
    <t>1PvZK9rWU1QShTA4dah4fs</t>
  </si>
  <si>
    <t>6TaaqqCMRMSpvNHClfnbEL</t>
  </si>
  <si>
    <t>5PAO1KWruUA0lSCJwBjFBu</t>
  </si>
  <si>
    <t>6TaaqqCMRMSpvNHClfnbEL,5DNApAt05XowaylsOJo1eW</t>
  </si>
  <si>
    <t>0DxuarGCeqEufgkvOSwAXF</t>
  </si>
  <si>
    <t>4RM4DWkoKwoLd2o1awgH9V</t>
  </si>
  <si>
    <t>0oFD2ZwZEKjGl9QhpsbHJ5</t>
  </si>
  <si>
    <t>1oj0wAs3BA4sb43ZvoIfgm</t>
  </si>
  <si>
    <t>6TaaqqCMRMSpvNHClfnbEL,2RXmfgMl9V8akCT4wzTyE9</t>
  </si>
  <si>
    <t>5Yo82MeYRWp1cm0Z3c4QfO</t>
  </si>
  <si>
    <t>6TaaqqCMRMSpvNHClfnbEL,5PYXKU2PUFplxNjbE3pYU5</t>
  </si>
  <si>
    <t>3MyMHVs0xaO5zVCU0ES5h4</t>
  </si>
  <si>
    <t>5SASWhvrGoHq7QK06Gh17I</t>
  </si>
  <si>
    <t>6TaaqqCMRMSpvNHClfnbEL,0PyV4VBxPsxRmInWJWxqkm</t>
  </si>
  <si>
    <t>41ZJtNo49LRvp3gmE7ffMq</t>
  </si>
  <si>
    <t>3VuJ5dbE0XEhdOgiaHDvNs</t>
  </si>
  <si>
    <t>6TaaqqCMRMSpvNHClfnbEL,3Y43xMeiPftAookVOSKu1Y</t>
  </si>
  <si>
    <t>3kzo68M2MvjbtEdYxa9EW0</t>
  </si>
  <si>
    <t>6TaaqqCMRMSpvNHClfnbEL,1mgNVAgWBv1L9CvAocHTTD</t>
  </si>
  <si>
    <t>20ZWeNeklm76rirBb4JigS</t>
  </si>
  <si>
    <t>4p8nb7TMZ9hta2igswtJZA,6TaaqqCMRMSpvNHClfnbEL</t>
  </si>
  <si>
    <t>Maduk Summer Remixes (Liquicity Presents)</t>
  </si>
  <si>
    <t>2015-06-15</t>
  </si>
  <si>
    <t>2wWq78julmRgUtT3SZAYf5</t>
  </si>
  <si>
    <t>6TaaqqCMRMSpvNHClfnbEL,5fO3cjaQXn3DpDsxlJbmQJ,4ibZB3pfiUeItXDISCdlAw</t>
  </si>
  <si>
    <t>0cvxGtA2GcmiB1YXKEqosQ</t>
  </si>
  <si>
    <t>6TaaqqCMRMSpvNHClfnbEL,0KHbfKgoMNLLCl2vwsh97x</t>
  </si>
  <si>
    <t>1mGe9zY9P0Kjj9RKp5MsPA</t>
  </si>
  <si>
    <t>6TaaqqCMRMSpvNHClfnbEL,7u7MDzwo7VtVe7FhS3cq8Y</t>
  </si>
  <si>
    <t>7G7UPPyCkfz4ewkZa49bA2</t>
  </si>
  <si>
    <t>6TaaqqCMRMSpvNHClfnbEL,3iEPGgJzNDexM0WPqpcvMB,1EDTEfdQZ9nRsyZjfRNEfo</t>
  </si>
  <si>
    <t>6YultDhgOUR5bd8DNxdWXD</t>
  </si>
  <si>
    <t>7muzHifhMdnfN1xncRLOqk,6TaaqqCMRMSpvNHClfnbEL</t>
  </si>
  <si>
    <t>Rampage Sampler 02</t>
  </si>
  <si>
    <t>3iKBtYoamggdtSbDL9FUCa</t>
  </si>
  <si>
    <t>6TaaqqCMRMSpvNHClfnbEL,3CiuuHKIxxJPoNRvF94GtR</t>
  </si>
  <si>
    <t>42QJ7iyl66MSJh5szVe4sF</t>
  </si>
  <si>
    <t>7GvVTb8yFV0ZrdI30Qce6T,1WGex9YdmT4TZjmmMirZA8,3v8mPL4Pc4EkcPZS45AUTG,6TaaqqCMRMSpvNHClfnbEL</t>
  </si>
  <si>
    <t>Stay (Maduk Remix)</t>
  </si>
  <si>
    <t>2018-01-24</t>
  </si>
  <si>
    <t>3VPBqHUd17ZvEgabW9ZOUU</t>
  </si>
  <si>
    <t>Ghost Assassin EP</t>
  </si>
  <si>
    <t>2012-07-16</t>
  </si>
  <si>
    <t>6FG6SUY8zPiSMEsTMY1r07</t>
  </si>
  <si>
    <t>6TaaqqCMRMSpvNHClfnbEL,2Pdhwac5oHsY95PeUq6VBS</t>
  </si>
  <si>
    <t>Motions EP</t>
  </si>
  <si>
    <t>2014-11-10</t>
  </si>
  <si>
    <t>2X0JysN4YGorlkSvhTOvRO</t>
  </si>
  <si>
    <t>7vk5e3vY1uw9plTHJAMwjN,6pWcSL9wSJZQ9ne0TnhdWr,0xu4jAQQv7ZAqvFGdc9HgP</t>
  </si>
  <si>
    <t>3Jzcw92Z8CGLoQ1hXZuQXe</t>
  </si>
  <si>
    <t>395SEGRz34Y6TFD55QxwQy</t>
  </si>
  <si>
    <t>When I Close My Eyes</t>
  </si>
  <si>
    <t>59CrwNtNqzOmODXRxwaknc</t>
  </si>
  <si>
    <t>6M2wZ9GZgrQXHCFfjv46we</t>
  </si>
  <si>
    <t>Future Nostalgia</t>
  </si>
  <si>
    <t>2020-03-27</t>
  </si>
  <si>
    <t>1imMjt1YGNebtrtTAprKV7</t>
  </si>
  <si>
    <t>2eAAEa8pxKF7My0EO4rFgR</t>
  </si>
  <si>
    <t>Dua Lipa (Deluxe)</t>
  </si>
  <si>
    <t>5NsBE1bicsMCJJqtuZ8dND</t>
  </si>
  <si>
    <t>0ZED1XzwlLHW4ZaG4lOT6m</t>
  </si>
  <si>
    <t>2021-10-13</t>
  </si>
  <si>
    <t>0rWV5Y6vWg47cl3MCrTpWN</t>
  </si>
  <si>
    <t>0e7Ana1Q5SrYM0Va7z2V7i</t>
  </si>
  <si>
    <t>2kgvaYV2tbNyOonFI3YlfH</t>
  </si>
  <si>
    <t>0hsZGlMNLFZtl7Zwgj2yHX</t>
  </si>
  <si>
    <t>4gzpq5DPGxSnKTe4SA8HAU,0C8ZW7ezQVs4URX5aX7Kqx</t>
  </si>
  <si>
    <t>2021-09-14</t>
  </si>
  <si>
    <t>5RCgDZn3JIY2aA7kFXHXa8</t>
  </si>
  <si>
    <t>71qB68guEJjbvtjlkZ8DF5</t>
  </si>
  <si>
    <t>23fqKkggKUBHNkbKtXEls4,3NPpFNZtSTHheNBaWC82rB</t>
  </si>
  <si>
    <t>5LuQvkBG365ue36BMujtSz</t>
  </si>
  <si>
    <t>7lZauDnRoAC3kmaYae2opv,4YpLN8ZByubASuWnxWokRT</t>
  </si>
  <si>
    <t>Between Broken</t>
  </si>
  <si>
    <t>1zMlybZH0XvDBaX7Lpe2tY</t>
  </si>
  <si>
    <t>1nxolqTzRn39brCPRk5f8v</t>
  </si>
  <si>
    <t>45eNHdiiabvmbp4erw26rg,0RqtSIYZmd4fiBKVFqyIqD</t>
  </si>
  <si>
    <t>73SpzrcaHk0RQPFP73vqVR</t>
  </si>
  <si>
    <t>2020-02-13</t>
  </si>
  <si>
    <t>7odfMLF3aZrdx3OGsoZlYx</t>
  </si>
  <si>
    <t>754r3uGArAqud0JW4IKsKE,28neehTq16uiEbRUScBjS9</t>
  </si>
  <si>
    <t>2019-08-15</t>
  </si>
  <si>
    <t>4toMR7nkzgyC6doMKG0HZw</t>
  </si>
  <si>
    <t>55BFQS36sJYz2B0ClypIvS,0OE65qjIKHqSyU7YWpOQrv,4kLMqs7ECFydJLPlfDnEe5</t>
  </si>
  <si>
    <t>SARAWAK (The Remixes)</t>
  </si>
  <si>
    <t>3fgsjYxhrUfw5V5DbXPbBe</t>
  </si>
  <si>
    <t>58OT6Rhdj8R1bIkeXPlLdP,2dI9ZT6065ZriTTtnRAMM1</t>
  </si>
  <si>
    <t>2019-01-30</t>
  </si>
  <si>
    <t>0QZKaC3N3DRl0E5M497Nde</t>
  </si>
  <si>
    <t>7ENPvuBbgvzxUxphwZYm6t,0ikSe82PvXUZEBuSgxdYoI</t>
  </si>
  <si>
    <t>2017-05-02</t>
  </si>
  <si>
    <t>44Mhjm8slqqzJI2cCXzoXJ</t>
  </si>
  <si>
    <t>0rSZHzeyKxdfnQLoTIbq6U</t>
  </si>
  <si>
    <t>2018-06-27</t>
  </si>
  <si>
    <t>64YoST3D0vFwSALCnUbh3y</t>
  </si>
  <si>
    <t>7A2dTrQMswkIlzDkXYkkV0,2V431yZGG08uroH2CZAgur,1kGOsNu6AxmCp0CQzbyVje</t>
  </si>
  <si>
    <t>2019-04-01</t>
  </si>
  <si>
    <t>2U2aOnNfsaMXXU57F2QyAI</t>
  </si>
  <si>
    <t>55FVjkpZs1zuo3zqBgrKtC,66VgJGpaRMwrNaS2MPqIDf</t>
  </si>
  <si>
    <t>2019-02-05</t>
  </si>
  <si>
    <t>3LPMQUkEKtvgZjVHyxutHA</t>
  </si>
  <si>
    <t>0bI3VA9gVcpoOzrklKgG7V</t>
  </si>
  <si>
    <t>2017-09-13</t>
  </si>
  <si>
    <t>7tgfXYagdbjOj5n6zxx3d4</t>
  </si>
  <si>
    <t>6lO3fSdhsdpeOcrbqAJsRU,5XkWlDmNLDZA8MiOaRm6HQ,5NbLht1MNVM19gY3OIBDwK</t>
  </si>
  <si>
    <t>Love &amp; Hate</t>
  </si>
  <si>
    <t>2016-10-14</t>
  </si>
  <si>
    <t>2wapjU0S7CU5wEY0nkZwbv</t>
  </si>
  <si>
    <t>6BNaPZdAIZAJnbgJRiZz2w,66tyfeU6ZerzudGCX9mXcg,3G9gR0x4v3J2Vek0Fw0yf2</t>
  </si>
  <si>
    <t>2018-03-22</t>
  </si>
  <si>
    <t>29jbdLITkfXSvRsNK5Lvkp</t>
  </si>
  <si>
    <t>3SArT8JtWehqNmycXIZren,7cTaYwNT1P49mASgKULKab</t>
  </si>
  <si>
    <t>2018-05-08</t>
  </si>
  <si>
    <t>6FZDfxM3a3UCqtzo5pxSLZ</t>
  </si>
  <si>
    <t>Manic</t>
  </si>
  <si>
    <t>5RhFmJifQe83FpQ6ZFFTZ5</t>
  </si>
  <si>
    <t>If I Can’t Have Love, I Want Power</t>
  </si>
  <si>
    <t>1VUJRCLXLPB00YeaG0yP2c</t>
  </si>
  <si>
    <t>2LY0E3xg8svCVYXVNTze5T,5MjcGshMggPgIHinIUDaX0</t>
  </si>
  <si>
    <t>Here &amp; Now</t>
  </si>
  <si>
    <t>72G6ThhyvzJkWK87vNE14Y</t>
  </si>
  <si>
    <t>2LY0E3xg8svCVYXVNTze5T,3l0H4QNiYYNdIsnZ4JgJAg</t>
  </si>
  <si>
    <t>5f1d3ypLSIHGXc2crc99ye</t>
  </si>
  <si>
    <t>2LY0E3xg8svCVYXVNTze5T,3MJ2o2vTovueQARKmOzHls</t>
  </si>
  <si>
    <t>040WMeLLZZqpnUCHwP3nOG</t>
  </si>
  <si>
    <t>7FgfVur1vT0yQyKIi0feNB,4AcHt3JxKy59IX7JNNlZn4,0FVj4JuzTyudaXAwfqDQ20</t>
  </si>
  <si>
    <t>Congratulations (Autograf Remix)</t>
  </si>
  <si>
    <t>4TA48C6sa3lRrr2hHFbePR</t>
  </si>
  <si>
    <t>60d24wfXkVzDSfLS6hyCjZ,2vUCVkeZjzDcaoX4gagHdV,0Tob4H0FLtEONHU1MjpUEp</t>
  </si>
  <si>
    <t>2kZSYS1DdHBlkbhoFDsL4E</t>
  </si>
  <si>
    <t>6tJbqTUC2VqqZXEbDGLfYv,3RTklnRcfHgkQJwFpgOq3t</t>
  </si>
  <si>
    <t>7pb8yJOy8I9nxia8VpYehB</t>
  </si>
  <si>
    <t>6g878dtAhjegRHVe5X0ALf</t>
  </si>
  <si>
    <t>0twkGhFxlD2mzQnpvl6SUg</t>
  </si>
  <si>
    <t>0MqXw0plXKIaJtM342hIag,38wxcfNEqMwuPniHvplin5,0ycvq8upLhNmddPdQXhLOy</t>
  </si>
  <si>
    <t>Ghost Town (Arcando Remix)</t>
  </si>
  <si>
    <t>0dNc4kZNk8JrdQCmrVPBqI</t>
  </si>
  <si>
    <t>7z2avKuuiMAT4XZJFv8Rvh,1uU7g3DNSbsu0QjSEqZtEd</t>
  </si>
  <si>
    <t>2021-10-07</t>
  </si>
  <si>
    <t>5ROUkE55LI83kG3ZRmAnum</t>
  </si>
  <si>
    <t>1Uyqa2sdHm1bL5JK4IC4zc,4AT7XlLBevgZIiKvZQ83ye,6HySSUk2KthFj3bd9R61ql</t>
  </si>
  <si>
    <t>0M6kxde1FdGI95X0XPuru6</t>
  </si>
  <si>
    <t>4SQdUpG4f7UbkJG3cJ2Iyj,5WUlDfRSoLAfcVSX1WnrxN</t>
  </si>
  <si>
    <t>2021-10-04</t>
  </si>
  <si>
    <t>507ruNn83I35Qi0QIuiwwg</t>
  </si>
  <si>
    <t>7FIWs0pqAYbP91WWM0vlTQ</t>
  </si>
  <si>
    <t>7dGJo4pcD2V6oG8kP0tJRR,4MCBfE4596Uoi2O4DtmEMz</t>
  </si>
  <si>
    <t>Music To Be Murdered By</t>
  </si>
  <si>
    <t>6or1bKJiZ06IlK0vFvY75k</t>
  </si>
  <si>
    <t>3SipFlNddvL0XNZRLXvdZD</t>
  </si>
  <si>
    <t>5VXPJC0PNpJbzB10A39G8E,1yPdXrLhRc50YbwiwCr1uN</t>
  </si>
  <si>
    <t>2015-06-09</t>
  </si>
  <si>
    <t>1aEsTgCsv8nOjEgyEoRCpS</t>
  </si>
  <si>
    <t>3gIRvgZssIb9aiirIg0nI3,5JMLG56F1X5mFmWNmS0iAp</t>
  </si>
  <si>
    <t>brent ii</t>
  </si>
  <si>
    <t>2021-02-05</t>
  </si>
  <si>
    <t>7DEmItdXqHDTTDsbuVZbUp</t>
  </si>
  <si>
    <t>0xD6n0wj7aqV5g5LcRNBUd</t>
  </si>
  <si>
    <t>2021-04-23</t>
  </si>
  <si>
    <t>4jPy3l0RUwlUI9T5XHBW2m</t>
  </si>
  <si>
    <t>6fWVd57NKTalqvmjRd2t8Z,6ASri4ePR7RlsvIQgWPJpS</t>
  </si>
  <si>
    <t>El Dorado</t>
  </si>
  <si>
    <t>2021-03-26</t>
  </si>
  <si>
    <t>2vBET2pmrQqafaS6zIaYta</t>
  </si>
  <si>
    <t>1yxSLGMDHlW21z4YXirZDS,0EmeFodog0BfCgMzAIvKQp</t>
  </si>
  <si>
    <t>6XWeHAXB5Sx5mXKpFg0TGQ</t>
  </si>
  <si>
    <t>2QlwnS23KrBeshXFyK5U6M</t>
  </si>
  <si>
    <t>Hanging On EP</t>
  </si>
  <si>
    <t>2019-02-01</t>
  </si>
  <si>
    <t>1w2qBWxkHXGT724Aa6oukB</t>
  </si>
  <si>
    <t>1cqiaoyxy8p2oUb3xO4dUt,7slZZW5jBD0wJM5Fc3DAmE</t>
  </si>
  <si>
    <t>2018-11-26</t>
  </si>
  <si>
    <t>4DW7XaEqI1YpUYA1ttlQ7v</t>
  </si>
  <si>
    <t>0qEfm4ATaAE8ojkufr2Za8,15zaxlMHoaKDmYC7Q4339l,7pWbYJ8n408MJQhf2PQYCX,1KhMWhPAn5uqRDVZEKVafO</t>
  </si>
  <si>
    <t>2018-09-13</t>
  </si>
  <si>
    <t>6rfDL4wq8woPlr8VHkPzC7</t>
  </si>
  <si>
    <t>06EfEcjc0vdvI6VNL0soIO,3CiuuHKIxxJPoNRvF94GtR</t>
  </si>
  <si>
    <t>We Are One (Ft. Veela)</t>
  </si>
  <si>
    <t>2cs9NBlRV90brBlocc0nYy</t>
  </si>
  <si>
    <t>5344K3N7rx7kw1HjO8psuq,2uJLLSSefkKOlM3Nry850u</t>
  </si>
  <si>
    <t>7j3crBMNB50LwCF3DCcvgt</t>
  </si>
  <si>
    <t>5mVWu2Ofpm2mlEpuMm3b4Q</t>
  </si>
  <si>
    <t>4yhGckNp8uAAEIi0WjcsGx</t>
  </si>
  <si>
    <t>20cmhoGvN0eyzhmsHJH1Mg,3pJlam8yODJN1AEzmTVGko,4PRItSqasFLl62nmQVBq0C</t>
  </si>
  <si>
    <t>2017-09-21</t>
  </si>
  <si>
    <t>0hNXSYtNpYVtfeME1wZq5r</t>
  </si>
  <si>
    <t>02qHcQfJCm2XlAnaJ5a6Rh</t>
  </si>
  <si>
    <t>2018-05-09</t>
  </si>
  <si>
    <t>2P8MOT07PrPiTjqNPKWVsp</t>
  </si>
  <si>
    <t>2Hchwjfl1DioXcIwbOJkus,3RTklnRcfHgkQJwFpgOq3t</t>
  </si>
  <si>
    <t>2018-10-08</t>
  </si>
  <si>
    <t>1gJTzFQ0oo7Z9RMG5WubZK</t>
  </si>
  <si>
    <t>0JzoOfn4HXDNscG6Z5jUba</t>
  </si>
  <si>
    <t>Parental Advisory Explicit Content</t>
  </si>
  <si>
    <t>2016-11-21</t>
  </si>
  <si>
    <t>0EVbZWxLOZT1siPMzEGNwc</t>
  </si>
  <si>
    <t>3WSK3JppX3N41XHVwQp7Gt</t>
  </si>
  <si>
    <t>2017-02-08</t>
  </si>
  <si>
    <t>6Sz7RrtjyvPZZRFUwFyB0N</t>
  </si>
  <si>
    <t>0M3cZtjQZ8fz3Hbw1A4CwF,375SLS35t7ZHk9DUXFASyf</t>
  </si>
  <si>
    <t>2016-09-30</t>
  </si>
  <si>
    <t>3j2K9vNqP4L2CnHscXNIPb</t>
  </si>
  <si>
    <t>3YpKkSd9uluZRtrh2oUsVn</t>
  </si>
  <si>
    <t>Like I Dream</t>
  </si>
  <si>
    <t>2vWWV8jfEZDPJXB6x7VJra</t>
  </si>
  <si>
    <t>3eOHF8AOlfi4qzTYhTuhxS,1yPdXrLhRc50YbwiwCr1uN</t>
  </si>
  <si>
    <t>2015-12-03</t>
  </si>
  <si>
    <t>5z01Gx5dldV7Uijgr6sLqh</t>
  </si>
  <si>
    <t>1yRxS3CXYM7s6amlkEmozI,6JINIoM2HUR5ZNTJwoR9eC</t>
  </si>
  <si>
    <t>5MhY0IvbqQPoU8PW8MV0eK</t>
  </si>
  <si>
    <t>757FXqX0Osk2pqtgv4E5v4,7b1FMiWXZwOBsxi0uWw6wH</t>
  </si>
  <si>
    <t>2018-02-23</t>
  </si>
  <si>
    <t>7G6EmZRO2S9s9bHvt54EwZ</t>
  </si>
  <si>
    <t>5JSXWmQO8csVUy6hSRu8TA</t>
  </si>
  <si>
    <t>The Feeling's Mutual</t>
  </si>
  <si>
    <t>2021-09-03</t>
  </si>
  <si>
    <t>4lOALPSmNALFWS3dRH2gRH</t>
  </si>
  <si>
    <t>18Nb7k9gprZ6r17bbaiUQZ</t>
  </si>
  <si>
    <t>1kwGj7uDO5WXVXtQLvGJr0,1fzPKzbxV0zBhhquKXLisN</t>
  </si>
  <si>
    <t>6acCFTsXAYNtcs3fwfn5CK</t>
  </si>
  <si>
    <t>6BDsHpxhLwhsffr1P2YvsY</t>
  </si>
  <si>
    <t>3IzdgfOLxHdjB4qGgW82sP</t>
  </si>
  <si>
    <t>4sTQVOfp9vEMCemLw50sbu,3e7awlrlDSwF3iM0WBjGMp,3py4xCfrW0MbgZEQXHp65q,1Cs0zKBU1kc0i8ypK3B9ai</t>
  </si>
  <si>
    <t>Heartbreak Anthem (with David Guetta &amp; Little Mix) [Remixes]</t>
  </si>
  <si>
    <t>7uAGaryp0t0VKDdpkTYdOZ</t>
  </si>
  <si>
    <t>1QZfo8wOrc8ZZGfiYe5egd,0Y0QSi6lz1bPik5Ffjr8sd,2EWsHDexsSInArfFkhA2i6,3NgPUdISxuhtfXHCrqAVKD</t>
  </si>
  <si>
    <t>5cP4zWI6pCKiU9jTN74360</t>
  </si>
  <si>
    <t>2q3GG88dVwuQPF4FmySr9I</t>
  </si>
  <si>
    <t>Chrysalis</t>
  </si>
  <si>
    <t>7q9Jy1GzxPx6qY3gA5aEy3</t>
  </si>
  <si>
    <t>4xRYI6VqpkE3UwrDrAZL8L,55Aa2cqylxrFIXC767Z865,5dHt1vcEm9qb8fCyLcB3HL</t>
  </si>
  <si>
    <t>3USIyrfTbXAtmTkxvnC3Nr</t>
  </si>
  <si>
    <t>5CVsjwjuzUOrlEc2OJbUg4,2hM7Rb0V5wKjvDEgYt1zed</t>
  </si>
  <si>
    <t>5W8HXMOMLtXLz0RGKUtnlZ</t>
  </si>
  <si>
    <t>4utLUGcTvOJFr6aqIJtYWV,6AgTAQt8XS6jRWi4sX7w49,4AA474G2hRfrHyGrfyDseO,7dGJo4pcD2V6oG8kP0tJRR</t>
  </si>
  <si>
    <t>Last One Standing (feat. Polo G, Mozzy &amp; Eminem) [From Venom: Let There Be Carnage]</t>
  </si>
  <si>
    <t>6CixeFGuC6v6scnGWFvIiD</t>
  </si>
  <si>
    <t>2LY0E3xg8svCVYXVNTze5T,0eDNDJ6p75kQRD2dYx6qL5</t>
  </si>
  <si>
    <t>1jLUaPGjk5zwV9kXUt4Jt1</t>
  </si>
  <si>
    <t>6VHjUmQyWCh1WeFv69FzXS</t>
  </si>
  <si>
    <t>6WLP1sraOcF3Gaxp7xBa4p,4s10B1BltDZ1heQIhTFs59,6CCTvLyIHqUhY6VQizt150,3qnMl4DHT4gndzFAcG4FlM,6fcTRFpz0yH79qSKfof7lp,4AT7XlLBevgZIiKvZQ83ye,1Uyqa2sdHm1bL5JK4IC4zc</t>
  </si>
  <si>
    <t>5aSYCqTmfXXNsQOtTqEHq1</t>
  </si>
  <si>
    <t>40HDiLfKm0tXk2FxlJx6aO</t>
  </si>
  <si>
    <t>2015-06-28</t>
  </si>
  <si>
    <t>1ZbzOXEYMJNT1zxqLHyCfA</t>
  </si>
  <si>
    <t>40HDiLfKm0tXk2FxlJx6aO,0xD6n0wj7aqV5g5LcRNBUd</t>
  </si>
  <si>
    <t>2020-02-28</t>
  </si>
  <si>
    <t>2lJtfvPM6z4REAi2eHkPRK</t>
  </si>
  <si>
    <t>2020-11-27</t>
  </si>
  <si>
    <t>7Ie9W94M7OjPoZVV216Xus</t>
  </si>
  <si>
    <t>Recovery</t>
  </si>
  <si>
    <t>2010-06-18</t>
  </si>
  <si>
    <t>2DsGCR3pUm1foiyrkXqQiY</t>
  </si>
  <si>
    <t>4fExyyH6AKHafLf9GpvZ5y,66ywUht0fTVs4HllACHbWp</t>
  </si>
  <si>
    <t>6nzk8HQggbRwl7lmoE2JcM</t>
  </si>
  <si>
    <t>7fTqY9BUStjrd1OoBwV3UO,5UHbXPFqcRsZm7uS5ev8Q1</t>
  </si>
  <si>
    <t>2018-03-08</t>
  </si>
  <si>
    <t>4gEydcORvnoDMg6ENUIveW</t>
  </si>
  <si>
    <t>5hXPnS34O3Kq3O8dkaE9FM,58HLYjCrUoNKPGD4IUqHhM,2SK2TwItyhpY8GJtXm2n0r</t>
  </si>
  <si>
    <t>1hUd4nvkNp5FhbStqsS1gO</t>
  </si>
  <si>
    <t>2016-03-31</t>
  </si>
  <si>
    <t>3yBJZO88l5b0gTGKOGc13n</t>
  </si>
  <si>
    <t>1SeU8Y2rEUpEoeWmUCdQIR,5rG00A9pRANrMDzVI3DrmF,3gY5phLoPwEPBcHXck53XX,6gupvqgG0vn6hPofk7pK7p,45TGBidKQqFyOZus89YBHI</t>
  </si>
  <si>
    <t>So Cold (feat. Lily Denning) [Remixes]</t>
  </si>
  <si>
    <t>2019-11-22</t>
  </si>
  <si>
    <t>0HnJudOldms51Xlzn4XALJ</t>
  </si>
  <si>
    <t>3e27f6Y3wBFJ1YYLNkrjNu</t>
  </si>
  <si>
    <t>2017-09-12</t>
  </si>
  <si>
    <t>6494844xe83cUqJXnKYtBm</t>
  </si>
  <si>
    <t>14eQOEJwQwEFzqlaXuSMjf,4YufGoZSIOTiPSh8KqPYT1,4JznCAfxUluG6YAdAiM0YE</t>
  </si>
  <si>
    <t>2015-12-31</t>
  </si>
  <si>
    <t>5ZzILZizRnw3uCFZh8lTBf</t>
  </si>
  <si>
    <t>71PKfAxQ0TtvYl2dzZZsUI,7e1qyhWgdVEnEjG7Sbb5W0</t>
  </si>
  <si>
    <t>2020-06-24</t>
  </si>
  <si>
    <t>77dAVNtv1mC3o9XwKKNRyE</t>
  </si>
  <si>
    <t>3EXfNuPuR3OFEdlyoSutcG,3RTklnRcfHgkQJwFpgOq3t</t>
  </si>
  <si>
    <t>2018-09-14</t>
  </si>
  <si>
    <t>3RRw7fPsM9N9Zo8C23LFPN</t>
  </si>
  <si>
    <t>6F4KRaTnwZ3ttUYpdo45C8,7vWC03wqXwUqjPON8hc1tz</t>
  </si>
  <si>
    <t>6yH0wPSceVnjlbjhm9npVF</t>
  </si>
  <si>
    <t>4j5KBTO4tk7up54ZirNGvK,0CbeG1224FS58EUx4tPevZ</t>
  </si>
  <si>
    <t>2016-09-23</t>
  </si>
  <si>
    <t>6aiHF2IbJr6lG4Vu9em8KF</t>
  </si>
  <si>
    <t>53XhwfbYqKCa1cC15pYq2q,6TQj5BFPooTa08A7pk8AQ1</t>
  </si>
  <si>
    <t>Believer (Kaskade Remix)</t>
  </si>
  <si>
    <t>0upPEiGV6RrFbKxmo1PIGx</t>
  </si>
  <si>
    <t>2Hqn367geFndjn7SaFNn49</t>
  </si>
  <si>
    <t>2016-12-23</t>
  </si>
  <si>
    <t>5dIz2Q54yzcvyiXHRnvj4C</t>
  </si>
  <si>
    <t>3dz0NnIZhtKKeXZxLOxCam</t>
  </si>
  <si>
    <t>Nurture</t>
  </si>
  <si>
    <t>0nPpDVxWDSWdSIrd26Taja</t>
  </si>
  <si>
    <t>36kCSJg8ZBwiSCUECFKGUy</t>
  </si>
  <si>
    <t>3dz0NnIZhtKKeXZxLOxCam,0g3NiCRhEv7M4SEDMrpItN</t>
  </si>
  <si>
    <t>5g7bsxCqNaucnXpexUoHg8</t>
  </si>
  <si>
    <t>6k4f9cRrCBLxoFQGZHJ8QX</t>
  </si>
  <si>
    <t>6ezauvJT4kX0UvmntXdGQr</t>
  </si>
  <si>
    <t>1UvLYkSfgqGbEgykqBWGx6</t>
  </si>
  <si>
    <t>1VaUIU5YQhheEETQmV4Nlr</t>
  </si>
  <si>
    <t>6MDBkIEBEodrBPG5CPb8IG</t>
  </si>
  <si>
    <t>6uyltToZgo3MDKhCJ7F8Wc</t>
  </si>
  <si>
    <t>4GKSQD4lm08ORPorzi2wOb</t>
  </si>
  <si>
    <t>6aUfT9QOcTHhxLNrf1aVR8</t>
  </si>
  <si>
    <t>5lXNcc8QeM9KpAWNHAL0iS</t>
  </si>
  <si>
    <t>5d6jheZrGY0xNFNDeIGDrY</t>
  </si>
  <si>
    <t>1kwGj7uDO5WXVXtQLvGJr0,28YvCT7aJv6DMie7ltTeqo</t>
  </si>
  <si>
    <t>3z1DnGBH2uhlDekJr0YVzQ</t>
  </si>
  <si>
    <t>2wUjUUtkb5lvLKcGKsKqsR</t>
  </si>
  <si>
    <t>In The Meantime</t>
  </si>
  <si>
    <t>3JK2U6oEU9HgAvXhJVFVVc</t>
  </si>
  <si>
    <t>5CVsjwjuzUOrlEc2OJbUg4,4kDLfNEzcE2lzhHNELxFUZ</t>
  </si>
  <si>
    <t>6oYMPRXMdfHSRZEMG44QUh</t>
  </si>
  <si>
    <t>NO TURNING BACK: THE COLLECTION</t>
  </si>
  <si>
    <t>2021-09-22</t>
  </si>
  <si>
    <t>3aE4H40sir4lVzMG7MxYBj</t>
  </si>
  <si>
    <t>41iVQ05he8SrfIWbZQ58N7,7ppllgzNRgrnOjYbsyDzO6</t>
  </si>
  <si>
    <t>Mystery Machine</t>
  </si>
  <si>
    <t>2019-04-12</t>
  </si>
  <si>
    <t>3PfIrDoz19wz7qK7tYeu62</t>
  </si>
  <si>
    <t>282R6Lvm9nLtpx8AzUwJe0</t>
  </si>
  <si>
    <t>540vIaP2JwjQb9dm3aArA4,1sBkRIssrMs1AbVkOJbc7a,2IDLDx25HU1nQMKde4n61a</t>
  </si>
  <si>
    <t>3qnaJz4uZLC28h6mYwdVQT</t>
  </si>
  <si>
    <t>5IG0S4sVqO1wFhrWG45oXe,4wO0kHiOwf8l9VMJJN9HmG,32ipYqTHbUTacoBhiuo2Hy</t>
  </si>
  <si>
    <t>Our City</t>
  </si>
  <si>
    <t>2014-09-05</t>
  </si>
  <si>
    <t>25YvjoRZnY2FJLq736dDyY</t>
  </si>
  <si>
    <t>1Q50Y9cXWlkNEG6gJfUP1e</t>
  </si>
  <si>
    <t>2018-02-13</t>
  </si>
  <si>
    <t>1reXHA7L7wsF189LU2s1KI</t>
  </si>
  <si>
    <t>2cCoJDNez7SlrY5HuFHTWD,1yPdbOTTLv4OcMzpjegJZN,4JCLnGWZEWOBTKB16dmwED</t>
  </si>
  <si>
    <t>MrSuicideSheep Presents - Taking You Higher</t>
  </si>
  <si>
    <t>7MpoKaCJwBgQMWJYr7jcGq</t>
  </si>
  <si>
    <t>1iyaH6NJWncvktAfUcNht8</t>
  </si>
  <si>
    <t>72LELqkDjL1c6kq8oRaJ3c</t>
  </si>
  <si>
    <t>5H0txxhcfygoz18KeD3Xks</t>
  </si>
  <si>
    <t>2018-01-12</t>
  </si>
  <si>
    <t>5gVDy3WzZtzqctFmI2dQ7w</t>
  </si>
  <si>
    <t>Had - Single</t>
  </si>
  <si>
    <t>2016-02-11</t>
  </si>
  <si>
    <t>78NscxbWBYbqGt9bbIDhSm</t>
  </si>
  <si>
    <t>4i3rHxf0hIOVLaXsvSaaRP,66jMbDnKelB5yUc4jieJge</t>
  </si>
  <si>
    <t>2016-08-12</t>
  </si>
  <si>
    <t>73lc5vA8hIHpfraLV5yz5l</t>
  </si>
  <si>
    <t>6CQXt8ky5LYUbahKIRzeZC,7HhwoWGx2DxP9TM33G1Ca8</t>
  </si>
  <si>
    <t>Mr. Magician (feat. Leanne Louise)</t>
  </si>
  <si>
    <t>2018-07-16</t>
  </si>
  <si>
    <t>0elt9diH6UsDfMUR55BAx8</t>
  </si>
  <si>
    <t>5JMLG56F1X5mFmWNmS0iAp,3ApUX1o6oSz321MMECyIYd</t>
  </si>
  <si>
    <t>Calling All Angels</t>
  </si>
  <si>
    <t>0CoKakshKgdDSDhb1pzWdZ</t>
  </si>
  <si>
    <t>5J5L0yO8Jcdj2MAi9VA89W</t>
  </si>
  <si>
    <t>4CPmM2bmlVbEKmQV8NDlFt</t>
  </si>
  <si>
    <t>0fs8oBR1rx7JIXZi75h7Uu</t>
  </si>
  <si>
    <t>5IDCs8vgMgH9sylhnWCmk9</t>
  </si>
  <si>
    <t>2wUjUUtkb5lvLKcGKsKqsR,2SmW1lFlBJn4IfBzBZDlSh</t>
  </si>
  <si>
    <t>2O84FjR4RW4JDBu8FUZwvX</t>
  </si>
  <si>
    <t>06bun5reMRmLxFCbcB6UHW,4ivfOZMa6lNjfcfpubOg6q,2muaKB2dAVbfGrPySPiZqF</t>
  </si>
  <si>
    <t>4qeHV9T5N3S7KAKryZQp8s</t>
  </si>
  <si>
    <t>5IH6FPUwQTxPSXurCrcIov</t>
  </si>
  <si>
    <t>636kRUoh1D1ZJifHip4RtS</t>
  </si>
  <si>
    <t>05KDKIpxshxrB9BMewaCBW,0oO1IaDOBSeI96HbnCa5pZ,7CajNmpbOovFoOoasH2HaY</t>
  </si>
  <si>
    <t>5qfUdVpFVW6fU7GiVCIolX</t>
  </si>
  <si>
    <t>0vqJkZ0RpLZixt3lTmD8vP,4hR6Bm9YYtktXzjmKhb1Cn,4cJKDGSv4Dz9QycXYmo565</t>
  </si>
  <si>
    <t>2aT0ElqFQvm41WO7rlmUtK</t>
  </si>
  <si>
    <t>6FcP21f8yDVjpQd0AkqvwJ</t>
  </si>
  <si>
    <t>53M4Iv2RkzzxFFvW2B1jhC,161mym5juYaMTRpbcVqmFf</t>
  </si>
  <si>
    <t>ECHO (LET GO) [The Remixes]</t>
  </si>
  <si>
    <t>17TxcuEXJCoUTygoN6PSkr</t>
  </si>
  <si>
    <t>0dE2azLipjakJifWO2xrOO</t>
  </si>
  <si>
    <t>2019-07-04</t>
  </si>
  <si>
    <t>6ZRenQ13CN0GaOnuKL9QNQ</t>
  </si>
  <si>
    <t>27fy6rHPC58Eo2VUu0iJSG,0Cd6nHYwecCNM1sVEXKlYr</t>
  </si>
  <si>
    <t>5ZnOG96081GKWdYzICCzIu</t>
  </si>
  <si>
    <t>4uRYpUQZrNrY5t8tAv3XrD,3dz0NnIZhtKKeXZxLOxCam</t>
  </si>
  <si>
    <t>The Thrill (Porter Robinson Remix)</t>
  </si>
  <si>
    <t>3ZOtfEDoTaNG2HPr9Q6jsw</t>
  </si>
  <si>
    <t>2ojEZEmcQVC3vLNpcoo9rJ,00ib6xsUZ0etKHKU1AAOII,2exrxAvsHLJGxQfPuVp13T,2FF8wcGpikv5RFbAK1rvdZ</t>
  </si>
  <si>
    <t>Long Way Home (Remixes)</t>
  </si>
  <si>
    <t>2017-05-19</t>
  </si>
  <si>
    <t>7cHv7gw9Vh1nSa7xsc9WMG</t>
  </si>
  <si>
    <t>4zgZVOsKuv9mbvnjTVlZBe,440X0w3TPG1zTjCc0aKUtV</t>
  </si>
  <si>
    <t>2016-08-29</t>
  </si>
  <si>
    <t>5sqHHmxiKeVvYlTunEc6wj</t>
  </si>
  <si>
    <t>Bigger Picture - EP (Re-Release)</t>
  </si>
  <si>
    <t>2013-11-18</t>
  </si>
  <si>
    <t>6OIMNp9r4uaJ1AFVYP95IM</t>
  </si>
  <si>
    <t>35kYrnaSGgtzE4pnFWOUnx,21Ejlfz4iislrKjTxjDhYm</t>
  </si>
  <si>
    <t>5RVCam8J1Wnx0Zp5GOlpDn</t>
  </si>
  <si>
    <t>6J4zegMTYP4nGJSpSDvy49,46schiPKx3WhuYpa4XykpL,5NnQdLx16ClNP5haoGdjk7</t>
  </si>
  <si>
    <t>Bring Back the Summer (feat. OLY) [Remixes - Part 2]</t>
  </si>
  <si>
    <t>2016-06-24</t>
  </si>
  <si>
    <t>4Bc5lnLxHWj2nwjGohNHr2</t>
  </si>
  <si>
    <t>2uEo8Rajpdz1AqineCVLHq,1bZhxzq9mhYkPf0wdxGko9</t>
  </si>
  <si>
    <t>Growing Up</t>
  </si>
  <si>
    <t>2015-02-13</t>
  </si>
  <si>
    <t>6VGNqJe0t3EWFQA6S3b4un</t>
  </si>
  <si>
    <t>2uEo8Rajpdz1AqineCVLHq,1bZhxzq9mhYkPf0wdxGko9,30DoC8Ezpk2qU8yRMUzr1x</t>
  </si>
  <si>
    <t>Yours Truly (The Remixes)</t>
  </si>
  <si>
    <t>2015-09-28</t>
  </si>
  <si>
    <t>15St0qWPnH4xKflV39vk28</t>
  </si>
  <si>
    <t>2j00CVYTPx6q9ANbmB2keb,7i5JUEiIBlGHmiyJTS0y3A</t>
  </si>
  <si>
    <t>2020-10-03</t>
  </si>
  <si>
    <t>0AmtCO7OGWwOM4bmBcpFWL</t>
  </si>
  <si>
    <t>3tYJfCciy07wTBt2HpjCQw</t>
  </si>
  <si>
    <t>2014-12-05</t>
  </si>
  <si>
    <t>0dEIca2nhcxDUV8C5QkPYb</t>
  </si>
  <si>
    <t>7Bxv0WL7UC6WwQpk9TzdMJ</t>
  </si>
  <si>
    <t>5roq76ChzYAVVEIEDXalZv</t>
  </si>
  <si>
    <t>2KjxvxgJvbwweNVRMSuIRG,3RTklnRcfHgkQJwFpgOq3t</t>
  </si>
  <si>
    <t>2018-05-28</t>
  </si>
  <si>
    <t>23I0y0fsCAeQvORR2yVbrT</t>
  </si>
  <si>
    <t>6YxrfNCKBcQlbITpmDLErL</t>
  </si>
  <si>
    <t>2016-08-19</t>
  </si>
  <si>
    <t>24e1QCLW7VvxKUaJH8zxbz</t>
  </si>
  <si>
    <t>7DMveApC7UnC2NPfPvlHSU</t>
  </si>
  <si>
    <t>2016-01-15</t>
  </si>
  <si>
    <t>2CD7cNYf6TlH1gGJVuNgWH</t>
  </si>
  <si>
    <t>41it3ogaq2BsdLlZkWTXdO,5eTeHyszhixBkqm4L9xrjW</t>
  </si>
  <si>
    <t>2017-02-09</t>
  </si>
  <si>
    <t>0tIKE84r8SnFMoCM5WfLNG</t>
  </si>
  <si>
    <t>The Silent Miracle</t>
  </si>
  <si>
    <t>2016-01-01</t>
  </si>
  <si>
    <t>6wBWYHcKM1OGozIt6aLg8Y</t>
  </si>
  <si>
    <t>05Zr3tq3xPIxChT2JfMDCe</t>
  </si>
  <si>
    <t>2016-12-09</t>
  </si>
  <si>
    <t>7hjXgc6eOXtYDEgCNROUMs</t>
  </si>
  <si>
    <t>4V2pR2iSd1g0RZCglrP3jn</t>
  </si>
  <si>
    <t>7a1jlIGK7GPiFNOS9AeMXL</t>
  </si>
  <si>
    <t>6zFgFyNPX54npRAw8vSrCC</t>
  </si>
  <si>
    <t>2017-09-01</t>
  </si>
  <si>
    <t>1f3mr077ssAfDq2w3GUjgS</t>
  </si>
  <si>
    <t>1QsT3VKbdtjMxXoy9myb2X,5AqR2eZfXrNkVqztnvq5yv</t>
  </si>
  <si>
    <t>Smack</t>
  </si>
  <si>
    <t>2010-11-15</t>
  </si>
  <si>
    <t>6Ufv48wYcNp822At8Q4k7w</t>
  </si>
  <si>
    <t>3wjluyWXDHiiMKxkhaW1em,7icfzHg2AhHxy65PU58rCP</t>
  </si>
  <si>
    <t>Know U Anymore</t>
  </si>
  <si>
    <t>2017-07-14</t>
  </si>
  <si>
    <t>401Xo6kdmYwDZ5l0RDsjC4</t>
  </si>
  <si>
    <t>19HFRWmRCl27kTk6LeqAO8,0YwZx5vGf17WMCi6KdOt4U</t>
  </si>
  <si>
    <t>Keep Me From You (feat. ODA)</t>
  </si>
  <si>
    <t>6ao7IvKRgqpJfWIKSbnMVu</t>
  </si>
  <si>
    <t>1e8QoqLWgTYpOEGAXdYtEr,5oS6l0G47YindNtVFTzuGf</t>
  </si>
  <si>
    <t>2018-06-01</t>
  </si>
  <si>
    <t>4JSQYAKvuhgGjzpqoMdoCi</t>
  </si>
  <si>
    <t>3pcGjcfEW3YD2Hfk6tDR5S</t>
  </si>
  <si>
    <t>2015-11-23</t>
  </si>
  <si>
    <t>042hLqldvqZaPNKiTW008v</t>
  </si>
  <si>
    <t>1DLsogyGi0pwPtwV78D8uZ</t>
  </si>
  <si>
    <t>3vj8h1Cbjq59DQ5OMYx6L6</t>
  </si>
  <si>
    <t>0QehxnZckus8HjzxCMnPGY</t>
  </si>
  <si>
    <t>2017-11-27</t>
  </si>
  <si>
    <t>5VmpLtRycwbA54XsTffKq4</t>
  </si>
  <si>
    <t>163tK9Wjr9P9DmM0AVK7lm</t>
  </si>
  <si>
    <t>37BZB0z9T8Xu7U3e65qxFy</t>
  </si>
  <si>
    <t>1Xyo4u8uXC1ZmMpatF05PJ,66CXWjxzNUsdJxJ2JdwvnR</t>
  </si>
  <si>
    <t>Save Your Tears (Remix)</t>
  </si>
  <si>
    <t>5HCyWlXZPP0y6Gqq8TgA20</t>
  </si>
  <si>
    <t>0Oe49j06Bjrxs8PltuVeaW</t>
  </si>
  <si>
    <t>2DlGxzQSjYe5N6G9nkYghR,0TnOYISbd1XYRBk9myaseg</t>
  </si>
  <si>
    <t>On The Floor</t>
  </si>
  <si>
    <t>4iAPzwWnP0HMJvcUez7ljC</t>
  </si>
  <si>
    <t>3LjhVl7GzYsza1biQjTpaN,1NyxTiCivDmzgFWYD1V01m</t>
  </si>
  <si>
    <t>Palace (Justin Caruso Remix)</t>
  </si>
  <si>
    <t>7qOoD9Ffl1BaPkogucQHSM</t>
  </si>
  <si>
    <t>0l6M2vf0lC8N42B4spXUSn,1AlMOfS6T5s24LsrLZ2Eji,2TnJ7VOpGzjtKUn0ObpEYe</t>
  </si>
  <si>
    <t>2017-06-12</t>
  </si>
  <si>
    <t>78YgjTRgaEFWHwbvb5KPDd</t>
  </si>
  <si>
    <t>1mhqV3TKErQZb0mZDaR0Xo,6VR1KG7ZYmjRyRRoigJhdf</t>
  </si>
  <si>
    <t>2016-12-19</t>
  </si>
  <si>
    <t>4361bawO46BSPdBlrvYYuy</t>
  </si>
  <si>
    <t>2aUcqyqAZTGkclgzEdPTUT,46D78DW6T5WMLznqYpouDe</t>
  </si>
  <si>
    <t>Here For You (Remix)</t>
  </si>
  <si>
    <t>2018-08-09</t>
  </si>
  <si>
    <t>0J10Hck3wkAYqgyOseqJ0t</t>
  </si>
  <si>
    <t>2ixBQngmF4ZFXYHi8sJTfl,359shARYhqeEGrmwgOEOLS</t>
  </si>
  <si>
    <t>2019-09-26</t>
  </si>
  <si>
    <t>1bjopqLcuzMG9xJQIFB24s</t>
  </si>
  <si>
    <t>3XyvBNwsPBVhCXoYLNNQ84,4k5j2KkfsE7yGO46C0Hm1G,6DU2ULP4B14Bf7WOxsKrPN</t>
  </si>
  <si>
    <t>ADD: Remixes</t>
  </si>
  <si>
    <t>2018-06-25</t>
  </si>
  <si>
    <t>3F1VF7mxKYRSKAeh8xXABt</t>
  </si>
  <si>
    <t>5st4KKihmnSMLRsxWOs2x3,5cUCYy2DOOdTsCNI2GnLnz</t>
  </si>
  <si>
    <t>Evolution</t>
  </si>
  <si>
    <t>70ccDRxekR7tW8iX3AbwzI</t>
  </si>
  <si>
    <t>5Rt7OtfJpjne2jW8qy9Kcz,70urRuTXP7M2orf9bvn3DS</t>
  </si>
  <si>
    <t>2018-02-11</t>
  </si>
  <si>
    <t>7mc1rQvzJdMe8pnH11w3v6</t>
  </si>
  <si>
    <t>1rJ2jr0BuFv7RGACToKrKc</t>
  </si>
  <si>
    <t>2019-05-01</t>
  </si>
  <si>
    <t>59KCneEvdDLNpfw79mckFW</t>
  </si>
  <si>
    <t>7dtJROxWQe3fxxF5t7o67N,0daugAjUgbJSqdlyYNwIbT</t>
  </si>
  <si>
    <t>7hzlzoOwCZ4D3Ow5YZK4kj</t>
  </si>
  <si>
    <t>6Dd3NScHWwnW6obMFbl1BH</t>
  </si>
  <si>
    <t>2019-03-08</t>
  </si>
  <si>
    <t>4HRzgniofb6CXGTAqLgcve</t>
  </si>
  <si>
    <t>50bLYJ4e3ZR2chodK8oMW9,1GrQQZ7U31WfQPQbd3MHx9</t>
  </si>
  <si>
    <t>Sunny Days (BKAYE Remix)</t>
  </si>
  <si>
    <t>6Qs8ouxqpJL6pmGtmm2NA1</t>
  </si>
  <si>
    <t>04m3oUGzjO3EJTQidFzTgM</t>
  </si>
  <si>
    <t>5UGokBrt1QSjpHlmmuormH</t>
  </si>
  <si>
    <t>3sKeaby6GMSJWgYueZaSjE,2eRJjYEaWyGZbOBGYFLBoC</t>
  </si>
  <si>
    <t>2017-03-07</t>
  </si>
  <si>
    <t>65HVEwlclv9a2WjcxDExib</t>
  </si>
  <si>
    <t>6EJHbROPUJyJr8fVE3PkT1</t>
  </si>
  <si>
    <t>6klJygaRN1BFnfgsvTA93d</t>
  </si>
  <si>
    <t>6gDc3AyZUYjioDTF6cpgSN</t>
  </si>
  <si>
    <t>You Were Mine</t>
  </si>
  <si>
    <t>2rUxsuBYIzcbRa5GcZwmah</t>
  </si>
  <si>
    <t>0JpuGd5LWwUn9fHGj8zCTI,741MPRa1PQVH9n6H1hUfl0</t>
  </si>
  <si>
    <t>2016-06-21</t>
  </si>
  <si>
    <t>5cVJ8XcME2LufXUrOmr8uc</t>
  </si>
  <si>
    <t>1xT5p0VBpnZDrvVSjX9sri,2vf1VrfMjSKCONwZk4Anix</t>
  </si>
  <si>
    <t>Without the Sun</t>
  </si>
  <si>
    <t>2016-05-08</t>
  </si>
  <si>
    <t>7qpS2wthpjpM3cGzsVOQbi</t>
  </si>
  <si>
    <t>5gSlfhS3FhzfAruPQh0Wro</t>
  </si>
  <si>
    <t>2017-02-14</t>
  </si>
  <si>
    <t>2x8fXAkfzTIpCzkn4c2U0y</t>
  </si>
  <si>
    <t>3cXbW4iE8p0k89a1sNoXRC,5rnwF5dYTJhlSvdzuu7nwr</t>
  </si>
  <si>
    <t>2014-06-26</t>
  </si>
  <si>
    <t>5JETSrw9wNve5qs8RgTkRw</t>
  </si>
  <si>
    <t>5zId1SmYy46E9v2KQsSTFR,2Lku5fIu2jo19qXhz82Qio</t>
  </si>
  <si>
    <t>2017-03-06</t>
  </si>
  <si>
    <t>2NOphQpnm9lopW82hdYt1U</t>
  </si>
  <si>
    <t>5ektKXWvSR9FjUExrpg1xK</t>
  </si>
  <si>
    <t>Everything is Color</t>
  </si>
  <si>
    <t>5nujrmhLynf4yMoMtj8AQF</t>
  </si>
  <si>
    <t>6M2wZ9GZgrQXHCFfjv46we,4r63FhuTkUYltbVAg5TQnk</t>
  </si>
  <si>
    <t>01J6iy59nDgDoEd0nhqgcu</t>
  </si>
  <si>
    <t>0DRf6JJDQnRnz0Yp209CmH,2nBYkTeSTO2e4B6m3HBEAi,3fuxStOqQv8TiytHeuGiE8</t>
  </si>
  <si>
    <t>Time Is On Your Side</t>
  </si>
  <si>
    <t>2015-08-31</t>
  </si>
  <si>
    <t>3hgiGoLZUoImSQ0iXNrLdZ</t>
  </si>
  <si>
    <t>314GLWdXOYPTR8BTJlLBGx,7LtYuMQ3wFY4fGX8Rvq6gD</t>
  </si>
  <si>
    <t>0b29RCV8LpmnNht0r4LgV1</t>
  </si>
  <si>
    <t>4qWnlmXWuGv2TtuxtIWlJX,1uKcMFoPaE7DktLRi9u6y4</t>
  </si>
  <si>
    <t>Start A Riot (Remixes)</t>
  </si>
  <si>
    <t>50bUDCcMnSItu4sVIzzGGZ</t>
  </si>
  <si>
    <t>3zaxUd86U92CdZkNa6NUo9,6kuFWCCvd7bWB1PV0tJMN2</t>
  </si>
  <si>
    <t>Hex EP</t>
  </si>
  <si>
    <t>2016-03-10</t>
  </si>
  <si>
    <t>2hL14OrOowkCMe8NBT7jZH</t>
  </si>
  <si>
    <t>6roDXEmZ6AARdOUv6x5U2v,6Wis87yBDzJkmiRxsqRNIL</t>
  </si>
  <si>
    <t>7f75nU5LW9DTx73rYGvr41</t>
  </si>
  <si>
    <t>3NmuArRqqfxT4rvFSgb0cx,6t2Rja6dihuxH6Mrgyynp6</t>
  </si>
  <si>
    <t>The Meaning</t>
  </si>
  <si>
    <t>0bkwtvUJpzBoiD8Z7u1kzk</t>
  </si>
  <si>
    <t>6gwInscSxlouXzcmENDqk4,0EbgPXDvaiVP1maVy5eSGt</t>
  </si>
  <si>
    <t>6j6APNofFE8gewjvNuMxjw</t>
  </si>
  <si>
    <t>6SWfXHtwi1BlIKNLGQe0H8,1zAoo3CkxA07wNfCFUsqbx,2J2cyp4PuCELwJr0IvQYXP</t>
  </si>
  <si>
    <t>2016-09-19</t>
  </si>
  <si>
    <t>2BuQC1pHa3BSRfqTb59ZhD</t>
  </si>
  <si>
    <t>3x4FkbNjxjxx0D0Bt7nklp,2bJ1Od9O4eVt9Uv0BOBJIm</t>
  </si>
  <si>
    <t>2019-07-26</t>
  </si>
  <si>
    <t>7iKW4DvUyEN1qq8vbGnoqQ</t>
  </si>
  <si>
    <t>6IJVzOcCM6c9C6YAJCjDi6,0vMvVElK4LDunRzLeiJ37O</t>
  </si>
  <si>
    <t>2c1OLzFPmqZEikkOV8buzx</t>
  </si>
  <si>
    <t>5t9XxQeHFQ0dXRbbEK7MjB,66tyfeU6ZerzudGCX9mXcg</t>
  </si>
  <si>
    <t>6v1br766JXWCdvfTtQKoS0</t>
  </si>
  <si>
    <t>1Yj7SsIEP9k7SsE1HcMBrq,0xD6n0wj7aqV5g5LcRNBUd</t>
  </si>
  <si>
    <t>2019-06-06</t>
  </si>
  <si>
    <t>34CF7Z8H45OjyzfC2ADImp</t>
  </si>
  <si>
    <t>2ZmerElhvxg8uVKCmlZ4ij,3k4i4K7PicHqnodnYhXsJy,0TKM53jIVdbnxkpu4g16Cw</t>
  </si>
  <si>
    <t>12EBJmJQO9jqbA4lOBEirv</t>
  </si>
  <si>
    <t>0bi8SvOYQNuGvbS3b1ZOov,4k5j2KkfsE7yGO46C0Hm1G</t>
  </si>
  <si>
    <t>2ppCZTcNxbpY8RTPHPJt5n</t>
  </si>
  <si>
    <t>532VhOtZQ47TWSTGwbZ4kF,24CzPFC4y3bM4AkUnZfuAU</t>
  </si>
  <si>
    <t>Salt</t>
  </si>
  <si>
    <t>2017-10-10</t>
  </si>
  <si>
    <t>39LLxExYz6ewLAcYrzQQyP</t>
  </si>
  <si>
    <t>3AydLZ1Bp1jShqeA0R1HbN</t>
  </si>
  <si>
    <t>1FmrdSfTqWOzQoEoaS7MWb</t>
  </si>
  <si>
    <t>6GRV3bukjCnKe7Th5o3Gnd</t>
  </si>
  <si>
    <t>45yEuthJ9yq1rNXAOpBnqM</t>
  </si>
  <si>
    <t>Cyclorama</t>
  </si>
  <si>
    <t>2GuIRSthEpYN5MO6PGD7Vx</t>
  </si>
  <si>
    <t>2014-09-21</t>
  </si>
  <si>
    <t>4cktbXiXOapiLBMprHFErI</t>
  </si>
  <si>
    <t>JORDI (Deluxe)</t>
  </si>
  <si>
    <t>5zFglKYiknIxks8geR8rcL</t>
  </si>
  <si>
    <t>04gDigrS5kc9YWfZHwBETP,181bsRPaVXVlUKXrxwZfHK</t>
  </si>
  <si>
    <t>2PFeyFxdxs5d7KJa8cHtaB</t>
  </si>
  <si>
    <t>3hyEbRtp617pNCuuQjyOmc,137W8MRPWKqSmrBGDBFSop,5UjifI1TYefXWn9GdqDOHl,3pcGjcfEW3YD2Hfk6tDR5S</t>
  </si>
  <si>
    <t>Don't Kill My High (Remixes) (feat. Wiz Khalifa &amp; Social House)</t>
  </si>
  <si>
    <t>6aEeFCJEpVKlvLZOVbxDeH</t>
  </si>
  <si>
    <t>2016-05-10</t>
  </si>
  <si>
    <t>5tjpOTsbVVbqWRQuymGnuy</t>
  </si>
  <si>
    <t>69GGBxA162lTqCwzJG5jLp,3pcGjcfEW3YD2Hfk6tDR5S</t>
  </si>
  <si>
    <t>Beach House (Ashworth Remix)</t>
  </si>
  <si>
    <t>2018-12-08</t>
  </si>
  <si>
    <t>7al2umgR86au9ri0VazVD9</t>
  </si>
  <si>
    <t>7n2wHs1TKAczGzO7Dd2rGr,3pcGjcfEW3YD2Hfk6tDR5S</t>
  </si>
  <si>
    <t>Treat You Better (Ashworth Remix)</t>
  </si>
  <si>
    <t>2Nog5joE0e5lUoVdVpyWhl</t>
  </si>
  <si>
    <t>04gDigrS5kc9YWfZHwBETP,1RyvyyTE3xzB2ZywiAwp0i,6cEuCEZu7PAE9ZSzLLc2oQ,0fLTK12xF2IMaNmKMSue6g</t>
  </si>
  <si>
    <t>Cold (R3hab &amp; Khrebto Remix)</t>
  </si>
  <si>
    <t>2NlTOhsAamXOaZciOXbITb</t>
  </si>
  <si>
    <t>04gDigrS5kc9YWfZHwBETP,1RyvyyTE3xzB2ZywiAwp0i</t>
  </si>
  <si>
    <t>Red Pill Blues (Deluxe)</t>
  </si>
  <si>
    <t>1xCC50duOWjuPQmFC0Zntn</t>
  </si>
  <si>
    <t>3K0GDmmiRwn1Zc7RZzTeAz,5EEuae5uigQnwgYCl0s8EF,2Ndq6RparrhEoceel7LC4Z</t>
  </si>
  <si>
    <t>0Sn7DUulIMF23EW6n1l0Dx</t>
  </si>
  <si>
    <t>6dC0rIJNLSFZwqckLgXJ8p,7eCmccnRwPmRnWPw61x6jM,3pcGjcfEW3YD2Hfk6tDR5S</t>
  </si>
  <si>
    <t>Raincoat (Ashworth Remix)</t>
  </si>
  <si>
    <t>357C12wM22JAA1VkYRXYOx</t>
  </si>
  <si>
    <t>5EckDQP1PBlE5Amx34hkJs,1I84ICwXGdegIrMPLkgoaU</t>
  </si>
  <si>
    <t>2M0PF3WQt38vwoKjay5Ioh</t>
  </si>
  <si>
    <t>4lDBihdpMlOalxy1jkUbPl,0rG44YB5yWymQOz8Y08BRd</t>
  </si>
  <si>
    <t>2oXwrVhXdnQDpYEnr4cAlc</t>
  </si>
  <si>
    <t>0z8wRCODl1V4piv2zHPDV5,71WExccCBN2mw0klSzfYzz</t>
  </si>
  <si>
    <t>5VfC4GUJbjxvQCQ2uHgnmT</t>
  </si>
  <si>
    <t>2rYFy6vVM1YiECVIAHaJBY,5pdyjBIaY5o1yOyexGIUc6,76uelwNojJsqjWyG00d8TS</t>
  </si>
  <si>
    <t>Warrior (Remixes)</t>
  </si>
  <si>
    <t>2017-07-28</t>
  </si>
  <si>
    <t>3whmx5Ptrqzx2c101FJFi3</t>
  </si>
  <si>
    <t>6nS5roXSAGhTGr34W6n7Et,3Bd1cgCjtCI32PYvDC3ynO</t>
  </si>
  <si>
    <t>Settle (Deluxe Version)</t>
  </si>
  <si>
    <t>1gWnuGAiTk3Q4yrIbwymUK</t>
  </si>
  <si>
    <t>Caravelle</t>
  </si>
  <si>
    <t>4rPkN1FMzQyFNP9cLUGIIB</t>
  </si>
  <si>
    <t>696ZOHEAFVdRInNVXr29gd</t>
  </si>
  <si>
    <t>0CY3eJtniSnIb5bcatFQz7,1p7UDmjruoza98ozxDHWP4,5UA4NsiBgSQICPFMDKcPAe</t>
  </si>
  <si>
    <t>2017-07-06</t>
  </si>
  <si>
    <t>1m04ThY3rdizcpju0v0TsO</t>
  </si>
  <si>
    <t>2IiAb8uePYOaXo3akiKOZp</t>
  </si>
  <si>
    <t>2017-09-07</t>
  </si>
  <si>
    <t>782YlCwsXdlu2myUme4zyu</t>
  </si>
  <si>
    <t>1s8cu0X2A5YDwCLRN8AjFa</t>
  </si>
  <si>
    <t>Lost Files</t>
  </si>
  <si>
    <t>2018-04-05</t>
  </si>
  <si>
    <t>1YHeCzS5L9xs76eOpAS6WU</t>
  </si>
  <si>
    <t>738wLrAtLtCtFOLvQBXOXp,5WUlDfRSoLAfcVSX1WnrxN,2feDdbD5araYcm6JhFHHw7,5fMUXHkw8R8eOP2RNVYEZX</t>
  </si>
  <si>
    <t>Music Is the Weapon (Reloaded)</t>
  </si>
  <si>
    <t>1p9dxTMtG4gZpLp7yzvT54</t>
  </si>
  <si>
    <t>Rupture 2 merde</t>
  </si>
  <si>
    <t>2021-01-08</t>
  </si>
  <si>
    <t>260V7huyJrXnyYe0dFv2Fa</t>
  </si>
  <si>
    <t>0Psz3az3RIYfJpnsajBT8N</t>
  </si>
  <si>
    <t>75JFxkI2RXiU7L9VXzMkle</t>
  </si>
  <si>
    <t>A Rush of Blood to the Head</t>
  </si>
  <si>
    <t>2002-08-08</t>
  </si>
  <si>
    <t>0dxAvCV7LGcGIJQZuqhmgL</t>
  </si>
  <si>
    <t>45eNHdiiabvmbp4erw26rg,0Cd6nHYwecCNM1sVEXKlYr,20DZAfCuP1TKZl5KcY7z3Q</t>
  </si>
  <si>
    <t>3RiPr603aXAoi4GHyXx0uy</t>
  </si>
  <si>
    <t>A Head Full of Dreams</t>
  </si>
  <si>
    <t>7LVHVU3tWfcxj5aiPFEW4Q</t>
  </si>
  <si>
    <t>X&amp;Y</t>
  </si>
  <si>
    <t>2005-06-07</t>
  </si>
  <si>
    <t>6nek1Nin9q48AVZcWs9e9D</t>
  </si>
  <si>
    <t>Mylo Xyloto</t>
  </si>
  <si>
    <t>0FDzzruyVECATHXKHFs9eJ</t>
  </si>
  <si>
    <t>2014-05-19</t>
  </si>
  <si>
    <t>6RUKPb4LETWmmr3iAEQktW</t>
  </si>
  <si>
    <t>69GGBxA162lTqCwzJG5jLp,4gzpq5DPGxSnKTe4SA8HAU</t>
  </si>
  <si>
    <t>Memories...Do Not Open</t>
  </si>
  <si>
    <t>2017-04-07</t>
  </si>
  <si>
    <t>4Xau1L6V7z6o59couPV1Y4</t>
  </si>
  <si>
    <t>1tJnPDE5oPDB6ZqMsCTTYx,2QH237xSFhmfZJHrRulT7U</t>
  </si>
  <si>
    <t>0QyQawqfiFhgrQ2rD9U2fN</t>
  </si>
  <si>
    <t>4OXTyr247BzbYjri0bUu0h,28hRH6w71u9oXXZuAYBnFX</t>
  </si>
  <si>
    <t>2017-10-23</t>
  </si>
  <si>
    <t>4uQCrpTjuZzPIQ092zaPxf</t>
  </si>
  <si>
    <t>6zi5DHqd1QI9OQfbnDRPrF</t>
  </si>
  <si>
    <t>2016-09-21</t>
  </si>
  <si>
    <t>1WIE72Hc7vZPxGtZc2SvxZ</t>
  </si>
  <si>
    <t>1ZreCbCSHpRcvqYpXlxnYC</t>
  </si>
  <si>
    <t>68NOjWuVYBRXzYwhel3jAl</t>
  </si>
  <si>
    <t>Bounce Into The Music</t>
  </si>
  <si>
    <t>2016-08-02</t>
  </si>
  <si>
    <t>3zALuWfz83gDMxQvEEXFQ1</t>
  </si>
  <si>
    <t>55SUpsj027epu8yi663EKZ</t>
  </si>
  <si>
    <t>Digital Pacific</t>
  </si>
  <si>
    <t>2021-02-12</t>
  </si>
  <si>
    <t>6z1TvLTR0oOsWSJfDrERmj</t>
  </si>
  <si>
    <t>4UK2Lzi6fBfUi9rpDt6cik</t>
  </si>
  <si>
    <t>夏草が邪魔をする</t>
  </si>
  <si>
    <t>2017-06-28</t>
  </si>
  <si>
    <t>6BhwbBtaXivvPHmHCZmxkT</t>
  </si>
  <si>
    <t>20PbUoGyGk7jJgLAgqlauh</t>
  </si>
  <si>
    <t>3tLvKk2N4IGhT3aZceW2Hy,3t66HrWji19Ey3uJE2DSyC,6S3KljEiIOWoLMUyZrkQUc,1I5eQkzyM8jCVZIM3k2bKL</t>
  </si>
  <si>
    <t>5YaskwnGDZFDRipaqzbwQx</t>
  </si>
  <si>
    <t>7jZM5w05mGhw6wTB1okhD9,0u6GtibW46tFX7koQ6uNJZ,5Wg2b4Mp42gicxEeDNawf7</t>
  </si>
  <si>
    <t>0uIwEMEjZDGrZ3NvxK3T9F</t>
  </si>
  <si>
    <t>7vk5e3vY1uw9plTHJAMwjN,5rGrDvrLOV2VV8SCFVGWlj</t>
  </si>
  <si>
    <t>0UKUfxIkDAMZz7hMdiVX3m</t>
  </si>
  <si>
    <t>1KCSPY1glIKqW2TotWuXOR,0gAILSEru1PKMwP0tAqNLS</t>
  </si>
  <si>
    <t>All I Know So Far: Setlist</t>
  </si>
  <si>
    <t>2zsWRxMcUdGjj8TnWkVKw0</t>
  </si>
  <si>
    <t>100sLnojEpcadRx4edEBA6</t>
  </si>
  <si>
    <t>Kicker</t>
  </si>
  <si>
    <t>2015-01-01</t>
  </si>
  <si>
    <t>0wBI0iW9HAcLi1d7tMYOsm</t>
  </si>
  <si>
    <t>1KXJUpTiNeMv93LrJbbm7G</t>
  </si>
  <si>
    <t>1suqXPrYygZ7BYiSfaVZE4</t>
  </si>
  <si>
    <t>45eNHdiiabvmbp4erw26rg,1vSN1fsvrzpbttOYGsliDr</t>
  </si>
  <si>
    <t>0qH4xYxCrvqO86YyLbkTrB</t>
  </si>
  <si>
    <t>45eNHdiiabvmbp4erw26rg,2WxjxdeF7GGdcCK276qViY</t>
  </si>
  <si>
    <t>23Va3RMYN4pqOjkfvXIDbJ</t>
  </si>
  <si>
    <t>5Ckc2CMW7qtolcX1i75aN0,2AoeqcUs8DySgZRJ9yV4Ou</t>
  </si>
  <si>
    <t>2015-08-23</t>
  </si>
  <si>
    <t>7b3ocRfIQONIrV2Flzg4Dy</t>
  </si>
  <si>
    <t>1l77H77LuXtybJS9PaSQ53,3zphg2zi00Eo0vZV1nPMpf,0SjiMVVtcOsDAOb4fKCCLn,5L3htGbUwUCPPhVM2UtdTY</t>
  </si>
  <si>
    <t>2015-10-03</t>
  </si>
  <si>
    <t>0YYXvmj4RxBjeUeEkZvz44</t>
  </si>
  <si>
    <t>5c8rdJfIrtDTnRak9cuzwv,3xgMsxKjHOB6X5cIwUJY0A</t>
  </si>
  <si>
    <t>2016-02-08</t>
  </si>
  <si>
    <t>7F3VK4EVHJnupGrablybMM</t>
  </si>
  <si>
    <t>1RV87cUPftYXWXWYINpPEf</t>
  </si>
  <si>
    <t>6C0KWmCdqrLU2LzzWBPbOy,1BAdSa5cdtCNLbvT7gWmtJ,6RHKEd9dpzQ4c09x8Zdaxu</t>
  </si>
  <si>
    <t>6nCvwxpO4bQ3ueYBHMMrzf</t>
  </si>
  <si>
    <t>1ic0FHNGIjXZAWH6O6Reif,0IZbORuP8xWUCKVRqLzSru</t>
  </si>
  <si>
    <t>0E5m5p7pJ1wuU8COpKEpZm</t>
  </si>
  <si>
    <t>1qoalO0xHFgZRn4JhRuq7Y,5UA4NsiBgSQICPFMDKcPAe</t>
  </si>
  <si>
    <t>2018-01-22</t>
  </si>
  <si>
    <t>4pMfKfS5wlTrMBSXuLf7vX</t>
  </si>
  <si>
    <t>0Qnx1MPnHYt3jJCYrRFVwX,6cEuCEZu7PAE9ZSzLLc2oQ</t>
  </si>
  <si>
    <t>Low (R3HAB Remix)</t>
  </si>
  <si>
    <t>2BSCX4sEDSR3MrKbnPVzP4</t>
  </si>
  <si>
    <t>1PAn2z7cLcCoRWdGpUU7Qb,0mEUqATSCsYZUTyL09kB8g</t>
  </si>
  <si>
    <t>2018-03-15</t>
  </si>
  <si>
    <t>3zKMZbVprIkztuUfYPlJ3D</t>
  </si>
  <si>
    <t>2jrBiKykLqcIp2S7GLiahy,5jRx3N76S5n2Wx9lU0g9Lr,3xIHOffeC188QWHIiCaLXr</t>
  </si>
  <si>
    <t>2018-07-26</t>
  </si>
  <si>
    <t>25XTNHqQQzVpu68AjjVmG5</t>
  </si>
  <si>
    <t>6IKnR1CI4rkwQewtDoSuOa,6cZrFzGumgIBg0QnixF6Dp,1pYkoc6a3QKymoCVfAWuNc</t>
  </si>
  <si>
    <t>2017-12-29</t>
  </si>
  <si>
    <t>0sqQfsBNFsCVj7cfjOPR8a</t>
  </si>
  <si>
    <t>4RxWKsvHGFe4YbhNA16Dxd,66eJQM6S5JsDe0CdUXnwST</t>
  </si>
  <si>
    <t>2017-04-17</t>
  </si>
  <si>
    <t>4BpOgwx5uxztWS1qitpPhr</t>
  </si>
  <si>
    <t>1RzXK6ikrwaOZBCdt9kZSw,1WcUEKDht7lhgklZZJrzNg</t>
  </si>
  <si>
    <t>Morphine</t>
  </si>
  <si>
    <t>6sFIeNeq18x9JCsCIwTvvw</t>
  </si>
  <si>
    <t>3fjs4zbBFxEFFe8Wyojo0G,6sjsQahFYXgmOmocbuHou3,3wzxasxU7kQxHPr0ky5rJq</t>
  </si>
  <si>
    <t>I Am The Elephante Remixes</t>
  </si>
  <si>
    <t>2RZnNR3IIjOxuRBzx9K3yP</t>
  </si>
  <si>
    <t>6S3KljEiIOWoLMUyZrkQUc,2wX6xSig4Rig5kZU6ePlWe,4DTbdShHu2RPYEEMUp2XWV,2mwT6u3QUHIlTHGzDRCnrk,5VIY8D1hZVFHP9AUWR4iRo</t>
  </si>
  <si>
    <t>Alone (feat. Anjulie &amp; Jeffrey Jey) [Triangle Remix]</t>
  </si>
  <si>
    <t>2020-05-15</t>
  </si>
  <si>
    <t>4FAUrZ8wdf8mV202FcEgn6</t>
  </si>
  <si>
    <t>3WePQc3e2le4Vmh5W2idln</t>
  </si>
  <si>
    <t>1gUAX2ImxDsB3YDcyxMXlB</t>
  </si>
  <si>
    <t>1K436RUzz8izLU8EDDpnx7</t>
  </si>
  <si>
    <t>4s9XvcgdpJfexy18p4i4jd,3V8H59FqUdudlO1Fl019tg,24CzPFC4y3bM4AkUnZfuAU</t>
  </si>
  <si>
    <t>Apollo EP</t>
  </si>
  <si>
    <t>2019-08-23</t>
  </si>
  <si>
    <t>4XB6arHA49I5086SjtkzAo</t>
  </si>
  <si>
    <t>3RTklnRcfHgkQJwFpgOq3t,6BNaPZdAIZAJnbgJRiZz2w,5QMVa6aeXgsplQ4mPdNvEk</t>
  </si>
  <si>
    <t>2016-11-03</t>
  </si>
  <si>
    <t>23XxnNwG7zQA2yESm4Pe2r</t>
  </si>
  <si>
    <t>5WkG4xw3ROjY4Azq86SfIg</t>
  </si>
  <si>
    <t>4dQIgD7UJISX04kOK93YT5</t>
  </si>
  <si>
    <t>6i1GVNJCyyssRwXmnaeEFH,3RTklnRcfHgkQJwFpgOq3t</t>
  </si>
  <si>
    <t>4FvBu3qEvpqTf7xrVkZp1B</t>
  </si>
  <si>
    <t>2c8lJBXnL9RqVgp81tm2np,7rqacjqgs10tZwg7S2DNxR,2FF8wcGpikv5RFbAK1rvdZ</t>
  </si>
  <si>
    <t>Superhuman (Remixes)</t>
  </si>
  <si>
    <t>2014-12-08</t>
  </si>
  <si>
    <t>0hTXTsKPItV2Ewq9hM9E02</t>
  </si>
  <si>
    <t>0XulWOXLrODv92P3JQUvlc,1rR8buApPnEROfM7HQg1Pi</t>
  </si>
  <si>
    <t>Identity Crisis</t>
  </si>
  <si>
    <t>2019-03-01</t>
  </si>
  <si>
    <t>4YIP6Fo4UXUimnsdYKLqXy</t>
  </si>
  <si>
    <t>0DNno4S3vlJSxF22Ckrmxy,67D1tUqLEnKFHZ1almY6oT,3rCt56SZE4UsvRkKjxfuYf,4sKIXx7oUcvZgLdxni53DO</t>
  </si>
  <si>
    <t>Analog EP</t>
  </si>
  <si>
    <t>177nvQv7n7rfW4jkUI7Z40</t>
  </si>
  <si>
    <t>4DabGEOrvBxxta0YlaaJpJ,7ddnIV2r4SLjuwyGlgLIWt</t>
  </si>
  <si>
    <t>16e4wEpqidw16en5zXrzcw</t>
  </si>
  <si>
    <t>6mLXfZ1OfXde8Iy9BfKoHE,1sKIizVYeHkGy7Tjmn9QRj,4AT7XlLBevgZIiKvZQ83ye</t>
  </si>
  <si>
    <t>Deep End (Trivecta Remix)</t>
  </si>
  <si>
    <t>2018-08-17</t>
  </si>
  <si>
    <t>70Yi6dhUwHkofx5WvBIaiv</t>
  </si>
  <si>
    <t>5vQfv3s2Z2SRdPZKr82ABw,7tBpLbevy1QHXITbLo5SIn,3tbQoqzrK8bosy2C197QUe</t>
  </si>
  <si>
    <t>3emrCBwdmP8R1zWyYRYXZT</t>
  </si>
  <si>
    <t>4YXNoMVTHRt01jYaKXTumJ,2AoeqcUs8DySgZRJ9yV4Ou</t>
  </si>
  <si>
    <t>1XdriQaTU2ZxHyASr1c4zT</t>
  </si>
  <si>
    <t>5sbgu7Q0gwfa1uRJaeeapw</t>
  </si>
  <si>
    <t>00CYRdkMnA0mwfy1VQPA7X,7ddnIV2r4SLjuwyGlgLIWt</t>
  </si>
  <si>
    <t>0zCGOmFPvMe2ILYrCFbNje</t>
  </si>
  <si>
    <t>6j1DAkRNEEfYCkASzuPFfZ</t>
  </si>
  <si>
    <t>STILL HERE</t>
  </si>
  <si>
    <t>2018-12-30</t>
  </si>
  <si>
    <t>1xddmaN7Ivc2SQ940oBskZ</t>
  </si>
  <si>
    <t>45eNHdiiabvmbp4erw26rg,7gHscNMDI8FF8pcgrV8eIn</t>
  </si>
  <si>
    <t>5GX6Iq0fmdGNxM6qv4W6Jo</t>
  </si>
  <si>
    <t>2UQ6mFkiLYy5VHRJnajQYT,5P2rwRBgIN450RaJxdjYdA</t>
  </si>
  <si>
    <t>Marching Bands Remixes</t>
  </si>
  <si>
    <t>72IbklY7YeZffWqul0BMep</t>
  </si>
  <si>
    <t>5ZcXM1KFH6hhLoBIdgCnap</t>
  </si>
  <si>
    <t>2021-01-19</t>
  </si>
  <si>
    <t>7Cq2CUMHkefrKchjsiDQ0w</t>
  </si>
  <si>
    <t>5HTQxTfFSx4G2wjgfAHNCj,2mW4zvNb7mfau7NOXpWRpd,3UnKW2I4SWJMttZ44TfNGU</t>
  </si>
  <si>
    <t>2018-07-20</t>
  </si>
  <si>
    <t>4pya80NVwrJ9caL90aKmeT</t>
  </si>
  <si>
    <t>Kiko</t>
  </si>
  <si>
    <t>3jZfDBrmRan5VTi18HDLdN</t>
  </si>
  <si>
    <t>34QbYbTlUCLkZsQ8QmacV9,02yMLWSDWOC5AYKoBy0t39</t>
  </si>
  <si>
    <t>Restore</t>
  </si>
  <si>
    <t>4qS3OGKZfsBVoQZQM4F16s</t>
  </si>
  <si>
    <t>34QbYbTlUCLkZsQ8QmacV9,0eKW3zGBBf66RxxFsl45pf</t>
  </si>
  <si>
    <t>DIORAMA</t>
  </si>
  <si>
    <t>2008-05-28</t>
  </si>
  <si>
    <t>06V9DgbyrIggG4qkN62aBk</t>
  </si>
  <si>
    <t>01olvHW7uzIInQx9VTNuJm,7cNksYHo3MZTuJPnUVAO3E</t>
  </si>
  <si>
    <t>Then &amp; Now (Edited)</t>
  </si>
  <si>
    <t>2015-02-16</t>
  </si>
  <si>
    <t>0f34MnV51uwA1jhPQ2XnDe</t>
  </si>
  <si>
    <t>0bAsR2unSRpn6BQPEnNlZm</t>
  </si>
  <si>
    <t>5YC8n1mOl6lNH0pvDyuUwo</t>
  </si>
  <si>
    <t>4CLfA2JoWKknhxrYVK90ee</t>
  </si>
  <si>
    <t>0MHUXo8PYYFpnXY73siC8T,6Nzkd6ylAQdpacGvNKQYKJ</t>
  </si>
  <si>
    <t>5eaVKm1U8JS9dcTDB1r6yz</t>
  </si>
  <si>
    <t>38fu1DhmEN33ALaBa7jGhI</t>
  </si>
  <si>
    <t>2016-10-11</t>
  </si>
  <si>
    <t>6QGHYZ8zPcmG3Mg4xHNkBX</t>
  </si>
  <si>
    <t>2PgOtERwe37cW1U9z7zAHb,6cG8JcpzoS6rrMnqCNk1hD</t>
  </si>
  <si>
    <t>Search Party (Remixes)</t>
  </si>
  <si>
    <t>2015-10-02</t>
  </si>
  <si>
    <t>5C5JdQhZiFzdnfm9wYjLmm</t>
  </si>
  <si>
    <t>4Gho39KUTLWnxRhQQ3tbvS</t>
  </si>
  <si>
    <t>2Ny9kEZKTAB0Byr0Zhu1Uh</t>
  </si>
  <si>
    <t>1496XxkytEk26FUJLfpVZr,49ARuMFsooELxTcZMnAOaE</t>
  </si>
  <si>
    <t>Harmony Remixes</t>
  </si>
  <si>
    <t>2018-01-30</t>
  </si>
  <si>
    <t>6NkzHm5KWPsn1QFkKp2GTY</t>
  </si>
  <si>
    <t>7u7MDzwo7VtVe7FhS3cq8Y</t>
  </si>
  <si>
    <t>2016-12-05</t>
  </si>
  <si>
    <t>1pRJKQVDBhlRpwfj93gtjQ</t>
  </si>
  <si>
    <t>5woDd4xAgHuBWbp5NuY1n2,2zddtGmqVQRgIdQGK4czWt,0jg152R4eHqVuFgu877Xyo</t>
  </si>
  <si>
    <t>2017-04-13</t>
  </si>
  <si>
    <t>4Q7HvuoLrkaV9tzOrsiW9b</t>
  </si>
  <si>
    <t>0riQwemsOuO4qtu9Kdqv9i,3ZnVC33s8MBcF0KmAC4rj5,23bDGJV1PaJszxC1CLwUfl</t>
  </si>
  <si>
    <t>Location (N2N &amp; Vasta Remix)</t>
  </si>
  <si>
    <t>3GhhIo57MYGmNGgE7dVqAC</t>
  </si>
  <si>
    <t>7b1FMiWXZwOBsxi0uWw6wH,757FXqX0Osk2pqtgv4E5v4</t>
  </si>
  <si>
    <t>2H0p4zNfhaF2ZfidkmGTZ4</t>
  </si>
  <si>
    <t>1ikID9RZZMvkuBGDWrqajq,7nqlScm2smydSRl13eaP8E</t>
  </si>
  <si>
    <t>Places We Don't Know</t>
  </si>
  <si>
    <t>0H54lWdtv8lgGFNq6n6WTY</t>
  </si>
  <si>
    <t>7cTaYwNT1P49mASgKULKab,0O8iPOnCv1ppuTVLQ9MDNC</t>
  </si>
  <si>
    <t>Trust Cycles</t>
  </si>
  <si>
    <t>2vUlCHtBmmuqwo13BhrKOr</t>
  </si>
  <si>
    <t>3V8H59FqUdudlO1Fl019tg,640WtXq2apn59MWamB20CG</t>
  </si>
  <si>
    <t>2017-10-19</t>
  </si>
  <si>
    <t>1LYBvMKiNUouc2VlR1tWSZ</t>
  </si>
  <si>
    <t>63Y5LOrSgSjTKofw3DLYn9,4JznCAfxUluG6YAdAiM0YE</t>
  </si>
  <si>
    <t>Love and Learn</t>
  </si>
  <si>
    <t>2017-11-01</t>
  </si>
  <si>
    <t>56pvqFKGXPjubh5eY6sOlv</t>
  </si>
  <si>
    <t>1EowJ1WwkMzkCkRomFhui7</t>
  </si>
  <si>
    <t>Weathering With You</t>
  </si>
  <si>
    <t>2019-07-19</t>
  </si>
  <si>
    <t>2cE5PbW9PhPmnyETXqH3VE</t>
  </si>
  <si>
    <t>1EowJ1WwkMzkCkRomFhui7,5nyjJRg5OdmKDdG2s9qljE</t>
  </si>
  <si>
    <t>4pb2FRumZd4yPfh0JsLe72</t>
  </si>
  <si>
    <t>4iSv3eRHwrwQTYbRCXxmL3,1YOw6jUy5uUo7rNMb2wj4Q</t>
  </si>
  <si>
    <t>Saved by the Summer</t>
  </si>
  <si>
    <t>5xS9R5yNeVsB9shSR60eX3</t>
  </si>
  <si>
    <t>Native</t>
  </si>
  <si>
    <t>64VzxgaIpjB52YUtsF9St7</t>
  </si>
  <si>
    <t>5Pwc4xIPtQLFEnJriah9YJ,4AVFqumd2ogHFlRbKIjp1t</t>
  </si>
  <si>
    <t>2015-05-26</t>
  </si>
  <si>
    <t>3BjstRlotG8DwsUnmF4lF4</t>
  </si>
  <si>
    <t>3ShGiAyhxI6Rq3TknZ3gfk,0pCNk4D3E2xtszsm6hMsWr</t>
  </si>
  <si>
    <t>2021-03-25</t>
  </si>
  <si>
    <t>0GLyqTysS0DFoeKjURtB8s</t>
  </si>
  <si>
    <t>3B9O5mYYw89fFXkwKh7jCS</t>
  </si>
  <si>
    <t>Fantastic Magic</t>
  </si>
  <si>
    <t>2014-08-27</t>
  </si>
  <si>
    <t>1HNvADmPBGAExeyIHkcJtd</t>
  </si>
  <si>
    <t>Human Bloom</t>
  </si>
  <si>
    <t>72TFWvU3wUYdUuxejTTIzt</t>
  </si>
  <si>
    <t>5pKCCKE2ajJHZ9KAiaK11H,3TVXtAsR1Inumwj472S9r4</t>
  </si>
  <si>
    <t>ANTI (Deluxe)</t>
  </si>
  <si>
    <t>2016-01-28</t>
  </si>
  <si>
    <t>2gtBcLNjFMi8l5xSz66Fsb</t>
  </si>
  <si>
    <t>1G9FmqZJybVEOXqMOR5usy,0tsKdteyh5ArMn3pAUiSff</t>
  </si>
  <si>
    <t>Cold Green Eyes</t>
  </si>
  <si>
    <t>2015-03-01</t>
  </si>
  <si>
    <t>7ojhlMNcLEHyJV8xAreC4w</t>
  </si>
  <si>
    <t>Lone Black - Single</t>
  </si>
  <si>
    <t>2016-04-28</t>
  </si>
  <si>
    <t>2sC5TLSCLSE2BKvZahDurc</t>
  </si>
  <si>
    <t>1tBU8jUEdVR3mqSsAqEGfD,2tUq6RAxkUzZPf2WWLXMa4</t>
  </si>
  <si>
    <t>08hlaHY7ssHzr2MvBKyKvt</t>
  </si>
  <si>
    <t>2016-12-25</t>
  </si>
  <si>
    <t>01xjhIYJW2DacrmgndL9B3</t>
  </si>
  <si>
    <t>7dEfa89dZfo6CQPdsgGCF6</t>
  </si>
  <si>
    <t>Your Name.</t>
  </si>
  <si>
    <t>4veG0E3mGQ8TTUu4Bw0heb</t>
  </si>
  <si>
    <t>3CiuuHKIxxJPoNRvF94GtR,6D4WaKxTAN5SieF38bhPIZ</t>
  </si>
  <si>
    <t>Icy Love</t>
  </si>
  <si>
    <t>2016-06-10</t>
  </si>
  <si>
    <t>7LiU9H1mCYHGYh03jPQ3tO</t>
  </si>
  <si>
    <t>4pOglqMAavrWFo20ORRx5w,5UA4NsiBgSQICPFMDKcPAe</t>
  </si>
  <si>
    <t>2018-01-31</t>
  </si>
  <si>
    <t>7dXP44QU81vfZEWDGhTzPg</t>
  </si>
  <si>
    <t>1D9BiGJs3fNXxVidkbKn0M</t>
  </si>
  <si>
    <t>3ZDKQVNZa5cuCkcD0WSB0G</t>
  </si>
  <si>
    <t>4cpTlyZCR7ed2g4WG8gUDf,1HE19EVn5Xs4qlNY4JCuJJ</t>
  </si>
  <si>
    <t>Synapse</t>
  </si>
  <si>
    <t>2017-01-23</t>
  </si>
  <si>
    <t>0X5YwVRcO6ZGo0zmfYfevr</t>
  </si>
  <si>
    <t>0Pplwl6xg5HjaBEJQARSsd,7MuRRLYh8g8uTtqU77NW9q</t>
  </si>
  <si>
    <t>5RhJkSaHKYPJkmxOu7SfkB</t>
  </si>
  <si>
    <t>2Wzb0u138rgoZQTK3ytknT,2SfDAbVDU8yzrJeHENAM6O,2Sin2pNsBDyZPBNKVpBdYQ</t>
  </si>
  <si>
    <t>2018-09-06</t>
  </si>
  <si>
    <t>3YmJSHPUaNToxuMNraUnyc</t>
  </si>
  <si>
    <t>5IBaWC4oHRu3NBJkWdVWNC,2cSJXGDnCTNtRajntY2jSz</t>
  </si>
  <si>
    <t>2018-03-20</t>
  </si>
  <si>
    <t>1iKAqAjcu5PXGK9opAfPFZ</t>
  </si>
  <si>
    <t>1hHhlYmo4C03IoCJ7RnpS2,6Vw4k1mznvSYROrxQuTX93,4R9LxtRMT4XlrKbbrvEHNl</t>
  </si>
  <si>
    <t>2017-04-20</t>
  </si>
  <si>
    <t>5M4P1ig33jUcjzAOLbBGny</t>
  </si>
  <si>
    <t>0q5832aVcQp3jtKa2lTEwY,1qs72LBhNBAQGwxFAnlo0x,1nEAtVkiejN4vtq2xUdQ3g</t>
  </si>
  <si>
    <t>2018-01-20</t>
  </si>
  <si>
    <t>5fcCz4Q5RkYCouWPuAk51H</t>
  </si>
  <si>
    <t>Decoy World (VIP)</t>
  </si>
  <si>
    <t>4GY8cIfLk6BFtJe2bl1c9I</t>
  </si>
  <si>
    <t>3oZDqlOiOQTolPJZsxivaN,0xni0UPoByzdVsPBaH9zjp</t>
  </si>
  <si>
    <t>Into the Light</t>
  </si>
  <si>
    <t>2018-08-02</t>
  </si>
  <si>
    <t>3A4FRzgve9BjfKbvVXRIFO</t>
  </si>
  <si>
    <t>6CRX3ENpLq42r0iBSjOqr1</t>
  </si>
  <si>
    <t>Weathering With You -Complete Version-</t>
  </si>
  <si>
    <t>2019-11-27</t>
  </si>
  <si>
    <t>5NuTqBz0vd3z3eBDmTg6no</t>
  </si>
  <si>
    <t>6fcTRFpz0yH79qSKfof7lp,4AT7XlLBevgZIiKvZQ83ye,59Yq0xrABEihHANsfo9QMT,3dA4z26BqCdMWynoHMK5l8</t>
  </si>
  <si>
    <t>0NlhBx1zO1XubIyUYFus7n</t>
  </si>
  <si>
    <t>6gK1Uct5FEdaUWRWpU4Cl2,5fMUXHkw8R8eOP2RNVYEZX</t>
  </si>
  <si>
    <t>1m1Xylfa83Tk4aNlYoHkJ9</t>
  </si>
  <si>
    <t>1m02BQX2BPiqVzbaxBueXT,2q3GG88dVwuQPF4FmySr9I</t>
  </si>
  <si>
    <t>2021-05-28</t>
  </si>
  <si>
    <t>5aYeYlp4FN9lVlzCHFkA6Y</t>
  </si>
  <si>
    <t>0JKfXkw3xhWm5f6iVmDkEa,3LGngRo9kg4ETVaiRQ0ZgY</t>
  </si>
  <si>
    <t>2016-01-29</t>
  </si>
  <si>
    <t>1A68OpPGIN1ubMSbnC2pLB</t>
  </si>
  <si>
    <t>0ycvq8upLhNmddPdQXhLOy,0Bm5cFUEv8FGx1wEekHj0D</t>
  </si>
  <si>
    <t>1qukC9Q7L3kBUBNrG3pYii</t>
  </si>
  <si>
    <t>33Cf4O1KAVbtQa00scMi2A,6zE53JXDHIWLVgXQoIoY1k,3CiuuHKIxxJPoNRvF94GtR</t>
  </si>
  <si>
    <t>2015-11-17</t>
  </si>
  <si>
    <t>0DeWdQHKeJyC8mTEg6hw44</t>
  </si>
  <si>
    <t>3ZejoaXlP3oqmmTseylLDY</t>
  </si>
  <si>
    <t>2017-02-27</t>
  </si>
  <si>
    <t>12tqBVgDHj9Rue21Hedhyg</t>
  </si>
  <si>
    <t>51V0E9ipJyIj7yFDkaLx96,0chxndMxE0AhAeYED1Ay9d</t>
  </si>
  <si>
    <t>Take It Easy (Matstubs Remix)</t>
  </si>
  <si>
    <t>6AVbp7kirVbODsXzjJQFH8</t>
  </si>
  <si>
    <t>1kgxTtyF91VaqLD3J6Krd5,5wMfct6VVvaVQ8xGCXxIUa,2uEo8Rajpdz1AqineCVLHq</t>
  </si>
  <si>
    <t>The Girl (The Remixes)</t>
  </si>
  <si>
    <t>2015-07-13</t>
  </si>
  <si>
    <t>21uVqC4wzJF9BcfW4Iqf6E</t>
  </si>
  <si>
    <t>6OFZSmtxDquMkX2XZJSN6y,3RTklnRcfHgkQJwFpgOq3t</t>
  </si>
  <si>
    <t>2fI0ZLttOoSDJjEXEDpC8A</t>
  </si>
  <si>
    <t>3JWALxcmd7a0mS0TEo0BIy,6NA5WdQi9RbQe2woDzs5yi</t>
  </si>
  <si>
    <t>2018-02-16</t>
  </si>
  <si>
    <t>64qrZmkNmuvG65LCAcZMkI</t>
  </si>
  <si>
    <t>44Wi4QHWK4CzACCqCyxo3x,2Ed55mxbrhQa3P3DjzrJxu</t>
  </si>
  <si>
    <t>Signal Fires</t>
  </si>
  <si>
    <t>1a0AwW12F6WA801CHA7zSD</t>
  </si>
  <si>
    <t>7FZKXzbyCoai0fEh65kZKp,6vZUJpsm4VHjSWpedp05vg</t>
  </si>
  <si>
    <t>2018-11-30</t>
  </si>
  <si>
    <t>79cUfhS0i4KAe8Aillcj4o</t>
  </si>
  <si>
    <t>0nNnD1oc02hebmFdcJkyXw</t>
  </si>
  <si>
    <t>30RrHk7Q7EwtDZwESAOTDo</t>
  </si>
  <si>
    <t>6Lw31HQJ9LI6AeGBe8bnen</t>
  </si>
  <si>
    <t>2017-03-11</t>
  </si>
  <si>
    <t>2RrbTYtbCTdUhTNak4HN9h</t>
  </si>
  <si>
    <t>1cXxia1Q2VDTjWe8X2Jydm</t>
  </si>
  <si>
    <t>Go! Go! Maniac (From K-ON!!)</t>
  </si>
  <si>
    <t>2017-03-23</t>
  </si>
  <si>
    <t>2BDDeJ4usviKEs9OO5xvTy</t>
  </si>
  <si>
    <t>0SeOsmdYkzWqnlF5ttO0Jm</t>
  </si>
  <si>
    <t>4xCCHj0hE6EX42nCQCcL4F</t>
  </si>
  <si>
    <t>Cagayake! Girls (from K-ON!)</t>
  </si>
  <si>
    <t>0NzIv0d1QgPSQwRXKcj0xo</t>
  </si>
  <si>
    <t>0cWwLbhs4bX6RLNR0r3FMN,4iF8VQ9Avxe5RM3A4ddlvF</t>
  </si>
  <si>
    <t>2019-09-12</t>
  </si>
  <si>
    <t>2dim74P1zs2A0TzzaW6udI</t>
  </si>
  <si>
    <t>2016-05-20</t>
  </si>
  <si>
    <t>3rfhI32Il2hVRKDkuGeeen</t>
  </si>
  <si>
    <t>0TnOYISbd1XYRBk9myaseg,3aQeKQSyrW4qWr35idm0cy</t>
  </si>
  <si>
    <t>Planet Pit (Deluxe Version)</t>
  </si>
  <si>
    <t>2011-06-17</t>
  </si>
  <si>
    <t>02yUHcUT4HckhJNrftZZtY</t>
  </si>
  <si>
    <t>7hJcb9fa4alzcOq3EaNPoG,1Cs0zKBU1kc0i8ypK3B9ai</t>
  </si>
  <si>
    <t>Sweat/Wet</t>
  </si>
  <si>
    <t>07K4GcCDSTiXUF5ssyTRUM</t>
  </si>
  <si>
    <t>4yiQZ8tQPux8cPriYMWUFP,0z4gvV4rjIZ9wHck67ucSV</t>
  </si>
  <si>
    <t>1E01fR0vKvPZXohygzzczy</t>
  </si>
  <si>
    <t>3xe31P4oQOu6hxdyOf9NZE,3NmNiOI9GB7guTxeUizEE2</t>
  </si>
  <si>
    <t>05XoZNL3OMdegGO0SnrHWD</t>
  </si>
  <si>
    <t>Fuwa Fuwa Time (From K-On!)</t>
  </si>
  <si>
    <t>0IoPbzqXf1zrtkDzZMPIeI</t>
  </si>
  <si>
    <t>0xDPU57wNLiQuJJ6h0FedI,35xGOxsQmVfCVIuJksFBjT</t>
  </si>
  <si>
    <t>4CCrEKfScWfOkv6id4yCNy</t>
  </si>
  <si>
    <t>3rq78lkE1laoELdsHHirtg,5L3htGbUwUCPPhVM2UtdTY</t>
  </si>
  <si>
    <t>2015-12-11</t>
  </si>
  <si>
    <t>2wa2HIjkwyHsxt24mfFAQb</t>
  </si>
  <si>
    <t>6kyUfziWP8ydAsKzyXsC83,5KtyvSnzn6NcqukCOsjfe0,2zLFvH4qsiIYG6qVWUY85o</t>
  </si>
  <si>
    <t>StéLouse</t>
  </si>
  <si>
    <t>2017-05-12</t>
  </si>
  <si>
    <t>1zTT5r03ucoodZDoYZ4aA8</t>
  </si>
  <si>
    <t>2rZr2QxAHa5Ytn1yIqLAti</t>
  </si>
  <si>
    <t>2018-11-23</t>
  </si>
  <si>
    <t>5ym693nvkvYJjQpCutwy2s</t>
  </si>
  <si>
    <t>3uKSQRJFp1pnRWT95Yso12,5NbLht1MNVM19gY3OIBDwK,2PyT6zhFlnRTEIKZUHh5NO</t>
  </si>
  <si>
    <t>2017-08-16</t>
  </si>
  <si>
    <t>0j9zWWuCj9xuL5wrvIoDOX</t>
  </si>
  <si>
    <t>6udTdS28zyiBpZk8LBIRPF,4D9a1UPPFCoOm1kBtJfni5</t>
  </si>
  <si>
    <t>77LQNv3wdUvN5sXG9v5H9u</t>
  </si>
  <si>
    <t>Don't Say Lazy (From K-ON!)</t>
  </si>
  <si>
    <t>6F6xlkQIaw3WhVX1NcWwWQ</t>
  </si>
  <si>
    <t>1cOE2rCet7CGWid3OD5499,6Lw31HQJ9LI6AeGBe8bnen,0p9SPN0Vhv6aDRZCz4W13E</t>
  </si>
  <si>
    <t>3ijPxaS1RHqvmJhk0aQyyj</t>
  </si>
  <si>
    <t>3k4i4K7PicHqnodnYhXsJy,2YCr7ymQvYUsVhRlBKdOzI,5PxCTrv3Y1xVACfngpt7D2</t>
  </si>
  <si>
    <t>2016-11-10</t>
  </si>
  <si>
    <t>0ksUKPt4Qoe60aCyMA9RrA</t>
  </si>
  <si>
    <t>4VfTgWhy9PKLJN3xKJcDqf,5st4KKihmnSMLRsxWOs2x3</t>
  </si>
  <si>
    <t>2019-05-13</t>
  </si>
  <si>
    <t>2mqqvBVQQIxqk0ojRhfJAv</t>
  </si>
  <si>
    <t>0JKfXkw3xhWm5f6iVmDkEa,4VKmshJh2mCHAWa9fhZAyv</t>
  </si>
  <si>
    <t>Thousands</t>
  </si>
  <si>
    <t>2016-10-10</t>
  </si>
  <si>
    <t>6MiVIH3fQlmz44jGx2DXn4</t>
  </si>
  <si>
    <t>6MnedZ5gB0MSSnBu8mRdb1</t>
  </si>
  <si>
    <t>1NyxTiCivDmzgFWYD1V01m,6kDXH8d9LugUAsHIozzDAI</t>
  </si>
  <si>
    <t>High Enough (feat. Rosie Darling)</t>
  </si>
  <si>
    <t>7yPHVP59O39RkWI3wjTrUH</t>
  </si>
  <si>
    <t>0EW03AWae07Lpefdn2DJ0F,6fEZjgt9MHR4Hp3MiBRZHX</t>
  </si>
  <si>
    <t>2016-09-20</t>
  </si>
  <si>
    <t>7gvBhHZfAhZi5TJH27EzwG</t>
  </si>
  <si>
    <t>6RJbFqgnnHvQcq8TGdCIn2,45I2vSygcdFZIFGJY02zX8</t>
  </si>
  <si>
    <t>2018-02-05</t>
  </si>
  <si>
    <t>7yKm9o2ErNggcFSEcwYpuC</t>
  </si>
  <si>
    <t>1NyxTiCivDmzgFWYD1V01m,6kDXH8d9LugUAsHIozzDAI,5xoxYeHw5pK8MIJBpkAaL9</t>
  </si>
  <si>
    <t>High Enough (Lenny Remix)</t>
  </si>
  <si>
    <t>2018-08-31</t>
  </si>
  <si>
    <t>2b8fOow8UzyDFAE27YhOZM</t>
  </si>
  <si>
    <t>2019-09-20</t>
  </si>
  <si>
    <t>1XGmzt0PVuFgQYYnV2It7A</t>
  </si>
  <si>
    <t>04gDigrS5kc9YWfZHwBETP,137W8MRPWKqSmrBGDBFSop</t>
  </si>
  <si>
    <t>2iuZJX9X9P0GKaE93xcPjk</t>
  </si>
  <si>
    <t>4gbVRS8gloEluzf0GzDOFc</t>
  </si>
  <si>
    <t>2KQ36DYJhZGoEJwy5bxe3E</t>
  </si>
  <si>
    <t>4QvbUChuNYTlFKFN0F0Qa5</t>
  </si>
  <si>
    <t>5WuWrWf6MMUk70mQa91RNk</t>
  </si>
  <si>
    <t>6nwfs1JBpPHU65twuciEbN</t>
  </si>
  <si>
    <t>2018-09-05</t>
  </si>
  <si>
    <t>72fOSUxTnppiGYpw4lyHRd</t>
  </si>
  <si>
    <t>1tBU8jUEdVR3mqSsAqEGfD,2tUq6RAxkUzZPf2WWLXMa4,59Yq0xrABEihHANsfo9QMT</t>
  </si>
  <si>
    <t>Sinners (Blanke Remix)</t>
  </si>
  <si>
    <t>5eLKAkWq2TwfkKx8OTj35S</t>
  </si>
  <si>
    <t>4R0EwsTKt1LIFcdezmuezM,3fuxStOqQv8TiytHeuGiE8,2GH5uRMxmuAWn90B8DEZU3</t>
  </si>
  <si>
    <t>Easy Go (Remixes)</t>
  </si>
  <si>
    <t>2017-04-19</t>
  </si>
  <si>
    <t>2ihqauez45hAqyUsRCfyPb</t>
  </si>
  <si>
    <t>19EW4WBhl0fvZUQgi7wV5M,3RTklnRcfHgkQJwFpgOq3t</t>
  </si>
  <si>
    <t>12bYlmDSNMtptfQptJj2sr</t>
  </si>
  <si>
    <t>4X5U7EjHMofqX4mUAkJm23,7bCWp0OGCR9OOHedxrIMox</t>
  </si>
  <si>
    <t>Dirty Secrets (Price &amp; Takis Remix)</t>
  </si>
  <si>
    <t>2017-07-27</t>
  </si>
  <si>
    <t>0Ayeue7DyY7xP5MQXz3Mzt</t>
  </si>
  <si>
    <t>4EukMPjtYsdi87lkU1hIxN,1cD70wZHi8HMyLYVDSV9We,714O3xvBNiclo82vxBn8Bf</t>
  </si>
  <si>
    <t>Youth (K?d Remix)</t>
  </si>
  <si>
    <t>2016-07-19</t>
  </si>
  <si>
    <t>1AE9AyAqburinisVDQ6wFH</t>
  </si>
  <si>
    <t>25vU5DYwHIHhg1ViWV3SJq,2AoeqcUs8DySgZRJ9yV4Ou</t>
  </si>
  <si>
    <t>Tomorrow Today Pt. 1 (The Remixes)</t>
  </si>
  <si>
    <t>1OTTRGI33Z5HqI8tjFj4AZ</t>
  </si>
  <si>
    <t>3wkHMiy2I0PuYIh9JNyqVk,1ZMZiTyBzV869PoeeJrT4a</t>
  </si>
  <si>
    <t>Zodiac</t>
  </si>
  <si>
    <t>2018-05-24</t>
  </si>
  <si>
    <t>6XELpq8KNAxMlehhPPzMO0</t>
  </si>
  <si>
    <t>61dcZSBwNyONMBkSM4t8Vx,1s5IKI3WdVj337WYpi4GIZ</t>
  </si>
  <si>
    <t>0ejvYzD1LTmx4yJFBWchdy</t>
  </si>
  <si>
    <t>4mrBetqy378Jf1y6NLszlx,4e0nWw2r4BoQSKPQ2zpU13</t>
  </si>
  <si>
    <t>4ugkTHOARLazjpvaXaFp6J</t>
  </si>
  <si>
    <t>1HQGhla3VNj1dBmKTtVT2t</t>
  </si>
  <si>
    <t>3Ja7CxHihYxnEhF25fLygS</t>
  </si>
  <si>
    <t>0JQaXh3HoqpI68C2pYUbNW,4IrtbSblgqhd4foRzhnb2T</t>
  </si>
  <si>
    <t>2021-03-22</t>
  </si>
  <si>
    <t>6jK413HpdqEO8nWBHiRgRv</t>
  </si>
  <si>
    <t>04vdWVjgi45nrMAxeCEVQe,3RTklnRcfHgkQJwFpgOq3t</t>
  </si>
  <si>
    <t>4jrJBb88W9aofTFMprxcpG</t>
  </si>
  <si>
    <t>356FCJoyYWyzONni54Dgrv,4KxviFeU2wjUOeMOICqJAq,3SPEPveuGIJZQPCHmNg4wg</t>
  </si>
  <si>
    <t>3k97os0E4j6IT67uY4A8Mc</t>
  </si>
  <si>
    <t>61dcZSBwNyONMBkSM4t8Vx,1kwGj7uDO5WXVXtQLvGJr0,5pM4SaYvEax1vtWrgONRxj,1s5IKI3WdVj337WYpi4GIZ</t>
  </si>
  <si>
    <t>0FhFZbyZbkUh5uyAKesmDL</t>
  </si>
  <si>
    <t>7eCmccnRwPmRnWPw61x6jM</t>
  </si>
  <si>
    <t>3wMkw4lhgDMRVE3xbkbwKA</t>
  </si>
  <si>
    <t>2EnJgyb4IfpEPoLONhlA4l</t>
  </si>
  <si>
    <t>Lies - Single</t>
  </si>
  <si>
    <t>6ylRKDPOe41x4Gi8c00ulP</t>
  </si>
  <si>
    <t>LOVERSMiLE</t>
  </si>
  <si>
    <t>2012-02-22</t>
  </si>
  <si>
    <t>4JGWIpZxHOf60VUF3ghH74</t>
  </si>
  <si>
    <t>1oSgUcr4PGbytOf7G7Y4DZ,08OCWF4MDd9CQC2uPbsV3j</t>
  </si>
  <si>
    <t>Her (The Remixes)</t>
  </si>
  <si>
    <t>2016-09-26</t>
  </si>
  <si>
    <t>2z4dvtAVSUlyToVm5NXLgH</t>
  </si>
  <si>
    <t>0clfID6QXqVAUhgm7QHpwF</t>
  </si>
  <si>
    <t>2018-06-05</t>
  </si>
  <si>
    <t>0yU5Wa41oZEBkmcyOVjgh2</t>
  </si>
  <si>
    <t>1A4NyrcivdiIQ0INQm6ICx,3YTUk9oIDoAe5VFfgUS5UL</t>
  </si>
  <si>
    <t>2016-05-03</t>
  </si>
  <si>
    <t>41Z9nM56sAhr5zfsYnhUUq</t>
  </si>
  <si>
    <t>05KjvP5zdwtEIgEazqblZw,0t5H8FcoVPzn4sVeNxibMU,7eKtGS8Huzy0vi0KVmNfqE,0daSHuKxoXYl50HIQ9aKzt</t>
  </si>
  <si>
    <t>5SXG6gIw6FRFPWwBQksSJT</t>
  </si>
  <si>
    <t>5aSBbBUbArJfyNKDg4KS1I,43BmOTbp0fKzSvC4YxykMl</t>
  </si>
  <si>
    <t>2016-07-08</t>
  </si>
  <si>
    <t>6k7RfqGLqaG6o4IpwjZWMs</t>
  </si>
  <si>
    <t>5w39eY1aNDybnDGTNgVt3r,1mU61l2mcjEFraXZLpvVMo,7mnuMLgvXdCWzyB4sQCG7k</t>
  </si>
  <si>
    <t>Serious (Remixes)</t>
  </si>
  <si>
    <t>05RByKytrvCNTQf5OEFWfJ</t>
  </si>
  <si>
    <t>5BdEVZnr6YZYQbNUBoGFOP</t>
  </si>
  <si>
    <t>Fire In The Dark ft LØ</t>
  </si>
  <si>
    <t>4r0iWLeTaBeINVSiOw8KnK</t>
  </si>
  <si>
    <t>3mFkw8nB6EgE9f4kv2DAgs,4FidvjA9dxE6bhpHGC6ns9,648IbvgzQ8MgGt31Zq6ijU,3ZVW9s2Xb8NQDzwEqElbNq</t>
  </si>
  <si>
    <t>5IW243rLPz7bfzJDikLhgw</t>
  </si>
  <si>
    <t>6q8cRPrSLahGAZSVnjIYjF,3urhrgG6tVFVPIc8Dgf3Y2</t>
  </si>
  <si>
    <t>2raB3dn9gcyexMWRo5BnO7</t>
  </si>
  <si>
    <t>4A18NGfdKU0HrkmvVlPO7I,2a5fSGsNKoQ8C4ibRAkNmu,0uqlT7M0lAL931lCyQLkde,04OLxyz813FCUQMD538IMK</t>
  </si>
  <si>
    <t>Just Like Gold (Blaikz &amp; BlackBonez Remix)</t>
  </si>
  <si>
    <t>2016-08-22</t>
  </si>
  <si>
    <t>5jZxNBHyU7qpAQSCXuQq78</t>
  </si>
  <si>
    <t>16yUpGkBRgc2eDMd3bB3Uw,7axZFTseO96HmG1u4ABDAI</t>
  </si>
  <si>
    <t>33lXq3csEWwYNn6x0sM3Et</t>
  </si>
  <si>
    <t>4xnMDfgEmXZEEDdITKcGuE,32WkQRZEVKSzVAAYqukAEA</t>
  </si>
  <si>
    <t>Daydreams</t>
  </si>
  <si>
    <t>2015-08-28</t>
  </si>
  <si>
    <t>3yM0SFHZEkQ56nVEWYQGee</t>
  </si>
  <si>
    <t>4xnMDfgEmXZEEDdITKcGuE,5FstVfk3PrX8URfpjUjqcp</t>
  </si>
  <si>
    <t>2013-12-16</t>
  </si>
  <si>
    <t>0M4dLrDesljsojfZsImZBD</t>
  </si>
  <si>
    <t>18moNotPmBWa2YZtRnIoZ3</t>
  </si>
  <si>
    <t>Best - A -</t>
  </si>
  <si>
    <t>2012</t>
  </si>
  <si>
    <t>7xsTPnzpEcqCQguRxnBxOR</t>
  </si>
  <si>
    <t>Akai Wana (Who Loves It?) / ADAMAS</t>
  </si>
  <si>
    <t>3mScGCzxiXA9OaHdBeuk7O</t>
  </si>
  <si>
    <t>LANDSPACE</t>
  </si>
  <si>
    <t>2013-10-30</t>
  </si>
  <si>
    <t>0ZPfoFzZ4qmdyzYmG8whmn</t>
  </si>
  <si>
    <t>zer0</t>
  </si>
  <si>
    <t>2020-01-31</t>
  </si>
  <si>
    <t>79Qq2wM8xhDm8CLjcVTMVk</t>
  </si>
  <si>
    <t>New World Pt. 1</t>
  </si>
  <si>
    <t>2017-06-08</t>
  </si>
  <si>
    <t>5vnxTBEsJQs090J05EQl7X</t>
  </si>
  <si>
    <t>6UEJtAnGHnK5tVhoPHD6tU</t>
  </si>
  <si>
    <t>Get Wet</t>
  </si>
  <si>
    <t>2013-09-20</t>
  </si>
  <si>
    <t>2tI2DDT95lnvNhlPWZRMJ3</t>
  </si>
  <si>
    <t>5QxkroIQPiY8UKgSFFuYQd</t>
  </si>
  <si>
    <t>1gjsJMuWjwVpEceTRSAHeY</t>
  </si>
  <si>
    <t>2f9PTWJfMMDTAFZcvHy1Z5</t>
  </si>
  <si>
    <t>Daybreak (Edit)</t>
  </si>
  <si>
    <t>7onhYYxwHiesjwXS5PoEtY</t>
  </si>
  <si>
    <t>2f9PTWJfMMDTAFZcvHy1Z5,5TIWZMHyxK7sXOJz9xEdB4</t>
  </si>
  <si>
    <t>Conquer</t>
  </si>
  <si>
    <t>2014-01-14</t>
  </si>
  <si>
    <t>2v13pkbBb2UarzvSWa06WY</t>
  </si>
  <si>
    <t>2LlMpPUFlh4Ijocp8I0AAU</t>
  </si>
  <si>
    <t>3nVpsnFAnFx3BZiZL0vzPu</t>
  </si>
  <si>
    <t>2QSPrJfYeRXaltEEiriXN9</t>
  </si>
  <si>
    <t>Borderline - EP</t>
  </si>
  <si>
    <t>2014-11-23</t>
  </si>
  <si>
    <t>3jlbL2OTD5YmIunYzgQTAN</t>
  </si>
  <si>
    <t>4OBJLual30L7gRl5UkeRcT,5pKCCKE2ajJHZ9KAiaK11H</t>
  </si>
  <si>
    <t>Paper Trail</t>
  </si>
  <si>
    <t>2008-09-07</t>
  </si>
  <si>
    <t>0PMNxtgeNSmPPp4aiA4T8F</t>
  </si>
  <si>
    <t>45eNHdiiabvmbp4erw26rg,6eVWXmKBW7Iltub01D9R1c,757FXqX0Osk2pqtgv4E5v4</t>
  </si>
  <si>
    <t>7BHQURWJUwuWC8DfrvXUTz</t>
  </si>
  <si>
    <t>59wzcVw9vvQvKIEHddgF7n,1FmrdSfTqWOzQoEoaS7MWb</t>
  </si>
  <si>
    <t>Blue Skies (Anevo Remix)</t>
  </si>
  <si>
    <t>1MKfplOg9xC8EIzL9nMBWi</t>
  </si>
  <si>
    <t>5g3uG8zZZANGT6YOssgjfC,1jUWnDhXB6JyBLh1dyAOUc</t>
  </si>
  <si>
    <t>Blue Skies: The Remixes</t>
  </si>
  <si>
    <t>2015-12-18</t>
  </si>
  <si>
    <t>2s5HFb7W5zXq6i7HXHxvcB</t>
  </si>
  <si>
    <t>0Dt97GvTO4dxdBYqyxLwLY</t>
  </si>
  <si>
    <t>4UvOdYGlSwfeIrAU95CrnX</t>
  </si>
  <si>
    <t>1nVIHTQpQ8WroXnbc9TbD5,1Ars2RdXFbmt04pZ5g2RNr</t>
  </si>
  <si>
    <t>3FBe04HyD6RmsfFwQy8t9X</t>
  </si>
  <si>
    <t>1nVIHTQpQ8WroXnbc9TbD5</t>
  </si>
  <si>
    <t>Fight for You (feat. Ethan Thompson)</t>
  </si>
  <si>
    <t>2015-07-10</t>
  </si>
  <si>
    <t>0lrelJvDlsFUXatxdYzrwp</t>
  </si>
  <si>
    <t>6sFyYcF3YkXx6xySUXUMVW</t>
  </si>
  <si>
    <t>2016-07-07</t>
  </si>
  <si>
    <t>51WSRKZIhAU9zncUva0Y20</t>
  </si>
  <si>
    <t>0RIZUqVTSoGj8bL0W09msx,20N95on2Bu0e3AZyiEUMz1</t>
  </si>
  <si>
    <t>04tLXPJGtvxE2u1PfNRMGG</t>
  </si>
  <si>
    <t>2QMbB1TxHSsbqq9a1GM6uM,4MkrCf9RDnPGcKJJaIen7I</t>
  </si>
  <si>
    <t>In My Head - Single</t>
  </si>
  <si>
    <t>2017-03-13</t>
  </si>
  <si>
    <t>7t8V8GrMzP5DrLissJDyLM</t>
  </si>
  <si>
    <t>6VUXAyGbbwlFonTQwMPWmn,1TtBULEnLbpIrXCrpcO4Di</t>
  </si>
  <si>
    <t>2IsaRh8MVqvMb2tQEOUTcc</t>
  </si>
  <si>
    <t>3hvygY36zEdEnPPJmrhWP6,45XBPUL8jsl9sXvf44F9Ja</t>
  </si>
  <si>
    <t>2Oy0XHjvnZrfZwyobCyEMm</t>
  </si>
  <si>
    <t>3HHfEn7yPOy3IiHS6CHG97,7ddnIV2r4SLjuwyGlgLIWt,6HraHl4uwIQFixUu3J49BK</t>
  </si>
  <si>
    <t>Breathe EP Remixes</t>
  </si>
  <si>
    <t>1wMzYStPT8RYs4y5Rr7oNk</t>
  </si>
  <si>
    <t>1nVIHTQpQ8WroXnbc9TbD5,0Dt97GvTO4dxdBYqyxLwLY</t>
  </si>
  <si>
    <t>2018-03-06</t>
  </si>
  <si>
    <t>0mxi7xXDhQuMwCxD8BKY0H</t>
  </si>
  <si>
    <t>2bhndespnMFNIut7yIlThU</t>
  </si>
  <si>
    <t>OVRBRD (Zookëper Remix)</t>
  </si>
  <si>
    <t>2017-07-21</t>
  </si>
  <si>
    <t>6VUZSp5O9k9NCwxapofCIm</t>
  </si>
  <si>
    <t>2OkCAMRdY4Kwz9Q1TYX8i2,6IDgN356to8svgrWLUAIoC</t>
  </si>
  <si>
    <t>2016-09-13</t>
  </si>
  <si>
    <t>5P8mytpDBwNdNPiIMZUtN3</t>
  </si>
  <si>
    <t>3iTfyg1mtl3iIgR8jbtdUM,2Ce4SPHPek1LJsgHszu9KL</t>
  </si>
  <si>
    <t>Lies (Cloudsz Remix)</t>
  </si>
  <si>
    <t>1995htnywBpzEzQxhCGhUh</t>
  </si>
  <si>
    <t>38TbIf5Jwf5rvP3vo6RZQi,5hiUhkqI7yxHcrcadSsqU2</t>
  </si>
  <si>
    <t>Breathe Me</t>
  </si>
  <si>
    <t>5RAfBe2tSbejZha4R6y0sB</t>
  </si>
  <si>
    <t>6c1pBXHYjFcGQQNO5MMsdd,2aOoD3zsuYforFcDvUpZoH,2kgvaYV2tbNyOonFI3YlfH,4lk9bzPhlRHk287CuQRKFh</t>
  </si>
  <si>
    <t>Right Here (Remixes)</t>
  </si>
  <si>
    <t>3aS39CGZCYoBIUAqPASGZu</t>
  </si>
  <si>
    <t>1AlMOfS6T5s24LsrLZ2Eji,24CzPFC4y3bM4AkUnZfuAU</t>
  </si>
  <si>
    <t>2018-07-13</t>
  </si>
  <si>
    <t>6k9rAAVAXdBPM0Msv3x45O</t>
  </si>
  <si>
    <t>6zdKFltTbrjzLR7ADpAgLL,6Lw31HQJ9LI6AeGBe8bnen</t>
  </si>
  <si>
    <t>4xrKo7ZQR9ccfyZ5ohS3YU</t>
  </si>
  <si>
    <t>13H2PbDHYtjo8v0R8HMAao,0sbkGGlLYmgOzcxRqd257O</t>
  </si>
  <si>
    <t>2017-07-17</t>
  </si>
  <si>
    <t>6W8r7ensMcwOAQv8dTlLv4</t>
  </si>
  <si>
    <t>3L7JnVovGbYSUmRyqhXMYO,2ZKzqJz3pPfWKVRgz9b39j</t>
  </si>
  <si>
    <t>0VBnKp2WP3N3iAxo3fKufa</t>
  </si>
  <si>
    <t>6cEuCEZu7PAE9ZSzLLc2oQ,6NXk2pLFocS2OkNdT7ncBt</t>
  </si>
  <si>
    <t>Soundwave (Radio Edit)</t>
  </si>
  <si>
    <t>4MejIW8mKeMMN2SIcJUVl5</t>
  </si>
  <si>
    <t>64N1HzkQEXvjlJBQinWeu2</t>
  </si>
  <si>
    <t>1bxC2M337HfYDOr6Dx5rlW</t>
  </si>
  <si>
    <t>3unIjdxPBJ27WvDSHOqaDn</t>
  </si>
  <si>
    <t>1kQ0aj0mnjd5xKrYKLZo64</t>
  </si>
  <si>
    <t>45eNHdiiabvmbp4erw26rg,4bUqnkrDrb4f7rqmDR9yDu</t>
  </si>
  <si>
    <t>4eB54t0RNCDdTwN6o3mlfk</t>
  </si>
  <si>
    <t>5YFS41yoX0YuFY39fq21oN,0z4gvV4rjIZ9wHck67ucSV</t>
  </si>
  <si>
    <t>Til The Sun Rise Up (feat. Akon)</t>
  </si>
  <si>
    <t>1iaLcGW8ffLMPFSLSGn0Zs</t>
  </si>
  <si>
    <t>0XqFDQJjqW5PfhfBCb53LR,3RTklnRcfHgkQJwFpgOq3t</t>
  </si>
  <si>
    <t>6hX9jATESvv2cdXQMRU4m8</t>
  </si>
  <si>
    <t>0nTbVTXLLbBA4xCtn0cFkv,1hLz5G0XMRj782Pb0hhP8g,6fcTRFpz0yH79qSKfof7lp</t>
  </si>
  <si>
    <t>Omen In The Rain (The Remixes)</t>
  </si>
  <si>
    <t>44er6i2sziqJkHAWXUwvhZ</t>
  </si>
  <si>
    <t>5ar4zFgUQG1RsH8nhmjOeM,3RTklnRcfHgkQJwFpgOq3t</t>
  </si>
  <si>
    <t>2018-01-19</t>
  </si>
  <si>
    <t>0TbozytdBeFdtEnwvhSDKd</t>
  </si>
  <si>
    <t>7sLv4bED064cYa2XhF85og,40WIa01eubnEVkxUHeDZyF</t>
  </si>
  <si>
    <t>2015-12-07</t>
  </si>
  <si>
    <t>46FwwAQd7t9DXCPcynBfm0</t>
  </si>
  <si>
    <t>1N21tqenVOnzbRhdvw5bGH,0dE2azLipjakJifWO2xrOO,04zCREDDJRY1WfSGW5h9E8</t>
  </si>
  <si>
    <t>2018-08-01</t>
  </si>
  <si>
    <t>1cp8YZVfVimXJc2LcaFjK4</t>
  </si>
  <si>
    <t>45TGBidKQqFyOZus89YBHI</t>
  </si>
  <si>
    <t>1hvHuq9c79smJTjP3ChabG</t>
  </si>
  <si>
    <t>3C1R0cMeIfSFxpAFxCh5yQ</t>
  </si>
  <si>
    <t>2018-10-09</t>
  </si>
  <si>
    <t>5QLQTNaVsevE4SCSALi2c5</t>
  </si>
  <si>
    <t>3ufl7njCaTxUVsCthYBBfi,5Cc1DGu1DTgyHo51pdaG8z</t>
  </si>
  <si>
    <t>Stay Strong Remixes</t>
  </si>
  <si>
    <t>2015-07-27</t>
  </si>
  <si>
    <t>1eN8HXAFdo3LazghsKNCtY</t>
  </si>
  <si>
    <t>1mB4aweE1XGdjbFVFC8i5m,2MpWzHkDIlKOZQ8rHKeOsJ</t>
  </si>
  <si>
    <t>3g8pIUZhzW7j8xDxYXk5Yz</t>
  </si>
  <si>
    <t>17aCDXnpzF1XYVe0QrsRvs,1NPkkY0RutjrXakIihpIiS</t>
  </si>
  <si>
    <t>0HR7gJoDxrpxcSsXtaEz3g</t>
  </si>
  <si>
    <t>38fRlQN4qtC0KSiTrms3na</t>
  </si>
  <si>
    <t>7rmYip4PRfn2GSf1znPUzE,3p2pMpzDerhMR4w2xZyHWg</t>
  </si>
  <si>
    <t>2019-06-27</t>
  </si>
  <si>
    <t>3toE2ncGSoiszdp9DKIUiW</t>
  </si>
  <si>
    <t>7wu8XR5hwRbOweUONPzNvL,3ZVW9s2Xb8NQDzwEqElbNq,2UQBvaXXtBWZ3gNtVLZKcA</t>
  </si>
  <si>
    <t>5tyLZo7DHqD5TcZZCgAIcW</t>
  </si>
  <si>
    <t>4YLQaW1UU3mrVetC8gNkg5,4LZ4De2MoO3lP6QaNCfvcu,7bCWp0OGCR9OOHedxrIMox</t>
  </si>
  <si>
    <t>Fire (Remixes)</t>
  </si>
  <si>
    <t>2017-01-18</t>
  </si>
  <si>
    <t>3xr8COed4nPPn6XWZ0iCGr</t>
  </si>
  <si>
    <t>0fauHpmSHwodVYIjTqOGHz</t>
  </si>
  <si>
    <t>The Best - Reminiscent 10th Anniversary</t>
  </si>
  <si>
    <t>2011-12-09</t>
  </si>
  <si>
    <t>0G2tHYsAHueVaPhTTBbVna</t>
  </si>
  <si>
    <t>0z39yzkwMNXYX2LYtEOpFW</t>
  </si>
  <si>
    <t>6y8q2HoYk1IczJGeAUjH5r</t>
  </si>
  <si>
    <t>Iron - EP</t>
  </si>
  <si>
    <t>2011-03-28</t>
  </si>
  <si>
    <t>0boS4e6uXwp3zAvz1mLxZS</t>
  </si>
  <si>
    <t>3xrmao7lDVAOmvGBUdWKqU</t>
  </si>
  <si>
    <t>5Ip2ecnyGpNyZvPuuYU8Ai,3fuxStOqQv8TiytHeuGiE8</t>
  </si>
  <si>
    <t>L'amour toujours (Tiësto Edit)</t>
  </si>
  <si>
    <t>7mqvj4Te8PGPsA1tftXwCG</t>
  </si>
  <si>
    <t>2HmmA3GhP0xsbRUiDllJUn,6pWL05Wc94cpoX7eS8VhZB</t>
  </si>
  <si>
    <t>2016-11-07</t>
  </si>
  <si>
    <t>0zCgWGmDF0aih5qexATyBn</t>
  </si>
  <si>
    <t>0pWwt5vGNzezEhfAcc420Y</t>
  </si>
  <si>
    <t>189qPV1Uiwf661GvF5RnX7</t>
  </si>
  <si>
    <t>5rRcnWrevHgbuWjl7Lhft7,5LuLeXlnT2jFxbx7Cg7j88</t>
  </si>
  <si>
    <t>6dByqTUBBLPJNv70ca1MXa</t>
  </si>
  <si>
    <t>2vVNxGBvKRQMWwI5c8KmYh,1PnnRNGfichOAfPOn5mVyx</t>
  </si>
  <si>
    <t>5HQTZbMOzO7LWmopuf4hVm</t>
  </si>
  <si>
    <t>6RQ9kYbHisp1UUbnfwHNeU,7ddnIV2r4SLjuwyGlgLIWt</t>
  </si>
  <si>
    <t>2016-10-26</t>
  </si>
  <si>
    <t>0qAlO4mJaUAUjugh42Qih6</t>
  </si>
  <si>
    <t>0bI3VA9gVcpoOzrklKgG7V,2D03NzGIqn32zlCG1DViBu</t>
  </si>
  <si>
    <t>2017-05-26</t>
  </si>
  <si>
    <t>0QD2NQd8CKPUXpTNzrBUa7</t>
  </si>
  <si>
    <t>7xYcJfhrRx9Iv8smhoEibc,0FvgCHaMG7KL6M83yJuhmL,635Ty89ihpkpWMkLQ7dlsp,6kx1NiHogZzkSU7lHMc3Ow</t>
  </si>
  <si>
    <t>Matches (The Remixes)</t>
  </si>
  <si>
    <t>2016-11-08</t>
  </si>
  <si>
    <t>6ZqglOV4oYj9FSmfwbE35G</t>
  </si>
  <si>
    <t>6BNaPZdAIZAJnbgJRiZz2w,3RTklnRcfHgkQJwFpgOq3t,5QMVa6aeXgsplQ4mPdNvEk,3cMInYqk6yzf37zo8iznoz</t>
  </si>
  <si>
    <t>Junkie (DNMO Remix)</t>
  </si>
  <si>
    <t>2017-02-07</t>
  </si>
  <si>
    <t>4LenbGFrXnNwWG3k7L9Oz0</t>
  </si>
  <si>
    <t>4BhAN9ph0KpIOCvDxkKhFz</t>
  </si>
  <si>
    <t>53rjOcc3HVPKvGG5MLYl3O</t>
  </si>
  <si>
    <t>3hkFFtJqJOXAlEPVWl15zS</t>
  </si>
  <si>
    <t>3HqP3nd8WI0VfHRhApPlan,3XxivFvWzSb4GWTr3ZQArL</t>
  </si>
  <si>
    <t>2020-08-14</t>
  </si>
  <si>
    <t>77nRW5D90nWu5ELzqJwQpa</t>
  </si>
  <si>
    <t>64N1HzkQEXvjlJBQinWeu2,0lEssBAxQl2In4RpaB1C2Y,1bTozP3jBtV8kxyHOnWXKQ</t>
  </si>
  <si>
    <t>2016-09-14</t>
  </si>
  <si>
    <t>18A7ha5BitZjmdHTCwXFbU</t>
  </si>
  <si>
    <t>7gXb99Sf9nNmpNYeAgIQFG</t>
  </si>
  <si>
    <t>2019-01-04</t>
  </si>
  <si>
    <t>1C2QJNTmsTxCDBuIgai8QV</t>
  </si>
  <si>
    <t>12Chz98pHFMPJEknJQMWvI</t>
  </si>
  <si>
    <t>The Resistance</t>
  </si>
  <si>
    <t>2009-09-10</t>
  </si>
  <si>
    <t>5BUl0EBl4tOmPtT9IN0UUP</t>
  </si>
  <si>
    <t>1SxuyHZnLUFyFHGzdGaxZk</t>
  </si>
  <si>
    <t>16 ou pas</t>
  </si>
  <si>
    <t>4kTLpAbhuEGHAAdDjOIWaa</t>
  </si>
  <si>
    <t>0fA0VVWsXO9YnASrzqfmYu,0SwO7SWeDHJijQ3XNS7xEE,57dN52uHvrHOxijzpIgu3E</t>
  </si>
  <si>
    <t>Man On The Moon: The End Of Day (Int'l Version)</t>
  </si>
  <si>
    <t>4VqPOruhp5EdPBeR92t6lQ</t>
  </si>
  <si>
    <t>1QWweZyJbeokeNMnK1KnR4</t>
  </si>
  <si>
    <t>41LqrhKD3Hs6MOOFPhb59G,0Jk0TeNXrhhwOMmR2nNyZR,3xIHOffeC188QWHIiCaLXr</t>
  </si>
  <si>
    <t>2019-03-25</t>
  </si>
  <si>
    <t>2D1dO1C8Cf0dTpPdXkXPly</t>
  </si>
  <si>
    <t>1yRxS3CXYM7s6amlkEmozI</t>
  </si>
  <si>
    <t>7q0S9pxEA7ejXrhZhswQmy</t>
  </si>
  <si>
    <t>6F4KRaTnwZ3ttUYpdo45C8,7vWC03wqXwUqjPON8hc1tz,50HFkOF6U1amaNNAFmD7xY</t>
  </si>
  <si>
    <t>Worth Fighting For (Remixes)</t>
  </si>
  <si>
    <t>1KixkQVDUHggZMU9dUobgm</t>
  </si>
  <si>
    <t>412luShbmlgqqgYFStIB1s</t>
  </si>
  <si>
    <t>0Q9slhIaEgg190iG8udYIV</t>
  </si>
  <si>
    <t>Wish You Were Mine</t>
  </si>
  <si>
    <t>2014-12-28</t>
  </si>
  <si>
    <t>3dsyqPDiWYYilRZNBxgxHE</t>
  </si>
  <si>
    <t>5C4QrQj64J8fdrdbLSWwwD</t>
  </si>
  <si>
    <t>3rGhySBeli7RDNfKZjvvkr</t>
  </si>
  <si>
    <t>Nomad</t>
  </si>
  <si>
    <t>4jDXAkJLq1U085mcWWZSnc</t>
  </si>
  <si>
    <t>0z7eJBsoFLyZomJS8vQo8R,5JMLG56F1X5mFmWNmS0iAp</t>
  </si>
  <si>
    <t>60PAzFNW3vAiAiVK6DRJfB</t>
  </si>
  <si>
    <t>0fA0VVWsXO9YnASrzqfmYu</t>
  </si>
  <si>
    <t>1p8PaeIW25UIvaVLn8Vppi</t>
  </si>
  <si>
    <t>6TQj5BFPooTa08A7pk8AQ1,2ZKzqJz3pPfWKVRgz9b39j,4lDBihdpMlOalxy1jkUbPl</t>
  </si>
  <si>
    <t>Disarm You (feat. Ilsey) [Grey Remix]</t>
  </si>
  <si>
    <t>2015-09-05</t>
  </si>
  <si>
    <t>3csdDTfByXZQhOYlCHQJRp</t>
  </si>
  <si>
    <t>4sTQVOfp9vEMCemLw50sbu,47z7ZrgFoBvVpCnElCE3Zh</t>
  </si>
  <si>
    <t>Church</t>
  </si>
  <si>
    <t>2020-02-07</t>
  </si>
  <si>
    <t>1ivuWgxFQb2xzxVNSlB1hF</t>
  </si>
  <si>
    <t>47z7ZrgFoBvVpCnElCE3Zh</t>
  </si>
  <si>
    <t>Amsterdam Twerk Music</t>
  </si>
  <si>
    <t>2013-10-15</t>
  </si>
  <si>
    <t>6Rb0ptOEjBjPPQUlQtQGbL</t>
  </si>
  <si>
    <t>0TnOYISbd1XYRBk9myaseg</t>
  </si>
  <si>
    <t>Pitbull Starring In Rebelution</t>
  </si>
  <si>
    <t>2009-08-31</t>
  </si>
  <si>
    <t>73zcWSmBYRpZgZ3n50GHdb</t>
  </si>
  <si>
    <t>2XvV82x6Qs0W3GBTkBSjPI</t>
  </si>
  <si>
    <t>2aG8oSqn6OJtLdaVecHJrY</t>
  </si>
  <si>
    <t>2HpYCHV3bvQ71jmohAnBL8</t>
  </si>
  <si>
    <t>6ukLaivOPRHbA0xeOlme8W</t>
  </si>
  <si>
    <t>1VBAKMui4zm5MnBWNn3NbL,3zOUpziwcfY2bCh4VyJ4Am,0CjWKoS55T7DOt0HJuwF1H</t>
  </si>
  <si>
    <t>3i2r1RegBXjp2mPY5dBpRv</t>
  </si>
  <si>
    <t>3lPtB78D5puSWQ7ltAafQw,66tyfeU6ZerzudGCX9mXcg,0V8UAtL9JWt5zmmhsHixTF</t>
  </si>
  <si>
    <t>Take a Walk (Cashew Kid Remix)</t>
  </si>
  <si>
    <t>4CtSbhdL2CLxoSpsks23j5</t>
  </si>
  <si>
    <t>7jKdwKEJDwdloy2X6fyk9Y,64N3o9z76C2APyfgQV2HMp</t>
  </si>
  <si>
    <t>43wpVmVHY8Eo93vlREkdcJ</t>
  </si>
  <si>
    <t>2016-03-07</t>
  </si>
  <si>
    <t>4W2bFqf4fiUajqCzTDuCQM</t>
  </si>
  <si>
    <t>1abeK6nTH1bQUmfhyfSpPh,6gSzlJyB55Y5oQapMpNOjz,0nNnD1oc02hebmFdcJkyXw</t>
  </si>
  <si>
    <t>Close 2 U (feat. Harvie) (feat. Harvie) [Leon Lour Remix]</t>
  </si>
  <si>
    <t>1mfyFpWje1AuCwNJS1Cqaq</t>
  </si>
  <si>
    <t>0UZ1nu3kcdNlCoiKRjmSSY,38m9yqy7fH2TiNa93BU9z7,134GdR5tUtxJrf8cpsfpyY</t>
  </si>
  <si>
    <t>Stranger (Remixes - Pt. 2) (feat. Elliphant)</t>
  </si>
  <si>
    <t>4ga4WvRNhMsIL38pkBbnIN</t>
  </si>
  <si>
    <t>60d24wfXkVzDSfLS6hyCjZ,4NHQUGzhtTLFvgF5SZesLK</t>
  </si>
  <si>
    <t>7aAWrDRy3T52A95bDNfdlO</t>
  </si>
  <si>
    <t>4mHAu7NX2UNsnGXjviBD9e,2wX6xSig4Rig5kZU6ePlWe,6oMBHWDRue76zAGaT8Rxw0</t>
  </si>
  <si>
    <t>2020-05-22</t>
  </si>
  <si>
    <t>4fzsfWzRhPawzqhX8Qt9F3</t>
  </si>
  <si>
    <t>2gZUPNdnz5Y45eiGxpHGSc</t>
  </si>
  <si>
    <t>My Beautiful Dark Twisted Fantasy</t>
  </si>
  <si>
    <t>2010-11-22</t>
  </si>
  <si>
    <t>1qSQ8ivU7OPqFcEO1D99vU</t>
  </si>
  <si>
    <t>6VD4UEUPvtsemqD3mmTqCR,7bXgB6jMjp9ATFy66eO08Z</t>
  </si>
  <si>
    <t>2015-03-17</t>
  </si>
  <si>
    <t>7rSG1epHwcN45WaysXjH4i</t>
  </si>
  <si>
    <t>2s6N4BAIZwWLeKdRkEPnXS,2OR6p3jJ11Vy0Bk2LqZeZk</t>
  </si>
  <si>
    <t>71gkG0GVxWwCnkMHoCVqme</t>
  </si>
  <si>
    <t>3okpOKUI8vvwAYi4cDoXdZ,6nBujjA6fus37LVZEqEULp,733pYGuQ9xwCh15uK2VWT1</t>
  </si>
  <si>
    <t>Antidote (Rami Remix)</t>
  </si>
  <si>
    <t>2017-03-21</t>
  </si>
  <si>
    <t>746vQstCawLVWDGMQpy9Hs</t>
  </si>
  <si>
    <t>42DHohvQahCjLACpMYd0KV,1pKFm4XvYsxXR4yJECVMOr</t>
  </si>
  <si>
    <t>2UzzLexdZFJeFK16PqgmV9</t>
  </si>
  <si>
    <t>4FXGRMSHh2JjHxVwS8dhH1,4EoSEUWlmLpYGHGNBoThiM</t>
  </si>
  <si>
    <t>Still Kids - EP</t>
  </si>
  <si>
    <t>2017-08-10</t>
  </si>
  <si>
    <t>61TIRV3QcWTnbn5xtNwzQx</t>
  </si>
  <si>
    <t>5lXf3xjcLx6BmYMY6TvczJ,24CzPFC4y3bM4AkUnZfuAU</t>
  </si>
  <si>
    <t>2017-03-20</t>
  </si>
  <si>
    <t>0TTZjz6Ebap7KidcPawEbQ</t>
  </si>
  <si>
    <t>62UdSpLGWjDU75OAFKLxWV</t>
  </si>
  <si>
    <t>4siJOVaRpyJ0v1nHjeY7Dn</t>
  </si>
  <si>
    <t>08DhNYXQjr5i8ZL041APOI,6sUsfQ1mfjViQCKig0NtMp</t>
  </si>
  <si>
    <t>2CwZiobaxqavWUyvMuSfhC</t>
  </si>
  <si>
    <t>1Bl3QCicq2EeV9mY4GLtBP,33B8YdHEKqpNbbKVkQueoF</t>
  </si>
  <si>
    <t>2019-02-27</t>
  </si>
  <si>
    <t>0Fw2iOq2OffrDsBLeM0Gbl</t>
  </si>
  <si>
    <t>5x5A7XpwPntnYfGyOolDdi,5oqZhwX6zBOhC2ODYjh7RL,0RIZUqVTSoGj8bL0W09msx,20N95on2Bu0e3AZyiEUMz1</t>
  </si>
  <si>
    <t>New Beginnings (The Remixes)</t>
  </si>
  <si>
    <t>2018-05-26</t>
  </si>
  <si>
    <t>2yWmApnV6e7LQdtQJoc6g4</t>
  </si>
  <si>
    <t>7eMykQ9NjmtA5FnMarEG2F</t>
  </si>
  <si>
    <t>2018-06-12</t>
  </si>
  <si>
    <t>1DI9ypLeAJBl3kHwpAxEpu</t>
  </si>
  <si>
    <t>2nePbyJjPQUSF4QNLaFLRb,3F06nUwhnESrprceJi8TVb,1AVdExEEL89JVaMkahGGiL,2V431yZGG08uroH2CZAgur</t>
  </si>
  <si>
    <t>2019-10-04</t>
  </si>
  <si>
    <t>293vYy8J89AeuWaRuCUixY</t>
  </si>
  <si>
    <t>2018-07-03</t>
  </si>
  <si>
    <t>0YqwWW8dtBLm266Tf1WVdH</t>
  </si>
  <si>
    <t>0cWwLbhs4bX6RLNR0r3FMN,18ZxJf28Jf6aOTlI0XBu4l,4iF8VQ9Avxe5RM3A4ddlvF</t>
  </si>
  <si>
    <t>3wXkNt9ZwRHlgf3NmXFT0A</t>
  </si>
  <si>
    <t>3un05YwofiJaHKHpHOXoWO</t>
  </si>
  <si>
    <t>Deep In The Night - EP</t>
  </si>
  <si>
    <t>2016-05-12</t>
  </si>
  <si>
    <t>0jNIUoKTon2gRc8s7JONbN</t>
  </si>
  <si>
    <t>5a3WpRDlPqdJvQsH5nH3kS</t>
  </si>
  <si>
    <t>1ipP8QZmbg37nYAMrdlPEa</t>
  </si>
  <si>
    <t>09GJU4jF4zhNfN72mTyMCi,6SNGwRjRqfW5V2D8SoFab9</t>
  </si>
  <si>
    <t>0HBImKYUH1S14K9WX1JTGI</t>
  </si>
  <si>
    <t>2KOCXIEmkM6K82nL9fovWf,3wkHMiy2I0PuYIh9JNyqVk</t>
  </si>
  <si>
    <t>Pins &amp; Needles (Xan Griffin Remix)</t>
  </si>
  <si>
    <t>2QgYGgcHHiU2JqbPFJMNv2</t>
  </si>
  <si>
    <t>3OI7pJlb0e2SCakpHVPJlV,23phZKiFniEnZH8I4X5gTu</t>
  </si>
  <si>
    <t>6SDQETfHW9JT9p99S3nB44</t>
  </si>
  <si>
    <t>7vk5e3vY1uw9plTHJAMwjN,0YC192cP3KPCRWx8zr8MfZ</t>
  </si>
  <si>
    <t>Time (Alan Walker Remix)</t>
  </si>
  <si>
    <t>2YOTWRGu8Y1u46i0cGL6gg</t>
  </si>
  <si>
    <t>5WLalRI8ogjIt7nhUNdoEC,60Hfam1Vgweqz4pyfISTcG</t>
  </si>
  <si>
    <t>With the Sunshine</t>
  </si>
  <si>
    <t>2009-07-09</t>
  </si>
  <si>
    <t>2eFjKl5cyPPYElDByCh6Tb</t>
  </si>
  <si>
    <t>45eNHdiiabvmbp4erw26rg,6ASri4ePR7RlsvIQgWPJpS</t>
  </si>
  <si>
    <t>4JHg4nNYUJQ5HULcCmI18R</t>
  </si>
  <si>
    <t>536BYVgOnRky0xjsPT96zl</t>
  </si>
  <si>
    <t>Tourist History</t>
  </si>
  <si>
    <t>2010-03-01</t>
  </si>
  <si>
    <t>7w87IxuO7BDcJ3YUqCyMTT</t>
  </si>
  <si>
    <t>7gP3bB2nilZXLfPHJhMdvc</t>
  </si>
  <si>
    <t>Torches</t>
  </si>
  <si>
    <t>2011-05-23</t>
  </si>
  <si>
    <t>4iG2gAwKXsOcijVaVXzRPW</t>
  </si>
  <si>
    <t>1jJci4qxiYcOHhQR247rEU</t>
  </si>
  <si>
    <t>02uFtu7UyNAmZPyZvbEV8P</t>
  </si>
  <si>
    <t>1kPPXyGPHwbZGsnuxFtjYg,1YOw6jUy5uUo7rNMb2wj4Q</t>
  </si>
  <si>
    <t>I Can't Resist (Nebbra Remix)</t>
  </si>
  <si>
    <t>6TqoydI7ZJdRkwBgPYy7eb</t>
  </si>
  <si>
    <t>2018-04-13</t>
  </si>
  <si>
    <t>7eBqNSGi5jOBQZDiecXJas</t>
  </si>
  <si>
    <t>74yueOpxONIcPCjGyF84jG</t>
  </si>
  <si>
    <t>2012-12-25</t>
  </si>
  <si>
    <t>1ghj4TQumDUnv2sDHuZ8uW</t>
  </si>
  <si>
    <t>3auVz3IAknOEom6jOxXPBk,7b1FMiWXZwOBsxi0uWw6wH</t>
  </si>
  <si>
    <t>2019-11-12</t>
  </si>
  <si>
    <t>2BmdiexWzIMHibIvfY7wEX</t>
  </si>
  <si>
    <t>1UtzKaSQyctQO8GN8EyzOn,4qmBQfj1H24ql2zCdsTett</t>
  </si>
  <si>
    <t>2015-04-26</t>
  </si>
  <si>
    <t>5EllKtaQJAKQFxWFN3tvd4</t>
  </si>
  <si>
    <t>3QqJ1L8cWsPFZ1YDPpUmvG</t>
  </si>
  <si>
    <t>0Czr6dCy3ZjMcILdMzPQqh</t>
  </si>
  <si>
    <t>5uUpRd7OL5iLUyIQnH82mM,5wZea2jH6qM1cRkKLPZ3S1</t>
  </si>
  <si>
    <t>2018-04-20</t>
  </si>
  <si>
    <t>0Ps64nQpDtF6DvvLZ8Kvid</t>
  </si>
  <si>
    <t>6IDgN356to8svgrWLUAIoC,66tyfeU6ZerzudGCX9mXcg</t>
  </si>
  <si>
    <t>2018-08-24</t>
  </si>
  <si>
    <t>4SWdjAOGdAiwEgZ8ksdDTh</t>
  </si>
  <si>
    <t>6J4zegMTYP4nGJSpSDvy49,7dRZclXkaEE73U3Tx1u9qV</t>
  </si>
  <si>
    <t>0I0gEp5NUEHbKYPl78m8Ww</t>
  </si>
  <si>
    <t>4u1nYxjl132D6rcMeYQ6Zz,0MekCsZ593nZDsPIts2wkd,3xIHOffeC188QWHIiCaLXr</t>
  </si>
  <si>
    <t>2019-01-23</t>
  </si>
  <si>
    <t>4FrscQ95ei9r3zKjaXTRMt</t>
  </si>
  <si>
    <t>6JiMUOOLnn0ulGqzCwb6p8</t>
  </si>
  <si>
    <t>1cV2hqt2CbxlRCGh0Pvkij,23ostNBoB9z6GMXLtHdg7y</t>
  </si>
  <si>
    <t>Gave It All (Prismo Remix)</t>
  </si>
  <si>
    <t>2UkthNtMWV49Ay5dWKj8iA</t>
  </si>
  <si>
    <t>7aB2KbM3pphL9mU3dXbyh2,7z3jWevFVKWVvlSbPVpjeq</t>
  </si>
  <si>
    <t>2019-09-25</t>
  </si>
  <si>
    <t>5LtNBCM2ve0SxP0dlRVvMu</t>
  </si>
  <si>
    <t>64M6ah0SkkRsnPGtGiRAbb</t>
  </si>
  <si>
    <t>2014-12-19</t>
  </si>
  <si>
    <t>4Fa0hI1ix6CuF8T0PTQ6fk</t>
  </si>
  <si>
    <t>1LCPvGsQVJUQE8oyIRihHh,05XxXeBmy0Kge0WdgDfj05</t>
  </si>
  <si>
    <t>4qqw6tYEDPZ1CEOx49Fqf9</t>
  </si>
  <si>
    <t>4k5j2KkfsE7yGO46C0Hm1G,4lFbV0wEuW8ulSq6NBYg4O,1cOE2rCet7CGWid3OD5499</t>
  </si>
  <si>
    <t>Dreamland (The Remixes)</t>
  </si>
  <si>
    <t>1hefT5VgtehbGSIt2T24ku</t>
  </si>
  <si>
    <t>5kp9Qhzri9LrDkzrtjt5Sh,2wx1SwH78waV7t1dVM2SWS</t>
  </si>
  <si>
    <t>Teenage Crime (Christofi Remix)</t>
  </si>
  <si>
    <t>4TGhEyyyEtWmix70ssTqTG</t>
  </si>
  <si>
    <t>3cZERPgr3EpE62ZKG7EHq2</t>
  </si>
  <si>
    <t>7uas0F5EhsZg6KDJ7yy7rW</t>
  </si>
  <si>
    <t>62BSBGOYQvZinJ4Ib7qZOh</t>
  </si>
  <si>
    <t>1mKN7Qwl15Qx9iBj5ylx8b,4lV6ppZdgWaAH75QRVhlha,41LqrhKD3Hs6MOOFPhb59G,0Y0r9IKRjfC62MAYMDEMZO</t>
  </si>
  <si>
    <t>2018-12-22</t>
  </si>
  <si>
    <t>68egp0iUuHKwEANX11VJt8</t>
  </si>
  <si>
    <t>3n2H1XlCyS1WQ0vyVUFEma,0KEExJc1NKwmzJxQHbbkts</t>
  </si>
  <si>
    <t>6Nwn5TaKaQnzfUkztywDKz</t>
  </si>
  <si>
    <t>1YlyxjwYNSjBD0NAJGEfWB,2y9Lrb9drybmVaUxFtDxFI</t>
  </si>
  <si>
    <t>6cRH9IvALzaQmQMsUjUauB</t>
  </si>
  <si>
    <t>5HDqj7lexto9EPJ42uS2dM,0ydORocQawKL2QaPiGG8fZ</t>
  </si>
  <si>
    <t>6PGbM7a5FFAuP85KEcWUIi</t>
  </si>
  <si>
    <t>2ki18XpflLZBVA36Q0w50w</t>
  </si>
  <si>
    <t>2019-10-14</t>
  </si>
  <si>
    <t>2sVocViMgNZW2LCKpXep1A</t>
  </si>
  <si>
    <t>1eMmoIprPDWeFdB1FxU6ZV,4dM6NDYSfLcspt8GLoT5aE</t>
  </si>
  <si>
    <t>Assassin (Hippie Sabotage Remix)</t>
  </si>
  <si>
    <t>2019-05-31</t>
  </si>
  <si>
    <t>0IOkIDlm2Ikdhjr5EVVzMM</t>
  </si>
  <si>
    <t>2fNr4ldujwq97v1jWeqs8K</t>
  </si>
  <si>
    <t>DEMIGOD</t>
  </si>
  <si>
    <t>6ibayfvVOby1NSKJFohtZp</t>
  </si>
  <si>
    <t>6FPDULwgllPquFdqdzj5gi,7CSAJPH9eLCOvPc9jn1I6e,0NO8SsF6umjI3iQJzTycVF</t>
  </si>
  <si>
    <t>6DDfgNNZCIvgbeIYadncBE</t>
  </si>
  <si>
    <t>53nWgqUwQXGulKDm93TuJ5</t>
  </si>
  <si>
    <t>Morning Light</t>
  </si>
  <si>
    <t>2019-10-18</t>
  </si>
  <si>
    <t>1YMBg7rOjxzbya0fPOYfNX</t>
  </si>
  <si>
    <t>540vIaP2JwjQb9dm3aArA4,5JZ7CnR6gTvEMKX4g70Amv</t>
  </si>
  <si>
    <t>0sF1zNhEj00871seSSsT16</t>
  </si>
  <si>
    <t>32MQN2sITkJGNQN40QLPEa,73mwy3L2uoEiQwhLcw3yAq</t>
  </si>
  <si>
    <t>2019-09-16</t>
  </si>
  <si>
    <t>1FN4g3EVBYXELPH4fB6lpU</t>
  </si>
  <si>
    <t>2ITbqEgyp32vL3BxEFmQ1V,44APJiQpJhK4CWuLC9gGrx,4TSqSBlGY1wV5qhnX6vVwB,5JHw3zW4kgwIZlh33geR1K</t>
  </si>
  <si>
    <t>Out of Time (feat. Eric Lumiere)</t>
  </si>
  <si>
    <t>2018-10-12</t>
  </si>
  <si>
    <t>5yECq6R2S2iTV8GTxen4JV</t>
  </si>
  <si>
    <t>1IELhvOMg5VQlU7syRm6CS,5mKNjpx3SmjNqtxQTmuo9Z</t>
  </si>
  <si>
    <t>2014-05-06</t>
  </si>
  <si>
    <t>5QW0Qa1CS4XcJs2pmAgXKS</t>
  </si>
  <si>
    <t>1SFSz2SewAsgPeFvGmAouI</t>
  </si>
  <si>
    <t>2013-10-21</t>
  </si>
  <si>
    <t>4Uhty1kvytzqhwoLO2CVoi</t>
  </si>
  <si>
    <t>2013-02-16</t>
  </si>
  <si>
    <t>6l7PqWKsgm4NLomOE7Veou</t>
  </si>
  <si>
    <t>1Yfe3ONJlioHys7jwHdfVm,2pHk4wAmL7ofTAuvCIUWtv</t>
  </si>
  <si>
    <t>Jeannine</t>
  </si>
  <si>
    <t>4r3o96B3pGDf5LiMWcGCaL</t>
  </si>
  <si>
    <t>5AAzeysphag0NxJxLbbVla,1eTRyiHsWMoWKPD6s4Kiqt,3IG4wXzUoG2sb1895LQZIl</t>
  </si>
  <si>
    <t>4LIpZpeg3HchPoNm5dLC3k</t>
  </si>
  <si>
    <t>Clubbing For Columbine</t>
  </si>
  <si>
    <t>1uzu4pCYab9vO52xJBG7Wd</t>
  </si>
  <si>
    <t>3g90aBVbbdK0mfQbI3vK6r</t>
  </si>
  <si>
    <t>2y9AMkHSF9CDGqNiUAg0y4</t>
  </si>
  <si>
    <t>2RnDmyX1zzOkK5Cj9QPhMq,3gR7KNFNsKnMg85WPOyAka</t>
  </si>
  <si>
    <t>2018-11-08</t>
  </si>
  <si>
    <t>4m3e1d4E3lcPvsstfgFuLc</t>
  </si>
  <si>
    <t>6nBujjA6fus37LVZEqEULp</t>
  </si>
  <si>
    <t>1OWohya3ZfzajbCuSk59WD</t>
  </si>
  <si>
    <t>2o5jDhtHVPhrJdv3cEQ99Z,1l2ekx5skC4gJH8djERwh1,66dO8EHFd4ZfjxdQC4VdAS</t>
  </si>
  <si>
    <t>Chemicals (feat. Thomas Troelsen)</t>
  </si>
  <si>
    <t>2015-10-15</t>
  </si>
  <si>
    <t>2MkAfgSPxvjjaOPnMTp5HT</t>
  </si>
  <si>
    <t>5Vz6Ppxlma8GhFK0WPHKgD,5zId1SmYy46E9v2KQsSTFR</t>
  </si>
  <si>
    <t>4tCma48OCPdcSjcFtsmXFq</t>
  </si>
  <si>
    <t>6hBrJJrcYoNhvLC6KaFR4b,4Uwm1OsyzyEF7MsNBAYoaZ</t>
  </si>
  <si>
    <t>2018-08-21</t>
  </si>
  <si>
    <t>7L7aOubzJiw3pTve8j1GjS</t>
  </si>
  <si>
    <t>5YcrK5BMFGWuXku9nepAIt,1JbLPnup4Pz2nUzma3yiJ8</t>
  </si>
  <si>
    <t>2018-12-29</t>
  </si>
  <si>
    <t>3s9O7pIyUbtqymZR99VoZb</t>
  </si>
  <si>
    <t>0cXhsEskwJVOxJUfeinguz</t>
  </si>
  <si>
    <t>1wb4FTZMkaGsJiYXR27JTK</t>
  </si>
  <si>
    <t>6rcE30MaP92XafelMNZ2Sq,1N29uZsEW74pVL6zNKIukF</t>
  </si>
  <si>
    <t>24</t>
  </si>
  <si>
    <t>2017-03-24</t>
  </si>
  <si>
    <t>7oaEjLP2dTJLJsITbAxTOz</t>
  </si>
  <si>
    <t>4tZwfgrHOc3mvqYlEYSvVi,3f626JSVauIhTQgatsFcs4</t>
  </si>
  <si>
    <t>1v5J1L8FbUQya4SUQFCstk</t>
  </si>
  <si>
    <t>7C3Cbtr2PkH2l4tOGhtCsk,3IxDETkXytMePFoyf7PYWQ</t>
  </si>
  <si>
    <t>All Becomes Okay</t>
  </si>
  <si>
    <t>25qstCHMJuBEoRvj7vfRG2</t>
  </si>
  <si>
    <t>0PxzGnCYBpSuaI49OR94cA,2QSPrJfYeRXaltEEiriXN9</t>
  </si>
  <si>
    <t>3UgSQu6WwrXfKKDq019IHE</t>
  </si>
  <si>
    <t>1HxJeLhIuegM3KgvPn8sTa,5he5w2lnU9x7JFhnwcekXX,5fMUXHkw8R8eOP2RNVYEZX,5ITI6SEoUZMIXXkzCfr4oE,2VAnyOxzJuSAj7XIuEOT38</t>
  </si>
  <si>
    <t>2RpKh7kXSdO8NLrW9VQ46p</t>
  </si>
  <si>
    <t>1HxJeLhIuegM3KgvPn8sTa,5he5w2lnU9x7JFhnwcekXX,5fMUXHkw8R8eOP2RNVYEZX,4zxvC7CRGvggq9EWXOpwAo</t>
  </si>
  <si>
    <t>6M9L1sPBHbVMpEYV8hYiGU</t>
  </si>
  <si>
    <t>3yWCAtesP5BFtJnBbgfv8b,4uRYpUQZrNrY5t8tAv3XrD,5he5w2lnU9x7JFhnwcekXX</t>
  </si>
  <si>
    <t>I See Monstas</t>
  </si>
  <si>
    <t>1G79vIY7FPXPjBj9cpweZD</t>
  </si>
  <si>
    <t>3CjlHNtplJyTf9npxaPl5w</t>
  </si>
  <si>
    <t>Love Is Dead</t>
  </si>
  <si>
    <t>1mvZErZBp7WZT3HfGBykao</t>
  </si>
  <si>
    <t>6VX2R9L0O0d6qPvqGuIH7b</t>
  </si>
  <si>
    <t>Dancing Shoes</t>
  </si>
  <si>
    <t>2007-03-08</t>
  </si>
  <si>
    <t>6pbCwd97Z68YM9PUpMVyHG</t>
  </si>
  <si>
    <t>6Uk6MCdcT025QBTcXRFKDL</t>
  </si>
  <si>
    <t>5AAzeysphag0NxJxLbbVla,1eTRyiHsWMoWKPD6s4Kiqt,3n0ksbjVdPz83etmJcuaur</t>
  </si>
  <si>
    <t>0Zx8khUcEfCFK2AEoIhC92</t>
  </si>
  <si>
    <t>2FwJwEswyIUAljqgjNSHgP,0bdfiayQAKewqEvaU6rXCv</t>
  </si>
  <si>
    <t>2017-01-06</t>
  </si>
  <si>
    <t>3F1P0QzdXtBz0MXy7KIO5w</t>
  </si>
  <si>
    <t>6M2wZ9GZgrQXHCFfjv46we,3QVolfxko2UyCOtexhVTli</t>
  </si>
  <si>
    <t>7toYVidBIpAmM8Ife3LGrP</t>
  </si>
  <si>
    <t>1oXHXIB8rHgwHSsPRNjEzn</t>
  </si>
  <si>
    <t>5eTNdkstwKaNahHf41fJ9u</t>
  </si>
  <si>
    <t>3SqvR3HYLlCTYzbDXJ52OC</t>
  </si>
  <si>
    <t>0J7U24vlOOIeMpuaO6Q85A</t>
  </si>
  <si>
    <t>4CxFN5zON70B3VOPBYbd6P</t>
  </si>
  <si>
    <t>brent</t>
  </si>
  <si>
    <t>3bEpiGFnLy4ufim9JZtJYg</t>
  </si>
  <si>
    <t>79v9Al6rSVH9SFk0QzzOl1,5wMfct6VVvaVQ8xGCXxIUa</t>
  </si>
  <si>
    <t>5RmAMl19LuPMXRWGWwQokM</t>
  </si>
  <si>
    <t>5zId1SmYy46E9v2KQsSTFR,3MwmAS7wwAAeaPk0NcW2eR</t>
  </si>
  <si>
    <t>2018-01-14</t>
  </si>
  <si>
    <t>5CCWP5IxKI8zmTMz6ayYo6</t>
  </si>
  <si>
    <t>0qEfm4ATaAE8ojkufr2Za8,6soBrebtoR25l6F8Ktr9aj</t>
  </si>
  <si>
    <t>2019-06-03</t>
  </si>
  <si>
    <t>2H4uqvn3a2qeMvCZJeS8Km</t>
  </si>
  <si>
    <t>4YrURxtCHtPBfNDmMNp7IG,1GrQQZ7U31WfQPQbd3MHx9</t>
  </si>
  <si>
    <t>60C9RLX8GdMVVLPuGfuKNX</t>
  </si>
  <si>
    <t>0Szh8DhUXEL2iujQ9cdS4q,1eoVPmja8dbVy5uI8KEzpV</t>
  </si>
  <si>
    <t>4ORtGXfUxYbW3mwwRGPkXm</t>
  </si>
  <si>
    <t>4zjO8Jhi2pciJJzd8Q6rga,6mRK3kM9VcjgnwtUAE1vNx</t>
  </si>
  <si>
    <t>Waiting for You</t>
  </si>
  <si>
    <t>3TlWg4hN6zs4XbgjxN7gz3</t>
  </si>
  <si>
    <t>4tCRRxANqaE3qGSGLz0y3Q,0EHYuPn9Xng2lZP2cfz4cV</t>
  </si>
  <si>
    <t>37BLuetTPbJ6ub0l4kXt6F</t>
  </si>
  <si>
    <t>2YSonqYQoNUmP6jGIKW59Z,4hHvJgsm5erOOP97SBJ8uQ</t>
  </si>
  <si>
    <t>2019-06-20</t>
  </si>
  <si>
    <t>3s64Lxpmh9qDznieylVRL0</t>
  </si>
  <si>
    <t>Fable</t>
  </si>
  <si>
    <t>1yjIJiBKJHL8mEcl0ozC2H</t>
  </si>
  <si>
    <t>58OT6Rhdj8R1bIkeXPlLdP,0Th7ebqyWRIwNfNDIkEpNX</t>
  </si>
  <si>
    <t>22VdIZQfgXJea34mQxlt81</t>
  </si>
  <si>
    <t>Beauty Behind The Madness</t>
  </si>
  <si>
    <t>7fBv7CLKzipRk6EC6TWHOB</t>
  </si>
  <si>
    <t>0bp46lGxgI34PieTp8YzQr</t>
  </si>
  <si>
    <t>0a8BrKaJ80jFDVudXKkGab,1W21ahu2kgDCcfTpuzOZne</t>
  </si>
  <si>
    <t>29pcy3SlZx3StNVqgPpe1z</t>
  </si>
  <si>
    <t>7MlRcabx5VzGcUflOC2w6l</t>
  </si>
  <si>
    <t>5Xgb8LDaSdo3vsDqJ7eBJv,4ERRpGwxvfMKNH7Dkr7Zfd</t>
  </si>
  <si>
    <t>4OrROv5eRuW78l1B0wyhsB</t>
  </si>
  <si>
    <t>5ttgIeUVka6FLyi00Uu5h8,0Cd6nHYwecCNM1sVEXKlYr</t>
  </si>
  <si>
    <t>The Wise and The Wicked</t>
  </si>
  <si>
    <t>207Ps3b5hAdo0xwprL2g5g</t>
  </si>
  <si>
    <t>1H72fTOUAUl0WQ4kH5DPVW,0azBYaBHYeHavGyEwUWihz</t>
  </si>
  <si>
    <t>5CuuByLow8aJitcsU4Btuv</t>
  </si>
  <si>
    <t>0g6PJw04eyN85JxQAGGdF4</t>
  </si>
  <si>
    <t>Dream State - Single</t>
  </si>
  <si>
    <t>7uGtN1U8xuycWLEBHlwNDz</t>
  </si>
  <si>
    <t>3UWNE3idxa2v2TMzrBRX11,3NKKngINK1tP6BFy0WOyWk</t>
  </si>
  <si>
    <t>54UvqobCxBkTqwplxfVKGx</t>
  </si>
  <si>
    <t>1mU61l2mcjEFraXZLpvVMo,5w39eY1aNDybnDGTNgVt3r</t>
  </si>
  <si>
    <t>Hard To Love (The Remixes)</t>
  </si>
  <si>
    <t>1uBoDnoB3cvIRY1StBEj11</t>
  </si>
  <si>
    <t>2PyT6zhFlnRTEIKZUHh5NO,6n8gDEl7sDBnK4z08bsijw</t>
  </si>
  <si>
    <t>0J8JWQquwkGpHXqoZpMBK1</t>
  </si>
  <si>
    <t>5IuugmUXbSoEUqwwUA7Fxt,6Fg0s68TqDWc8v3VQuo8Vk,7eMykQ9NjmtA5FnMarEG2F,7ahEpNiwqIG5GJ3NkfHt1L</t>
  </si>
  <si>
    <t>2018-10-31</t>
  </si>
  <si>
    <t>4xoHBWqRYCxRFvAoDV4YDt</t>
  </si>
  <si>
    <t>1bq8rqNnfrojn0OSAfeNXJ,1jUWnDhXB6JyBLh1dyAOUc</t>
  </si>
  <si>
    <t>Come Back (Remixes)</t>
  </si>
  <si>
    <t>15PlJrGLFjdKSWt5kuDGLw</t>
  </si>
  <si>
    <t>Into Focus</t>
  </si>
  <si>
    <t>2015-11-06</t>
  </si>
  <si>
    <t>3Gi07kH5W5GDx0w6wfj2Iw</t>
  </si>
  <si>
    <t>2puRZfZNtQzOCFcj1UHFbr</t>
  </si>
  <si>
    <t>1bA2ZK7CFxEMnyn1dWP2jp</t>
  </si>
  <si>
    <t>63Qco1ncI5U4qEUnxL1DsH</t>
  </si>
  <si>
    <t>3MyFDtqB80WZvbtCZRsekM,5Tf4EH8tDvznnjULcFxkIl</t>
  </si>
  <si>
    <t>2016-07-15</t>
  </si>
  <si>
    <t>7LPGJhkRDEW6KopWhD8DbX</t>
  </si>
  <si>
    <t>3rp4f58JlRHkk8hpdLCer1</t>
  </si>
  <si>
    <t>Euphories</t>
  </si>
  <si>
    <t>2021-01-29</t>
  </si>
  <si>
    <t>0WCbGo5dCIi3w8U0DnDPDh</t>
  </si>
  <si>
    <t>0jcaMhfyinUx3Pj8w4nmWZ</t>
  </si>
  <si>
    <t>2015-12-16</t>
  </si>
  <si>
    <t>269XSeQhDrWEotMALJaACW</t>
  </si>
  <si>
    <t>51QEyJI5M7uyd8DOh9tqQY</t>
  </si>
  <si>
    <t>Pure Heroine</t>
  </si>
  <si>
    <t>2013-09-27</t>
  </si>
  <si>
    <t>74fpNVAJrKGQuqHETi4WSt</t>
  </si>
  <si>
    <t>63sNhMDGm4BlFt1Xj7F5mH</t>
  </si>
  <si>
    <t>1k7Cc2WGh6LAE1TUh6dsiy</t>
  </si>
  <si>
    <t>1uf5f99kLdlmUBEvVqrFyy</t>
  </si>
  <si>
    <t>7wg1qvie3KqDNQbAkTdbX0,6wKxOKEA3K6R2UZ3COLXEY</t>
  </si>
  <si>
    <t>6ie2Bw3xLj2JcGowOlcMhb</t>
  </si>
  <si>
    <t>Melodrama</t>
  </si>
  <si>
    <t>7ARveOiD31w2Nq0n5FsSf8</t>
  </si>
  <si>
    <t>15jRg8Ejs7X3JEHw38TSN3</t>
  </si>
  <si>
    <t>Pure Heroine (Extended)</t>
  </si>
  <si>
    <t>7BFI9QZPQKgYuR2HhDgwbG</t>
  </si>
  <si>
    <t>0GSU6yLOJqO10ziQuBLWOE</t>
  </si>
  <si>
    <t>One Day (Vandaag) [Radio Edit]</t>
  </si>
  <si>
    <t>2014-03-14</t>
  </si>
  <si>
    <t>7FGho3Adev1y2hTB949PGv</t>
  </si>
  <si>
    <t>041iTeoMIwXMlShuQPIVKo</t>
  </si>
  <si>
    <t>Netzwerk</t>
  </si>
  <si>
    <t>6Qi0Wls2EaolwPMPMxfe5f</t>
  </si>
  <si>
    <t>041iTeoMIwXMlShuQPIVKo,39AZSw4A8hCFWunEg2k89Z</t>
  </si>
  <si>
    <t>7mazffu6nlIv0rtRyPDMTD</t>
  </si>
  <si>
    <t>2qxJFvFYMEDqd7ui6kSAcq,1mU61l2mcjEFraXZLpvVMo,2zd9YxlsQvA5mkZ1NarYVQ</t>
  </si>
  <si>
    <t>Clarity (Deluxe)</t>
  </si>
  <si>
    <t>4eA2kYa441m4U4oopsuBBG</t>
  </si>
  <si>
    <t>Every Open Eye</t>
  </si>
  <si>
    <t>2015-09-25</t>
  </si>
  <si>
    <t>31AyUvMRDvZjyQI1N05lsT</t>
  </si>
  <si>
    <t>The Bones Of What You Believe</t>
  </si>
  <si>
    <t>37N1YBZEiOyXK4R9h23RW4</t>
  </si>
  <si>
    <t>1qDUxNqVmbwnDmSTnAmcLw</t>
  </si>
  <si>
    <t>2020-05-01</t>
  </si>
  <si>
    <t>3TRVbGbpw25iGsPlFaGShS</t>
  </si>
  <si>
    <t>3sHEpBuzcm8PKD7pmSm9Lm</t>
  </si>
  <si>
    <t>3gk0OYeLFWYupGFRHqLSR7,2INDI0xc49oGYTZC7fBZjX,3gTl4XARdQR2Sy59osG0Ia</t>
  </si>
  <si>
    <t>Booyah (feat. We Are Loud, Sonny Wilson)</t>
  </si>
  <si>
    <t>2013-08-27</t>
  </si>
  <si>
    <t>6eIacmhkE82vZlMDnGS7aP</t>
  </si>
  <si>
    <t>Listen</t>
  </si>
  <si>
    <t>2014-11-21</t>
  </si>
  <si>
    <t>7MUazB4rGIqFFIkjT95rCO</t>
  </si>
  <si>
    <t>6vWCjuZTaKuyp5IfDmmNyx</t>
  </si>
  <si>
    <t>47mIJdHORyRerp4os813jD</t>
  </si>
  <si>
    <t>The Music of League of Legends Vol. 1</t>
  </si>
  <si>
    <t>2015-01-28</t>
  </si>
  <si>
    <t>7mIFCvkldcADFv2PTbNxyN</t>
  </si>
  <si>
    <t>45sqz0r32KGuaur2QMd9iS,14byx2nRysWNtgauCXscKT,7cTaYwNT1P49mASgKULKab</t>
  </si>
  <si>
    <t>2016-03-21</t>
  </si>
  <si>
    <t>16rnOUpC2Wjm28csB4YYU0</t>
  </si>
  <si>
    <t>1WrO4cGKIG6EgYqyHNReej,39W8ER2QJe2x3pKLIXTiwK</t>
  </si>
  <si>
    <t>Count on You (if found Remix)</t>
  </si>
  <si>
    <t>3AHVRahgS2Cgszw6XKZtw8</t>
  </si>
  <si>
    <t>5pTAtfO5NRMgj3zsT721WO</t>
  </si>
  <si>
    <t>2018-11-13</t>
  </si>
  <si>
    <t>1rS3g0pYnbnwTtj3A4OvXP</t>
  </si>
  <si>
    <t>0jNDKefhfSbLR9sFvcPLHo</t>
  </si>
  <si>
    <t>album1</t>
  </si>
  <si>
    <t>3Z3ANEnfT5iSJrNFJFHLQO</t>
  </si>
  <si>
    <t>0Y0QSi6lz1bPik5Ffjr8sd,6fxyWrfmjcbj5d12gXeiNV</t>
  </si>
  <si>
    <t>7uqXoZoKZKjuRdNphOQOgU</t>
  </si>
  <si>
    <t>4m1yRHUMhvB8gKAJTjK4kO,3RTklnRcfHgkQJwFpgOq3t</t>
  </si>
  <si>
    <t>7sFqwdXin2bgiuElcWdtYl</t>
  </si>
  <si>
    <t>24neLwyYRyj4ItaGnFeIT0</t>
  </si>
  <si>
    <t>BRAVE</t>
  </si>
  <si>
    <t>7yeUsYy2AFxYg35ULMFM8v</t>
  </si>
  <si>
    <t>1Jc2HsPucRk1x7lAUd7xma,1J7ebmDBflMQVAaBKpQqeY</t>
  </si>
  <si>
    <t>Run Away With Me (feat. Radiochaser)</t>
  </si>
  <si>
    <t>6piIJpTPBi60m8nb4f9eyG</t>
  </si>
  <si>
    <t>4J1mN8RvE20HImtw3JjyoO</t>
  </si>
  <si>
    <t>2oD4DmRZHRjYXOHREIci1o,0CGBaSR77mTsJyktOitRAX</t>
  </si>
  <si>
    <t>2020-01-14</t>
  </si>
  <si>
    <t>3wB3ViZucTbRoHARLYWfoB</t>
  </si>
  <si>
    <t>7ACEUD7UsmmXrnj4OLt8f9</t>
  </si>
  <si>
    <t>2020-01-21</t>
  </si>
  <si>
    <t>71kkmlYkfgbrFNozWnquQi</t>
  </si>
  <si>
    <t>7lZauDnRoAC3kmaYae2opv,3MJ2o2vTovueQARKmOzHls</t>
  </si>
  <si>
    <t>5ipcN7k8N08XaMyd9rcFOO</t>
  </si>
  <si>
    <t>2CUeVZl8E9ouggdBhyclFx</t>
  </si>
  <si>
    <t>DOUCHEBAG</t>
  </si>
  <si>
    <t>2020-08-28</t>
  </si>
  <si>
    <t>27uMQkUHyL7AurGYaArzD4</t>
  </si>
  <si>
    <t>58HvfVOeJY7lUuCqF0m3ly</t>
  </si>
  <si>
    <t>67MNhiAICFY6Pwc2YxCO0K</t>
  </si>
  <si>
    <t>6mE1m1NmzO7slSiN6vzovg</t>
  </si>
  <si>
    <t>6fcTRFpz0yH79qSKfof7lp,5bFKudtw20QjmAFeA1hBLq</t>
  </si>
  <si>
    <t>2020-02-21</t>
  </si>
  <si>
    <t>3v7Q0q42zTF20iCwlKyg5N</t>
  </si>
  <si>
    <t>19HFRWmRCl27kTk6LeqAO8,5vuIOnOp6NI06rjLgTpYiY,6VD4UEUPvtsemqD3mmTqCR</t>
  </si>
  <si>
    <t>Beautiful Heartbeat</t>
  </si>
  <si>
    <t>6kBXZ8j8IuJeRjb6kV6fol</t>
  </si>
  <si>
    <t>738wLrAtLtCtFOLvQBXOXp,1vo8zHmO1KzkuU9Xxh6J7W,7c0XG5cIJTrrAgEC3ULPiq,3tVQdUvClmAT7URs9V3rsp,1LKo6ZA3RNvKtLa6zDu32S</t>
  </si>
  <si>
    <t>Peace Is The Mission : Extended</t>
  </si>
  <si>
    <t>2015-11-27</t>
  </si>
  <si>
    <t>4E5P1XyAFtrjpiIxkydly4</t>
  </si>
  <si>
    <t>5tKXB9uuebKE34yowVaU3C</t>
  </si>
  <si>
    <t>2009-08-18</t>
  </si>
  <si>
    <t>63OshgWbxCtI1WHb5C0Txd</t>
  </si>
  <si>
    <t>5pKCCKE2ajJHZ9KAiaK11H,3TVXtAsR1Inumwj472S9r4,6cEuCEZu7PAE9ZSzLLc2oQ</t>
  </si>
  <si>
    <t>Work (Remixes)</t>
  </si>
  <si>
    <t>00EFWaqXnHZ5smJNsHtnGV</t>
  </si>
  <si>
    <t>6fcTRFpz0yH79qSKfof7lp,1sKIizVYeHkGy7Tjmn9QRj</t>
  </si>
  <si>
    <t>Find Another Way</t>
  </si>
  <si>
    <t>0GIldErNuzhmImhZlNmHYa</t>
  </si>
  <si>
    <t>0oeUdHJ3cy1oveb8WguJJt</t>
  </si>
  <si>
    <t>53hNIcq8OLj9OUNvQ4ulFM</t>
  </si>
  <si>
    <t>6roDXEmZ6AARdOUv6x5U2v,5pdyjBIaY5o1yOyexGIUc6</t>
  </si>
  <si>
    <t>2019-02-14</t>
  </si>
  <si>
    <t>45gCjdqbFIkuK5DIkgbntw</t>
  </si>
  <si>
    <t>0pCNk4D3E2xtszsm6hMsWr</t>
  </si>
  <si>
    <t>What If It Is</t>
  </si>
  <si>
    <t>2013-08-06</t>
  </si>
  <si>
    <t>277Z2ZyE7We0kTJzI7E7P4</t>
  </si>
  <si>
    <t>0YC192cP3KPCRWx8zr8MfZ</t>
  </si>
  <si>
    <t>Wonder Woman 1984 (Original Motion Picture Soundtrack)</t>
  </si>
  <si>
    <t>6pWgRkpqVfxnj3WuIcJ7WP</t>
  </si>
  <si>
    <t>Interstellar (Original Motion Picture Soundtrack) [Expanded Edition]</t>
  </si>
  <si>
    <t>2014-11-18</t>
  </si>
  <si>
    <t>71vsEyBd4X1D5BUmLdFSVH</t>
  </si>
  <si>
    <t>5yG7ZAZafVaAlMTeBybKAL,5CCwRZC6euC8Odo6y9X8jr</t>
  </si>
  <si>
    <t>The New Classic</t>
  </si>
  <si>
    <t>243ZnvTZcM0FwCNq6mNJno</t>
  </si>
  <si>
    <t>3AJWHAJSFXCWcx9ACCPc1P</t>
  </si>
  <si>
    <t>6iMPqGUG6S7G5vFISJoHg4,1JV42BPeocUJ0EyQh8ug6V,5UA4NsiBgSQICPFMDKcPAe</t>
  </si>
  <si>
    <t>54MfDXq9IIetkuTcJdTceG</t>
  </si>
  <si>
    <t>4983hwHUJkAu1mE5rjPubF</t>
  </si>
  <si>
    <t>2019-04-03</t>
  </si>
  <si>
    <t>43nBJsVLjMDqL266IlPKif</t>
  </si>
  <si>
    <t>7nJNuftnqwrFGFs3ZRRe0u,5kZ3bLambJ4rBTQ7c2pmi5</t>
  </si>
  <si>
    <t>73gGZaAsiYnV0W8jPazlCj</t>
  </si>
  <si>
    <t>4X5vI99vwAZqt7YXhElP1y,3uKSQRJFp1pnRWT95Yso12,2cFrymmkijnjDg9SS92EPM</t>
  </si>
  <si>
    <t>6IHMQbcNNlFoTPEJlIzOA9</t>
  </si>
  <si>
    <t>1RzXK6ikrwaOZBCdt9kZSw,69DKP6GuG0YiUc5K7tJ4an</t>
  </si>
  <si>
    <t>2016-08-03</t>
  </si>
  <si>
    <t>2Mz3PtSFlebt8exfgcZP68</t>
  </si>
  <si>
    <t>01qbSocTDAe2DmKayS89A5,1gydLLHpbmraVz1LVZCW83</t>
  </si>
  <si>
    <t>Feel the Fire (Breath Vocal Mix)</t>
  </si>
  <si>
    <t>2016-10-28</t>
  </si>
  <si>
    <t>0peDcDwrKV0LEeoQuSQVLG</t>
  </si>
  <si>
    <t>6TjP1C3sGQH1jBfzUXfcMg</t>
  </si>
  <si>
    <t>0bdfiayQAKewqEvaU6rXCv</t>
  </si>
  <si>
    <t>46NBoIAHrmR7qcUGCIFEjR</t>
  </si>
  <si>
    <t>1Cs0zKBU1kc0i8ypK3B9ai</t>
  </si>
  <si>
    <t>This One's for You (feat. Zara Larsson) [Official Song UEFA EURO 2016]</t>
  </si>
  <si>
    <t>2JwRGKjmfIt9ngBWrh4fPT</t>
  </si>
  <si>
    <t>7iyXuJrnFdoVpKKnrQ4DFE</t>
  </si>
  <si>
    <t>2020-05-28</t>
  </si>
  <si>
    <t>1JW6q96R1X63WzcOiWNV22</t>
  </si>
  <si>
    <t>5JHrogc8ep788JhE3TFxpQ</t>
  </si>
  <si>
    <t>2019-03-07</t>
  </si>
  <si>
    <t>5sk9Vl2bpWD2yRNKS00LOx</t>
  </si>
  <si>
    <t>1JhiIIXT9DWqEU3BYFZwGA,1B5VvbwnVyZ7EmFb2sVRwD</t>
  </si>
  <si>
    <t>Out Of It (Remixes)</t>
  </si>
  <si>
    <t>2017-02-15</t>
  </si>
  <si>
    <t>08YeNMbX6zfiTplyjzzaEw</t>
  </si>
  <si>
    <t>2017-08-21</t>
  </si>
  <si>
    <t>6yFiHg5RM5zGVrXGIokWlL</t>
  </si>
  <si>
    <t>0FnS2UBQERszgo9dRLNdPT,6uzCPyGMlp97ATH1yQYNNq,0hac78iy32k7qYWLp6RPaz</t>
  </si>
  <si>
    <t>2016-11-29</t>
  </si>
  <si>
    <t>2vxxycBbgZLU2TznHW4PDP</t>
  </si>
  <si>
    <t>6rTFfPwNNFIpBOdBShd47e,3k4i4K7PicHqnodnYhXsJy</t>
  </si>
  <si>
    <t>3qOBKqHfqCpg9L1TlOHovG</t>
  </si>
  <si>
    <t>3SPEPveuGIJZQPCHmNg4wg,245PKF3hKjtxJKIG153kF0,4mAhA39Nr2uEIbQoC3yxOs</t>
  </si>
  <si>
    <t>Go To Sleep (feat. Kailee Morgue) (feat. Kailee Morgue) [Remixes]</t>
  </si>
  <si>
    <t>4xtg2hJp6C1zQQ6QsG3yjO</t>
  </si>
  <si>
    <t>1PAn2z7cLcCoRWdGpUU7Qb</t>
  </si>
  <si>
    <t>2017-08-17</t>
  </si>
  <si>
    <t>6okNs56SKuQrgf5sCwG4Jx</t>
  </si>
  <si>
    <t>1DGpuIJ6KAI5bcaFGbJZJs,5iyFPVBp2O8uXAy9nf80es</t>
  </si>
  <si>
    <t>4c9sh9GPA7YOEOSTQaqbx9</t>
  </si>
  <si>
    <t>2AsCNMhgUuqhs3Sx9Ko5Vq</t>
  </si>
  <si>
    <t>2018-03-07</t>
  </si>
  <si>
    <t>2e66hMaaHznPHk1ZN5aeqT</t>
  </si>
  <si>
    <t>5FDIxEGRvg8QrMoNr9BoFl,2RgfDvNnwJPMLSUu6H3kuq</t>
  </si>
  <si>
    <t>For My Future Past</t>
  </si>
  <si>
    <t>2020-10-19</t>
  </si>
  <si>
    <t>1J1PRYM4nezwYVWVn5eiuA</t>
  </si>
  <si>
    <t>6QbSwCeNaIhbfp1jpZ02nZ</t>
  </si>
  <si>
    <t>3ZKPs0oWxGO6es48sb2Uug</t>
  </si>
  <si>
    <t>7nujZP4tbNlFrp2rZnP537,61yls0E3zGUkOg0t9qOSy9</t>
  </si>
  <si>
    <t>2018-12-21</t>
  </si>
  <si>
    <t>6lNN3selw7hsqK8fejqhD8</t>
  </si>
  <si>
    <t>00CYRdkMnA0mwfy1VQPA7X,7ddnIV2r4SLjuwyGlgLIWt,7LMar0WAyjuaMlYUGh9HBb</t>
  </si>
  <si>
    <t>Start Over (Frank Pole Remix)</t>
  </si>
  <si>
    <t>4U3nbOeAweBQfcvfI5KLMS</t>
  </si>
  <si>
    <t>02oT3HvcsXD64VwOBtH8yM</t>
  </si>
  <si>
    <t>45eNHdiiabvmbp4erw26rg,7lZauDnRoAC3kmaYae2opv,5pdyjBIaY5o1yOyexGIUc6</t>
  </si>
  <si>
    <t>2020-12-25</t>
  </si>
  <si>
    <t>4F1GNyFyinJH9W50pJO0RR</t>
  </si>
  <si>
    <t>0h3YCmvRJ2jqt4jFiR6nGL,3jJ0eKGSvonpsii1ISuYkH</t>
  </si>
  <si>
    <t>Dynasty (Elephante Remix)</t>
  </si>
  <si>
    <t>2gCtq0q504rGJxM1Rc5X0x</t>
  </si>
  <si>
    <t>2qZwOcOK5pr8WaNJWvuZd2</t>
  </si>
  <si>
    <t>2018-02-01</t>
  </si>
  <si>
    <t>3SJv9Gmnq6VXM9xNITfIw1</t>
  </si>
  <si>
    <t>3nUbzTTtP2w4HqvT5y5vkV,76M2Ekj8bG8W7X2nbx2CpF</t>
  </si>
  <si>
    <t>Live This Nightmare (NGHTMRE Remix)</t>
  </si>
  <si>
    <t>2015-01-06</t>
  </si>
  <si>
    <t>25CuTvCalcaNuIqhRr7pXD</t>
  </si>
  <si>
    <t>60ETw93KnLzkysVpiZ3VYA,4YufGoZSIOTiPSh8KqPYT1,7e1qyhWgdVEnEjG7Sbb5W0</t>
  </si>
  <si>
    <t>4Fh70vACpQHYojAIlFZG3G</t>
  </si>
  <si>
    <t>7cTaYwNT1P49mASgKULKab,7vWC03wqXwUqjPON8hc1tz</t>
  </si>
  <si>
    <t>Trust Cycles [Remixes]</t>
  </si>
  <si>
    <t>2016-12-07</t>
  </si>
  <si>
    <t>4pCaBJPDbw1HFzwsQZlIgb</t>
  </si>
  <si>
    <t>64KEffDW9EtZ1y2vBYgq8T,7muzHifhMdnfN1xncRLOqk,6wKxOKEA3K6R2UZ3COLXEY</t>
  </si>
  <si>
    <t>Joytime III</t>
  </si>
  <si>
    <t>2019-07-03</t>
  </si>
  <si>
    <t>5AtfGqKRxHMOkuW4V2dpiW</t>
  </si>
  <si>
    <t>6tXFIlorHN5HolTZLTIYeF</t>
  </si>
  <si>
    <t>2017-07-02</t>
  </si>
  <si>
    <t>2qZVVN9arDWwNVS8onFB7k</t>
  </si>
  <si>
    <t>3gAl49dGPSIUbkWbSJyIBs,68bTh9UzHWFypy6Kt54NDZ</t>
  </si>
  <si>
    <t>7lQWRAjyhTpCWFC0jmclT4</t>
  </si>
  <si>
    <t>3y24n3XhZ96wgwRXjvS17T,2LhsePRtgCo4THVKULQBL7</t>
  </si>
  <si>
    <t>1995-11-07</t>
  </si>
  <si>
    <t>5HdUMBc7AhPFhlPDZUpSwf</t>
  </si>
  <si>
    <t>50OApTJurDusIo9dGTqSU4</t>
  </si>
  <si>
    <t>Invincible Friends (Edition Robin Schulz Remix)</t>
  </si>
  <si>
    <t>2014-07-28</t>
  </si>
  <si>
    <t>3bNv3VuUOKgrf5hu3YcuRo</t>
  </si>
  <si>
    <t>4dpARuHxo51G3z768sgnrY</t>
  </si>
  <si>
    <t>2011-01-24</t>
  </si>
  <si>
    <t>4OSBTYWVwsQhGLF9NHvIbR</t>
  </si>
  <si>
    <t>3di5hcvxxciiqwMH1jarhY</t>
  </si>
  <si>
    <t>5ZVujHtwnsqFJvLnqRSdch</t>
  </si>
  <si>
    <t>1OpHMC7Qo3lY1sVYaTUQrG</t>
  </si>
  <si>
    <t>2014-04-21</t>
  </si>
  <si>
    <t>3aqiYtPFBj1Wedl4wLwMXY</t>
  </si>
  <si>
    <t>5CVsjwjuzUOrlEc2OJbUg4</t>
  </si>
  <si>
    <t>0Tcq3jUf8IQaxhsftkzEM1</t>
  </si>
  <si>
    <t>3XFcu2NnGWceLNdxRCfYH3,7lIzEb23X68Dbt7Ka94Prh</t>
  </si>
  <si>
    <t>2020-12-04</t>
  </si>
  <si>
    <t>2PhmGLVDm7jNvzhoV7XtcT</t>
  </si>
  <si>
    <t>4CTKqs11Zgsv8EZTVzx764,5JSXWmQO8csVUy6hSRu8TA,356FCJoyYWyzONni54Dgrv</t>
  </si>
  <si>
    <t>Higher (Remixes)</t>
  </si>
  <si>
    <t>1zRdhBRqRnMSLkZTODa5OL</t>
  </si>
  <si>
    <t>0vqJkZ0RpLZixt3lTmD8vP,5r5Va4lVQ1zjEfbJSrmCsS</t>
  </si>
  <si>
    <t>Life of a Wallflower, Vol. 1</t>
  </si>
  <si>
    <t>4wvj3LqF8EqGxoNc1FIbHr</t>
  </si>
  <si>
    <t>4CTKqs11Zgsv8EZTVzx764,0t3QQl52F463sxGXb1ckhB</t>
  </si>
  <si>
    <t>1lxOeqC6hwS5Uil0ODIWl3</t>
  </si>
  <si>
    <t>4CTKqs11Zgsv8EZTVzx764</t>
  </si>
  <si>
    <t>JGM</t>
  </si>
  <si>
    <t>7HzrpdEZb4RU2sUGeERyUm</t>
  </si>
  <si>
    <t>3SPEPveuGIJZQPCHmNg4wg,4CTKqs11Zgsv8EZTVzx764,2sfSQ1BOzaFQa3LZj6OGwD</t>
  </si>
  <si>
    <t>3h5IIiL9vK5aR0DZO6jD7D</t>
  </si>
  <si>
    <t>4CTKqs11Zgsv8EZTVzx764,2bx0ckgYnvvFPzDlGpupN2</t>
  </si>
  <si>
    <t>6GXuXHyZrYuov3GQaPd7zS</t>
  </si>
  <si>
    <t>6J3RPKUwZlKMzh3vWa9wPc,2ZmerElhvxg8uVKCmlZ4ij</t>
  </si>
  <si>
    <t>Porcelain (AWAY Remix)</t>
  </si>
  <si>
    <t>2A3Yg4ifRaHfgtx4ysiGgE</t>
  </si>
  <si>
    <t>7ERTOmWXRyme5WJUpXVVSl,4tp1pUIwgLWIIIIOo1yPYp</t>
  </si>
  <si>
    <t>Kid Calamity</t>
  </si>
  <si>
    <t>7aRyg2oGrY9mx83lQdvQfy</t>
  </si>
  <si>
    <t>7u160I5qtBYZTQMLEIJmyz,7HvystfBAIH8khkGVO4vne</t>
  </si>
  <si>
    <t>Best (Parker Remix)</t>
  </si>
  <si>
    <t>4bvAOw6w8IsY1kl17CKsws</t>
  </si>
  <si>
    <t>5Fxm01Q3h4d0JsKnVHnawz,6JFJcq2UPPeTrrh56znIfK,0VFEQTLLwmbS0Q5WJbavbh</t>
  </si>
  <si>
    <t>2017-11-21</t>
  </si>
  <si>
    <t>4PzbXfhv5dstywvRPp0ydz</t>
  </si>
  <si>
    <t>3nVkLnGVIdDj58HdoIo37M</t>
  </si>
  <si>
    <t>2017-11-28</t>
  </si>
  <si>
    <t>4YickgXq8My5OJtgpb5yr5</t>
  </si>
  <si>
    <t>I Let You Run Away (WALSTON Remix)</t>
  </si>
  <si>
    <t>7zHrHnVSQwI95FGHewXDl8</t>
  </si>
  <si>
    <t>2wX6xSig4Rig5kZU6ePlWe,3RTklnRcfHgkQJwFpgOq3t</t>
  </si>
  <si>
    <t>0NIC4unbe5KZOp1d9T7OaF</t>
  </si>
  <si>
    <t>2o5jDhtHVPhrJdv3cEQ99Z,2wX6xSig4Rig5kZU6ePlWe,7HqEmV7FeCi16bQyHMpIrF</t>
  </si>
  <si>
    <t>Club Life, Vol. 4 - New York City</t>
  </si>
  <si>
    <t>6wiQ1tAGxUsnbJXyjgXLel</t>
  </si>
  <si>
    <t>6C0KWmCdqrLU2LzzWBPbOy,2wX6xSig4Rig5kZU6ePlWe</t>
  </si>
  <si>
    <t>2016-06-27</t>
  </si>
  <si>
    <t>7c2IApOeLTZfrB5dVScRUP</t>
  </si>
  <si>
    <t>45eNHdiiabvmbp4erw26rg,5h7oZ7t5CU9lst1mIrjp3R,7xklw3WodFZiNNmQt3DIgp</t>
  </si>
  <si>
    <t>0AH6WMe3OlAlUb5miXt2FQ</t>
  </si>
  <si>
    <t>2010-11-16</t>
  </si>
  <si>
    <t>5FTCKvxzqy72ceS4Ujux4N</t>
  </si>
  <si>
    <t>0C4ejWmOTMv8vuYj85mf8m</t>
  </si>
  <si>
    <t>4bQdmkolFiJxZWakolLhW7</t>
  </si>
  <si>
    <t>45eNHdiiabvmbp4erw26rg,4AT7XlLBevgZIiKvZQ83ye,3RTklnRcfHgkQJwFpgOq3t</t>
  </si>
  <si>
    <t>3g0mEQx3NTanacLseoP0Gw</t>
  </si>
  <si>
    <t>69GGBxA162lTqCwzJG5jLp,45eNHdiiabvmbp4erw26rg,1cZQSpDsxgKIX2yW5OR9Ot</t>
  </si>
  <si>
    <t>2oejEp50ZzPuQTQ6v54Evp</t>
  </si>
  <si>
    <t>2ONIJ40u0Attbm3miIIpNO</t>
  </si>
  <si>
    <t>5WUlDfRSoLAfcVSX1WnrxN,3Isy6kedDrgPYoTS1dazA9</t>
  </si>
  <si>
    <t>This Is Acting (Deluxe Version)</t>
  </si>
  <si>
    <t>73Mfgc0HTZeNCoNrDI46sJ</t>
  </si>
  <si>
    <t>38iU2jg98IZZEIJPrP7aWD</t>
  </si>
  <si>
    <t>26dSoYclwsYLMAKD3tpOr4</t>
  </si>
  <si>
    <t>Femme Fatale (Deluxe Version)</t>
  </si>
  <si>
    <t>3U4isOIWM3VvDubwSI3y7a</t>
  </si>
  <si>
    <t>5y2Xq6xcjJb2jVM54GHK3t</t>
  </si>
  <si>
    <t>Love In The Future (Expanded Edition)</t>
  </si>
  <si>
    <t>2013-08-30</t>
  </si>
  <si>
    <t>5Iy2Jj87Ha0C0IBlNE1I4y</t>
  </si>
  <si>
    <t>The Days / Nights</t>
  </si>
  <si>
    <t>6PFyGdWw0qnstR8KJAWrrr</t>
  </si>
  <si>
    <t>5p7f24Rk5HkUZsaS3BLG5F</t>
  </si>
  <si>
    <t>Afterlife (Dickinson)</t>
  </si>
  <si>
    <t>2019-09-19</t>
  </si>
  <si>
    <t>5UqCQaDshqbIk3pkhy4Pjg</t>
  </si>
  <si>
    <t>Levels</t>
  </si>
  <si>
    <t>2011-10-28</t>
  </si>
  <si>
    <t>79UX8fkSsowWI1HOd8VoYt</t>
  </si>
  <si>
    <t>1vCWHaC5f2uS3yhpwWbIA6,2fVW2ix4ANKiofDZIsy1XR</t>
  </si>
  <si>
    <t>AVĪCI (01)</t>
  </si>
  <si>
    <t>630svau24EHHzw1kNk0Bdq</t>
  </si>
  <si>
    <t>1vCWHaC5f2uS3yhpwWbIA6,5gw5ANPCVcxU0maLiGRzzP</t>
  </si>
  <si>
    <t>1vkXc8Tz3dZGNZoU2WF3la</t>
  </si>
  <si>
    <t>1vCWHaC5f2uS3yhpwWbIA6,5ITI6SEoUZMIXXkzCfr4oE</t>
  </si>
  <si>
    <t>75NhhYjHO43mvZgYtnXgti</t>
  </si>
  <si>
    <t>1vCWHaC5f2uS3yhpwWbIA6,5CCwRZC6euC8Odo6y9X8jr</t>
  </si>
  <si>
    <t>2Lehc5nMWHqTsH1Pce2Tf7</t>
  </si>
  <si>
    <t>1UtzKaSQyctQO8GN8EyzOn</t>
  </si>
  <si>
    <t>Instrumentals</t>
  </si>
  <si>
    <t>2015-05-05</t>
  </si>
  <si>
    <t>3AeicLnm55RqcXGBKYQolM</t>
  </si>
  <si>
    <t>5vBSrE1xujD2FXYRarbAXc</t>
  </si>
  <si>
    <t>Communion (Deluxe)</t>
  </si>
  <si>
    <t>1ZDSVswsi7RIsv6E2N31gv</t>
  </si>
  <si>
    <t>5vBSrE1xujD2FXYRarbAXc,2ZRQcIgzPCVaT9XKhXZIzh</t>
  </si>
  <si>
    <t>Jonas Blue: Electronic Nature - The Mix 2017</t>
  </si>
  <si>
    <t>0CvTKt7jr68v4YEg9oATjX</t>
  </si>
  <si>
    <t>5iNrZmtVMtYev5M9yoWpEq,4Ww02MqPOCYw0CufxePGkC</t>
  </si>
  <si>
    <t>2016-03-11</t>
  </si>
  <si>
    <t>3IIsoRI7huCtWV0z9dezxO</t>
  </si>
  <si>
    <t>0LyfQWJT6nXafLPZqxe9Of</t>
  </si>
  <si>
    <t>I LOVE 80's - Remix Club House-Electro</t>
  </si>
  <si>
    <t>2007-06-26</t>
  </si>
  <si>
    <t>6bKetqXF3g4UgaXQlAYdgz</t>
  </si>
  <si>
    <t>Halcyon</t>
  </si>
  <si>
    <t>2WRFD9WczJ975X2K1Y9YVs</t>
  </si>
  <si>
    <t>3TNt4aUIxgfy9aoaft5Jj2</t>
  </si>
  <si>
    <t>It's Blitz!</t>
  </si>
  <si>
    <t>4e9qWFLn1f9b3db7sKh16B</t>
  </si>
  <si>
    <t>1FWybrAwiSa0zKibdLfZZr,5xvFRKnXZwbqwspSXSa9xZ,67qogtRNI0GjUr8PlaG6Zh</t>
  </si>
  <si>
    <t>Eyes on Fire (Re-Work, Remix &amp; Instrumentals)</t>
  </si>
  <si>
    <t>2016-06-19</t>
  </si>
  <si>
    <t>5psoxZpBVWS27k9Fngaes9</t>
  </si>
  <si>
    <t>Memoirs</t>
  </si>
  <si>
    <t>2015-08-01</t>
  </si>
  <si>
    <t>7cgu4JBW3hq1GwTM1ilkKQ</t>
  </si>
  <si>
    <t>4NHQUGzhtTLFvgF5SZesLK</t>
  </si>
  <si>
    <t>Queen Of The Clouds</t>
  </si>
  <si>
    <t>2014-09-24</t>
  </si>
  <si>
    <t>3DGar7krWlmrXRFHBcQF6z</t>
  </si>
  <si>
    <t>4LcUpNlXFEleaLlelmkv2R,4QfOh8rJ0OddhhXHD5QyWs,6mU8ucezzms5I2kNH6HNlu</t>
  </si>
  <si>
    <t>3Bi5Rw7VoxyfXPBDGQKObV</t>
  </si>
  <si>
    <t>1JV42BPeocUJ0EyQh8ug6V,5W5JelsLmCytPXmzN5w8fc</t>
  </si>
  <si>
    <t>2020-10-27</t>
  </si>
  <si>
    <t>1B3jrw2Wis7EgeGfixMfXX</t>
  </si>
  <si>
    <t>6QyXAcERauW27QwlxjDvww</t>
  </si>
  <si>
    <t>Parachute</t>
  </si>
  <si>
    <t>2PDHYs3LHjBGOuWLCriDLg</t>
  </si>
  <si>
    <t>4AT7XlLBevgZIiKvZQ83ye,3HHfEn7yPOy3IiHS6CHG97,3l0H4QNiYYNdIsnZ4JgJAg</t>
  </si>
  <si>
    <t>0HI3hNOFbIFgL920LdNSpn</t>
  </si>
  <si>
    <t>A Matter Of Perspective</t>
  </si>
  <si>
    <t>7K0pKyU2oYG8TJHXXyEHGy</t>
  </si>
  <si>
    <t>26IjNdl4tms3X58yvgfv1l</t>
  </si>
  <si>
    <t>1bqxdqvUtPWZri43cKHac8,60ETw93KnLzkysVpiZ3VYA</t>
  </si>
  <si>
    <t>Home (it's different remix)</t>
  </si>
  <si>
    <t>7CQjnYsGLdtcrsp95oBpCv</t>
  </si>
  <si>
    <t>3wSKYu35dWKwAacIggvBgi</t>
  </si>
  <si>
    <t>6DsFZITJMPnh8z5XewfVmL</t>
  </si>
  <si>
    <t>23fqKkggKUBHNkbKtXEls4,4BxCuXFJrSWGi1KHcVqaU4</t>
  </si>
  <si>
    <t>6CKoWCWAqEVWVjpeoJXyNH</t>
  </si>
  <si>
    <t>0Ty63ceoRnnJKVEYP0VQpk</t>
  </si>
  <si>
    <t>Ten Summoner's Tales</t>
  </si>
  <si>
    <t>1993-03-09</t>
  </si>
  <si>
    <t>6LL82izcHkjW6ugBvXq6Cz</t>
  </si>
  <si>
    <t>34QbYbTlUCLkZsQ8QmacV9,0Yy0IaO0CcLMBy7ZRaJkmw</t>
  </si>
  <si>
    <t>Nightfall</t>
  </si>
  <si>
    <t>72P74iSrozGbdOoV0Vo81m</t>
  </si>
  <si>
    <t>34QbYbTlUCLkZsQ8QmacV9</t>
  </si>
  <si>
    <t>Compass</t>
  </si>
  <si>
    <t>2017-01-11</t>
  </si>
  <si>
    <t>5PFE8tMZH28N1Fm1XiN3FX</t>
  </si>
  <si>
    <t>MIRROR</t>
  </si>
  <si>
    <t>2009-06-24</t>
  </si>
  <si>
    <t>2ygMBIctKIAfbEBcT9065L</t>
  </si>
  <si>
    <t>Monkey Business</t>
  </si>
  <si>
    <t>2005-01-01</t>
  </si>
  <si>
    <t>5WokFKscrfGEGGLPTu3jgO</t>
  </si>
  <si>
    <t>1Xylc3o4UrD53lo9CvFvVg,74KM79TiuVKeVCqs8QtB0B</t>
  </si>
  <si>
    <t>WOW (feat. Sabrina Carpenter) [Remix]</t>
  </si>
  <si>
    <t>2020-09-25</t>
  </si>
  <si>
    <t>6oJ6le65B3SEqPwMRNXWjY</t>
  </si>
  <si>
    <t>3ZCBSFcZSRM9Z48ew28Zrf</t>
  </si>
  <si>
    <t>5UqZDGclEuq7g3sgUFad0J</t>
  </si>
  <si>
    <t>6VKmaZrS8jnbfWXEk3aiUw</t>
  </si>
  <si>
    <t>0C8ZW7ezQVs4URX5aX7Kqx,4IVAbR2w4JJNJDDRFP3E83</t>
  </si>
  <si>
    <t>0NhcaHA0cyJyhk3g8tUsZP</t>
  </si>
  <si>
    <t>5nki7yRhxgM509M5ADlN1p,0BBwlSQvHHtahgYpLj1wJE,3fuxStOqQv8TiytHeuGiE8</t>
  </si>
  <si>
    <t>Shades Of Grey (Radio Mix)</t>
  </si>
  <si>
    <t>2015-09-18</t>
  </si>
  <si>
    <t>1uTjNWaoXEEi6Jtt0gvXl6</t>
  </si>
  <si>
    <t>7ymrIsmp4vE7vAtcS12J4D</t>
  </si>
  <si>
    <t>6Vf8g2ZM1djFY6ynfEcRY4</t>
  </si>
  <si>
    <t>1V8fHRK9qQeQqZWWfz9oNU</t>
  </si>
  <si>
    <t>67tgIGwcQvhungN7013EoM</t>
  </si>
  <si>
    <t>Carry On</t>
  </si>
  <si>
    <t>7uCBGNn991AM68fR4tSDco</t>
  </si>
  <si>
    <t>3CrsuTJomWZmeXIvKhV45l</t>
  </si>
  <si>
    <t>3ao6cdcwdKYwYQjconqmgJ</t>
  </si>
  <si>
    <t>1jRqOOKWYcSTntRJpC6MTS</t>
  </si>
  <si>
    <t>0Jw7yEpiGc8RYjUIwR5RQo</t>
  </si>
  <si>
    <t>2KPQ6PYAZapLEwMmkzbQxC,6g878dtAhjegRHVe5X0ALf</t>
  </si>
  <si>
    <t>2016-02-21</t>
  </si>
  <si>
    <t>3KlizfYIRTmPuvqbNs6VSA</t>
  </si>
  <si>
    <t>4UhExRgMW9QR7oNmTI2lPG</t>
  </si>
  <si>
    <t>2018-09-27</t>
  </si>
  <si>
    <t>756J5Sd8i3SQYV14qOa7Zh</t>
  </si>
  <si>
    <t>2016-12-16</t>
  </si>
  <si>
    <t>0U10zFw4GlBacOy9VDGfGL</t>
  </si>
  <si>
    <t>5pKCCKE2ajJHZ9KAiaK11H,7CajNmpbOovFoOoasH2HaY</t>
  </si>
  <si>
    <t>Talk That Talk</t>
  </si>
  <si>
    <t>2011-11-19</t>
  </si>
  <si>
    <t>7IohFKIwrb75c4XaqX7WWo</t>
  </si>
  <si>
    <t>085pc2PYOi8bGKj0PNjekA,2d6W4cnC5XsVOaxtgaj9hA</t>
  </si>
  <si>
    <t>#willpower (Deluxe)</t>
  </si>
  <si>
    <t>01TuObJVd7owWchVRuQbQw</t>
  </si>
  <si>
    <t>085pc2PYOi8bGKj0PNjekA,1uNFoZAHBGtllmzznpCI3s</t>
  </si>
  <si>
    <t>2iJuuzV8P9Yz0VSurttIV5</t>
  </si>
  <si>
    <t>085pc2PYOi8bGKj0PNjekA,26dSoYclwsYLMAKD3tpOr4</t>
  </si>
  <si>
    <t>#willpower</t>
  </si>
  <si>
    <t>6jBEiqFRgt5JQHFKwsiHKo</t>
  </si>
  <si>
    <t>2LY0E3xg8svCVYXVNTze5T,0pCNk4D3E2xtszsm6hMsWr</t>
  </si>
  <si>
    <t>So Slow (Stripped)</t>
  </si>
  <si>
    <t>00ETaeHUQ6lops3oWU1Wrt</t>
  </si>
  <si>
    <t>23fqKkggKUBHNkbKtXEls4,2eogQKWWoohI3BSnoG7E2U</t>
  </si>
  <si>
    <t>5IoZdDVZdAnr4Icx4VNOep</t>
  </si>
  <si>
    <t>Lose You To Love Me (Demo Version)</t>
  </si>
  <si>
    <t>2019-09-29</t>
  </si>
  <si>
    <t>2DO68yG6LMIZ2znpN3RcZV</t>
  </si>
  <si>
    <t>2HkNZQAOB2k6MJ7OiWXm4Y,5Js1ccQKQ0mXSEit8znjkg</t>
  </si>
  <si>
    <t>4Kilsx4KQncqipyb4e7hjl</t>
  </si>
  <si>
    <t>Beautiful Heartbeat (feat. Frida Sundemo)</t>
  </si>
  <si>
    <t>1yuSeUYfWaBI4jQXiZ92rt</t>
  </si>
  <si>
    <t>0BBwlSQvHHtahgYpLj1wJE,0Cd6nHYwecCNM1sVEXKlYr</t>
  </si>
  <si>
    <t>0Kq5INHRz2UtflElEjHpQh</t>
  </si>
  <si>
    <t>7BcCOrHl1j2AnhMSDxPQEr,2EotRuZG0jJ8A7mbf04Hy8</t>
  </si>
  <si>
    <t>2016-12-26</t>
  </si>
  <si>
    <t>1fs8OFK81mXRPUnZgsoOQQ</t>
  </si>
  <si>
    <t>3d6vbpMWKy1toUmSEa4KYs,4Tjvp7fDrim8wlo9fDgqGx</t>
  </si>
  <si>
    <t>5lJH3o6AFW9Aig1CdRdAF1</t>
  </si>
  <si>
    <t>0sYRqvX2VgJJtcdEXKh5zR</t>
  </si>
  <si>
    <t>3WSK3JppX3N41XHVwQp7Gt,4VfTgWhy9PKLJN3xKJcDqf</t>
  </si>
  <si>
    <t>744BtNFDnxYNFipYXFWRht</t>
  </si>
  <si>
    <t>2016-09-28</t>
  </si>
  <si>
    <t>5kqVCS0pTuFomjxampGyep</t>
  </si>
  <si>
    <t>4T8Cx2olPLZP4JgWNN4v1A</t>
  </si>
  <si>
    <t>05GSra7vTwr8o54Brzp2nA,0ijmTKTGsjqOXfL5mWgUXC,3tLYpanVDomWAZqF82NPds,7ecUintnJKHsDyZT1qOPYZ</t>
  </si>
  <si>
    <t>2020-08-21</t>
  </si>
  <si>
    <t>6UAgnw2w3AVwLg1p7sE7v4</t>
  </si>
  <si>
    <t>6oBm8HB0yfrIc9IHbxs6in,4WUGQykLBGFfsl0Qjl6TDM</t>
  </si>
  <si>
    <t>Wounded Rhymes</t>
  </si>
  <si>
    <t>39i2yA1mbBbruYZSCfgdMM</t>
  </si>
  <si>
    <t>38SIErfZNd7u2qlIzFeZqm</t>
  </si>
  <si>
    <t>2020-06-26</t>
  </si>
  <si>
    <t>5Kr01FtRG1qf7nHJJoGAX9</t>
  </si>
  <si>
    <t>7lZauDnRoAC3kmaYae2opv,0WfaItAbs4vlgIA1cuqGtJ</t>
  </si>
  <si>
    <t>Hold / She Was</t>
  </si>
  <si>
    <t>2015-11-24</t>
  </si>
  <si>
    <t>6BtmXhTJMM9sBTHeYYASGz</t>
  </si>
  <si>
    <t>Night Visions</t>
  </si>
  <si>
    <t>2012-09-04</t>
  </si>
  <si>
    <t>3B0irDyS69y5eAz15xV2Ee</t>
  </si>
  <si>
    <t>4XPlMHV5UlXxs7PgNVWU5g</t>
  </si>
  <si>
    <t>4V5CfrbkqZkFJZUiXYWSVC</t>
  </si>
  <si>
    <t>2015-02-02</t>
  </si>
  <si>
    <t>1zvVTYmpUAO1bXpV9Q9giy</t>
  </si>
  <si>
    <t>3OqTvcWgb0xaainosGVvuZ</t>
  </si>
  <si>
    <t>25 Best Dance Hits Ever</t>
  </si>
  <si>
    <t>2013-04-26</t>
  </si>
  <si>
    <t>51Of5p3lKZeOg6itfs4og4</t>
  </si>
  <si>
    <t>4ESPuOrSsRcBISzcMlzmY5</t>
  </si>
  <si>
    <t>5OdVywqKqyCWwfE2fZb7IX,4D75GcNG95ebPtNvoNVXhz</t>
  </si>
  <si>
    <t>2019-08-30</t>
  </si>
  <si>
    <t>4smYVbC48nAFqrf4DyczYz</t>
  </si>
  <si>
    <t>3vDh2Mern1I2k53Oy0pDlD,05GSra7vTwr8o54Brzp2nA,3NQqBSVanWYYIa7Y7deMgA</t>
  </si>
  <si>
    <t>1lr5prHQn7Q766Ix6eGRKK</t>
  </si>
  <si>
    <t>3nmaO18tcMzfrrR7sdJHnH,6oHCxanXnGoT4ntOtXwsWX</t>
  </si>
  <si>
    <t>19eIZmuXlBmLTha1lPHef7</t>
  </si>
  <si>
    <t>5j4HeCoUlzhfWtjAfM1acR,4cdyqaBREB68H77QKCrKP1</t>
  </si>
  <si>
    <t>Alors On Danse (DubDogz Remix)</t>
  </si>
  <si>
    <t>0upFohXrGxIIAjyaJmCkMU</t>
  </si>
  <si>
    <t>7HBai5xymOxIWoMWvWshe1</t>
  </si>
  <si>
    <t>Tokyo Drift (Fast &amp; Furious)</t>
  </si>
  <si>
    <t>20WcuVfTh0QFkIsJUncdON</t>
  </si>
  <si>
    <t>2uGKgNuq7MnKksXiSO6HjB</t>
  </si>
  <si>
    <t>4VdHK58HuiYEnWor64LTUH</t>
  </si>
  <si>
    <t>531qdIZUdxxz8LQ4j63zTP</t>
  </si>
  <si>
    <t>2020-06-19</t>
  </si>
  <si>
    <t>3cgUo5TYCbseNEk5ueXJ5s</t>
  </si>
  <si>
    <t>60sVnCJWU7WHTMSzK0HzPW,1wdU1J2NHzcDYarT7jEU2A</t>
  </si>
  <si>
    <t>Pump It Up (Dastic Remix)</t>
  </si>
  <si>
    <t>2020-03-20</t>
  </si>
  <si>
    <t>0A5gdlrpAuQqZ2iFgnqBFW</t>
  </si>
  <si>
    <t>1aQwKFn00nswXRDUDipm0K</t>
  </si>
  <si>
    <t>3RKywhObU25JLEypRY6HWx</t>
  </si>
  <si>
    <t>33iba4j2ywXqTQNEpGbfra</t>
  </si>
  <si>
    <t>5utdBr8IeD9SGj6gnMF252</t>
  </si>
  <si>
    <t>7iLc4hrjOjQPfg1E3cCHg1</t>
  </si>
  <si>
    <t>Anyway Hits</t>
  </si>
  <si>
    <t>5ypWHAYnaYk9a9wnLnb6BZ</t>
  </si>
  <si>
    <t>3AMFQZ3Tt549kShRG2IBYT,4E4SekvxCHHEUU0nwxsdTG</t>
  </si>
  <si>
    <t>2018-07-17</t>
  </si>
  <si>
    <t>0L0DM33NAe6PjQ1BB4cEjJ</t>
  </si>
  <si>
    <t>2gZzTzeACSwFqkMroVxmnm</t>
  </si>
  <si>
    <t>2017-04-03</t>
  </si>
  <si>
    <t>0HWATt5vnIZO69nNqrWbLp</t>
  </si>
  <si>
    <t>20UYCAvAHJ1WqrCElptD7O</t>
  </si>
  <si>
    <t>Kuudere EP</t>
  </si>
  <si>
    <t>1W6LZGinxm6voDaC8NVnDU</t>
  </si>
  <si>
    <t>Interstellar (Original Motion Picture Soundtrack) [Deluxe Version]</t>
  </si>
  <si>
    <t>2014-12-18</t>
  </si>
  <si>
    <t>3vwZQrGk7QJMMbKO1EE7Kr</t>
  </si>
  <si>
    <t>1ElqGqBU7f4s7ulpAjIlcO</t>
  </si>
  <si>
    <t>6ZFbXIJkuI1dVNWvzJzown</t>
  </si>
  <si>
    <t>Inception (Music From The Motion Picture)</t>
  </si>
  <si>
    <t>2010-07-09</t>
  </si>
  <si>
    <t>5b1k8soHjvcK3yfS1KGLEC</t>
  </si>
  <si>
    <t>1xT5p0VBpnZDrvVSjX9sri,4N2lZcytbZifGelhVEpMeK</t>
  </si>
  <si>
    <t>We Are (Part 2)</t>
  </si>
  <si>
    <t>5cwqO4thrTUj42WShkF39w</t>
  </si>
  <si>
    <t>6fcTRFpz0yH79qSKfof7lp,1sY8XHjk6WoA2B5YIGV1S2,7lZauDnRoAC3kmaYae2opv</t>
  </si>
  <si>
    <t>Where I Won't Be Found (Remixes)</t>
  </si>
  <si>
    <t>1V0Zy7533bjXFSVtn3crzY</t>
  </si>
  <si>
    <t>60d24wfXkVzDSfLS6hyCjZ,2o5jDhtHVPhrJdv3cEQ99Z</t>
  </si>
  <si>
    <t>61UQzeiIluhpzpMdY4ag3q</t>
  </si>
  <si>
    <t>2014-02-28</t>
  </si>
  <si>
    <t>7vcXWUS5ML6dJ3nkvSc9aR</t>
  </si>
  <si>
    <t>22bukBZvUppuwQwmDz75Gz,60d24wfXkVzDSfLS6hyCjZ,5X4LWwbUFNzPkEas04uU82,1KV1BqrUpebQPqVU2r89xc</t>
  </si>
  <si>
    <t>2014-06-16</t>
  </si>
  <si>
    <t>51tUT1gHE30GQPhn1agudM</t>
  </si>
  <si>
    <t>4zxvC7CRGvggq9EWXOpwAo</t>
  </si>
  <si>
    <t>Sound Of A Woman</t>
  </si>
  <si>
    <t>2014-10-21</t>
  </si>
  <si>
    <t>0xnBlKwiZlcab4Sjqg6rbl</t>
  </si>
  <si>
    <t>1ZoHuLxbQho7N5ioKA6Hx1</t>
  </si>
  <si>
    <t>2015-03-16</t>
  </si>
  <si>
    <t>69P9h72DbYmQ6uh4M0S7SD</t>
  </si>
  <si>
    <t>0daugAjUgbJSqdlyYNwIbT</t>
  </si>
  <si>
    <t>2014-02-24</t>
  </si>
  <si>
    <t>3D37T7euWvVJ45evRmriIh</t>
  </si>
  <si>
    <t>4YLQaW1UU3mrVetC8gNkg5,1NyxTiCivDmzgFWYD1V01m,3rjHIPFed2qITXAWvArRtp</t>
  </si>
  <si>
    <t>55BmcYqf7OCjepGCKfmJRo</t>
  </si>
  <si>
    <t>7aB2KbM3pphL9mU3dXbyh2</t>
  </si>
  <si>
    <t>5xUDPa3IbhQAr3VmGuAUWi</t>
  </si>
  <si>
    <t>0BMfVLB7t0VCzNBZZKBy6A</t>
  </si>
  <si>
    <t>2nWaThHB7qrp5F0REm7iwz</t>
  </si>
  <si>
    <t>6tVhxgkhyJfB69dY5ZOCKX</t>
  </si>
  <si>
    <t>27tNWlhdAryQY04Gb2ZhUI</t>
  </si>
  <si>
    <t>PRISM</t>
  </si>
  <si>
    <t>4jbmgIyjGoXjY01XxatOx6</t>
  </si>
  <si>
    <t>6jJ0s89eD6GaHleKKya26X,5gCRApTajqwbnHHPbr2Fpi</t>
  </si>
  <si>
    <t>6FB3v4YcR57y4tXFcdxI1E</t>
  </si>
  <si>
    <t>06HL4z0CvFAxyc27GXpf02</t>
  </si>
  <si>
    <t>Red (Big Machine Radio Release Special)</t>
  </si>
  <si>
    <t>2012-10-22</t>
  </si>
  <si>
    <t>1z6CcHAbPpw2R23jDJmW1T</t>
  </si>
  <si>
    <t>0C8ZW7ezQVs4URX5aX7Kqx,0fA0VVWsXO9YnASrzqfmYu</t>
  </si>
  <si>
    <t>1TF8rXy87zrnpBlS9TLykA</t>
  </si>
  <si>
    <t>2ZRQcIgzPCVaT9XKhXZIzh,2auikkNYqigWStoHWK1Grq</t>
  </si>
  <si>
    <t>0Oa9mHOnH14GZ4toWwkf4c</t>
  </si>
  <si>
    <t>02kJSzxNuaWGqwubyUba0Z,0cGUm45nv7Z6M6qdXYQGTX</t>
  </si>
  <si>
    <t>48bmQooQa2JIs0SMr0VX0X</t>
  </si>
  <si>
    <t>4N0gl3MWsabXEmBBpR3ge0,1Rmzkxhtip1jhhy6Bdd63O</t>
  </si>
  <si>
    <t>We Are Beautiful - EP</t>
  </si>
  <si>
    <t>2014-06-21</t>
  </si>
  <si>
    <t>1VKTdQTrcP0cMdySaCEj7F</t>
  </si>
  <si>
    <t>Emotion (Deluxe)</t>
  </si>
  <si>
    <t>0m7TguDgLue2LCaDF7B4qx</t>
  </si>
  <si>
    <t>6s22t5Y3prQHyaHWUN1R1C</t>
  </si>
  <si>
    <t>2020-02-12</t>
  </si>
  <si>
    <t>5qmcngu26ApMo6Q7VEpfQr</t>
  </si>
  <si>
    <t>0d28khcov6AiegSCpG5TuT</t>
  </si>
  <si>
    <t>3AA28KZvwAUcZuOKwyblJQ</t>
  </si>
  <si>
    <t>Demon Days</t>
  </si>
  <si>
    <t>2005-05-23</t>
  </si>
  <si>
    <t>1RKUoGiLEbcXN4GY4spQDx</t>
  </si>
  <si>
    <t>2001-03-26</t>
  </si>
  <si>
    <t>06kxa3al7bUqRRo5nAFduZ</t>
  </si>
  <si>
    <t>2U8NXPTXZWG2O0ye2sYRiH</t>
  </si>
  <si>
    <t>1VBflYyxBhnDc9uVib98rw,25uiPmTg16RbhZWAqwLBy5</t>
  </si>
  <si>
    <t>THIS IS... ICONA POP</t>
  </si>
  <si>
    <t>5f1joOtoMeyppIcJGZQvqJ</t>
  </si>
  <si>
    <t>3oSJ7TBVCWMDMiYjXNiCKE,1zNqQNIdeOUZHb8zbZRFMX,6LuN9FCkKOj5PcnpouEgny</t>
  </si>
  <si>
    <t>Be Like That (feat. Swae Lee &amp; Khalid)</t>
  </si>
  <si>
    <t>2020-07-10</t>
  </si>
  <si>
    <t>27u7t9d7ZQoyjsCROHuZJ3</t>
  </si>
  <si>
    <t>6MDME20pz9RveH9rEXvrOM,1MIVXf74SZHmTIp4V4paH4,6fWVd57NKTalqvmjRd2t8Z</t>
  </si>
  <si>
    <t>6lKWB2gtD1OmXDrB2rIWNn</t>
  </si>
  <si>
    <t>4lFbV0wEuW8ulSq6NBYg4O,5SqkdSX5Rj9cRrV7fqyLwD</t>
  </si>
  <si>
    <t>1ZVfwSDN2PKVaUARmSuHgJ</t>
  </si>
  <si>
    <t>1TSyM7PiY3ZgFteD9mKa4W,66ywUht0fTVs4HllACHbWp</t>
  </si>
  <si>
    <t>2x906rJF9sOQOdv7yveQn0</t>
  </si>
  <si>
    <t>3k4i4K7PicHqnodnYhXsJy</t>
  </si>
  <si>
    <t>2019-01-31</t>
  </si>
  <si>
    <t>7qxOILkR7DOg7pyYXgarmo</t>
  </si>
  <si>
    <t>62OJiBUjIlxCvDJZPGZey4</t>
  </si>
  <si>
    <t>5op9piKWIV2vWbxSkvz1hf,5LL0y7lH7nboYRCcuexnkB</t>
  </si>
  <si>
    <t>4R8fQKIYxapC6BLgDQNuxp</t>
  </si>
  <si>
    <t>6fcTRFpz0yH79qSKfof7lp,5bFKudtw20QjmAFeA1hBLq,757FXqX0Osk2pqtgv4E5v4</t>
  </si>
  <si>
    <t>Find Another Way (Remixes)</t>
  </si>
  <si>
    <t>2020-07-03</t>
  </si>
  <si>
    <t>5F38fTEP6LncVVj9mTywNM</t>
  </si>
  <si>
    <t>Hourglass</t>
  </si>
  <si>
    <t>78IJQHvaTLy48YePpcrNUX</t>
  </si>
  <si>
    <t>378dH6EszOLFShpRzAQkVM,4zxvC7CRGvggq9EWXOpwAo</t>
  </si>
  <si>
    <t>What You're Made Of (feat. Kiesza) [From Azur Lane Original Video Game Soundtrack]</t>
  </si>
  <si>
    <t>2020-08-12</t>
  </si>
  <si>
    <t>3rgTS3933lMWoPiN6CW4qY</t>
  </si>
  <si>
    <t>2wX6xSig4Rig5kZU6ePlWe,5v3JgLiZtNnw6ablRjjNKK,57Vnemieu10x71jR2UWc4o</t>
  </si>
  <si>
    <t>3PLe07aq1Xfxe1APp0tjSo</t>
  </si>
  <si>
    <t>7lZauDnRoAC3kmaYae2opv,4jjDncozkOf5MTdXPkBYdV</t>
  </si>
  <si>
    <t>Wild Youth (Acoustic)</t>
  </si>
  <si>
    <t>4xZsu46zLJ0EoLWlVUwTKW</t>
  </si>
  <si>
    <t>2gXCyhM6X3kl1U6nmtAxGC</t>
  </si>
  <si>
    <t>0PxzGnCYBpSuaI49OR94cA,5hrtcI0g197yJxmyAU6VYv,4EukMPjtYsdi87lkU1hIxN</t>
  </si>
  <si>
    <t>3O8b0dDy1Z8BNM81U8DE1j</t>
  </si>
  <si>
    <t>2019-04-17</t>
  </si>
  <si>
    <t>4izGeYY96o0NGJCVYK8UWz</t>
  </si>
  <si>
    <t>2016-10-31</t>
  </si>
  <si>
    <t>6kU4yYEhmAvbWsWr70QC3N</t>
  </si>
  <si>
    <t>4u1nYxjl132D6rcMeYQ6Zz,2jrBiKykLqcIp2S7GLiahy,5jRx3N76S5n2Wx9lU0g9Lr</t>
  </si>
  <si>
    <t>2017-08-19</t>
  </si>
  <si>
    <t>4tjsnc4oRnbkY3bTIbYeau</t>
  </si>
  <si>
    <t>3vc0JWD1Nj1VLrgJ1x3cjE</t>
  </si>
  <si>
    <t>6Ds54d90TKo86oRjkN7DFV</t>
  </si>
  <si>
    <t>6kn7LhH5siatL0X1kefy0r,3AXTxnESIwvNxngE8j6weV,4rxkYdxnD8OLxuwqKiwmw9</t>
  </si>
  <si>
    <t>3xrKOzjmwowFOnucoSlcWR</t>
  </si>
  <si>
    <t>1kTBGIBgFuqaxbdeXX3L6H,7kXDaUD3imvM6el5qK6tAu,3xIHOffeC188QWHIiCaLXr</t>
  </si>
  <si>
    <t>5OyJlP37atcQA1CvZOcr5Y</t>
  </si>
  <si>
    <t>4fRZsNqmFe03d3oIBgOvm1,3NU0HWhIOontHdtXrTZXyZ,6CbdpIjKj2Z8fkm1Em5CD3</t>
  </si>
  <si>
    <t>2018-05-21</t>
  </si>
  <si>
    <t>5E6PeL4K2Ls3VMExnJUmbl</t>
  </si>
  <si>
    <t>21gPAAqCYT9dyiJCzTa1B3</t>
  </si>
  <si>
    <t>1VCHNbal0VtE2plMRzvoho</t>
  </si>
  <si>
    <t>7wg1qvie3KqDNQbAkTdbX0,1VBflYyxBhnDc9uVib98rw</t>
  </si>
  <si>
    <t>4dPQbg1xzVLpZuohUN3LXf</t>
  </si>
  <si>
    <t>7wg1qvie3KqDNQbAkTdbX0,1VBflYyxBhnDc9uVib98rw,0SXgKLNtpIrH29F1vMRWzj</t>
  </si>
  <si>
    <t>Weekend (Remixes)</t>
  </si>
  <si>
    <t>1PQ8ywTy9V2iVZWJ7Gyxxb</t>
  </si>
  <si>
    <t>Our Story (Radio Edit)</t>
  </si>
  <si>
    <t>2014-08-12</t>
  </si>
  <si>
    <t>0cJ4aP0NxGB7QEZeOfdZC1</t>
  </si>
  <si>
    <t>39GlMuuiDzIUjCUjnBJsks</t>
  </si>
  <si>
    <t>3rGhySBeli7RDNfKZjvvkr,1kvPwRRVHcVdA8YY7RHmoz</t>
  </si>
  <si>
    <t>Nomad (Remixes)</t>
  </si>
  <si>
    <t>5NiTFfCUp0UrjvSJtj4rIa</t>
  </si>
  <si>
    <t>1LOB7jTeEV14pHai6EXSzF</t>
  </si>
  <si>
    <t>Blood, Sweat &amp; 3 Years</t>
  </si>
  <si>
    <t>3Y7OKgEqnFTAH61TSHBpyo</t>
  </si>
  <si>
    <t>2TL8gYTNgD6nXkyuUdDrMg,2qxJFvFYMEDqd7ui6kSAcq</t>
  </si>
  <si>
    <t>Funny (Stripped)</t>
  </si>
  <si>
    <t>1zSWY1IuSN1psRqug5DPTH</t>
  </si>
  <si>
    <t>4AT7XlLBevgZIiKvZQ83ye,757FXqX0Osk2pqtgv4E5v4,5E1FAGKopxyWqEREQblCDA</t>
  </si>
  <si>
    <t>2020-08-07</t>
  </si>
  <si>
    <t>13TJT0oh9TdIZxQJfVWSKb</t>
  </si>
  <si>
    <t>58OT6Rhdj8R1bIkeXPlLdP,2hM7Rb0V5wKjvDEgYt1zed,2dI9ZT6065ZriTTtnRAMM1,5QbhVJedf1XUbmQummp2CN</t>
  </si>
  <si>
    <t>79zjLYb5RcFTlVY4dRbzlX</t>
  </si>
  <si>
    <t>5daNOjdacwq1VgMz8I6tUa,4pKOqZJ3yZAgljejAlrlC3</t>
  </si>
  <si>
    <t>Akero</t>
  </si>
  <si>
    <t>3KG9gUEaSOz455FbO8jcKk</t>
  </si>
  <si>
    <t>79v9Al6rSVH9SFk0QzzOl1,3Wj7TN5Ft1k4Ee24Vs1EhP</t>
  </si>
  <si>
    <t>79H7c1bsUTy9bA0JOgNOYi</t>
  </si>
  <si>
    <t>3xe31P4oQOu6hxdyOf9NZE,3zr3aDseqNYhcqexvcS5ir,6SfPAcR67ssVyMQWoizN7Q</t>
  </si>
  <si>
    <t>2019-02-20</t>
  </si>
  <si>
    <t>2JQuT1BrEKldB7p65b2yZh</t>
  </si>
  <si>
    <t>1FmrdSfTqWOzQoEoaS7MWb,0ZXXi9wCxbPap3QVDxxIYb</t>
  </si>
  <si>
    <t>75l1rl3yAtPZyYeySN3O20</t>
  </si>
  <si>
    <t>438poUCaF2e5NNH9yavqn9</t>
  </si>
  <si>
    <t>2017-09-06</t>
  </si>
  <si>
    <t>0KRW5KQM2dVwCrJS0d3zxh</t>
  </si>
  <si>
    <t>7lZauDnRoAC3kmaYae2opv,3l0H4QNiYYNdIsnZ4JgJAg</t>
  </si>
  <si>
    <t>Alive (Acoustic)</t>
  </si>
  <si>
    <t>2020-07-29</t>
  </si>
  <si>
    <t>0svvvbTUgEy79F6Sxweyjo</t>
  </si>
  <si>
    <t>3Isy6kedDrgPYoTS1dazA9</t>
  </si>
  <si>
    <t>The Trinity</t>
  </si>
  <si>
    <t>2005-09-26</t>
  </si>
  <si>
    <t>142w3RXwxbn928MkxLkKAs</t>
  </si>
  <si>
    <t>0oeUdHJ3cy1oveb8WguJJt,1eMmoIprPDWeFdB1FxU6ZV</t>
  </si>
  <si>
    <t>6mBut2XL0KEMRgftrbShL6</t>
  </si>
  <si>
    <t>0oeUdHJ3cy1oveb8WguJJt,7MtZPIh0gpnInKFnXGcYDS</t>
  </si>
  <si>
    <t>3ku4HBokJoYwSuQroRwucy</t>
  </si>
  <si>
    <t>0oeUdHJ3cy1oveb8WguJJt,3W9UldYu0xJcaOAw2SUTDI</t>
  </si>
  <si>
    <t>5pf7uWvUBfEDwh7pai1cym</t>
  </si>
  <si>
    <t>0oeUdHJ3cy1oveb8WguJJt,1mbybf2CrAiwWiznqA8R3g</t>
  </si>
  <si>
    <t>5ckUvSqW1Oaucm19P6VmIK</t>
  </si>
  <si>
    <t>0wnYgCeP013HkKoOyC5V32</t>
  </si>
  <si>
    <t>CollXtion II</t>
  </si>
  <si>
    <t>6ZxvgeoM6ipLYsQyftxImg</t>
  </si>
  <si>
    <t>Two Hearts</t>
  </si>
  <si>
    <t>2017-03-31</t>
  </si>
  <si>
    <t>4tERsdVCLtLtrGdFBf9DGC</t>
  </si>
  <si>
    <t>2017-10-11</t>
  </si>
  <si>
    <t>0Mlm5SrNK34Jqn8Rk1Gs3g</t>
  </si>
  <si>
    <t>6QzJcnl5cvlDHVrx9mhE99</t>
  </si>
  <si>
    <t>4bT2zLVv2T4GiK9q9KtI0v</t>
  </si>
  <si>
    <t>2qxJFvFYMEDqd7ui6kSAcq,6Rx1JKzBrSzoKQtmbVmBnM</t>
  </si>
  <si>
    <t>1t4fIpJ2JR77ujDy2Zbh1i</t>
  </si>
  <si>
    <t>1FmtXlPUyMtD6EZ0J9xKQu</t>
  </si>
  <si>
    <t>New Blood Vol. 6</t>
  </si>
  <si>
    <t>2015-12-14</t>
  </si>
  <si>
    <t>1A9oxSkV70Q1dR49D6sXEz</t>
  </si>
  <si>
    <t>1JV42BPeocUJ0EyQh8ug6V,4hgt99SPkxLoBYMVHs88uz</t>
  </si>
  <si>
    <t>Chasing Channels</t>
  </si>
  <si>
    <t>0myvPCqmLF1Hb1ZmvA7qCW</t>
  </si>
  <si>
    <t>1FJHPnmVpsqtad5lE89HwN</t>
  </si>
  <si>
    <t>2019-05-10</t>
  </si>
  <si>
    <t>1E3ajDjSDQhM9XLZYWnWhg</t>
  </si>
  <si>
    <t>3PXxLuFWYloysK2URVqZzu,0hac78iy32k7qYWLp6RPaz</t>
  </si>
  <si>
    <t>3IzpyeTNp8u6X8KerHlHZs</t>
  </si>
  <si>
    <t>3rmYE7edorDWoKVPGk9iLZ,7b1FMiWXZwOBsxi0uWw6wH</t>
  </si>
  <si>
    <t>2018-07-19</t>
  </si>
  <si>
    <t>3Q2mh6CGSeUDZBWSYtq7ZE</t>
  </si>
  <si>
    <t>72et9F2RPU0kc5tQXtflxY,6n8gDEl7sDBnK4z08bsijw</t>
  </si>
  <si>
    <t>3SVZVenXJQuVNbFs8EatrC</t>
  </si>
  <si>
    <t>6fcTRFpz0yH79qSKfof7lp,3HHfEn7yPOy3IiHS6CHG97,1sKIizVYeHkGy7Tjmn9QRj</t>
  </si>
  <si>
    <t>0saGACKtFP1ZVW4Nd4IkCw</t>
  </si>
  <si>
    <t>3OKg7YbOIatODzkRIbLJR4,7ddnIV2r4SLjuwyGlgLIWt</t>
  </si>
  <si>
    <t>4P6IttK2PRBjyr3fm0pP7t</t>
  </si>
  <si>
    <t>7uaIm6Pw7xplS8Dy06V6pT,0C8ZW7ezQVs4URX5aX7Kqx</t>
  </si>
  <si>
    <t>4FYbo4yQzu3hGkj2Ix4ucW</t>
  </si>
  <si>
    <t>2qxJFvFYMEDqd7ui6kSAcq,2TL8gYTNgD6nXkyuUdDrMg</t>
  </si>
  <si>
    <t>2020-07-16</t>
  </si>
  <si>
    <t>2tPzQueGEjxjmBvJrYe02u</t>
  </si>
  <si>
    <t>45eNHdiiabvmbp4erw26rg,5zUeHMatct7zGjyIji9T4C</t>
  </si>
  <si>
    <t>1YDBng9YZj8vuz5ibcbgr9</t>
  </si>
  <si>
    <t>40HDiLfKm0tXk2FxlJx6aO,2Ndq6RparrhEoceel7LC4Z</t>
  </si>
  <si>
    <t>NCS is Love, NCS is Life, Vol. 1</t>
  </si>
  <si>
    <t>2016-07-28</t>
  </si>
  <si>
    <t>2RoRGApVaTMDC8XadbS1XG</t>
  </si>
  <si>
    <t>0sicYxfFEHrVTYM4BjOvFA,6fT9phXpEYVm2zB0QzGqDJ</t>
  </si>
  <si>
    <t>5ECvQ7ETyg2OkxCsoMoOWy</t>
  </si>
  <si>
    <t>2Ndq6RparrhEoceel7LC4Z</t>
  </si>
  <si>
    <t>2019-07-24</t>
  </si>
  <si>
    <t>71UuzsYHcbPrs1c3o9ljob</t>
  </si>
  <si>
    <t>0u18Cq5stIQLUoIaULzDmA,0vG28tQeh1adA0xHmdUTVQ</t>
  </si>
  <si>
    <t>6WXZyYSwlXS5qXISwsKYXE</t>
  </si>
  <si>
    <t>5gdVbrVwTM9RKcKIMhF0La</t>
  </si>
  <si>
    <t>A Moment In Time</t>
  </si>
  <si>
    <t>2017-08-22</t>
  </si>
  <si>
    <t>2iZIZ6vMn8tE5s8qQufepz</t>
  </si>
  <si>
    <t>0PFuQEgEvZ9yM20LymJlqX</t>
  </si>
  <si>
    <t>1YFUr03h2QEqFRQaFUIcVe</t>
  </si>
  <si>
    <t>2020-06-17</t>
  </si>
  <si>
    <t>2019-10-17</t>
  </si>
  <si>
    <t>0gTcD1YjpfjqQbKDYQIFCG</t>
  </si>
  <si>
    <t>6bTG3OP5laBeEb27xgfoqT,0ZRBa9pTfhhCsJW95F1ugg,2WI5ej8T97eMhlhbQoMozP</t>
  </si>
  <si>
    <t>0F3fscqwFqD52Tpbep5hBW</t>
  </si>
  <si>
    <t>2HHmvvSQ44ePDH7IKVzgK0</t>
  </si>
  <si>
    <t>Souldier</t>
  </si>
  <si>
    <t>44ahv3Zj4FOJoy8gJLZF9B</t>
  </si>
  <si>
    <t>4L0Iwsk1s8cbdBcEgdm8K5</t>
  </si>
  <si>
    <t>Lithopédion</t>
  </si>
  <si>
    <t>1h1wmYG39fp6ZTgwlJ3Cv3</t>
  </si>
  <si>
    <t>3DQPBVkQUs3nYxjWg6i5Pr</t>
  </si>
  <si>
    <t>3CnCGFxXbOA8bAK54jR8js,2UwqpfQtNuhBwviIC0f2ie</t>
  </si>
  <si>
    <t>Agartha</t>
  </si>
  <si>
    <t>2017-01-20</t>
  </si>
  <si>
    <t>5E9KtAPBkCxLvfkg1NTosb</t>
  </si>
  <si>
    <t>2RyrUufe1eFiOCMNhFL62h</t>
  </si>
  <si>
    <t>3CnCGFxXbOA8bAK54jR8js,6qFt3TjvxMt77YGsktWG8Z</t>
  </si>
  <si>
    <t>XEU</t>
  </si>
  <si>
    <t>4ueL4j6iOPX23UG5VsvGrm</t>
  </si>
  <si>
    <t>6WD8BChZNMRIVXySd9sxUc</t>
  </si>
  <si>
    <t>Ce monde est cruel</t>
  </si>
  <si>
    <t>2019-10-10</t>
  </si>
  <si>
    <t>3vyrkRclTc4fsYSr6aUyqw</t>
  </si>
  <si>
    <t>38SIErfZNd7u2qlIzFeZqm,6RJbFqgnnHvQcq8TGdCIn2</t>
  </si>
  <si>
    <t>1YIHAYQ0K9HtGVB3zuSsyG</t>
  </si>
  <si>
    <t>64KEffDW9EtZ1y2vBYgq8T,6Ad91Jof8Niiw0lGLLi3NW,2cFrymmkijnjDg9SS92EPM,3jNm5wvIx1eR5NDdXhMkNV</t>
  </si>
  <si>
    <t>Tongue Tied - Remix EP</t>
  </si>
  <si>
    <t>2020-01-15</t>
  </si>
  <si>
    <t>52jQHr0jyapxhghcwJ9hED</t>
  </si>
  <si>
    <t>1HxJeLhIuegM3KgvPn8sTa,5he5w2lnU9x7JFhnwcekXX,5fMUXHkw8R8eOP2RNVYEZX,2VAnyOxzJuSAj7XIuEOT38,0NDElNqwGRCmsYIQFapp6K</t>
  </si>
  <si>
    <t>To Ü (feat. AlunaGeorge) [Remixes]</t>
  </si>
  <si>
    <t>2PjP6kbOMsXr07fyfgcI0g</t>
  </si>
  <si>
    <t>6CCTvLyIHqUhY6VQizt150,2CFNHBel5Q4lnOlXiOM09z</t>
  </si>
  <si>
    <t>1000 Faces</t>
  </si>
  <si>
    <t>4mj0eDXQaPjTIub0CI9dpW</t>
  </si>
  <si>
    <t>16yUpGkBRgc2eDMd3bB3Uw,3ZejoaXlP3oqmmTseylLDY</t>
  </si>
  <si>
    <t>4DhPiE7UXmkmlmiu34yMC0</t>
  </si>
  <si>
    <t>6c1pBXHYjFcGQQNO5MMsdd,5ZciodrGuWZAkGIXHzTiQP</t>
  </si>
  <si>
    <t>Sounds of Syndication, Vol. 2 (Presented by Syndicate)</t>
  </si>
  <si>
    <t>2016-12-30</t>
  </si>
  <si>
    <t>1XvmEgl5DqZ04izEaG4icb</t>
  </si>
  <si>
    <t>738wLrAtLtCtFOLvQBXOXp,0bdfiayQAKewqEvaU6rXCv,540vIaP2JwjQb9dm3aArA4</t>
  </si>
  <si>
    <t>2015-03-02</t>
  </si>
  <si>
    <t>3zkWCteF82vJwv0hRLba76</t>
  </si>
  <si>
    <t>7n2wHs1TKAczGzO7Dd2rGr</t>
  </si>
  <si>
    <t>Handwritten</t>
  </si>
  <si>
    <t>2015-04-14</t>
  </si>
  <si>
    <t>3QGsuHI8jO1Rx4JWLUh9jd</t>
  </si>
  <si>
    <t>7JJmb5XwzOO8jgpou264Ml</t>
  </si>
  <si>
    <t>Illuminate (Deluxe)</t>
  </si>
  <si>
    <t>06KyNuuMOX1ROXRhj787tj</t>
  </si>
  <si>
    <t>6VuMaDnrHyPL1p4EHjYLi7,0C8ZW7ezQVs4URX5aX7Kqx</t>
  </si>
  <si>
    <t>Nine Track Mind</t>
  </si>
  <si>
    <t>2020-05-12</t>
  </si>
  <si>
    <t>6d0C0lEEb0zIMd46ggs0HE</t>
  </si>
  <si>
    <t>2Tg0aF5cbZktYFzgR1iAKv</t>
  </si>
  <si>
    <t>271YviORLRedSx0kJEhHGZ</t>
  </si>
  <si>
    <t>61Z2VOSs2wa7II0ex4jcEu,5dGsIOepO9ufQlXjW8KrPL</t>
  </si>
  <si>
    <t>1zMr0gTT3y8CJFGYhXn83Z</t>
  </si>
  <si>
    <t>3l0H4QNiYYNdIsnZ4JgJAg</t>
  </si>
  <si>
    <t>2020-06-01</t>
  </si>
  <si>
    <t>5bs8OXiOt4BPF2FAnRFP1u</t>
  </si>
  <si>
    <t>3TNt4aUIxgfy9aoaft5Jj2,3TaUSUXn41GixL7zbvrIDt</t>
  </si>
  <si>
    <t>Heads Will Roll (A-Trak Remix)</t>
  </si>
  <si>
    <t>7bBsTi7YtNI4iVXxWL1Quq</t>
  </si>
  <si>
    <t>3mq0dGktSDJulbRmPZFUcr,4NuV04pjQA4HRnRwuSEDgf</t>
  </si>
  <si>
    <t>Haze</t>
  </si>
  <si>
    <t>2015-01-18</t>
  </si>
  <si>
    <t>2jOCGs8OJTt5DMxYLJn5yy</t>
  </si>
  <si>
    <t>6Ta9RS3a6sLulTlM4FWY5K,1rHE9GIzQio52kTCadXdyL</t>
  </si>
  <si>
    <t>2017-04-11</t>
  </si>
  <si>
    <t>7oWT5fuTNA42UQpujZujok</t>
  </si>
  <si>
    <t>6n5F9wLtLECwZx901DBfl3</t>
  </si>
  <si>
    <t>738wLrAtLtCtFOLvQBXOXp,0X2BH1fck6amBIoJhDVmmJ,4frHO7KPcfMjhnVdIMJ98c,6kn7LhH5siatL0X1kefy0r,3AXTxnESIwvNxngE8j6weV</t>
  </si>
  <si>
    <t>Powerful (Remixes)</t>
  </si>
  <si>
    <t>2015-09-11</t>
  </si>
  <si>
    <t>0lw9uF9EXHY06DtbTWa2l9</t>
  </si>
  <si>
    <t>7lZauDnRoAC3kmaYae2opv,3ppkM4QtM781APpaX7H9t7</t>
  </si>
  <si>
    <t>Wild Youth</t>
  </si>
  <si>
    <t>2Z2LGhDRxuPaKgN6f7ENgN</t>
  </si>
  <si>
    <t>3wjluyWXDHiiMKxkhaW1em,0cZPTEmf3mlwj5kjVXR4po</t>
  </si>
  <si>
    <t>0GjXeabJMbt78xnDHeKkTJ</t>
  </si>
  <si>
    <t>1NtMiyzk7AhY2SGkdPkafX,6U0qpV1jByBImJl8oRFnlQ</t>
  </si>
  <si>
    <t>2016-11-14</t>
  </si>
  <si>
    <t>7lQjK3ytxL2rxbpF0icje6</t>
  </si>
  <si>
    <t>61AmoJuVONSxfF22Sh9gXU,5Ad8YPmqQf2tay2SZ8NxWY</t>
  </si>
  <si>
    <t>2Rrdun8PrVxUSJlLQtQP8M</t>
  </si>
  <si>
    <t>4RQQEu24E1oQAQXvkxsLxE,66MrdPDHTjnnMOTBmC81q5</t>
  </si>
  <si>
    <t>Flute (Radio Mix)</t>
  </si>
  <si>
    <t>2013-12-06</t>
  </si>
  <si>
    <t>2Eq2jFUlVlzdGdXAVsoDng</t>
  </si>
  <si>
    <t>1irvKnrTIl4uhTw44brINj,6ViXQuNfITLf7PWKZfA260</t>
  </si>
  <si>
    <t>2014-06-02</t>
  </si>
  <si>
    <t>1R2rmmUufa1tdiD9j9Qs3x</t>
  </si>
  <si>
    <t>77PxY9mItIkmEo8D2fbfco</t>
  </si>
  <si>
    <t>4dQOR8mMWcrbF0xRRnW5Y6</t>
  </si>
  <si>
    <t>7qRll6DYV06u2VuRPAVqug,5CdJjUi9f0cVgo9nFuJrFa</t>
  </si>
  <si>
    <t>Youth (The Remixes)</t>
  </si>
  <si>
    <t>2013-10-25</t>
  </si>
  <si>
    <t>283LAlCpfArRZOXPfkOQj0</t>
  </si>
  <si>
    <t>1lc8mnyGrCLtPhCoWjRxjM</t>
  </si>
  <si>
    <t>Crave You (Remixes)</t>
  </si>
  <si>
    <t>2010-03-26</t>
  </si>
  <si>
    <t>6D1kEYqdY4D3okAOfeKouI</t>
  </si>
  <si>
    <t>5CdJjUi9f0cVgo9nFuJrFa,3fuxStOqQv8TiytHeuGiE8</t>
  </si>
  <si>
    <t>Red // Blue</t>
  </si>
  <si>
    <t>3wjen23Xb9H1kU4V50QyiZ</t>
  </si>
  <si>
    <t>5CdJjUi9f0cVgo9nFuJrFa,3kHVioJpVxlazAAKQ64pC1</t>
  </si>
  <si>
    <t>Calling All Heroes</t>
  </si>
  <si>
    <t>2013-10-29</t>
  </si>
  <si>
    <t>5yQmKyKEdjtxFDPIK9mFLn</t>
  </si>
  <si>
    <t>5CdJjUi9f0cVgo9nFuJrFa</t>
  </si>
  <si>
    <t>2012-05-31</t>
  </si>
  <si>
    <t>1vsQb8n0icvMsFnL9663LM</t>
  </si>
  <si>
    <t>7MXVkk9YMctZqd1Srtv4MB</t>
  </si>
  <si>
    <t>1Xyo4u8uXC1ZmMpatF05PJ,4tZwfgrHOc3mvqYlEYSvVi</t>
  </si>
  <si>
    <t>19m23w2ANVhtB7rApM6pbN</t>
  </si>
  <si>
    <t>20DZAfCuP1TKZl5KcY7z3Q,7d5SfGXKpgS3JK8BFIq59h</t>
  </si>
  <si>
    <t>3LcEOAeBvTz7kNvTfHJwWJ</t>
  </si>
  <si>
    <t>Call Me, I Still Love You (Extended Version)</t>
  </si>
  <si>
    <t>7yqGJP1pQ1jc4MNAdZW4gR</t>
  </si>
  <si>
    <t>5JZ7CnR6gTvEMKX4g70Amv,72beYOeW2sb2yfcS4JsRvb</t>
  </si>
  <si>
    <t>~how i'm feeling~ (the extras)</t>
  </si>
  <si>
    <t>67vse5bs2V2YgcEsXVitj8</t>
  </si>
  <si>
    <t>5QI8TzL0eOULZSwsr1FJzu</t>
  </si>
  <si>
    <t>6gK1Uct5FEdaUWRWpU4Cl2,7C3Cbtr2PkH2l4tOGhtCsk</t>
  </si>
  <si>
    <t>2020-05-20</t>
  </si>
  <si>
    <t>1gdvYJ0BVaeeAEpAM8OFyr</t>
  </si>
  <si>
    <t>4NmOJQxl9UZItUQQtMDYBb</t>
  </si>
  <si>
    <t>23fqKkggKUBHNkbKtXEls4,6eVWXmKBW7Iltub01D9R1c</t>
  </si>
  <si>
    <t>2018-03-27</t>
  </si>
  <si>
    <t>0tqVGI0DNQS25SMYSGU6HJ</t>
  </si>
  <si>
    <t>3ASDNZT1AaVuC0bqu60oaY</t>
  </si>
  <si>
    <t>2018-01-05</t>
  </si>
  <si>
    <t>25cw3s5Xa4z4BaSscifCvZ</t>
  </si>
  <si>
    <t>4YLQaW1UU3mrVetC8gNkg5,4LZ4De2MoO3lP6QaNCfvcu,2kGEd3OUoUWgCmu9cIaBXV</t>
  </si>
  <si>
    <t>Ultraviolet</t>
  </si>
  <si>
    <t>2014-01-27</t>
  </si>
  <si>
    <t>52pjPdMzY3LgKmZtKrgDZB</t>
  </si>
  <si>
    <t>5lXf3xjcLx6BmYMY6TvczJ,7b1FMiWXZwOBsxi0uWw6wH</t>
  </si>
  <si>
    <t>7dhmU1BvOeA2Wf4nigqwIx</t>
  </si>
  <si>
    <t>5CI6YfdGj33Dk91IiUge82,5TiLJhdooCyVVsg9dgElN5</t>
  </si>
  <si>
    <t>2019-03-20</t>
  </si>
  <si>
    <t>4bMlXWjGoIFXNMrZNpthe7</t>
  </si>
  <si>
    <t>4LZ4De2MoO3lP6QaNCfvcu,4IFgewC2urR62Fwt7uAU03</t>
  </si>
  <si>
    <t>Wide-Eyed</t>
  </si>
  <si>
    <t>143fjVg1lxpM6eV4Mw3pQL</t>
  </si>
  <si>
    <t>4O1RimvFISoVTqB5BAAtYP,7wLyGTO9vUS7ndlq4BvBGe</t>
  </si>
  <si>
    <t>2018-05-15</t>
  </si>
  <si>
    <t>72Q0FQQo32KJloivv5xge2</t>
  </si>
  <si>
    <t>0QHgL1lAIqAw0HtD7YldmP,1uNFoZAHBGtllmzznpCI3s,0VRj0yCOv2FXJNP47XQnx5,1anyVhU62p31KFi8MEzkbf,55Aa2cqylxrFIXC767Z865</t>
  </si>
  <si>
    <t>2017-04-27</t>
  </si>
  <si>
    <t>0D2VYiRlBv43asKUgieZaM</t>
  </si>
  <si>
    <t>1L9i6qZYIGQedgM9QLSyzb</t>
  </si>
  <si>
    <t>Jubel (Radio Edit)</t>
  </si>
  <si>
    <t>2013-11-01</t>
  </si>
  <si>
    <t>7KPr0YxECy4Q1k2F17Sa0Q</t>
  </si>
  <si>
    <t>2010-02-12</t>
  </si>
  <si>
    <t>523v8nuwdcPBsgpluw2ukl</t>
  </si>
  <si>
    <t>6cEuCEZu7PAE9ZSzLLc2oQ,0CbeG1224FS58EUx4tPevZ</t>
  </si>
  <si>
    <t>4ekDggjElGJX9kNSOtnbVf</t>
  </si>
  <si>
    <t>4cdyqaBREB68H77QKCrKP1,6kT18gnkVrCz8xJQcrib7L</t>
  </si>
  <si>
    <t>Infinity (Dubdogz &amp; Bhaskar Edit)</t>
  </si>
  <si>
    <t>5TSC8x1GZNEaqtwC8YsVWx</t>
  </si>
  <si>
    <t>6S3KljEiIOWoLMUyZrkQUc,2wX6xSig4Rig5kZU6ePlWe,4DTbdShHu2RPYEEMUp2XWV,2mwT6u3QUHIlTHGzDRCnrk</t>
  </si>
  <si>
    <t>0l1B3HBFqQKIliYDeM4Ioi</t>
  </si>
  <si>
    <t>78DWNk8gFHU30TGITAgbM7,0CEK8AzyeD5ZUdUloB6yQV</t>
  </si>
  <si>
    <t>2017-11-24</t>
  </si>
  <si>
    <t>5NmENli4oodYuWrI0vSGK4</t>
  </si>
  <si>
    <t>2sf28o6euxEDpYkG9dMtuM,3GI8jWO0jwqs0qX3OtlbqY</t>
  </si>
  <si>
    <t>2015-06-11</t>
  </si>
  <si>
    <t>0BMBOH13T4kbqGocjHRnjE</t>
  </si>
  <si>
    <t>2PSEa6CJkdwM96iLo7hkZQ</t>
  </si>
  <si>
    <t>3fjs4zbBFxEFFe8Wyojo0G,0h3YCmvRJ2jqt4jFiR6nGL</t>
  </si>
  <si>
    <t>I Am The Elephante</t>
  </si>
  <si>
    <t>0hMyqHDl1Km5TrOUgffL4z</t>
  </si>
  <si>
    <t>1GaiNqRIgXaXKBKtn5cqeV,34A8Ho8xMq8MFdV8AXph2M</t>
  </si>
  <si>
    <t>793dVX4G7K65oiT0mhmKPE</t>
  </si>
  <si>
    <t>Mr Sandman</t>
  </si>
  <si>
    <t>3nRauKXndzK2BFA3yaEbEC</t>
  </si>
  <si>
    <t>7dFECrq1wiM9NbCyaxLed6</t>
  </si>
  <si>
    <t>7MXHTn25VchnMy4km2U21p</t>
  </si>
  <si>
    <t>77PxY9mItIkmEo8D2fbfco,2muaKB2dAVbfGrPySPiZqF</t>
  </si>
  <si>
    <t>2016-09-07</t>
  </si>
  <si>
    <t>7nA1GfwQ4tvRKasUNt28fs</t>
  </si>
  <si>
    <t>2muaKB2dAVbfGrPySPiZqF,5FjiYgLczmrP2j1gijAGWp</t>
  </si>
  <si>
    <t>2016-09-06</t>
  </si>
  <si>
    <t>0wOvXrGbRLnPBgPWLBGtTE</t>
  </si>
  <si>
    <t>3cYDJwxSxT2qSPmNHHNoSu</t>
  </si>
  <si>
    <t>09J4zbHHwNNlN2tfgJIg21,5Xgb8LDaSdo3vsDqJ7eBJv</t>
  </si>
  <si>
    <t>2018-08-20</t>
  </si>
  <si>
    <t>2WhvA2FqKENSkzktlyl1az</t>
  </si>
  <si>
    <t>6fcTRFpz0yH79qSKfof7lp,2kGEd3OUoUWgCmu9cIaBXV</t>
  </si>
  <si>
    <t>2017-06-05</t>
  </si>
  <si>
    <t>1yBwHjghv9KwJ6m75WuHEU</t>
  </si>
  <si>
    <t>6fcTRFpz0yH79qSKfof7lp,6F4KRaTnwZ3ttUYpdo45C8</t>
  </si>
  <si>
    <t>1Yr93obwwyAOwTLuJb1F4O</t>
  </si>
  <si>
    <t>6fcTRFpz0yH79qSKfof7lp,6F4KRaTnwZ3ttUYpdo45C8,4AT7XlLBevgZIiKvZQ83ye</t>
  </si>
  <si>
    <t>2PTvik6EqPAIYOclAB3SU8</t>
  </si>
  <si>
    <t>37DdwREpvvQHmGLFEZ4h0Q</t>
  </si>
  <si>
    <t>Now You're Gone - The Album</t>
  </si>
  <si>
    <t>2008-01-15</t>
  </si>
  <si>
    <t>4fdupd1cxNJtzqlBsd4sew</t>
  </si>
  <si>
    <t>LOL (International version)</t>
  </si>
  <si>
    <t>2006-11-20</t>
  </si>
  <si>
    <t>2YhWr6qAWARANkc0kt7RPi</t>
  </si>
  <si>
    <t>Careless: The Collection</t>
  </si>
  <si>
    <t>2019-02-06</t>
  </si>
  <si>
    <t>27LC107ptYkBLyQujvJONS</t>
  </si>
  <si>
    <t>7173AlU3NbZlpW8ajc5X81</t>
  </si>
  <si>
    <t>2019-03-06</t>
  </si>
  <si>
    <t>4boC3dPlgfmPhFHUewrtVz</t>
  </si>
  <si>
    <t>Best of Me: The Collection</t>
  </si>
  <si>
    <t>0tBWe3Y15CadDrDPnicVkN</t>
  </si>
  <si>
    <t>5uGCoNepb3NfYHzdVDXQtC</t>
  </si>
  <si>
    <t>20DZAfCuP1TKZl5KcY7z3Q,4LZ4De2MoO3lP6QaNCfvcu,5CtI0OHj5x6rHQDqpM4JPy</t>
  </si>
  <si>
    <t>39glqzRVRAy4vq3PqeTGb8</t>
  </si>
  <si>
    <t>20DZAfCuP1TKZl5KcY7z3Q,6d0ZjIp5L7Ygy2l02HskRX</t>
  </si>
  <si>
    <t>6O20JhBJPePEkBdrB5sqRx</t>
  </si>
  <si>
    <t>Unapologetic (Deluxe)</t>
  </si>
  <si>
    <t>2012-12-11</t>
  </si>
  <si>
    <t>0GNI8K3VATWBABQFAzBAYe</t>
  </si>
  <si>
    <t>5pKCCKE2ajJHZ9KAiaK11H,1buzCmyYZE4kcdLRudsb8V</t>
  </si>
  <si>
    <t>49FYlytm3dAAraYgpoJZux</t>
  </si>
  <si>
    <t>5pKCCKE2ajJHZ9KAiaK11H,3nFkdlSjzX9mRTtwJOzDYB</t>
  </si>
  <si>
    <t>3M9Apu4OZfylLTFKvgEtKa</t>
  </si>
  <si>
    <t>2o5jDhtHVPhrJdv3cEQ99Z,1HBjj22wzbscIZ9sEb5dyf,5CCwRZC6euC8Odo6y9X8jr</t>
  </si>
  <si>
    <t>01BC4Xj5tfsfV8DLDrma7q</t>
  </si>
  <si>
    <t>1zNqDE7qDGCsyzJwohVaoX</t>
  </si>
  <si>
    <t>Speak Your Mind (Deluxe)</t>
  </si>
  <si>
    <t>572xshmOviSGH70oPYMCZV</t>
  </si>
  <si>
    <t>0uUNN1nSoUx1A4fkDCWDQ7</t>
  </si>
  <si>
    <t>76nqCfJOcFFWBJN32PAksn</t>
  </si>
  <si>
    <t>2020-03-12</t>
  </si>
  <si>
    <t>61nrU9ucePzVDHXHYe4Vnx</t>
  </si>
  <si>
    <t>7z8fkGpUDt6eb6fyysRTH9,58QNei6HY9fAmKKUeTOneM</t>
  </si>
  <si>
    <t>7G9s3hULKAOKw5mTRrwm5C</t>
  </si>
  <si>
    <t>4MD0pIPxvGvPdohFuEkCua</t>
  </si>
  <si>
    <t>2016-09-01</t>
  </si>
  <si>
    <t>1XHUsvM6USkfBRRYLE4SOQ</t>
  </si>
  <si>
    <t>0n255T84TbJje4U9RcKHGP</t>
  </si>
  <si>
    <t>4wyFoswwaXdn5MiH02mi6S</t>
  </si>
  <si>
    <t>5g3uG8zZZANGT6YOssgjfC,5EmzXI3MTq55b4fugaQeY0,2TpfAwT1D8126J4GapgKjM</t>
  </si>
  <si>
    <t>Blue Skies</t>
  </si>
  <si>
    <t>2PhlrsYp7TSkK96ngbmL38</t>
  </si>
  <si>
    <t>2QMCcKIPHnjQaPPgoEst88,2xDZ8qyyE2Ti4wL1Ob1T7V</t>
  </si>
  <si>
    <t>13kcQEn2MBCP50mTeuyU75</t>
  </si>
  <si>
    <t>0Jk0TeNXrhhwOMmR2nNyZR,3FOuDd6qC5FQRcuRpTQcf6,62Tngr7Q83HQ3AqgD4Zjsj</t>
  </si>
  <si>
    <t>2019-02-18</t>
  </si>
  <si>
    <t>6m7CKXj6KatyQfJV9vK5oC</t>
  </si>
  <si>
    <t>1bqxdqvUtPWZri43cKHac8,38ogDkM1sStlU05k8bpJ0s</t>
  </si>
  <si>
    <t>10 Victoria's Secret Models (Whethan Remix)</t>
  </si>
  <si>
    <t>6wv7nGvhdFLZD4XmFEt33C</t>
  </si>
  <si>
    <t>28Ky95tmlHktB96DBUoB0g</t>
  </si>
  <si>
    <t>2NvyKQtbrTYyiCHnmYrBRa</t>
  </si>
  <si>
    <t>1zNqDE7qDGCsyzJwohVaoX,64KEffDW9EtZ1y2vBYgq8T</t>
  </si>
  <si>
    <t>Alarm (Remixes)</t>
  </si>
  <si>
    <t>15VMO7MDIJN0bVFYOjJg9F</t>
  </si>
  <si>
    <t>0tvpihdAsKiNnP6sWS3jUI</t>
  </si>
  <si>
    <t>All Trap Music, Vol. 4</t>
  </si>
  <si>
    <t>33w2gkvsI5iAnMI8z8mYln</t>
  </si>
  <si>
    <t>20IJWbmZq5kFs9PUvVkWqX</t>
  </si>
  <si>
    <t>0tAFy8LVdMQgW6A6Nq7olS</t>
  </si>
  <si>
    <t>V!BEZ, Vol. 3</t>
  </si>
  <si>
    <t>0Eb7fuC7U4FBWa38WUhcJG</t>
  </si>
  <si>
    <t>67qogtRNI0GjUr8PlaG6Zh,4zymhxzJ0UJc74tMHGyoWs,2AoeqcUs8DySgZRJ9yV4Ou</t>
  </si>
  <si>
    <t>Somewhere Else</t>
  </si>
  <si>
    <t>2014-07-01</t>
  </si>
  <si>
    <t>4XdaaDFE881SlIaz31pTAG</t>
  </si>
  <si>
    <t>0qPGd8tOMHlFZt8EA1uLFY</t>
  </si>
  <si>
    <t>Dogma Resistance</t>
  </si>
  <si>
    <t>1DegLHuaZdLmOvhUgsNV9I</t>
  </si>
  <si>
    <t>72iCiKwu6nu6Qq9emIwzYv,0qPGd8tOMHlFZt8EA1uLFY</t>
  </si>
  <si>
    <t>2017-01-31</t>
  </si>
  <si>
    <t>6sLohu3lQbmMhYVnb6OTvw</t>
  </si>
  <si>
    <t>6fcTRFpz0yH79qSKfof7lp,5FKchcZpQOkqFvXBj1aCvb,1Uyqa2sdHm1bL5JK4IC4zc,6d0ZjIp5L7Ygy2l02HskRX</t>
  </si>
  <si>
    <t>2GFKIOHwpJXVk14xo4NTUE</t>
  </si>
  <si>
    <t>0lLY20XpZ9yDobkbHI7u1y,5FKchcZpQOkqFvXBj1aCvb,006vxZB858jX6ETI6mfDFA,2BuSNpxpMGJGiAAWJYJT2t</t>
  </si>
  <si>
    <t>Bring The Madness (The Remixes)</t>
  </si>
  <si>
    <t>2015-03-23</t>
  </si>
  <si>
    <t>4OpPtBlAU2ayk7rS0SyxlM</t>
  </si>
  <si>
    <t>7u160I5qtBYZTQMLEIJmyz,3EXfNuPuR3OFEdlyoSutcG</t>
  </si>
  <si>
    <t>2014-04-28</t>
  </si>
  <si>
    <t>2bCjaF7cRm53Wdq9RtkYJu</t>
  </si>
  <si>
    <t>67qogtRNI0GjUr8PlaG6Zh,4GLJPBj5Cdr9AgLKvLWM4n,3cMInYqk6yzf37zo8iznoz</t>
  </si>
  <si>
    <t>Northern Lights (Remixes)</t>
  </si>
  <si>
    <t>1cay6FihqBMcnaYWhipPgp</t>
  </si>
  <si>
    <t>67qogtRNI0GjUr8PlaG6Zh,06VibSJEr3GLxLBBZhRums,3fuxStOqQv8TiytHeuGiE8</t>
  </si>
  <si>
    <t>We Are Deadbeats (Vol. 4)</t>
  </si>
  <si>
    <t>3y8SFle31PlRugTUusSHf9</t>
  </si>
  <si>
    <t>2DuJi13MWHjRHrqRUwk8vH,58O8UPrTdl4u2buM0skj94</t>
  </si>
  <si>
    <t>Death &amp; Desire (feat. Harrison) [Laidback Luke Remix]</t>
  </si>
  <si>
    <t>0u2AIKDVafHwCFQ9LDnqxH</t>
  </si>
  <si>
    <t>2DuJi13MWHjRHrqRUwk8vH</t>
  </si>
  <si>
    <t>Rage Valley</t>
  </si>
  <si>
    <t>0QIYINh2AwmOmdu8CRYvlw</t>
  </si>
  <si>
    <t>5C9fV9RbzygtoPf9cBtRzZ</t>
  </si>
  <si>
    <t>5R3Hr2cnCCjt220Jmt2xLf,540vIaP2JwjQb9dm3aArA4</t>
  </si>
  <si>
    <t>2014-06-24</t>
  </si>
  <si>
    <t>57p8CBvPOxrvyCbn6ttl5r</t>
  </si>
  <si>
    <t>5he5w2lnU9x7JFhnwcekXX,3JXpwnHbLvXxY99EuXqFPX</t>
  </si>
  <si>
    <t>2017-07-26</t>
  </si>
  <si>
    <t>476j7IDRIDRvv1Xu71EVc8</t>
  </si>
  <si>
    <t>6nxWCVXbOlEVRexSbLsTer,6xHUXzrfhFgnIv86EBR3Ml</t>
  </si>
  <si>
    <t>Skin</t>
  </si>
  <si>
    <t>2016-05-27</t>
  </si>
  <si>
    <t>4BSjUTb3yOeSEulnbwUSi9</t>
  </si>
  <si>
    <t>Pacha Tech House</t>
  </si>
  <si>
    <t>65ES1qwOB577ZnTkizMXJJ</t>
  </si>
  <si>
    <t>5he5w2lnU9x7JFhnwcekXX,2YZyLoL8N0Wb9xBt1NhZWg</t>
  </si>
  <si>
    <t>HUMBLE. (SKRILLEX REMIX)</t>
  </si>
  <si>
    <t>7KXjTSCq5nL1LoYtL7XAwS</t>
  </si>
  <si>
    <t>DAMN.</t>
  </si>
  <si>
    <t>2zh01m4PiHaZz4BAm0NRxs</t>
  </si>
  <si>
    <t>2ZRQcIgzPCVaT9XKhXZIzh,67MNhiAICFY6Pwc2YxCO0K</t>
  </si>
  <si>
    <t>24FFOpCA6bc5YoU2F3TKqS</t>
  </si>
  <si>
    <t>2ZRQcIgzPCVaT9XKhXZIzh,3rjHIPFed2qITXAWvArRtp</t>
  </si>
  <si>
    <t>4TIkSdsNSfqpuq6ZYvCjAz</t>
  </si>
  <si>
    <t>2ZRQcIgzPCVaT9XKhXZIzh,20DZAfCuP1TKZl5KcY7z3Q,2QeNM65b7IWvK4Ofcqz8cm</t>
  </si>
  <si>
    <t>57DJaoHdeeRrg7MWthNnee</t>
  </si>
  <si>
    <t>2ZRQcIgzPCVaT9XKhXZIzh,5qQFXHDOeYjiZVrCUO56Pk</t>
  </si>
  <si>
    <t>3frUvGrmGcay91lvFbOgsN</t>
  </si>
  <si>
    <t>23fqKkggKUBHNkbKtXEls4,1Xylc3o4UrD53lo9CvFvVg,5LHRHt1k9lMyONurDHEdrp</t>
  </si>
  <si>
    <t>4mt7C6wYeTUWDDk7xKym9w</t>
  </si>
  <si>
    <t>5fIq2ovEhDIyV5Hx1epC4c</t>
  </si>
  <si>
    <t>7xEFii6utZmQ61kX59HmLH</t>
  </si>
  <si>
    <t>1WXyK7UMSa99FIjKZp7E60</t>
  </si>
  <si>
    <t>7d5SfGXKpgS3JK8BFIq59h,6F4KRaTnwZ3ttUYpdo45C8</t>
  </si>
  <si>
    <t>2017-12-28</t>
  </si>
  <si>
    <t>1tdmwuQWHgj7moK4YS7uXF</t>
  </si>
  <si>
    <t>7d5SfGXKpgS3JK8BFIq59h,1HQ26IHQ1Nu0Tq7EE7DV6y</t>
  </si>
  <si>
    <t>Universe</t>
  </si>
  <si>
    <t>2018-11-19</t>
  </si>
  <si>
    <t>3kubgykmOVjRMK1hmgYsG6</t>
  </si>
  <si>
    <t>7d5SfGXKpgS3JK8BFIq59h,02tNJ4ZTGXThzSA5A9QREM,3l0H4QNiYYNdIsnZ4JgJAg</t>
  </si>
  <si>
    <t>7MD5qMLhP1Xll1yACGFR2h</t>
  </si>
  <si>
    <t>7d5SfGXKpgS3JK8BFIq59h,3l0H4QNiYYNdIsnZ4JgJAg</t>
  </si>
  <si>
    <t>Pages</t>
  </si>
  <si>
    <t>2019-08-22</t>
  </si>
  <si>
    <t>6Da6BPJ2L2bTJDgQ3oe8kH</t>
  </si>
  <si>
    <t>2Hchwjfl1DioXcIwbOJkus,3l0H4QNiYYNdIsnZ4JgJAg</t>
  </si>
  <si>
    <t>Wishes</t>
  </si>
  <si>
    <t>2019-08-09</t>
  </si>
  <si>
    <t>2GZEMA43Qaj2khqejCjhbD</t>
  </si>
  <si>
    <t>04vdWVjgi45nrMAxeCEVQe,3l0H4QNiYYNdIsnZ4JgJAg</t>
  </si>
  <si>
    <t>5kvFBu6jDJMECOqmD7OwUx</t>
  </si>
  <si>
    <t>4AT7XlLBevgZIiKvZQ83ye,685c4a84PTRlygc8EUE7tV,7axZFTseO96HmG1u4ABDAI</t>
  </si>
  <si>
    <t>2019-07-30</t>
  </si>
  <si>
    <t>5EBtY2shIV1vmY4bnvvV6T</t>
  </si>
  <si>
    <t>6yL8hFz4aME9PeZq9gaUQD</t>
  </si>
  <si>
    <t>0gwwwockLkBSW8WiCXaK3H</t>
  </si>
  <si>
    <t>1kwGj7uDO5WXVXtQLvGJr0,08OCWF4MDd9CQC2uPbsV3j,4WJaVVVSmLvbX7SmE2mdnz</t>
  </si>
  <si>
    <t>2xPQ0FgyKOkrzAOkTuwWtT</t>
  </si>
  <si>
    <t>22O2Zdfj3jnJZDSzlDMAJp</t>
  </si>
  <si>
    <t>7vk5e3vY1uw9plTHJAMwjN,0x3PXj1WnuW7YsBxQK57xM</t>
  </si>
  <si>
    <t>2020-04-01</t>
  </si>
  <si>
    <t>1iKMXjrKzaXf3CC1vwbQdv</t>
  </si>
  <si>
    <t>4AT7XlLBevgZIiKvZQ83ye,7rPtQcrQxAA6bdsUwSyYoV</t>
  </si>
  <si>
    <t>2EoM78BMX8FNCtv5Azo47i</t>
  </si>
  <si>
    <t>2zJ8chFLjiBHRNchfevMRI</t>
  </si>
  <si>
    <t>38BxERIFwvwAldvKhWmRCP</t>
  </si>
  <si>
    <t>20DZAfCuP1TKZl5KcY7z3Q,4LZ4De2MoO3lP6QaNCfvcu,5CtI0OHj5x6rHQDqpM4JPy,5oiSxivTCIoOk5UlMSwzWM</t>
  </si>
  <si>
    <t>Potions (TYNAN Remix)</t>
  </si>
  <si>
    <t>2020-04-08</t>
  </si>
  <si>
    <t>0zECr7fUHeOmePBRweT6pz</t>
  </si>
  <si>
    <t>6Q3K9gVUZRMZqZKrXovbM2</t>
  </si>
  <si>
    <t>23fqKkggKUBHNkbKtXEls4,4xnihxcoXWK3UqryOSnbw5</t>
  </si>
  <si>
    <t>5dAtKXyrQoQW054LZqJ5dP</t>
  </si>
  <si>
    <t>45eNHdiiabvmbp4erw26rg,5FKchcZpQOkqFvXBj1aCvb,3Uobr6LgQpBbk6k4QGAb3V</t>
  </si>
  <si>
    <t>23OXdR7YuUBVWh5hSnYJau</t>
  </si>
  <si>
    <t>Trench</t>
  </si>
  <si>
    <t>2bLqfJjuC5syrsgDsZfGmn</t>
  </si>
  <si>
    <t>5Y5TRrQiqgUO4S36tzjIRZ,63wjoROpeh5f11Qm93UiJ1,4TLCPR1sMYoNU1jA7O4uww</t>
  </si>
  <si>
    <t>50WeOnXhM1H7AZEeIDoWfZ</t>
  </si>
  <si>
    <t>73Np75Wv2tju61Eo9Zw4IR,3MyB0MyKec3Jq0AH2llk7v</t>
  </si>
  <si>
    <t>Frozen 2 (Original Motion Picture Soundtrack/Deluxe Edition)</t>
  </si>
  <si>
    <t>3Z0oQ8r78OUaHvGPiDBR3W</t>
  </si>
  <si>
    <t>73Np75Wv2tju61Eo9Zw4IR,1WgXqy2Dd70QQOU7Ay074N</t>
  </si>
  <si>
    <t>4wMRo12qupmGNj0sh341xb</t>
  </si>
  <si>
    <t>0kXCdaJ7C5MD27jXxzvHsa</t>
  </si>
  <si>
    <t>2017-03-16</t>
  </si>
  <si>
    <t>1jLsirPDkUS2g4gnkYua58</t>
  </si>
  <si>
    <t>7vk5e3vY1uw9plTHJAMwjN,2Tg0aF5cbZktYFzgR1iAKv,6pWcSL9wSJZQ9ne0TnhdWr,20j1uz7iDOtIvIzCr5S8nx</t>
  </si>
  <si>
    <t>1SkDV4UKLmk00IQkyR7KEa</t>
  </si>
  <si>
    <t>4Kl0WdMQh5a5rihncmNkTB</t>
  </si>
  <si>
    <t>2013</t>
  </si>
  <si>
    <t>2ZvoJAUFQk81rx9sVZTyfJ</t>
  </si>
  <si>
    <t>67O8CWXxPsfz8orZVGMQwf</t>
  </si>
  <si>
    <t>6pWcSL9wSJZQ9ne0TnhdWr,7vk5e3vY1uw9plTHJAMwjN,0kXCdaJ7C5MD27jXxzvHsa</t>
  </si>
  <si>
    <t>1uHChUcbuCvkj3fqyms0I5</t>
  </si>
  <si>
    <t>3534yWWzmxx8NbKVoNolsK,6L6VjBcf06AK6boIxqIEit</t>
  </si>
  <si>
    <t>Unholy (Original Mix)</t>
  </si>
  <si>
    <t>1Rpj9CZE7cGSXUCfiBf0eA</t>
  </si>
  <si>
    <t>1GQInBhND3v37Hn6hKbW2b</t>
  </si>
  <si>
    <t>6aJRwrwfOffz7RMh2Cfm8e,1yPdXrLhRc50YbwiwCr1uN</t>
  </si>
  <si>
    <t>2016-06-05</t>
  </si>
  <si>
    <t>6SUocL0caib4mLHe8ZrZzi</t>
  </si>
  <si>
    <t>4WN5naL3ofxrVBgFpguzKo,4IWBUUAFIplrNtaOHcJPRM</t>
  </si>
  <si>
    <t>4sVJm1uzpxZF3TyOBSoqag</t>
  </si>
  <si>
    <t>21a1k8q3DJtsF8GorRfcL8</t>
  </si>
  <si>
    <t>6guIpm21zTdOTtIRsXFQBV</t>
  </si>
  <si>
    <t>2020-02-08</t>
  </si>
  <si>
    <t>7a1UiDLvw2yyuRPtANObXb</t>
  </si>
  <si>
    <t>Talksick 3</t>
  </si>
  <si>
    <t>2016-11-02</t>
  </si>
  <si>
    <t>1sWeSMifj6Z6kZyI6z3bRc</t>
  </si>
  <si>
    <t>79RUMZfMNMpqZnswovvTqv</t>
  </si>
  <si>
    <t>2DaxqgrOhkeH0fpeiQq2f4</t>
  </si>
  <si>
    <t>(What's the Story) Morning Glory?</t>
  </si>
  <si>
    <t>1995-10-02</t>
  </si>
  <si>
    <t>6v7RCySsjhaWD3DZkJVrDg</t>
  </si>
  <si>
    <t>3hMTYaexWgGkXqvbkt6EIS,1t8LijuXy59r0O5qlLkENl</t>
  </si>
  <si>
    <t>2016-10-20</t>
  </si>
  <si>
    <t>0AISJtBDtZXgB2fuvcjQEN</t>
  </si>
  <si>
    <t>4LZ4De2MoO3lP6QaNCfvcu,2kGEd3OUoUWgCmu9cIaBXV</t>
  </si>
  <si>
    <t>4toWZTdzXn9XAGghh9seLP</t>
  </si>
  <si>
    <t>5T0hAhDJZ30Frsxu9mZG0k,5hE6NCoobhyEu6TRSbjOJY</t>
  </si>
  <si>
    <t>The Vikings (Music from the TV Series)</t>
  </si>
  <si>
    <t>2013-06-24</t>
  </si>
  <si>
    <t>3ZCTVFBt2Brf31RLEnCkWJ</t>
  </si>
  <si>
    <t>4EgWNZkQCLA7nrrHSkKE2m</t>
  </si>
  <si>
    <t>3K0GDmmiRwn1Zc7RZzTeAz,4IVRW82OzrZZ4qZSf0xYJF</t>
  </si>
  <si>
    <t>Journey, Pt. 1</t>
  </si>
  <si>
    <t>1FG7QNYVJz1x50D8AzOVQt</t>
  </si>
  <si>
    <t>1l2ekx5skC4gJH8djERwh1,5uEeqYFuIChoWKy34jp8xE</t>
  </si>
  <si>
    <t>2019-11-28</t>
  </si>
  <si>
    <t>2qyYTowbZTEmn6Z9HpSZY9</t>
  </si>
  <si>
    <t>4VR73h3fh3wilrI7dPsrN3</t>
  </si>
  <si>
    <t>5jHBLO5C5UuVAq76vow5L9</t>
  </si>
  <si>
    <t>58UpHBCQ1Jj67DJsR7Qyqg</t>
  </si>
  <si>
    <t>2013-06-10</t>
  </si>
  <si>
    <t>72svLiYZ4D14ryt056I66v</t>
  </si>
  <si>
    <t>Origins (2011-2016)</t>
  </si>
  <si>
    <t>52P5KaZHtX1tAjErCN8ReC</t>
  </si>
  <si>
    <t>2012-09-10</t>
  </si>
  <si>
    <t>6NqhNhXX6NWobptoWT5KSl</t>
  </si>
  <si>
    <t>18F4oSUUPMcYHSZZ2INjcf</t>
  </si>
  <si>
    <t>2017-10-06</t>
  </si>
  <si>
    <t>3FRts0qgCNHg9YpMy9OsJ2</t>
  </si>
  <si>
    <t>3Rd5cYQDKpEUkdBOfq1eWW,5jFpFUOtNai4WFc2fmwzdT</t>
  </si>
  <si>
    <t>0YJAIuYxABIhVNlZIWcnrW</t>
  </si>
  <si>
    <t>5sDdzMVQgnGZ0nND3WvByB,2IrrH2ytG96HCP9dnM6mGr</t>
  </si>
  <si>
    <t>6XPG5Pf5PCSEPCpjbt6NPk</t>
  </si>
  <si>
    <t>2jGvmFH6YE352p9LKmuB0y,0YdFvpH7MvXv5vBsfGvt7g</t>
  </si>
  <si>
    <t>Freeze Time (Remixes)</t>
  </si>
  <si>
    <t>35opZaWC1aoY05bFNdAdX0</t>
  </si>
  <si>
    <t>3DVo02zCQ7iZKujFgRLMXL,7ddnIV2r4SLjuwyGlgLIWt</t>
  </si>
  <si>
    <t>5VTCVNDFeHGExSvstCaupr</t>
  </si>
  <si>
    <t>1YYQBntUxQRtPg53MFfxku</t>
  </si>
  <si>
    <t>5fQOiebGjgNhFEm5feExB5</t>
  </si>
  <si>
    <t>2019-03-16</t>
  </si>
  <si>
    <t>0MNzyWY7LUwSig1YsQrEqA</t>
  </si>
  <si>
    <t>1YYQBntUxQRtPg53MFfxku,4rxkOlhromGE6Eank6mzSO</t>
  </si>
  <si>
    <t>2018-12-26</t>
  </si>
  <si>
    <t>2aZ833IRv66ftKzZubm5fy</t>
  </si>
  <si>
    <t>1YYQBntUxQRtPg53MFfxku,20N95on2Bu0e3AZyiEUMz1</t>
  </si>
  <si>
    <t>5Of0sBLSbX6DmTKzH5gpAj</t>
  </si>
  <si>
    <t>0jNDKefhfSbLR9sFvcPLHo,6q8cRPrSLahGAZSVnjIYjF</t>
  </si>
  <si>
    <t>album1: a lot of remixes</t>
  </si>
  <si>
    <t>2ahgqycb3oRotjOVt4VJyc</t>
  </si>
  <si>
    <t>3SmytDq4CeZ3nKE9777qEx</t>
  </si>
  <si>
    <t>67qogtRNI0GjUr8PlaG6Zh,3cMInYqk6yzf37zo8iznoz,54pgkpWVgQYbQXD8bkUP8n</t>
  </si>
  <si>
    <t>3vhBXJkEQPcHeVWYtvaLDA</t>
  </si>
  <si>
    <t>6cEuCEZu7PAE9ZSzLLc2oQ,6RHKEd9dpzQ4c09x8Zdaxu,6rcE30MaP92XafelMNZ2Sq</t>
  </si>
  <si>
    <t>0LHxnRDVK7xDHazGTqGpus</t>
  </si>
  <si>
    <t>3o1CUVeHIid49sabk6A6Nf</t>
  </si>
  <si>
    <t>23fqKkggKUBHNkbKtXEls4,1vCWHaC5f2uS3yhpwWbIA6,5JYo7gm2dkyLLlWHjxS7Dy</t>
  </si>
  <si>
    <t>Forever Yours (Avicii Tribute)</t>
  </si>
  <si>
    <t>4N98sfqOlMlP1iO7kuW0t9</t>
  </si>
  <si>
    <t>3BNDjSD67jJE4fhxX1b2OV</t>
  </si>
  <si>
    <t>UNDER THE FORCE OF COURAGE</t>
  </si>
  <si>
    <t>2015-12-09</t>
  </si>
  <si>
    <t>4o68Jw0pYx8zFDwEgIGLDM</t>
  </si>
  <si>
    <t>58O8UPrTdl4u2buM0skj94,1EibrdGchIU1GIgiqJR25K</t>
  </si>
  <si>
    <t>7sYAS4CpbV90oSemgaEQat</t>
  </si>
  <si>
    <t>0NGAZxHanS9e0iNHpR8f2W,3v6Ji4uoWtKRkhuDUaxi9n</t>
  </si>
  <si>
    <t>36C0Gw2RmYWy5aEpMPaQ0e</t>
  </si>
  <si>
    <t>0NGAZxHanS9e0iNHpR8f2W,58O8UPrTdl4u2buM0skj94</t>
  </si>
  <si>
    <t>0cppqb4vQycORHNMxr8DGd</t>
  </si>
  <si>
    <t>3AVfmawzu83sp94QW7CEGm</t>
  </si>
  <si>
    <t>Down Low</t>
  </si>
  <si>
    <t>6mEa6eIKJZ99536PCnJymz</t>
  </si>
  <si>
    <t>0F52YLV7uWqaJfMMDgG737</t>
  </si>
  <si>
    <t>2017-11-29</t>
  </si>
  <si>
    <t>6tP7TFrzt6Ft7PsxtDnhjz</t>
  </si>
  <si>
    <t>17XU1PTSv4OfcBUE8rNYWm</t>
  </si>
  <si>
    <t>2Tg0aF5cbZktYFzgR1iAKv,5iNrZmtVMtYev5M9yoWpEq</t>
  </si>
  <si>
    <t>2020-01-03</t>
  </si>
  <si>
    <t>4PclDQ2lYPmIuhj4G3swK1</t>
  </si>
  <si>
    <t>Alone (feat. Anjulie &amp; Jeffrey Jey) [Club Mix]</t>
  </si>
  <si>
    <t>1rzc5izgXXn4KsSmibtNpT</t>
  </si>
  <si>
    <t>2zmrsXMHxagFz6vI2cD7r6</t>
  </si>
  <si>
    <t>2020-01-07</t>
  </si>
  <si>
    <t>1KecxvtDLrETyirYgk3Bxz</t>
  </si>
  <si>
    <t>33o00sXuyWiApOFzo0vr0z,3r54nyZ7wnsAdwmJhiOITJ</t>
  </si>
  <si>
    <t>5gTyK0ylsqQbhFugP7eYmz</t>
  </si>
  <si>
    <t>0vqJkZ0RpLZixt3lTmD8vP,2Tz1DTzVJ5Gyh8ZwVr6ekU</t>
  </si>
  <si>
    <t>1Ia95g66IhlAJ3qVI4qI8W</t>
  </si>
  <si>
    <t>0rsRJOlDJxfNPNTEALa2t3</t>
  </si>
  <si>
    <t>6nl32vTZsMv23myzbRSAea</t>
  </si>
  <si>
    <t>1t20wYnTiAT0Bs7H1hv9Wt</t>
  </si>
  <si>
    <t>50DKBnjijGJ2d0WV5nqNTS</t>
  </si>
  <si>
    <t>0Y0QSi6lz1bPik5Ffjr8sd,45eNHdiiabvmbp4erw26rg,79A4RmgwxYGIDkqQDUHLXK</t>
  </si>
  <si>
    <t>0F0QKi151dUQAmaNi4YbcI</t>
  </si>
  <si>
    <t>5Z8Qlj0jWh0OOmJ55EwSnu</t>
  </si>
  <si>
    <t>Chill Mixtape</t>
  </si>
  <si>
    <t>2ndJBB1FFMtKaCPpSbMadu</t>
  </si>
  <si>
    <t>4mAhA39Nr2uEIbQoC3yxOs,30Ddlk9YPm030og6lClMou</t>
  </si>
  <si>
    <t>716aGJinf8uFFS9I9Lv1T8</t>
  </si>
  <si>
    <t>0qz9rkkUxl0bw1eE2dJRlL,6de7jZIefPNqphliOpTifX,43BmOTbp0fKzSvC4YxykMl</t>
  </si>
  <si>
    <t>7n89X2A264Xe3ZhN9FFCtr</t>
  </si>
  <si>
    <t>55v13S1YDCGX3klIXn8UIN,1g5ha8ZcdO1o5Y7SWPUXJB</t>
  </si>
  <si>
    <t>2018-04-25</t>
  </si>
  <si>
    <t>1v55ccaHcT7AHASnDlc6y2</t>
  </si>
  <si>
    <t>7cLC6Ov0BQEWNbRekKlAaS,4D9a1UPPFCoOm1kBtJfni5</t>
  </si>
  <si>
    <t>4jbIMHPt2m6FeKjeYTheI1</t>
  </si>
  <si>
    <t>4T5B6T18yziN16acvy3XtT</t>
  </si>
  <si>
    <t>17vPwcD5EWhcYOOD7jnGwS</t>
  </si>
  <si>
    <t>521qvhdobR0GzhvU6TFw76,7eCmccnRwPmRnWPw61x6jM</t>
  </si>
  <si>
    <t>Painting With Dreams</t>
  </si>
  <si>
    <t>1PlsFZZAriYuxakoyZ6prs</t>
  </si>
  <si>
    <t>521qvhdobR0GzhvU6TFw76,4pWvD2wQ6paqieVN9bE8yv,6prmLEyn4LfHlD9NnXWlf7</t>
  </si>
  <si>
    <t>6QprbmHDb3yVNVTwlmaTkS</t>
  </si>
  <si>
    <t>521qvhdobR0GzhvU6TFw76,1Aed7wBQiH5LSDMmQWnGZw</t>
  </si>
  <si>
    <t>1o0yPhuQK98O8VI0Kw75o8</t>
  </si>
  <si>
    <t>521qvhdobR0GzhvU6TFw76</t>
  </si>
  <si>
    <t>0aAVBcORefVNADGxgqh8XM</t>
  </si>
  <si>
    <t>521qvhdobR0GzhvU6TFw76,6D5xkX8ecb4bGccXqtDI63</t>
  </si>
  <si>
    <t>5c0mqWaSBPlu69hdkl8Vt6</t>
  </si>
  <si>
    <t>42Wixprv3RQYct8e3nJO1S</t>
  </si>
  <si>
    <t>4S6FAV2YKF7MQY7AIMDQvW</t>
  </si>
  <si>
    <t>0wzqfiI4xdbLSgCZIZbGc3</t>
  </si>
  <si>
    <t>2018-09-03</t>
  </si>
  <si>
    <t>3FF61tLOAND0rzV83pe66x</t>
  </si>
  <si>
    <t>5HDqj7lexto9EPJ42uS2dM,2Sh4jX7pEUGGccmg4f7oKw</t>
  </si>
  <si>
    <t>6GwFxRbBLJL7WZ7XLWpaYK</t>
  </si>
  <si>
    <t>6FCDyfws4NWiy6eQbZR40O,0wzqfiI4xdbLSgCZIZbGc3,7kXDaUD3imvM6el5qK6tAu</t>
  </si>
  <si>
    <t>2018-01-21</t>
  </si>
  <si>
    <t>2GTeHnY5510TWfAdGyWKn1</t>
  </si>
  <si>
    <t>0wzqfiI4xdbLSgCZIZbGc3,1VkTgZKJ67KtGIMyxhbZaJ,7kXDaUD3imvM6el5qK6tAu</t>
  </si>
  <si>
    <t>2fmH0q4eWlxwjyMA552hVA</t>
  </si>
  <si>
    <t>0wzqfiI4xdbLSgCZIZbGc3,2FnjEL8SlmLe3YBFmPkV9N</t>
  </si>
  <si>
    <t>2019-03-26</t>
  </si>
  <si>
    <t>1MPuSQEcEA0csnwdPiheSE</t>
  </si>
  <si>
    <t>078oGDdaESzdsLvbLKDUJw</t>
  </si>
  <si>
    <t>2019-04-29</t>
  </si>
  <si>
    <t>6OL9ZA4JqJVUNK9myL8u0L</t>
  </si>
  <si>
    <t>1kTBGIBgFuqaxbdeXX3L6H,2IGP1u9rBvmznFv8AxxOTg,08ElGsmeFNoZTSV1YKxZx0</t>
  </si>
  <si>
    <t>23MC7MQX0eEbyyvHxx0xqc</t>
  </si>
  <si>
    <t>1feoGrmmD8QmNqtK2Gdwy8</t>
  </si>
  <si>
    <t>1qTcjsHfBvR5UyGSntcvJ4</t>
  </si>
  <si>
    <t>5FDIxEGRvg8QrMoNr9BoFl,1nMwu5ui0X2XYTRKGmCFJz</t>
  </si>
  <si>
    <t>1xHw3KMCFRZWsko3pcakSW</t>
  </si>
  <si>
    <t>2HiH7eMk9aokfnIEFzWiMq</t>
  </si>
  <si>
    <t>7o7mC95EDbJKTcPAAs8C3r,4xRYI6VqpkE3UwrDrAZL8L,6jsjhAEteAlY0vCiLvMLBA</t>
  </si>
  <si>
    <t>Brighter Future (Deluxe Version)</t>
  </si>
  <si>
    <t>7shSdXO7iF0H0KeIdI4D4Z</t>
  </si>
  <si>
    <t>25oLRSUjJk4YHNUsQXk7Ut,00dwwnz3V4kRfu3UFYpJLz</t>
  </si>
  <si>
    <t>Good Will Prevail</t>
  </si>
  <si>
    <t>6OTClxme7EYRZGO6An3SMc</t>
  </si>
  <si>
    <t>25oLRSUjJk4YHNUsQXk7Ut,3NJ94iuAmmMjbszODYT6pO</t>
  </si>
  <si>
    <t>Bangers[2].Zip</t>
  </si>
  <si>
    <t>2019-08-14</t>
  </si>
  <si>
    <t>1lycZ6BCUETp0NauGdZbsm</t>
  </si>
  <si>
    <t>5YuI7N0N78d9o1ew1Edcd5</t>
  </si>
  <si>
    <t>Volume II</t>
  </si>
  <si>
    <t>2015-03-10</t>
  </si>
  <si>
    <t>69urju2iS7zKGTxNVLYt5D</t>
  </si>
  <si>
    <t>7ipGvvE90ROUNFw7ZBXBTO</t>
  </si>
  <si>
    <t>5U6FLERTCtCgLUXU4XsIf5</t>
  </si>
  <si>
    <t>2aGn7X6ixuE9P3zaykgoWM</t>
  </si>
  <si>
    <t>5FVd6KXrgO9B3JPmC8OPst</t>
  </si>
  <si>
    <t>7Ln80lUS6He07XvHI8qqHH</t>
  </si>
  <si>
    <t>AM</t>
  </si>
  <si>
    <t>2013-09-09</t>
  </si>
  <si>
    <t>7L59vVTpoS94JU3KEeolqt</t>
  </si>
  <si>
    <t>1LOB7jTeEV14pHai6EXSzF,64M6ah0SkkRsnPGtGiRAbb</t>
  </si>
  <si>
    <t>4eZDxVUfm37N7ncCi0t94Y</t>
  </si>
  <si>
    <t>5fyDppLDl1juIu1BcUT5zh,1LOB7jTeEV14pHai6EXSzF,2gBjLmx6zQnFGQJCAQpRgw</t>
  </si>
  <si>
    <t>2016-06-03</t>
  </si>
  <si>
    <t>60wtM0UQpcxkYKfwgPPBXc</t>
  </si>
  <si>
    <t>0jNDKefhfSbLR9sFvcPLHo,1EAFXic0Cfiwpe7nSuTrGL</t>
  </si>
  <si>
    <t>Still Looking (Remixes)</t>
  </si>
  <si>
    <t>1oUb2nyyq0IWVj1nsuft0H</t>
  </si>
  <si>
    <t>1LOB7jTeEV14pHai6EXSzF,0haZhu4fFKt0Ag94kZDiz2</t>
  </si>
  <si>
    <t>7lSVYRuFJ3IzzST7x3S9q1</t>
  </si>
  <si>
    <t>0Sy1vCJGYaltumXuGAJElp,24CzPFC4y3bM4AkUnZfuAU</t>
  </si>
  <si>
    <t>2018-08-22</t>
  </si>
  <si>
    <t>3ysA50qUfYwK4B0trWWFxe</t>
  </si>
  <si>
    <t>7ddnIV2r4SLjuwyGlgLIWt,5Z8Qlj0jWh0OOmJ55EwSnu</t>
  </si>
  <si>
    <t>0rx151vVaaAAFNgrB53Ps0</t>
  </si>
  <si>
    <t>5Z8Qlj0jWh0OOmJ55EwSnu,7ddnIV2r4SLjuwyGlgLIWt</t>
  </si>
  <si>
    <t>2015-01-14</t>
  </si>
  <si>
    <t>14n3v8EHxNX0poD2MXgK6g</t>
  </si>
  <si>
    <t>2016-01-11</t>
  </si>
  <si>
    <t>1Y8jrddTuoAQ3QZzDTaoFC</t>
  </si>
  <si>
    <t>5SD1OzmtHi5YPAoIxqb297,5UA4NsiBgSQICPFMDKcPAe</t>
  </si>
  <si>
    <t>2017-03-02</t>
  </si>
  <si>
    <t>3cC3HBKiPJCtERk44K4anj</t>
  </si>
  <si>
    <t>21AUdblPrTRzkvJn8FGrlk,1HQGhla3VNj1dBmKTtVT2t</t>
  </si>
  <si>
    <t>5wWiCYZLUaMGXYYubEd36d</t>
  </si>
  <si>
    <t>3AVfmawzu83sp94QW7CEGm,6cEuCEZu7PAE9ZSzLLc2oQ</t>
  </si>
  <si>
    <t>Favorite Part Of Me (R3HAB Remix)</t>
  </si>
  <si>
    <t>7yle4EK9gfIin6lQsAjCL9</t>
  </si>
  <si>
    <t>5C1tex8vm00yFKTitiOnMU,4zjO8Jhi2pciJJzd8Q6rga,6mRK3kM9VcjgnwtUAE1vNx</t>
  </si>
  <si>
    <t>5MC1CffkIusnsRKo55KxO6</t>
  </si>
  <si>
    <t>4Td7DjmnDqvSDBHtuJomoF</t>
  </si>
  <si>
    <t>2xVyWv5f31wI37XeYbXjWJ</t>
  </si>
  <si>
    <t>2q3GG88dVwuQPF4FmySr9I,6ioOEWNNGK40H8xrGj6XPW</t>
  </si>
  <si>
    <t>Bulletproof</t>
  </si>
  <si>
    <t>0ky5V7K5T8fKtUSnmpWd1Q</t>
  </si>
  <si>
    <t>Rushing Back (Alternate Versions)</t>
  </si>
  <si>
    <t>02kc9ytzK6Pm9l85quPE9e</t>
  </si>
  <si>
    <t>67qogtRNI0GjUr8PlaG6Zh,3NJ94iuAmmMjbszODYT6pO</t>
  </si>
  <si>
    <t>2019-12-17</t>
  </si>
  <si>
    <t>0RlPND5DhRkCqRdhrlhQzH</t>
  </si>
  <si>
    <t>0t5H8FcoVPzn4sVeNxibMU</t>
  </si>
  <si>
    <t>2019-12-27</t>
  </si>
  <si>
    <t>1IOnybQrxVhKwh73I0oOu1</t>
  </si>
  <si>
    <t>5dGsIOepO9ufQlXjW8KrPL,76O2G3EjlVtMZWyGJC1UCO</t>
  </si>
  <si>
    <t>0jTWJLIyKrqxqTBCO0nkwh</t>
  </si>
  <si>
    <t>5btwhOxrid8w7heRfBEnJ1</t>
  </si>
  <si>
    <t>5brMyscUnQg14hMriS91ks</t>
  </si>
  <si>
    <t>69GGBxA162lTqCwzJG5jLp,1QM03lnjHcx2l52sWaW5V5</t>
  </si>
  <si>
    <t>1EWsVHU4FNAdtN4R8FETag</t>
  </si>
  <si>
    <t>1gALaWbNDnwS2ECV09sn2A,1yqxFtPHKcGcv6SXZNdyT9</t>
  </si>
  <si>
    <t>Push The Feeling On</t>
  </si>
  <si>
    <t>1995</t>
  </si>
  <si>
    <t>0AOEd0Zw22aTE8LzsS4EMg</t>
  </si>
  <si>
    <t>4D75GcNG95ebPtNvoNVXhz,1Cs0zKBU1kc0i8ypK3B9ai,0v2Y5jwtcv8LiWNTRls1KM</t>
  </si>
  <si>
    <t>4NBTZtAt1F13VvlSKe6KTl</t>
  </si>
  <si>
    <t>69GGBxA162lTqCwzJG5jLp,3RqBeV12Tt7A8xH3zBDDUF</t>
  </si>
  <si>
    <t>5CYJB5Md92kvcrZ4lJDALY</t>
  </si>
  <si>
    <t>4D75GcNG95ebPtNvoNVXhz,266duGfkKTRERSBoGDOgDy</t>
  </si>
  <si>
    <t>Forget The World (Deluxe)</t>
  </si>
  <si>
    <t>5X2ippHAj4GHuWfqQriqvF</t>
  </si>
  <si>
    <t>7r2uG6BlFXKcwmh9ItqlII</t>
  </si>
  <si>
    <t>We Could Be Beautiful</t>
  </si>
  <si>
    <t>33TD1Fl26qJUkGmbbPcWQl</t>
  </si>
  <si>
    <t>7dc6hUwyuIhrZdh80eaCEE</t>
  </si>
  <si>
    <t>Something Real</t>
  </si>
  <si>
    <t>53rQM3LpXLf2hyClva3jiz</t>
  </si>
  <si>
    <t>30ut8L4gmEz4vNr1zNhpbh,7dc6hUwyuIhrZdh80eaCEE</t>
  </si>
  <si>
    <t>Let Me Think About It (Remixes)</t>
  </si>
  <si>
    <t>2007</t>
  </si>
  <si>
    <t>0RTzJVkunbGwuRjXDFHnjf</t>
  </si>
  <si>
    <t>2XnBwblw31dfGnspMIwgWz</t>
  </si>
  <si>
    <t>5jyUBKpmaH670zrXrE0wmO</t>
  </si>
  <si>
    <t>6hyMWrxGBsOx6sWcVj1DqP,1tBU8jUEdVR3mqSsAqEGfD,2auikkNYqigWStoHWK1Grq</t>
  </si>
  <si>
    <t>Reload (Vocal Version / Radio Edit)</t>
  </si>
  <si>
    <t>2ldAdghnrO34HPcZ0IWfTu</t>
  </si>
  <si>
    <t>4D75GcNG95ebPtNvoNVXhz,7r2uG6BlFXKcwmh9ItqlII</t>
  </si>
  <si>
    <t>3wLPRjw2XQpmowqXUXb3UF</t>
  </si>
  <si>
    <t>1pbHrVayIcVpHI9z97u4bK,698hF4vcwHwPy8ltmXermq</t>
  </si>
  <si>
    <t>Get Up (Rattle) [feat. Far East Movement]</t>
  </si>
  <si>
    <t>2012-12-08</t>
  </si>
  <si>
    <t>043bfUkTydw0xJ5JjOT91w</t>
  </si>
  <si>
    <t>1h6Cn3P4NGzXbaXidqURXs,2auikkNYqigWStoHWK1Grq</t>
  </si>
  <si>
    <t>3AayefDdUFxivRs79bX7kV</t>
  </si>
  <si>
    <t>1M85o2ruB9uTj68dIXj6dJ</t>
  </si>
  <si>
    <t>6RQ9kYbHisp1UUbnfwHNeU,3CiuuHKIxxJPoNRvF94GtR</t>
  </si>
  <si>
    <t>08ypS6EF8F13l8EUa5I2J4</t>
  </si>
  <si>
    <t>6RQ9kYbHisp1UUbnfwHNeU,3OAmPUVxyAIpRfmo4xiS5A</t>
  </si>
  <si>
    <t>2012-10-13</t>
  </si>
  <si>
    <t>5WHTFyqSii0lmT9R21abT8</t>
  </si>
  <si>
    <t>Ivy To Roses (Mixtape)</t>
  </si>
  <si>
    <t>2019-01-18</t>
  </si>
  <si>
    <t>5xs4Qo54MrbvodznHUWO6o</t>
  </si>
  <si>
    <t>0ZRBa9pTfhhCsJW95F1ugg</t>
  </si>
  <si>
    <t>3fLYEqfVmeMdAfVQUMvoNa</t>
  </si>
  <si>
    <t>7aUSp5cOZlwEtd5zPC795k,23ostNBoB9z6GMXLtHdg7y</t>
  </si>
  <si>
    <t>With You (Prismo Remix)</t>
  </si>
  <si>
    <t>2019-12-02</t>
  </si>
  <si>
    <t>5RaHbXCyGjtyBii7xJUZmP</t>
  </si>
  <si>
    <t>38fu1DhmEN33ALaBa7jGhI,4F18x5o9JJ3TbuXfyry04n</t>
  </si>
  <si>
    <t>You Drive Me Crazy, Don't Leave</t>
  </si>
  <si>
    <t>1UBOzykJgq5r7bsxFx04Ys</t>
  </si>
  <si>
    <t>3htNAy3vYWWYV8RZFeyRMT,4bGN5XDSLCLYd01uQqR3JA</t>
  </si>
  <si>
    <t>Wildfire (Remixes)</t>
  </si>
  <si>
    <t>3mehbiGKy2x5Lz1nRmZ4Vj</t>
  </si>
  <si>
    <t>5fMUXHkw8R8eOP2RNVYEZX,0bdfiayQAKewqEvaU6rXCv</t>
  </si>
  <si>
    <t>2017-11-15</t>
  </si>
  <si>
    <t>4qqArAiTPueDxIp7cf87h7</t>
  </si>
  <si>
    <t>4mVDVfxY3ODiBZiFj77qZ1</t>
  </si>
  <si>
    <t>6HUm6AHJE0oisACMN6NNJ5,6n28c9qs9hNGriNa72b26u</t>
  </si>
  <si>
    <t>Changes</t>
  </si>
  <si>
    <t>6i0V12jOa3mr6uu4WYhUBr</t>
  </si>
  <si>
    <t>2016-06-16</t>
  </si>
  <si>
    <t>2Z8WuEywRWYTKe1NybPQEW</t>
  </si>
  <si>
    <t>2YpeDb67231RjR0MgVLzsG</t>
  </si>
  <si>
    <t>7jVv8c5Fj3E9VhNjxT4snq,60rpJ9SgigSd16DOAG7GSa</t>
  </si>
  <si>
    <t>7 EP</t>
  </si>
  <si>
    <t>48QmG1dfvMuYLxMPt7KSRA</t>
  </si>
  <si>
    <t>3Isy6kedDrgPYoTS1dazA9,6M2wZ9GZgrQXHCFfjv46we</t>
  </si>
  <si>
    <t>Mad Love The Prequel</t>
  </si>
  <si>
    <t>2tpWsVSb9UEmDRxAl1zhX1</t>
  </si>
  <si>
    <t>6ybbUvqDOVbhmTNa7pqpPe</t>
  </si>
  <si>
    <t>698hF4vcwHwPy8ltmXermq,64KEffDW9EtZ1y2vBYgq8T,6jV25rzTKQ2zMgrqHha1V5,0NIIxcxNHmOoyBx03SfTCD</t>
  </si>
  <si>
    <t>6dpKQiQzZE2r9rZVWeLGom</t>
  </si>
  <si>
    <t>698hF4vcwHwPy8ltmXermq,1uNFoZAHBGtllmzznpCI3s</t>
  </si>
  <si>
    <t>Dirty Bass (Deluxe)</t>
  </si>
  <si>
    <t>4HQ9gXAtONKs8NCM0MFUTu</t>
  </si>
  <si>
    <t>698hF4vcwHwPy8ltmXermq,4jbcqKzc4Wuy6MivHhzPrP</t>
  </si>
  <si>
    <t>Dirty Bass (Spotify International Version)</t>
  </si>
  <si>
    <t>5AyL2kgLtTWEu3qO3B9SqK</t>
  </si>
  <si>
    <t>698hF4vcwHwPy8ltmXermq,7C64wNX3howEFZjAYRKsfP,7Ip2u3e5Nv6fFb5xyIHxEE</t>
  </si>
  <si>
    <t>Free Wired</t>
  </si>
  <si>
    <t>3B54sVLJ402zGa6Xm4YGNe</t>
  </si>
  <si>
    <t>6vXTefBL93Dj5IqAWq6OTv,1zNqQNIdeOUZHb8zbZRFMX</t>
  </si>
  <si>
    <t>Jungle Rules</t>
  </si>
  <si>
    <t>2mCF8L0brIs88eH6Kf2h9p</t>
  </si>
  <si>
    <t>1HBjj22wzbscIZ9sEb5dyf,2zzpznMuhKlKlqh1ma7Sms</t>
  </si>
  <si>
    <t>3JvrhDOgAt6p7K8mDyZwRd</t>
  </si>
  <si>
    <t>10exVja0key0uqUkk6LJRT</t>
  </si>
  <si>
    <t>Dream Your Life Away (Special Edition)</t>
  </si>
  <si>
    <t>2014-09-09</t>
  </si>
  <si>
    <t>6lV2MSQmRIkycDScNtrBXO</t>
  </si>
  <si>
    <t>5ndkK3dpZLKtBklKjxNQwT,6Rx1JKzBrSzoKQtmbVmBnM</t>
  </si>
  <si>
    <t>B.o.B Presents: The Adventures of Bobby Ray</t>
  </si>
  <si>
    <t>2010-04-27</t>
  </si>
  <si>
    <t>5knuzwU65gJK7IF5yJsuaW</t>
  </si>
  <si>
    <t>6MDME20pz9RveH9rEXvrOM,3Isy6kedDrgPYoTS1dazA9,1zNqDE7qDGCsyzJwohVaoX</t>
  </si>
  <si>
    <t>0e7ipj03S05BNilyu5bRzt</t>
  </si>
  <si>
    <t>246dkjvS1zLTtiykXe5h60,1URnnhqYAYcrqrcwql10ft</t>
  </si>
  <si>
    <t>4XtjTuZHA6F9NIblpvpXOf</t>
  </si>
  <si>
    <t>1hzfo8twXdOegF3xireCYs</t>
  </si>
  <si>
    <t>Sadnecessary</t>
  </si>
  <si>
    <t>2013-05-31</t>
  </si>
  <si>
    <t>2jiPHbFX5XM8TjaTfYJ0eo</t>
  </si>
  <si>
    <t>2QrXzOqLCVDRZHkToA0tSR</t>
  </si>
  <si>
    <t>3EOEK57CV77D4ovYVcmiyt</t>
  </si>
  <si>
    <t>63SevszngYpZOwf63o61K4</t>
  </si>
  <si>
    <t>7w0FV6ViNDZFy9Mu90sQzl</t>
  </si>
  <si>
    <t>63MQldklfxkjYDoUE4Tppz</t>
  </si>
  <si>
    <t>Hurry up, We're Dreaming</t>
  </si>
  <si>
    <t>2011-10-17</t>
  </si>
  <si>
    <t>1s9i7W8zx7Nxx78MUIsvjV</t>
  </si>
  <si>
    <t>01Q3OyB05mLgH01fpdAMPP</t>
  </si>
  <si>
    <t>6GyFP1nfCDB8lbD2bG0Hq9</t>
  </si>
  <si>
    <t>6h5PAsRni4IRlxWr6uDPTP</t>
  </si>
  <si>
    <t>0hNduWmlWmEmuwEFcYvRu1</t>
  </si>
  <si>
    <t>6gK1Uct5FEdaUWRWpU4Cl2</t>
  </si>
  <si>
    <t>285pBltuF7vW8TeWk8hdRR</t>
  </si>
  <si>
    <t>4MCBfE4596Uoi2O4DtmEMz</t>
  </si>
  <si>
    <t>Goodbye &amp; Good Riddance</t>
  </si>
  <si>
    <t>2018-12-10</t>
  </si>
  <si>
    <t>1plzDKavZ6EkVk91RPYd1L</t>
  </si>
  <si>
    <t>1IueXOQyABrMOprrzwQJWN,34v5MVKeQnIo0CWYMbbrPf,3yDIp0kaq9EFKe07X1X2rz</t>
  </si>
  <si>
    <t>Brighter Days</t>
  </si>
  <si>
    <t>5TbzAWWc5eJaANpA9kfGCd</t>
  </si>
  <si>
    <t>34v5MVKeQnIo0CWYMbbrPf</t>
  </si>
  <si>
    <t>Tribute</t>
  </si>
  <si>
    <t>4Ljs6Dvpz7Arf9Ac8RN7tn</t>
  </si>
  <si>
    <t>4IJczjB0fJ04gs4uvP0Fli,4bYPcJP5jwMhSivRcqie2n</t>
  </si>
  <si>
    <t>The Papercut Chronicles II (Deluxe Edition)</t>
  </si>
  <si>
    <t>2011-11-15</t>
  </si>
  <si>
    <t>6H5bn1IbE8JAuhlYyqvBfw</t>
  </si>
  <si>
    <t>02A3cEvlLLCbIMVDrK2GHV,33JQK4UoS2aMPYBfdB5Ftt</t>
  </si>
  <si>
    <t>Call On Me (Remixes)</t>
  </si>
  <si>
    <t>5lCxlSBFyP5g4EhVypAoOu</t>
  </si>
  <si>
    <t>3NH8t45zOTqzlZgBvZRjvB</t>
  </si>
  <si>
    <t>Deux frères</t>
  </si>
  <si>
    <t>1wjzFQodRWrPcQ0AnYnvQ9</t>
  </si>
  <si>
    <t>0TK2YIli7K1leLovkQiNik</t>
  </si>
  <si>
    <t>7n2wHs1TKAczGzO7Dd2rGr,4nDoRrQiYLoBzwC5BhVJzF</t>
  </si>
  <si>
    <t>4WrS6vezaPwOafKJmHqMEU</t>
  </si>
  <si>
    <t>4Q6nIcaBED8qUel8bBx6Cr,5KKpBU5eC2tJDzf0wmlRp2</t>
  </si>
  <si>
    <t>6ATgDc6e4sPn84hvJsAmPt</t>
  </si>
  <si>
    <t>1QRj3hoop9Mv5VvHQkwPEp</t>
  </si>
  <si>
    <t>0y1QJc3SJVPKJ1OvFmFqe6</t>
  </si>
  <si>
    <t>7jdFEYD2LTYjfwxOdlVjmc</t>
  </si>
  <si>
    <t>A/B</t>
  </si>
  <si>
    <t>2LDCP8QWhIB42gRvSVgRxO</t>
  </si>
  <si>
    <t>Libyus Music Sound History 2004-2010</t>
  </si>
  <si>
    <t>2010-10-20</t>
  </si>
  <si>
    <t>2agR1L9wmjvX1QK9z1yhoj</t>
  </si>
  <si>
    <t>7xfdx6PiB50V9VWI4Mq70R,4opc54GrmiQpxDA7asQIlO</t>
  </si>
  <si>
    <t>5T0Gfy6PZ7xtXRP2cZT4fW</t>
  </si>
  <si>
    <t>7xfdx6PiB50V9VWI4Mq70R,05jcn5u3ZDqfA1QfdKx2Y8</t>
  </si>
  <si>
    <t>Lunar Lane</t>
  </si>
  <si>
    <t>7rIhImBFWVz54V4LPJP0qq</t>
  </si>
  <si>
    <t>7xfdx6PiB50V9VWI4Mq70R,4qfO1uiJryvY1IFS5PYy85</t>
  </si>
  <si>
    <t>6QaYlFhs7IAHP14v3UWHWv</t>
  </si>
  <si>
    <t>7xfdx6PiB50V9VWI4Mq70R,39HLbTdg48gwqAIa1CA266</t>
  </si>
  <si>
    <t>7KxeIz6PuXN3mzfYctPklI</t>
  </si>
  <si>
    <t>0Cd6nHYwecCNM1sVEXKlYr,3o8BMojuQONFOJ0cJ0qOEc</t>
  </si>
  <si>
    <t>0JBiVOn3I5fRRPrwr4pFBf</t>
  </si>
  <si>
    <t>4YaNLEPw3MrIgkGOkBrAh2</t>
  </si>
  <si>
    <t>21mKp7DqtSNHhCAU2ugvUw,3qnGvpP8Yth1AqSBMqON5x</t>
  </si>
  <si>
    <t>1nzLNeyk835Q9h1zPS4gr9</t>
  </si>
  <si>
    <t>21mKp7DqtSNHhCAU2ugvUw,3qnGvpP8Yth1AqSBMqON5x,5oOhM2DFWab8XhSdQiITry</t>
  </si>
  <si>
    <t>Across The Room Remixes</t>
  </si>
  <si>
    <t>2018-06-20</t>
  </si>
  <si>
    <t>2ndx6B9KuQOYgyxPtc4ElU</t>
  </si>
  <si>
    <t>6qLB9SoM25z2JDFBcgvJ8G,2O3zQn26eEqxyxhIbFtuJ7</t>
  </si>
  <si>
    <t>5sAcIjfZmNEgbseZ1Bpmom</t>
  </si>
  <si>
    <t>2xW3pBjCngD69hC1wIUgjA</t>
  </si>
  <si>
    <t>1yAPglN5AGf7UoLK062ZYq</t>
  </si>
  <si>
    <t>1IueXOQyABrMOprrzwQJWN,4EPJlUEBy49EX1wuFOvtjK</t>
  </si>
  <si>
    <t>2019-05-24</t>
  </si>
  <si>
    <t>2gBQ35qqBE75t00kV221Xy</t>
  </si>
  <si>
    <t>0Cd6nHYwecCNM1sVEXKlYr,47z7ZrgFoBvVpCnElCE3Zh,6CqjoQyGZlnhnq5gAUz92c</t>
  </si>
  <si>
    <t>2017-09-18</t>
  </si>
  <si>
    <t>5v98VA4TXznJNrw0XRphIb</t>
  </si>
  <si>
    <t>I'm Not Alone 2019</t>
  </si>
  <si>
    <t>6gpcs5eMhJwax4mIfKDYQk</t>
  </si>
  <si>
    <t>7CajNmpbOovFoOoasH2HaY,2h93pZq0e7k5yf4dywlkpM,6oMuImdp5ZcFhWP0ESe6mG</t>
  </si>
  <si>
    <t>1BwvZLi9sxPz5TsvjAm2h7</t>
  </si>
  <si>
    <t>4IeW6F11KCYzci40UXdJm8,1YWIbcvuqzWzPyxyrVTMJv</t>
  </si>
  <si>
    <t>25DHR3vMzKxc4pkdfNx1b9</t>
  </si>
  <si>
    <t>0huS9X7xntcw5S2YEzwHM5</t>
  </si>
  <si>
    <t>3XFcu2NnGWceLNdxRCfYH3,66VgJGpaRMwrNaS2MPqIDf</t>
  </si>
  <si>
    <t>06BIpAIF23apHc54eHKtK5</t>
  </si>
  <si>
    <t>1sfsQIJaA8ugy1SxvjZv0L</t>
  </si>
  <si>
    <t>2o3U0ld93tHYowkoari4Vi,76P0cEUuRE0kEMxY7KCdgM</t>
  </si>
  <si>
    <t>太鼓</t>
  </si>
  <si>
    <t>3hqZlvctAZ9D3kC4FVh73O</t>
  </si>
  <si>
    <t>Heartbeat Song (The Remixes)</t>
  </si>
  <si>
    <t>5xFZiW98mwT5S3mh8O9BUt</t>
  </si>
  <si>
    <t>United We Dance (New Mixes)</t>
  </si>
  <si>
    <t>2015-03-13</t>
  </si>
  <si>
    <t>05WA2W5m8omNt4EZ51MZf3</t>
  </si>
  <si>
    <t>6pwhTFf3rMUZTTzHKDDf2S</t>
  </si>
  <si>
    <t>5sFYjo89wncf6tiGOIpfRP</t>
  </si>
  <si>
    <t>41iVQ05he8SrfIWbZQ58N7,4Nc3svccPWQ7nSBSu39rBI</t>
  </si>
  <si>
    <t>5TgS4dcUAU8EEb506d8wAT</t>
  </si>
  <si>
    <t>1eMmoIprPDWeFdB1FxU6ZV,7vk5e3vY1uw9plTHJAMwjN,4rojTfP5nRkmYpdSbWQgV4</t>
  </si>
  <si>
    <t>57yeWyaoeTt26p0dlEZukQ</t>
  </si>
  <si>
    <t>1moxjboGR7GNWYIMWsRjgG,7CajNmpbOovFoOoasH2HaY</t>
  </si>
  <si>
    <t>Ceremonials</t>
  </si>
  <si>
    <t>3wlMGEkfLz9I893m3kN828</t>
  </si>
  <si>
    <t>2KdYwQDq2yZnDyHjmoGCZj</t>
  </si>
  <si>
    <t>0XvMJ5rrKUsZ6koJWKxziO</t>
  </si>
  <si>
    <t>2aOoD3zsuYforFcDvUpZoH,6M25WWmNO7wK1DnKmd3z6R,3SArT8JtWehqNmycXIZren,7ymczLNmjz6AVMGApVNWbB</t>
  </si>
  <si>
    <t>Fallout (The Remixes)</t>
  </si>
  <si>
    <t>1JQaHrN8PMo7n87IXeoifv</t>
  </si>
  <si>
    <t>1AlMOfS6T5s24LsrLZ2Eji,2PgOtERwe37cW1U9z7zAHb</t>
  </si>
  <si>
    <t>2018-06-18</t>
  </si>
  <si>
    <t>3LYXjnYXAgDmhawWjl5spw</t>
  </si>
  <si>
    <t>1BAdSa5cdtCNLbvT7gWmtJ,0YVFdCm1S3ikQU0yl110lu,7BZmPyQJSf1ais5n7Icau2</t>
  </si>
  <si>
    <t>0FIWE6OTbU91O9CP59n7pa</t>
  </si>
  <si>
    <t>2017-11-10</t>
  </si>
  <si>
    <t>4eWhcsP4IyBmiX9ej8bqd4</t>
  </si>
  <si>
    <t>7d5SfGXKpgS3JK8BFIq59h</t>
  </si>
  <si>
    <t>6elY964lG92Gt4rEk8B6RE</t>
  </si>
  <si>
    <t>1sHY03eWQKxYoiL4nfVVbC</t>
  </si>
  <si>
    <t>3IHGxzPb2UPd2GuPrePrXK</t>
  </si>
  <si>
    <t>7nJNuftnqwrFGFs3ZRRe0u,1JhiIIXT9DWqEU3BYFZwGA</t>
  </si>
  <si>
    <t>2018-04-02</t>
  </si>
  <si>
    <t>0heE5tAAaDQmnGhVDImPl2</t>
  </si>
  <si>
    <t>0h3YCmvRJ2jqt4jFiR6nGL</t>
  </si>
  <si>
    <t>0J18omRIGPF3uxkvRiWcK9</t>
  </si>
  <si>
    <t>Feel The Fire (Breath Vocal Mix)</t>
  </si>
  <si>
    <t>60gMtMDwGKizTqP67XBCIz</t>
  </si>
  <si>
    <t>4IeW6F11KCYzci40UXdJm8</t>
  </si>
  <si>
    <t>6inzGTxyGsXVjpVKtFGrcE</t>
  </si>
  <si>
    <t>3OKg7YbOIatODzkRIbLJR4</t>
  </si>
  <si>
    <t>4gj2pTX2pc7TpruOH5z8vP</t>
  </si>
  <si>
    <t>2BlM00LsKY0pFKEChrQa9Y</t>
  </si>
  <si>
    <t>3VagOECp3iqgt0m3Vosour</t>
  </si>
  <si>
    <t>3hyEbRtp617pNCuuQjyOmc,6i8Tae6takoQos2JZ4vdRn</t>
  </si>
  <si>
    <t>The Bad EP</t>
  </si>
  <si>
    <t>4GcqyjtyhUetpGJAOGI9Td</t>
  </si>
  <si>
    <t>0NGAZxHanS9e0iNHpR8f2W,5veVxxPm1vzgi6pO2iVA8L,7qPLO2XOUaRrRxkvLZ3AEK</t>
  </si>
  <si>
    <t>1Gq66jNOLmAyUVqFfsAEmH</t>
  </si>
  <si>
    <t>2017-07-13</t>
  </si>
  <si>
    <t>3Gj7XTHeMGahDBVuT9pbhh</t>
  </si>
  <si>
    <t>4Mup4RsJSC8M36adeRrhgB,4VqBNQRr0nDN0trNUOn0co,4XU5f8nGiPMr6eetud6epC,3gxGPuGK6DOpv7XVp8V6jG,6kx1NiHogZzkSU7lHMc3Ow</t>
  </si>
  <si>
    <t>Monstercat - 5 Year Anniversary</t>
  </si>
  <si>
    <t>1b7E37BQouTJc7nf1HbIar</t>
  </si>
  <si>
    <t>6d3xdZzjCRlMAG6AMDhRMY</t>
  </si>
  <si>
    <t>4AT7XlLBevgZIiKvZQ83ye,387hJXW4huDk6W6x2MRjVM</t>
  </si>
  <si>
    <t>6zAiRKvAMlXHxEtyO4yxIO</t>
  </si>
  <si>
    <t>47mIJdHORyRerp4os813jD,2org0PubBAxTvjVvLo9PJ0,2zmjYl582zO64LcLQtOEuv</t>
  </si>
  <si>
    <t>2019-10-08</t>
  </si>
  <si>
    <t>4pAl7FkDMNBsjykPXo91B3</t>
  </si>
  <si>
    <t>7EQZm6Q6PhOjJRRB0GLt10</t>
  </si>
  <si>
    <t>1I5eQkzyM8jCVZIM3k2bKL</t>
  </si>
  <si>
    <t>3TPFIrjJ8fgvGGHMjuy2HP</t>
  </si>
  <si>
    <t>1HxJeLhIuegM3KgvPn8sTa,5he5w2lnU9x7JFhnwcekXX,5fMUXHkw8R8eOP2RNVYEZX,1uNFoZAHBGtllmzznpCI3s,1I5eQkzyM8jCVZIM3k2bKL</t>
  </si>
  <si>
    <t>Where Are Ü Now (with Justin Bieber) [Remixes]</t>
  </si>
  <si>
    <t>2015-06-16</t>
  </si>
  <si>
    <t>1xk9SAyeOxzJ0o2f8QqNM9</t>
  </si>
  <si>
    <t>2015-09-23</t>
  </si>
  <si>
    <t>66BjcDhhwWCcQIBxHMpKXh</t>
  </si>
  <si>
    <t>1Cs0zKBU1kc0i8ypK3B9ai,5WUlDfRSoLAfcVSX1WnrxN</t>
  </si>
  <si>
    <t>7</t>
  </si>
  <si>
    <t>25R5Tdr4K7ENb6umHzdCXn</t>
  </si>
  <si>
    <t>7xHWNBFm6ObGEQPaUxHuKO</t>
  </si>
  <si>
    <t>5WUlDfRSoLAfcVSX1WnrxN,2YZyLoL8N0Wb9xBt1NhZWg</t>
  </si>
  <si>
    <t>27SdWb2rFzO6GWiYDBTD9j</t>
  </si>
  <si>
    <t>This Is Acting</t>
  </si>
  <si>
    <t>4VrWlk8IQxevMvERoX08iC</t>
  </si>
  <si>
    <t>1000 Forms Of Fear</t>
  </si>
  <si>
    <t>2014-07-04</t>
  </si>
  <si>
    <t>1MaiWqtKtzRiTswMfxTdx4</t>
  </si>
  <si>
    <t>2FF8wcGpikv5RFbAK1rvdZ,7kXDaUD3imvM6el5qK6tAu</t>
  </si>
  <si>
    <t>2018-02-24</t>
  </si>
  <si>
    <t>4DHRbvvQyC3mBa3Y0JNl4n</t>
  </si>
  <si>
    <t>2FF8wcGpikv5RFbAK1rvdZ,24CzPFC4y3bM4AkUnZfuAU</t>
  </si>
  <si>
    <t>0Fb5hNx1DgShtWXRAXvMye</t>
  </si>
  <si>
    <t>5dGsIOepO9ufQlXjW8KrPL</t>
  </si>
  <si>
    <t>Poseidon</t>
  </si>
  <si>
    <t>2018-11-27</t>
  </si>
  <si>
    <t>0KcH8Tu9OnynFVKj8k4sj9</t>
  </si>
  <si>
    <t>5Km9FGFMEKaT4HJvIhmZ7q</t>
  </si>
  <si>
    <t>3DBg7OMkUB6cZuSnoKhVeU</t>
  </si>
  <si>
    <t>6SfPAcR67ssVyMQWoizN7Q,0xD6n0wj7aqV5g5LcRNBUd</t>
  </si>
  <si>
    <t>2018-10-01</t>
  </si>
  <si>
    <t>4ZWwJZItMQKXLr7xvS6cYt</t>
  </si>
  <si>
    <t>Onward</t>
  </si>
  <si>
    <t>4DB6E1BrVWV9yplxK3n4Q1</t>
  </si>
  <si>
    <t>1oxu65sgCUG0L7ImWmgiko</t>
  </si>
  <si>
    <t>2017-12-14</t>
  </si>
  <si>
    <t>6zfu6kg5TkFfkMCGQc67D1</t>
  </si>
  <si>
    <t>4wWe3qI7pyxkNVVA3XTYoN</t>
  </si>
  <si>
    <t>1kgxTtyF91VaqLD3J6Krd5,5wMfct6VVvaVQ8xGCXxIUa</t>
  </si>
  <si>
    <t>7ckofk3m63RHNs9wiIl5LT</t>
  </si>
  <si>
    <t>0hprEC0nsWuQPSHag1O2Vi,6mLXfZ1OfXde8Iy9BfKoHE,1sKIizVYeHkGy7Tjmn9QRj</t>
  </si>
  <si>
    <t>2017-01-30</t>
  </si>
  <si>
    <t>2PI0Nlt5YFC1Zs8wt3epX3</t>
  </si>
  <si>
    <t>2019-10-02</t>
  </si>
  <si>
    <t>3AVtFBa9wwdEBWbq4gjkFD</t>
  </si>
  <si>
    <t>06bun5reMRmLxFCbcB6UHW</t>
  </si>
  <si>
    <t>79SU8rsUC53dfmr6uwd5Xf</t>
  </si>
  <si>
    <t>7550GgwXdU6smKQ2PUYi9N,7cCLNZiVT563pnVcbrrFSs</t>
  </si>
  <si>
    <t>481C6LOBcaJaeKqLCWEnNn</t>
  </si>
  <si>
    <t>7nw7Hh1qSVsic7HdEw6kZl</t>
  </si>
  <si>
    <t>1RX7o9psT151nul0lEQaGX</t>
  </si>
  <si>
    <t>0I7HgbIetYEIweWq7nD6En,4TSqSBlGY1wV5qhnX6vVwB</t>
  </si>
  <si>
    <t>2019-03-18</t>
  </si>
  <si>
    <t>6yGjat0n8NitWLgvVXpJ8U</t>
  </si>
  <si>
    <t>3xe31P4oQOu6hxdyOf9NZE,2ExDk1djJP2JPD2Tq7ge0Z</t>
  </si>
  <si>
    <t>1KPzsHzC4f8SEwldfHDGsf</t>
  </si>
  <si>
    <t>7etLZ7TIK2RgDuArlZfCRk</t>
  </si>
  <si>
    <t>0s3Rr4PrmkYTydUHvZUCWf</t>
  </si>
  <si>
    <t>3XBo8ht5hHyuxq97GiHyhy</t>
  </si>
  <si>
    <t>2019-05-29</t>
  </si>
  <si>
    <t>6tWYy1rpi6MpQyeVuVngEW</t>
  </si>
  <si>
    <t>2FF8wcGpikv5RFbAK1rvdZ,3I6LbsaSbcArZLIslilSYu</t>
  </si>
  <si>
    <t>4o3PKiqpuBC7zu9hFkcBwv</t>
  </si>
  <si>
    <t>4E5mpebaFKbA4HkSXCfZma,49X1BHaXBIqVjMkkV2w1qI</t>
  </si>
  <si>
    <t>2019-05-04</t>
  </si>
  <si>
    <t>1cPwTQwNkN2BJaM17vUsar</t>
  </si>
  <si>
    <t>4LKB1IkCINDDjEX8iS7glI,6n6eA9x4MjOENHu6NgumKu</t>
  </si>
  <si>
    <t>Starry Eyes (Remixes)</t>
  </si>
  <si>
    <t>2019-04-19</t>
  </si>
  <si>
    <t>3Qc88IgLW3TrzCnt8sjagL</t>
  </si>
  <si>
    <t>0sSB3cIRBuBGa1UXLsQtaw,1KMdIxzX1BddGfY2H8aGvn,2FF8wcGpikv5RFbAK1rvdZ</t>
  </si>
  <si>
    <t>Steal Your Heart (Remixes)</t>
  </si>
  <si>
    <t>6VNmnNT0F0MAzKtzdy7bkk</t>
  </si>
  <si>
    <t>3ORI1Alr3ylZYYtYtD0anN</t>
  </si>
  <si>
    <t>5yw7IFnLlfypeETuv3snhK</t>
  </si>
  <si>
    <t>0hprEC0nsWuQPSHag1O2Vi,6mLXfZ1OfXde8Iy9BfKoHE,1sKIizVYeHkGy7Tjmn9QRj,6cHi0QWaBxWN71YpvTR4Jr</t>
  </si>
  <si>
    <t>Saving Light (The Remixes)</t>
  </si>
  <si>
    <t>5TukghxJI7zF3mqB30cOCL</t>
  </si>
  <si>
    <t>1NTljmDof9yJq0kaRsAucp,4fzjmgxycHTet6Yyb8OXhL,4i8u1FZVapjZBcCyyrAnU3</t>
  </si>
  <si>
    <t>0vAXgfcS2hMaml2hAS1lgm</t>
  </si>
  <si>
    <t>2y8eOaQNjiIuITkz6zGfgL,0l6LU5NRvLTVeRDJZznwLX</t>
  </si>
  <si>
    <t>2019-05-28</t>
  </si>
  <si>
    <t>1T7PlKyjavoSyjGKQqe3RM</t>
  </si>
  <si>
    <t>4QRaVEU8Vcif0j0YyHlSPc,03fWMFv4epXaib7b7PDP78</t>
  </si>
  <si>
    <t>2tUIkjjxRNorpqSSfdRp02</t>
  </si>
  <si>
    <t>7sSkoIWGzQXQC3Pvex07KM</t>
  </si>
  <si>
    <t>2019-05-09</t>
  </si>
  <si>
    <t>19420zzjfPSzZMI88K6zKK</t>
  </si>
  <si>
    <t>2018-10-15</t>
  </si>
  <si>
    <t>5gfwuYGmRFCuHDK9AsAUDX</t>
  </si>
  <si>
    <t>4w5LgUT6bfJnNq6wSFbND7</t>
  </si>
  <si>
    <t>2018-08-28</t>
  </si>
  <si>
    <t>3ydQm9YPQIbmU3nA0FYdjB</t>
  </si>
  <si>
    <t>1l2ekx5skC4gJH8djERwh1,4u5smJBskI6Adzv08PuiUP</t>
  </si>
  <si>
    <t>0jbmv7lYURhN6J5oRPXSih</t>
  </si>
  <si>
    <t>5fIG4Lh8Jftrasyqn5v6L1</t>
  </si>
  <si>
    <t>2017-11-22</t>
  </si>
  <si>
    <t>2018-12-13</t>
  </si>
  <si>
    <t>1y9dOEujRfKJWFwCvQzb9B</t>
  </si>
  <si>
    <t>6z6uBfaMCKFCDIuHNYhRra</t>
  </si>
  <si>
    <t>3mnSawKqEsmgRD9HjHXrrl</t>
  </si>
  <si>
    <t>6lO3fSdhsdpeOcrbqAJsRU,3RTklnRcfHgkQJwFpgOq3t</t>
  </si>
  <si>
    <t>2018-02-27</t>
  </si>
  <si>
    <t>1c2rpKimRi5KtLB3AJFpLh</t>
  </si>
  <si>
    <t>77MKtZJBenvpeBeInbEqtw</t>
  </si>
  <si>
    <t>2018-05-02</t>
  </si>
  <si>
    <t>54yRsjCRv2RCNKxTcMH7DJ</t>
  </si>
  <si>
    <t>2017-01-01</t>
  </si>
  <si>
    <t>2UkRIWOvxCYVpyqNTwy9dE</t>
  </si>
  <si>
    <t>6G1i0Uv6Nkhb9CnksXCfAx</t>
  </si>
  <si>
    <t>4FXGRMSHh2JjHxVwS8dhH1,0NV5eY4Jzg4ldg2ikGnV4n</t>
  </si>
  <si>
    <t>German Engineering EP</t>
  </si>
  <si>
    <t>5ZJrnxlVNseqSqR9QHQLbF</t>
  </si>
  <si>
    <t>7MlotYZhHjOlXcvmwrITj8</t>
  </si>
  <si>
    <t>2DGa7iaidT5s0qnINlwMjJ</t>
  </si>
  <si>
    <t>7vk5e3vY1uw9plTHJAMwjN</t>
  </si>
  <si>
    <t>4426Kz10loXlfwoN7bABF9</t>
  </si>
  <si>
    <t>0lLY20XpZ9yDobkbHI7u1y,6CqjoQyGZlnhnq5gAUz92c,1CsOCboPedU50U4FUM1SHi</t>
  </si>
  <si>
    <t>Speed of Light (Pt. 2)</t>
  </si>
  <si>
    <t>3cGCvS7Pt3tH5kmm2mhGai</t>
  </si>
  <si>
    <t>0Y0QSi6lz1bPik5Ffjr8sd,2aOoD3zsuYforFcDvUpZoH</t>
  </si>
  <si>
    <t>2017-01-09</t>
  </si>
  <si>
    <t>4nHlOHDt8o328IuZWF0oQQ</t>
  </si>
  <si>
    <t>4nx8ehrFiCOmWgebUKshDV</t>
  </si>
  <si>
    <t>Dear Misfortune, Mother of Joy - EP</t>
  </si>
  <si>
    <t>4oEON2tBuUgDiCxGXkI0zZ</t>
  </si>
  <si>
    <t>1L9i6qZYIGQedgM9QLSyzb,4nx8ehrFiCOmWgebUKshDV</t>
  </si>
  <si>
    <t>RIVA (Restart the Game) [Radio Edit]</t>
  </si>
  <si>
    <t>39x6FI5KhdIZnoQJSDNv63</t>
  </si>
  <si>
    <t>Fight Back: The Collection</t>
  </si>
  <si>
    <t>4JWy8tpRCAszMKLBAQDkwg</t>
  </si>
  <si>
    <t>2z0FxzsOk6kaxcUKChf6aE</t>
  </si>
  <si>
    <t>2AO36WlvWMmrdokuBeLoFF</t>
  </si>
  <si>
    <t>4nC5sS92jMLq8ijY52votb</t>
  </si>
  <si>
    <t>2s92wG9nUpZaJPgJnvkM4a</t>
  </si>
  <si>
    <t>3aNL9rUKckHIHOKXpbNGOW</t>
  </si>
  <si>
    <t>2X80UcGM04n7g50dyZjhIf</t>
  </si>
  <si>
    <t>5Q6xgq6viDz9hrWiW1PoV7</t>
  </si>
  <si>
    <t>6kqJGZcI5eVkfP4vnhOZMd</t>
  </si>
  <si>
    <t>4liXEhjIpF4gkQJfHOZcGW</t>
  </si>
  <si>
    <t>2kmWfYjBR2dgAbB4ZBF9bT</t>
  </si>
  <si>
    <t>6xbZaeFj8BPE3HGXF7VVjX</t>
  </si>
  <si>
    <t>0oW5yI88PqLgQXGY60E4ea</t>
  </si>
  <si>
    <t>4On1eygHOK5GTBdp7hqeqk</t>
  </si>
  <si>
    <t>6KigD0mlF4VGDYiSEzAyYw</t>
  </si>
  <si>
    <t>7wOqBOryVGD3nqDUihDSwL</t>
  </si>
  <si>
    <t>2017-04-26</t>
  </si>
  <si>
    <t>5tSMoe0rJWQz4G6NxXkaGq</t>
  </si>
  <si>
    <t>0SjiMVVtcOsDAOb4fKCCLn,5yKEGB604bT2zPK4mg0S5v,1LXWhSVuTn0gz1fi6BYn74</t>
  </si>
  <si>
    <t>2019-06-19</t>
  </si>
  <si>
    <t>3LmtUmPvIHFHGpVorlQ3RN</t>
  </si>
  <si>
    <t>This is Nightlife - SINGLE</t>
  </si>
  <si>
    <t>2013-03-22</t>
  </si>
  <si>
    <t>3zU9rdflI65tK4dkkNSp77</t>
  </si>
  <si>
    <t>4AVFqumd2ogHFlRbKIjp1t,4NHQUGzhtTLFvgF5SZesLK</t>
  </si>
  <si>
    <t>5EAJczyYeTWa6rFKRYajyQ</t>
  </si>
  <si>
    <t>79m95shJaTK0aSogeQQTyD</t>
  </si>
  <si>
    <t>Demain (Bigflo &amp; Oli X Petit Biscuit)</t>
  </si>
  <si>
    <t>2018-06-28</t>
  </si>
  <si>
    <t>2ZMB3G9XPGTY8Rm8F3q2pB</t>
  </si>
  <si>
    <t>55BFQS36sJYz2B0ClypIvS,2URnDoxQb8QV2GlfMVDy99</t>
  </si>
  <si>
    <t>2017-04-06</t>
  </si>
  <si>
    <t>5lehoWkVPujeOAwb8BO0uK</t>
  </si>
  <si>
    <t>6fOMl44jA4Sp5b9PpYCkzz,4xnihxcoXWK3UqryOSnbw5</t>
  </si>
  <si>
    <t>27qnbAJvrcAYkLR7BpzcCZ</t>
  </si>
  <si>
    <t>1tRsdSvjwp34PDvcmix6SJ,4IFgewC2urR62Fwt7uAU03,01olvHW7uzIInQx9VTNuJm</t>
  </si>
  <si>
    <t>Build The Cities (Reconstructions)</t>
  </si>
  <si>
    <t>2015-05-27</t>
  </si>
  <si>
    <t>6eUe0hg5ME6U7hKEwBO50l</t>
  </si>
  <si>
    <t>2012-05-29</t>
  </si>
  <si>
    <t>0MMOiDgldHfhzwjEKSnqZd</t>
  </si>
  <si>
    <t>4et6w3138RgQPIeVdvlfbr</t>
  </si>
  <si>
    <t>Monstercat 016 - Expedition</t>
  </si>
  <si>
    <t>2014-02-26</t>
  </si>
  <si>
    <t>5HrGPHWWvr7NQUTlV75FsT</t>
  </si>
  <si>
    <t>0lLY20XpZ9yDobkbHI7u1y,28Ky95tmlHktB96DBUoB0g</t>
  </si>
  <si>
    <t>2013-05-02</t>
  </si>
  <si>
    <t>1N47iqGBmfyVtTUozP9nYz</t>
  </si>
  <si>
    <t>2013-12-30</t>
  </si>
  <si>
    <t>2c4s8OFu1IkIDdNA953M03</t>
  </si>
  <si>
    <t>23qSOTzMlj97ltJyah0lnV</t>
  </si>
  <si>
    <t>5TmFTHZp7HjBXjjsFvCY6h</t>
  </si>
  <si>
    <t>7vb7VLDqpLTlAy1ctTMR5d,2sd9Q3r0Jhqpe3w9WVuG43</t>
  </si>
  <si>
    <t>Destination Calabria</t>
  </si>
  <si>
    <t>2007-02-19</t>
  </si>
  <si>
    <t>7mstP1ixxPSiysFy4aW6HD</t>
  </si>
  <si>
    <t>08U9qk0KByTwtgdfKr7195</t>
  </si>
  <si>
    <t>Share My Dreams (Radio Edit)</t>
  </si>
  <si>
    <t>25q2VoLqjdkTRw5Abg8EJL</t>
  </si>
  <si>
    <t>28Ky95tmlHktB96DBUoB0g,1tRsdSvjwp34PDvcmix6SJ,4IFgewC2urR62Fwt7uAU03</t>
  </si>
  <si>
    <t>0qU2KlUjsiSUHgyUdLSxos</t>
  </si>
  <si>
    <t>4Ws2otunReOa6BbwxxpCt6,6beTArFVpUujvkHi9FVPqs</t>
  </si>
  <si>
    <t>Cinema (feat. Gary Go) [Pt. 2]</t>
  </si>
  <si>
    <t>3FUZpoj9VV0sgc8RqbS3xQ</t>
  </si>
  <si>
    <t>2011-12-27</t>
  </si>
  <si>
    <t>5i7fZq3chLyCHo3VeB6goD</t>
  </si>
  <si>
    <t>More Monsters and Sprites EP</t>
  </si>
  <si>
    <t>2011-06-07</t>
  </si>
  <si>
    <t>1zh2w0vI5NpUuKNli8ypa9</t>
  </si>
  <si>
    <t>2010-10-25</t>
  </si>
  <si>
    <t>5q8oybjZelukF4h0CzSUN9</t>
  </si>
  <si>
    <t>Scary Monsters and Nice Sprites (Deluxe Tour Edition)</t>
  </si>
  <si>
    <t>2010-12-21</t>
  </si>
  <si>
    <t>6c9EGVj5CaOeoKd9ecMW1U</t>
  </si>
  <si>
    <t>2CIMQHirSU0MQqyYHq0eOx</t>
  </si>
  <si>
    <t>Strobe</t>
  </si>
  <si>
    <t>3v2oAQomhOcYCPPHafS3KV</t>
  </si>
  <si>
    <t>1xNcBAoUw8Hz6LqK2jt4Ff</t>
  </si>
  <si>
    <t>Call on Me (Radio Mix)</t>
  </si>
  <si>
    <t>2004-09-10</t>
  </si>
  <si>
    <t>6hmKshH7zoxiPl8t4H8uPi</t>
  </si>
  <si>
    <t>2hsDR10j6idVS8ZNc3Lg4p,6AgO4I2djOhEefNBpTRiu0,1S2tag1DwGsrZ5ADTuxONB</t>
  </si>
  <si>
    <t>Begin Again</t>
  </si>
  <si>
    <t>6Mtm0TmsAbk5lqhVUk3hia</t>
  </si>
  <si>
    <t>2hsDR10j6idVS8ZNc3Lg4p</t>
  </si>
  <si>
    <t>3NueI0S6mWHJCJdpK2dX5s</t>
  </si>
  <si>
    <t>1vo8zHmO1KzkuU9Xxh6J7W,2hsDR10j6idVS8ZNc3Lg4p,7L9FJv1pUAPpHrbvOtiY55</t>
  </si>
  <si>
    <t>2EtDBM1HREttw143IwZvJ0</t>
  </si>
  <si>
    <t>2q3GG88dVwuQPF4FmySr9I,2cFrymmkijnjDg9SS92EPM</t>
  </si>
  <si>
    <t>5GjnIpUlLGEIYk052ISOw9</t>
  </si>
  <si>
    <t>0SfsnGyD8FpIN4U4WCkBZ5,6NXk2pLFocS2OkNdT7ncBt</t>
  </si>
  <si>
    <t>Intense</t>
  </si>
  <si>
    <t>2013-05-03</t>
  </si>
  <si>
    <t>2K9mcH5jYpO88m1nv8fGTf</t>
  </si>
  <si>
    <t>0Z3neiS9FbKTfcC0IVTYsA</t>
  </si>
  <si>
    <t>6roDXEmZ6AARdOUv6x5U2v,3QLQxutu868fKgeEkEgXW0</t>
  </si>
  <si>
    <t>Next Season</t>
  </si>
  <si>
    <t>2YNVpj4AfBb3HN1QTqEcVB</t>
  </si>
  <si>
    <t>0daugAjUgbJSqdlyYNwIbT,5cKlE8f6b26h61Ml7m052Q</t>
  </si>
  <si>
    <t>5BuiZmp7H6hoUN5Fw2lUIp</t>
  </si>
  <si>
    <t>2015-06-30</t>
  </si>
  <si>
    <t>2wQ411UQL2MRsdAgPRUstT</t>
  </si>
  <si>
    <t>3hWfKBt3n7j1xqIy6LA5ve</t>
  </si>
  <si>
    <t>0daugAjUgbJSqdlyYNwIbT,2jpQ0ywffgVHhZFQNWaWYW</t>
  </si>
  <si>
    <t>02shCNmb6IvgB5jLqKjtkK</t>
  </si>
  <si>
    <t>1op3nCu1EYmenuL7GGu8fv</t>
  </si>
  <si>
    <t>17y8kqTbNDd9QM3j6yln4g</t>
  </si>
  <si>
    <t>7MPC1qtCR74fdc9jNdFHeH</t>
  </si>
  <si>
    <t>Adieu, au revoir</t>
  </si>
  <si>
    <t>0L35zlAe0v3eAXfV7CJKf1</t>
  </si>
  <si>
    <t>5BcAKTbp20cv7tC5VqPFoC</t>
  </si>
  <si>
    <t>The Heist (Deluxe Edition)</t>
  </si>
  <si>
    <t>2012-10-09</t>
  </si>
  <si>
    <t>3AYcyxEACnmE6d96RPubID</t>
  </si>
  <si>
    <t>5BcAKTbp20cv7tC5VqPFoC,56xTxG4nQMAs1GW9kvn0uA</t>
  </si>
  <si>
    <t>31qgVdvSqTQ7unwQQngycB</t>
  </si>
  <si>
    <t>5BcAKTbp20cv7tC5VqPFoC,4e0nWw2r4BoQSKPQ2zpU13</t>
  </si>
  <si>
    <t>0CokSRCu5hZgPxcZBaEzVE</t>
  </si>
  <si>
    <t>3JhNCzhSMTxs9WLGJJxWOY,4utLUGcTvOJFr6aqIJtYWV</t>
  </si>
  <si>
    <t>GEMINI</t>
  </si>
  <si>
    <t>20ZP3Om9DvDazXrNUC7WM2</t>
  </si>
  <si>
    <t>4WN5naL3ofxrVBgFpguzKo,4ScCswdRlyA23odg9thgIO,3JhNCzhSMTxs9WLGJJxWOY,2U3FuHYvL3vhkbDAXm24Ep</t>
  </si>
  <si>
    <t>Toast to Our Differences (Deluxe Edition)</t>
  </si>
  <si>
    <t>2wIC3jqtTK78zQMdj1DRLu</t>
  </si>
  <si>
    <t>4njdEjTnLfcGImKZu1iSrz</t>
  </si>
  <si>
    <t>5N7d8uxMeuO4HdncbkuhSB</t>
  </si>
  <si>
    <t>Megalithic Symphony</t>
  </si>
  <si>
    <t>2011-03-15</t>
  </si>
  <si>
    <t>6kbCH9kQoNzaEt1R1rizpR</t>
  </si>
  <si>
    <t>5ObIrcZFhC4qLMN0pzIUYg</t>
  </si>
  <si>
    <t>Life as a Dog (Deluxe Version)</t>
  </si>
  <si>
    <t>1D9HQactbJoUudf9B119Y5</t>
  </si>
  <si>
    <t>Every Where Is Some Where</t>
  </si>
  <si>
    <t>2trqNH4QiJlNDwexfVUubn</t>
  </si>
  <si>
    <t>3HqP3nd8WI0VfHRhApPlan,2OjFxruW10FZzmf2V4KeAo</t>
  </si>
  <si>
    <t>Mayday</t>
  </si>
  <si>
    <t>0puQZR7gUBIemaXShlmHsu</t>
  </si>
  <si>
    <t>3Gx7WuEtEvd2CSCFeUPpCL</t>
  </si>
  <si>
    <t>5smMKsuPhyQTLvA7qUiqto</t>
  </si>
  <si>
    <t>5ZCNFT4ATFL2zqBvW0HhSt,57s7w1webL3pulJxxZVILi</t>
  </si>
  <si>
    <t>557lh76vcLy4EQWvZluA32</t>
  </si>
  <si>
    <t>7mNvLAQSGOGMrdIuGmm5Oh,6ssSabKYhzrVZ4F9cSzOok</t>
  </si>
  <si>
    <t>2017-11-16</t>
  </si>
  <si>
    <t>0JMw6SjfsEe4zhrgbvCKGy</t>
  </si>
  <si>
    <t>72fdBvuHxCR7PLvj0osbhR</t>
  </si>
  <si>
    <t>5zrJNZeC9Fs2hudgynhdvB</t>
  </si>
  <si>
    <t>0Szh8DhUXEL2iujQ9cdS4q,5zId1SmYy46E9v2KQsSTFR</t>
  </si>
  <si>
    <t>NCS: The Best of 2016</t>
  </si>
  <si>
    <t>5mcp11Y39Ptp3gk2trXvr2</t>
  </si>
  <si>
    <t>Pukka up Presents: Ibiza Loves Me... We Just Got Hotter!</t>
  </si>
  <si>
    <t>2012-08-07</t>
  </si>
  <si>
    <t>6jA8HL9i4QGzsj6fjoxp8Y</t>
  </si>
  <si>
    <t>60d24wfXkVzDSfLS6hyCjZ,3WGpXCj9YhhfX11TToZcXP</t>
  </si>
  <si>
    <t>1xK7enJZVdv37fnnxoZlPq</t>
  </si>
  <si>
    <t>6TQj5BFPooTa08A7pk8AQ1,6JL8zeS1NmiOftqZTRgdTz</t>
  </si>
  <si>
    <t>3aj6KpLUGmAQRW12hb4SML</t>
  </si>
  <si>
    <t>2Th9BGKvfZG8bKQSACitwG</t>
  </si>
  <si>
    <t>7wg1qvie3KqDNQbAkTdbX0,0pCNk4D3E2xtszsm6hMsWr</t>
  </si>
  <si>
    <t>5NchD9CwrhIrg8CVGngehb</t>
  </si>
  <si>
    <t>41DKMtAnhVo7aDeluAHDJg,4PRItSqasFLl62nmQVBq0C</t>
  </si>
  <si>
    <t>2019-08-21</t>
  </si>
  <si>
    <t>30Z12rJpW0M0u8HMFpigTB</t>
  </si>
  <si>
    <t>0FL2d6iFFNAV3yBUbXjZ1U,7wg1qvie3KqDNQbAkTdbX0,0vqJkZ0RpLZixt3lTmD8vP</t>
  </si>
  <si>
    <t>2019-09-05</t>
  </si>
  <si>
    <t>0U0ldCRmgCqhVvD6ksG63j</t>
  </si>
  <si>
    <t>2016-07-05</t>
  </si>
  <si>
    <t>1xnSYyx3j0Q9Ib3GUzy0Fq</t>
  </si>
  <si>
    <t>09/17 2007 - EP</t>
  </si>
  <si>
    <t>2010-01-25</t>
  </si>
  <si>
    <t>1r5zaKfwOz92HaXXLExw7u</t>
  </si>
  <si>
    <t>7091OQBE3fm55vjP7exsuK</t>
  </si>
  <si>
    <t>18UxAesfhwKShCjRno724O</t>
  </si>
  <si>
    <t>wish i said this to u sooner</t>
  </si>
  <si>
    <t>7rUBl3RwsXg9IGPa3Lid9i</t>
  </si>
  <si>
    <t>5st4KKihmnSMLRsxWOs2x3</t>
  </si>
  <si>
    <t>3PoYVHwEnhTSDmgUCgzhs2</t>
  </si>
  <si>
    <t>6ysKfYgiKUTMCuq2fSTLK3</t>
  </si>
  <si>
    <t>1R08nQA87DklgMg9h0nVK5</t>
  </si>
  <si>
    <t>5CVsjwjuzUOrlEc2OJbUg4,5OH6KwPXoRfSgR6qj80zhs</t>
  </si>
  <si>
    <t>ReImagination EP</t>
  </si>
  <si>
    <t>2017-08-12</t>
  </si>
  <si>
    <t>41k842LqcfBv2kpPUlE6rU</t>
  </si>
  <si>
    <t>0l6M2vf0lC8N42B4spXUSn,3VT9GyX3DegiEUHX05re7F</t>
  </si>
  <si>
    <t>2019-01-09</t>
  </si>
  <si>
    <t>6Vr1t7Wo4YRi0JA0FFnWjy</t>
  </si>
  <si>
    <t>4wrWMxa1wnZX5ZDhV6qk6f,6NRSfOnXw4qaypEfIV2QXn</t>
  </si>
  <si>
    <t>2019-07-16</t>
  </si>
  <si>
    <t>0ctdeQV5ubiYi1VBdKIKpw</t>
  </si>
  <si>
    <t>5PdkRVDASsw6P7QoqRpz0F,2mmqhYDTD0weseyXUf1QJ5</t>
  </si>
  <si>
    <t>Talk (Remixes)</t>
  </si>
  <si>
    <t>2017-05-17</t>
  </si>
  <si>
    <t>6kgQgyqTTqYS6Kzr1G4I79</t>
  </si>
  <si>
    <t>3mmpv5Tn2YJPimEK02Tk1H</t>
  </si>
  <si>
    <t>6ObeGN1qTsep95QRNOfNc3</t>
  </si>
  <si>
    <t>2009-10-26</t>
  </si>
  <si>
    <t>6lR8HfcXsvVYpM4WLzmrNz</t>
  </si>
  <si>
    <t>7us9kFadl2fztbHSvlNk6M,7b1FMiWXZwOBsxi0uWw6wH</t>
  </si>
  <si>
    <t>288DHkQArmWyQjSwB4tVto</t>
  </si>
  <si>
    <t>6Sq3AiBZZEfiF21x6ESrI6</t>
  </si>
  <si>
    <t>1qGohIp3a4kh1Euymx0pyL,6cEuCEZu7PAE9ZSzLLc2oQ</t>
  </si>
  <si>
    <t>Good Time Remix EP</t>
  </si>
  <si>
    <t>4B1ku8lXKlHZHSxg9j4kCg</t>
  </si>
  <si>
    <t>2019-01-07</t>
  </si>
  <si>
    <t>41dkzCar6noE6h0ks4kp6i</t>
  </si>
  <si>
    <t>5Z1UsaObJ57syhyTKwS79f,69Pm1OWlxk1tbYphlkcKHR</t>
  </si>
  <si>
    <t>Battleground (Radio Edit)</t>
  </si>
  <si>
    <t>2016-02-10</t>
  </si>
  <si>
    <t>2sgt6dpvyV03yUUPSuv4cG</t>
  </si>
  <si>
    <t>7us9kFadl2fztbHSvlNk6M,1HQ26IHQ1Nu0Tq7EE7DV6y</t>
  </si>
  <si>
    <t>1mBsA7LPkVA9SuHEJdcE53</t>
  </si>
  <si>
    <t>6HoXpEnhzeDpz7gYgGaYF0</t>
  </si>
  <si>
    <t>3mYfDZXZxSexTPMBEdSREL,3zLlUTuczHTGLHdMnYNYX9</t>
  </si>
  <si>
    <t>When I Was Me</t>
  </si>
  <si>
    <t>0gMOa9oUxdEPukkRm38lVm</t>
  </si>
  <si>
    <t>5TVMPzSodMr4xxiU1nUVVr,6h89RS8JExXN6hPGbSUnkO</t>
  </si>
  <si>
    <t>2019-01-17</t>
  </si>
  <si>
    <t>1TgDJSj2toOHuB2rybLdQb</t>
  </si>
  <si>
    <t>7ymrIsmp4vE7vAtcS12J4D,7366dt3xMlc1xytGMF8fMg,5HqJR4LXclbZPAwQ636j84</t>
  </si>
  <si>
    <t>Sandcastles (ToWonder X Severo Remix)</t>
  </si>
  <si>
    <t>2016-09-29</t>
  </si>
  <si>
    <t>3ajnP3J1EEPpdCjIF9keIE</t>
  </si>
  <si>
    <t>4W9vuLWmzlcGv6stGVWPPC,6sUsfQ1mfjViQCKig0NtMp</t>
  </si>
  <si>
    <t>7geBeVl1Le1m948MVVPzcv</t>
  </si>
  <si>
    <t>5TiBYM1mNE5RHcVJ7pMdYH,696x5uEm1nV6xucEZNAbzH</t>
  </si>
  <si>
    <t>4YK3zrLBWbsb8lVHVFy0sX</t>
  </si>
  <si>
    <t>7hOGhpa8RMSuDOWntGIAJt,0u18Cq5stIQLUoIaULzDmA</t>
  </si>
  <si>
    <t>Find Someone (DROELOE Remix)</t>
  </si>
  <si>
    <t>021GiL00iC3ME59q103K6l</t>
  </si>
  <si>
    <t>14byx2nRysWNtgauCXscKT,6nBujjA6fus37LVZEqEULp</t>
  </si>
  <si>
    <t>Good Vibes (Radio Edit)</t>
  </si>
  <si>
    <t>24LBFmg56HnT7Nj5HLQvPL</t>
  </si>
  <si>
    <t>7miXLG9boDOGHJaEelSL7T</t>
  </si>
  <si>
    <t>2018-04-23</t>
  </si>
  <si>
    <t>6JmRVEBNPIxEtAXWKPSsi5</t>
  </si>
  <si>
    <t>0XmmX4fE4SiRMu3ICsP5sA,1SeU8Y2rEUpEoeWmUCdQIR,047WXnK2tIG3FGth7FyXaK</t>
  </si>
  <si>
    <t>1ItXtq0pYa0xQIxbw80NqL</t>
  </si>
  <si>
    <t>4lFbV0wEuW8ulSq6NBYg4O,1cOE2rCet7CGWid3OD5499,1HQ26IHQ1Nu0Tq7EE7DV6y</t>
  </si>
  <si>
    <t>2019-02-13</t>
  </si>
  <si>
    <t>5oMLOe7ams9wPzBiQLt6Na</t>
  </si>
  <si>
    <t>06MSAITCPRhtuJMD4UL96s,0nfU2YxUfRQxknJWo3mQit</t>
  </si>
  <si>
    <t>2019-05-23</t>
  </si>
  <si>
    <t>3ubNWk5cRrv8JwDW6VBIwN</t>
  </si>
  <si>
    <t>7muzHifhMdnfN1xncRLOqk,4CzzY9kG8C2BLOuTuy3oLe,2pDhbzz8VbdXkYSumszFTL</t>
  </si>
  <si>
    <t>Pull the Trigger (Remixes)</t>
  </si>
  <si>
    <t>6rTayaf5TGzAfQB6OODOJd</t>
  </si>
  <si>
    <t>6O2ODylN42JL651p1vcIYQ</t>
  </si>
  <si>
    <t>1TSEdNB2i9F30eMLmx6UIW</t>
  </si>
  <si>
    <t>7qiRNP9z0FhN63YcLmb8Ai</t>
  </si>
  <si>
    <t>Stup Virus</t>
  </si>
  <si>
    <t>2018-07-24</t>
  </si>
  <si>
    <t>2iDNwisvoe8o5jOUOcviOX</t>
  </si>
  <si>
    <t>6UWiE4V9p2HK4C74A0CGKB</t>
  </si>
  <si>
    <t>Little Armageddon</t>
  </si>
  <si>
    <t>5dGkbGoB2IohE0nCxDRwFN</t>
  </si>
  <si>
    <t>3eFNBjKcEt3OJYnlJLQS6Q</t>
  </si>
  <si>
    <t>Can Be Late (Super Deluxe Version)</t>
  </si>
  <si>
    <t>4mKCiWwPxQw45GSM2iRcRW</t>
  </si>
  <si>
    <t>7r1xsTOrqgQEaebj5wgFsj</t>
  </si>
  <si>
    <t>5KQuLhckFhcox1K9UCgLuV</t>
  </si>
  <si>
    <t>Times</t>
  </si>
  <si>
    <t>0mko5sZQMfALeG2bzpWZRy</t>
  </si>
  <si>
    <t>5EGOerlVYxwqxaTLEWumBR,286w6qp0xgPtlyggwQk6DL</t>
  </si>
  <si>
    <t>5BiYg12l7EpFZtrvWZpkT0</t>
  </si>
  <si>
    <t>5EGOerlVYxwqxaTLEWumBR,4nx8ehrFiCOmWgebUKshDV</t>
  </si>
  <si>
    <t>1WC2ctyzNjpgkhF0dplias</t>
  </si>
  <si>
    <t>4fFfyouye6vrX9o9z4PVMu</t>
  </si>
  <si>
    <t>I met you when I was 18. (the playlist)</t>
  </si>
  <si>
    <t>2018-05-31</t>
  </si>
  <si>
    <t>6kvVuUmw1FpYcNO0y87gB6</t>
  </si>
  <si>
    <t>5CVsjwjuzUOrlEc2OJbUg4,04igiyo2E7vg7FxMxoTsIR</t>
  </si>
  <si>
    <t>3i8IV2Gw4GG1D6Zhvf678s</t>
  </si>
  <si>
    <t>7lZauDnRoAC3kmaYae2opv,3l0H4QNiYYNdIsnZ4JgJAg,4AT7XlLBevgZIiKvZQ83ye</t>
  </si>
  <si>
    <t>Wild Youth (The Remixes)</t>
  </si>
  <si>
    <t>4jp4Z02kzzg8gK0NmDGgml</t>
  </si>
  <si>
    <t>6pWcSL9wSJZQ9ne0TnhdWr,7vk5e3vY1uw9plTHJAMwjN,49CE2ffZ6Z3zeYSDauSKck,6ObeGN1qTsep95QRNOfNc3</t>
  </si>
  <si>
    <t>1u7g6VLbqwqDeOhCKvUxv2</t>
  </si>
  <si>
    <t>5zId1SmYy46E9v2KQsSTFR,2lMv8dtufbOPrrf5CPS7tS,3SFVIUlipGj3RpWCKe9s73</t>
  </si>
  <si>
    <t>Dead To Me</t>
  </si>
  <si>
    <t>2019-01-06</t>
  </si>
  <si>
    <t>3folt4d0CndACKo02YNrin</t>
  </si>
  <si>
    <t>0HAZyL1XzRf6rEoYxLp6k0,7z8fkGpUDt6eb6fyysRTH9</t>
  </si>
  <si>
    <t>4NXGz1l3StIOzPxAxnm9Wr</t>
  </si>
  <si>
    <t>7z8fkGpUDt6eb6fyysRTH9,11AHEfP66BpuTi9oe40qne</t>
  </si>
  <si>
    <t>5vqPYjgDylmAeHixXx7SXd</t>
  </si>
  <si>
    <t>7z8fkGpUDt6eb6fyysRTH9,1Ars2RdXFbmt04pZ5g2RNr,11AHEfP66BpuTi9oe40qne</t>
  </si>
  <si>
    <t>5wKdF1lpNY75uA1uTQof55</t>
  </si>
  <si>
    <t>7z8fkGpUDt6eb6fyysRTH9,3SFVIUlipGj3RpWCKe9s73,1RdQK73ZgvXjkaBJkibE6X,70hTQzJxZt0JLvFzQVITHe</t>
  </si>
  <si>
    <t>2fxT5n1Q7gCgyhc2QwcmJ9</t>
  </si>
  <si>
    <t>2KoTKOi4cKiHglQXtEoJxN</t>
  </si>
  <si>
    <t>3zT2616WcD9Df5m21OsCX0</t>
  </si>
  <si>
    <t>4Vpjh5VlV7rnPZGqVJUxrV</t>
  </si>
  <si>
    <t>6TQj5BFPooTa08A7pk8AQ1,4N874uPqBka1QiCvnCVOtr,2RDXcxQgmEyomb2g9SERuf</t>
  </si>
  <si>
    <t>3hQKuj4sZ9L4Yn0RC2SIrI</t>
  </si>
  <si>
    <t>7dpnZJj7ITXcnmbmLIdEqs</t>
  </si>
  <si>
    <t>2zmrsXMHxagFz6vI2cD7r6,6cEuCEZu7PAE9ZSzLLc2oQ</t>
  </si>
  <si>
    <t>0ts61Ufav0d4yyT3SLzF1q</t>
  </si>
  <si>
    <t>ISOU / Thunder</t>
  </si>
  <si>
    <t>68Rnp6Cev6ESnEwlpQI2Ll</t>
  </si>
  <si>
    <t>3KwmxIhSe9UTSEF37kwngR,5ttgIeUVka6FLyi00Uu5h8</t>
  </si>
  <si>
    <t>Trampoline (Jauz Remix)</t>
  </si>
  <si>
    <t>2019-05-21</t>
  </si>
  <si>
    <t>1nDyFTUGeSas1NCUbV3uUO</t>
  </si>
  <si>
    <t>3a9qv6NLHnsVxJUtKOMHvD</t>
  </si>
  <si>
    <t>We Can Make the World Stop - EP</t>
  </si>
  <si>
    <t>2011-07-12</t>
  </si>
  <si>
    <t>69Sy7207dnixZ6w7RSV9Kb</t>
  </si>
  <si>
    <t>47mIJdHORyRerp4os813jD,3a9qv6NLHnsVxJUtKOMHvD,0Ye4nfYAA91T1X56gnlXAA,1CF8aEN939swnuIZGFI7Hk</t>
  </si>
  <si>
    <t>48n92l7OnLEURhalUBtsl7</t>
  </si>
  <si>
    <t>5VWVVSABdgccboSdrKGiZH</t>
  </si>
  <si>
    <t>Drink the Sea</t>
  </si>
  <si>
    <t>2010-06-08</t>
  </si>
  <si>
    <t>0bH5YzmIgaQ4ay1t89eMAh</t>
  </si>
  <si>
    <t>24neLwyYRyj4ItaGnFeIT0,6ImUn600ZnHXjWRuYDMh4H</t>
  </si>
  <si>
    <t>5TWgyIuK9YwE5phYOmgp9d</t>
  </si>
  <si>
    <t>1DzQInbDVhE9Lh5s6T0DUL</t>
  </si>
  <si>
    <t>Hali 2 Cali</t>
  </si>
  <si>
    <t>3TQ0F0Yz8neSQnawsPA9t0</t>
  </si>
  <si>
    <t>147jymD5t0TCXW0DbaXry0</t>
  </si>
  <si>
    <t>14Wai94SZHOUPDXvcewn18</t>
  </si>
  <si>
    <t>6nxWCVXbOlEVRexSbLsTer,08v1r0jqDyvSo2LtSqHxcy</t>
  </si>
  <si>
    <t>Quits</t>
  </si>
  <si>
    <t>2019-07-31</t>
  </si>
  <si>
    <t>7tkOvYhM0l8adGFQPU8g1g</t>
  </si>
  <si>
    <t>2beor6qrB0XJxW1CM6X9x2</t>
  </si>
  <si>
    <t>5he5w2lnU9x7JFhnwcekXX,46MWeeHNVMYRIIofQBEX98</t>
  </si>
  <si>
    <t>Show Tracks</t>
  </si>
  <si>
    <t>5LhCAHj4ZclVTDlyHjiN7B</t>
  </si>
  <si>
    <t>2019-06-25</t>
  </si>
  <si>
    <t>7cPO2IPraPDlGIguekShlV</t>
  </si>
  <si>
    <t>6nxWCVXbOlEVRexSbLsTer</t>
  </si>
  <si>
    <t>Hi This Is Flume (Mixtape)</t>
  </si>
  <si>
    <t>7IcCoBTSwAG6QO5dvDzEEq</t>
  </si>
  <si>
    <t>1DzQInbDVhE9Lh5s6T0DUL,1HllAiVOVAOKzwauzKp3bo</t>
  </si>
  <si>
    <t>7rWG24J7x3z3HlAaAsYz1h</t>
  </si>
  <si>
    <t>3Y3EfOYx8TaDSeLLJvjP0N</t>
  </si>
  <si>
    <t>4TnimPAXqbIz4QjH107hYO</t>
  </si>
  <si>
    <t>0HQE80BcL1PUjuIQsmjW4V</t>
  </si>
  <si>
    <t>619CzMJPPWrCeZwx5qw6ko,2qZwOcOK5pr8WaNJWvuZd2,12aijQHKHFzPfRLxeTcyUW,40TScahWLSjy0AvBCN9tMr</t>
  </si>
  <si>
    <t>0Qs1pQEr8VOct430RMkttf</t>
  </si>
  <si>
    <t>619CzMJPPWrCeZwx5qw6ko,58xPB5raMGmHsmsivCymwb</t>
  </si>
  <si>
    <t>2AbPsvbxqYaNCvKXcJn1kV</t>
  </si>
  <si>
    <t>619CzMJPPWrCeZwx5qw6ko,3UV0wVQkft6lKLDGioqnyO,0xD6n0wj7aqV5g5LcRNBUd</t>
  </si>
  <si>
    <t>73n5x5KXZ2EaEX2FCF0AYt</t>
  </si>
  <si>
    <t>619CzMJPPWrCeZwx5qw6ko,1iyaH6NJWncvktAfUcNht8,6PMkmGQLEWSCCml7Z0KKkx</t>
  </si>
  <si>
    <t>2019-07-11</t>
  </si>
  <si>
    <t>7cz2upTFQiq0ROgFrkR1VW</t>
  </si>
  <si>
    <t>Contact</t>
  </si>
  <si>
    <t>144VylfhBHydi2xvqy9yw6</t>
  </si>
  <si>
    <t>0Cd6nHYwecCNM1sVEXKlYr,7aB2KbM3pphL9mU3dXbyh2</t>
  </si>
  <si>
    <t>Alibi &amp; Runaway (Remixes)</t>
  </si>
  <si>
    <t>2018-06-19</t>
  </si>
  <si>
    <t>6BRtWlr1VmsiPjIFnvg9Qv</t>
  </si>
  <si>
    <t>457p7UH7hoHrbA2iI4PSCA</t>
  </si>
  <si>
    <t>59mrqUmhpmcfUns8BKkV30</t>
  </si>
  <si>
    <t>7kjvRqp04GGWo7TYhChjpJ</t>
  </si>
  <si>
    <t>7aB2KbM3pphL9mU3dXbyh2,24CzPFC4y3bM4AkUnZfuAU</t>
  </si>
  <si>
    <t>5UVsz8nRCO3hJV1fp80Dll</t>
  </si>
  <si>
    <t>0JpuGd5LWwUn9fHGj8zCTI</t>
  </si>
  <si>
    <t>6rOhRpCeWjFirOXT1C9KS2</t>
  </si>
  <si>
    <t>714O3xvBNiclo82vxBn8Bf,3MDqk7o9WcL4FSvlyyGjRv</t>
  </si>
  <si>
    <t>4PTPZeJlK1rYlYr6bf11hk</t>
  </si>
  <si>
    <t>4pb4rqWSoGUgxm63xmJ8xc,1fpemL1wk3ZyXVfpzlVEkL</t>
  </si>
  <si>
    <t>6phyrxHcUpQ1BRZ8yXCUWB</t>
  </si>
  <si>
    <t>2x7EATekOPhFGRx3syMGEC,1mU61l2mcjEFraXZLpvVMo</t>
  </si>
  <si>
    <t>55</t>
  </si>
  <si>
    <t>52TjUfqxgK2k4vfcyHXnp2</t>
  </si>
  <si>
    <t>2cFrymmkijnjDg9SS92EPM</t>
  </si>
  <si>
    <t>ANONYMOUS</t>
  </si>
  <si>
    <t>5CJEiMaVvY14SaO0Gwv0DI</t>
  </si>
  <si>
    <t>7aiClxsDWFRQ0Kzk5KI5ku</t>
  </si>
  <si>
    <t>3XHrTm6WE2BOHafLwTT3GR</t>
  </si>
  <si>
    <t>1FWybrAwiSa0zKibdLfZZr</t>
  </si>
  <si>
    <t>Life Of A Ghost</t>
  </si>
  <si>
    <t>2007-09-24</t>
  </si>
  <si>
    <t>6Rxa3iS3kpo9iTHg97Vxo3</t>
  </si>
  <si>
    <t>48q2mPVwlKnlSaCx07i6Ta,4FXGRMSHh2JjHxVwS8dhH1</t>
  </si>
  <si>
    <t>Sensei</t>
  </si>
  <si>
    <t>5SVWUrkhwUkdSJXa6qdrDg</t>
  </si>
  <si>
    <t>Master of Shadows</t>
  </si>
  <si>
    <t>05m4PsNFU52bDeIJmqHDYt</t>
  </si>
  <si>
    <t>2BTPW7osibjN9gFDRY4mYN</t>
  </si>
  <si>
    <t>7muzHifhMdnfN1xncRLOqk,73sIBHcqh3Z3NyqHKZ7FOL</t>
  </si>
  <si>
    <t>Blow the Roof</t>
  </si>
  <si>
    <t>2013-01-25</t>
  </si>
  <si>
    <t>2ClWt2RN5FdNthxgR2VRDF</t>
  </si>
  <si>
    <t>7muzHifhMdnfN1xncRLOqk</t>
  </si>
  <si>
    <t>6d9kuIq25drXF5HDK1BiYk</t>
  </si>
  <si>
    <t>4V5f0tr4dGBGUvW5HsR22O,0lMsSW9R8prEif6Q3aVnEH</t>
  </si>
  <si>
    <t>2018-04-04</t>
  </si>
  <si>
    <t>0sEsDkuoAc7Cx63VRHFSd1</t>
  </si>
  <si>
    <t>5L67d6oZKOOmXcBcMMJdZZ</t>
  </si>
  <si>
    <t>0SLH9b0nlK4larScjLxfSn</t>
  </si>
  <si>
    <t>356FCJoyYWyzONni54Dgrv</t>
  </si>
  <si>
    <t>2016-05-18</t>
  </si>
  <si>
    <t>4uTW8P4HwKc9SQZWE7fs7P</t>
  </si>
  <si>
    <t>28j8lBWDdDSHSSt5oPlsX2,2VAnyOxzJuSAj7XIuEOT38</t>
  </si>
  <si>
    <t>Genesis Series</t>
  </si>
  <si>
    <t>4y78bEIRTzNe2RbGAnX8zU</t>
  </si>
  <si>
    <t>28j8lBWDdDSHSSt5oPlsX2,5INjqkS1o8h1imAzPqGZBb</t>
  </si>
  <si>
    <t>RINGOS DESERT</t>
  </si>
  <si>
    <t>6v3KW9xbzN5yKLt9YKDYA2</t>
  </si>
  <si>
    <t>Shawn Mendes (Deluxe)</t>
  </si>
  <si>
    <t>5YOCLjQEsrVA3khLJncZ2d</t>
  </si>
  <si>
    <t>Essential - One For The Lads</t>
  </si>
  <si>
    <t>2010-05-07</t>
  </si>
  <si>
    <t>3kVRbLSL19IYYix6xVsMAx</t>
  </si>
  <si>
    <t>3aQz0z86zrKjd1mcZlonxE</t>
  </si>
  <si>
    <t>4ME85YvMUi1hdqhbind7gy,25sJFKMqDENdsTF7zRXoif</t>
  </si>
  <si>
    <t>Infinity 2008</t>
  </si>
  <si>
    <t>2008-05-07</t>
  </si>
  <si>
    <t>4cKyHIo4oIZTLW5MujF9nL</t>
  </si>
  <si>
    <t>6MDME20pz9RveH9rEXvrOM,5IHqlcCbQkyhWl0KmIwgeq</t>
  </si>
  <si>
    <t>What Is Love? (Deluxe Edition)</t>
  </si>
  <si>
    <t>61dCUoMCg28qEBzrW6htYM</t>
  </si>
  <si>
    <t>6MDME20pz9RveH9rEXvrOM,4ScCswdRlyA23odg9thgIO</t>
  </si>
  <si>
    <t>New Eyes</t>
  </si>
  <si>
    <t>3WDIhWoRWVcaHdRwMEHkkS</t>
  </si>
  <si>
    <t>6MDME20pz9RveH9rEXvrOM,0X2BH1fck6amBIoJhDVmmJ</t>
  </si>
  <si>
    <t>72gv4zhNvRVdQA0eOenCal</t>
  </si>
  <si>
    <t>6MDME20pz9RveH9rEXvrOM,1Xylc3o4UrD53lo9CvFvVg</t>
  </si>
  <si>
    <t>2hrUO4drrO63i7FYbCLBl2</t>
  </si>
  <si>
    <t>3NuK5xMlSlB6K2Qp16zf3h</t>
  </si>
  <si>
    <t>6MDME20pz9RveH9rEXvrOM,6S2OmqARrzebs0tKUEyXyp</t>
  </si>
  <si>
    <t>6yIdwnpDHufLWgQcveTPMk</t>
  </si>
  <si>
    <t>5ZsFI1h6hIdQRw2ti0hz81,06HL4z0CvFAxyc27GXpf02</t>
  </si>
  <si>
    <t>1j4kHkkpqZRBwE0A4CN4Yv</t>
  </si>
  <si>
    <t>5ZsFI1h6hIdQRw2ti0hz81,5WUlDfRSoLAfcVSX1WnrxN</t>
  </si>
  <si>
    <t>Dusk Till Dawn (feat. Sia) [Radio Edit]</t>
  </si>
  <si>
    <t>4aBYzs8RxZMuqyOanNlf8I</t>
  </si>
  <si>
    <t>1Cs0zKBU1kc0i8ypK3B9ai,60d24wfXkVzDSfLS6hyCjZ,4mHAu7NX2UNsnGXjviBD9e</t>
  </si>
  <si>
    <t>3jgo8iiV4GoyuzKw9dJu9j</t>
  </si>
  <si>
    <t>4uiMn2g0pgTrhN096QJhbp</t>
  </si>
  <si>
    <t>2014-02-03</t>
  </si>
  <si>
    <t>6Yis2VwVcABCNVEutLgAf7</t>
  </si>
  <si>
    <t>6cEuCEZu7PAE9ZSzLLc2oQ,4mrBetqy378Jf1y6NLszlx</t>
  </si>
  <si>
    <t>2014-08-15</t>
  </si>
  <si>
    <t>2zVJlAEB0ublkqJMIn43AE</t>
  </si>
  <si>
    <t>1rpHb27OjM9LHmYm2zjnk5</t>
  </si>
  <si>
    <t>2014-11-27</t>
  </si>
  <si>
    <t>74rOmOYPMvzfVbI0KhpOvA</t>
  </si>
  <si>
    <t>0tYGnHRTeprXBN0KzYeqXH</t>
  </si>
  <si>
    <t>2015-03-12</t>
  </si>
  <si>
    <t>5dhy8FIzG1gSJdQUMvQ60r</t>
  </si>
  <si>
    <t>2NZMqINcyfepvLxQJdzcZk</t>
  </si>
  <si>
    <t>2014-08-10</t>
  </si>
  <si>
    <t>1pjvlYOMIg1NhGQbM6iwrY</t>
  </si>
  <si>
    <t>738wLrAtLtCtFOLvQBXOXp,4VZY0nxYMSNotbS7WjNVQy,374sWpAJsbZckf98df2jJJ</t>
  </si>
  <si>
    <t>1Gzv0cMy3xm7sgN5gd7WkU</t>
  </si>
  <si>
    <t>2015-06-12</t>
  </si>
  <si>
    <t>6O85MfGECKBqAK2MgSbCaj</t>
  </si>
  <si>
    <t>1bj5GrcLom5gZFF5t949Xl,7hssUdpvtY5oiARaUDgFZ3</t>
  </si>
  <si>
    <t>4U0XoomF06hMUbeGkGdBln</t>
  </si>
  <si>
    <t>24Hb4GKFYquK73R8mTyInu</t>
  </si>
  <si>
    <t>2019-07-29</t>
  </si>
  <si>
    <t>1C1M6ky1lfAw5K0VeM1aoj</t>
  </si>
  <si>
    <t>6vd0iw9nRnxUADUos1y3j1,5CVsjwjuzUOrlEc2OJbUg4</t>
  </si>
  <si>
    <t>Horizons</t>
  </si>
  <si>
    <t>5mTMesiGElgTSFU456rN1e</t>
  </si>
  <si>
    <t>6dXkSrHXcyVbTvzUoXqtzk</t>
  </si>
  <si>
    <t>4Sr2dMi5XiNyPVA3BlZaDv</t>
  </si>
  <si>
    <t>7muzHifhMdnfN1xncRLOqk,4pooXkYjBxl4t18gUeTQxa,5UJgrwCcL7SIbiGMFmFbb0</t>
  </si>
  <si>
    <t>5YPfFN0EsuvOgisgC4tzBq</t>
  </si>
  <si>
    <t>0vqJkZ0RpLZixt3lTmD8vP,2x7EATekOPhFGRx3syMGEC,75EZuo5MHV2572NRpMWotC</t>
  </si>
  <si>
    <t>3dX6WDwnHwYzB5t754oB4T</t>
  </si>
  <si>
    <t>Pure... 90s Dance Party</t>
  </si>
  <si>
    <t>15hTGo09nbLcPdxhOgmnuh</t>
  </si>
  <si>
    <t>1bj5GrcLom5gZFF5t949Xl</t>
  </si>
  <si>
    <t>7jEyX4bqaCSdMN4D4JNnVj</t>
  </si>
  <si>
    <t>1HBjj22wzbscIZ9sEb5dyf,5exS0bytCYdixgv02DaCm3</t>
  </si>
  <si>
    <t>Blue</t>
  </si>
  <si>
    <t>1SN1vSPsr4V4tIUTR3s8YW</t>
  </si>
  <si>
    <t>3P3pw6C19j31Rnzgo3JG7o</t>
  </si>
  <si>
    <t>1HBjj22wzbscIZ9sEb5dyf,4kYGAK2zu9EAomwj3hXkXy</t>
  </si>
  <si>
    <t>7tr2za8SQg2CI8EDgrdtNl</t>
  </si>
  <si>
    <t>7CajNmpbOovFoOoasH2HaY,2h93pZq0e7k5yf4dywlkpM,6oMuImdp5ZcFhWP0ESe6mG,4A0TivfinfALCAMJqqjZIk</t>
  </si>
  <si>
    <t>Funk Wav Bounces Vol.1</t>
  </si>
  <si>
    <t>5bcTCxgc7xVfSaMV3RuVke</t>
  </si>
  <si>
    <t>7CajNmpbOovFoOoasH2HaY,2RdwBSPQiwcmiDo9kixcl8,6jJ0s89eD6GaHleKKya26X,0c173mlxpT3dSFRgMO8XPh,4A0TivfinfALCAMJqqjZIk</t>
  </si>
  <si>
    <t>22mek4IiqubGD9ctzxc69s</t>
  </si>
  <si>
    <t>7CajNmpbOovFoOoasH2HaY,5EehXjjMktLuJmbRsM7YfB</t>
  </si>
  <si>
    <t>0azC730Exh71aQlOt9Zj3y</t>
  </si>
  <si>
    <t>7CajNmpbOovFoOoasH2HaY,5pKCCKE2ajJHZ9KAiaK11H</t>
  </si>
  <si>
    <t>6YUTL4dYpB9xZO5qExPf05</t>
  </si>
  <si>
    <t>33CfD8UkDEcSdAP9j4QpUY</t>
  </si>
  <si>
    <t>All Day And Night (Jax Jones &amp; Martin Solveig Present Europa)</t>
  </si>
  <si>
    <t>2MlcK8OgC5IpQz3l093YSR</t>
  </si>
  <si>
    <t>0UeYCHOETPfai02uskjJ3x</t>
  </si>
  <si>
    <t>6fXEqmGQEt6ONuqVmwrN46</t>
  </si>
  <si>
    <t>Bag Raiders (Deluxe)</t>
  </si>
  <si>
    <t>5N5k9nd479b1xpDZ4usjrg</t>
  </si>
  <si>
    <t>7CajNmpbOovFoOoasH2HaY,2wY79sveU1sp5g7SokKOiI,3KedxarmBCyFBevnqQHy3P</t>
  </si>
  <si>
    <t>3u1S1OmAUhx5DRlLrXqyp3</t>
  </si>
  <si>
    <t>1HBjj22wzbscIZ9sEb5dyf,1INuLZXjjVbcJRyWvD1iSq</t>
  </si>
  <si>
    <t>6UqRGwjwYL0stXbaodTxwo</t>
  </si>
  <si>
    <t>5cBeFQv3kBVP8o15CmPTKb</t>
  </si>
  <si>
    <t>Seve (Radio Edit)</t>
  </si>
  <si>
    <t>2015-01-26</t>
  </si>
  <si>
    <t>0TuyIsv5R7qLQan2HQpmKc</t>
  </si>
  <si>
    <t>09agIJMxCD2k87ys9Al0f0</t>
  </si>
  <si>
    <t>3HRlmZxRIxSKUEiTtMUhsj</t>
  </si>
  <si>
    <t>6VD4UEUPvtsemqD3mmTqCR</t>
  </si>
  <si>
    <t>2014-02-25</t>
  </si>
  <si>
    <t>0gb1J5UrTpzaU1s3nupgCd</t>
  </si>
  <si>
    <t>4zLBcDtvYNVtF9fnG6lme3</t>
  </si>
  <si>
    <t>3t5xRXzsuZmMDkQzgOX35S,2TL8gYTNgD6nXkyuUdDrMg</t>
  </si>
  <si>
    <t>Prayer</t>
  </si>
  <si>
    <t>2014-09-16</t>
  </si>
  <si>
    <t>08bNPGLD8AhKpnnERrAc6G</t>
  </si>
  <si>
    <t>64KEffDW9EtZ1y2vBYgq8T,1zNqDE7qDGCsyzJwohVaoX</t>
  </si>
  <si>
    <t>4J7CKHCF3mdL4diUsmW8lq</t>
  </si>
  <si>
    <t>7CajNmpbOovFoOoasH2HaY,4AVFqumd2ogHFlRbKIjp1t,3w4VAlllkAWI6m0AV0Gn6a</t>
  </si>
  <si>
    <t>4OZEu0Vwq0RB2LAq14v99n</t>
  </si>
  <si>
    <t>540vIaP2JwjQb9dm3aArA4,0CjWKoS55T7DOt0HJuwF1H</t>
  </si>
  <si>
    <t>1CUVN2kn7mW5FjkqXTR2W1</t>
  </si>
  <si>
    <t>6Yk4bl2ZRvbf8igj4oQvmV</t>
  </si>
  <si>
    <t>69GGBxA162lTqCwzJG5jLp,6jsjhAEteAlY0vCiLvMLBA,27fy6rHPC58Eo2VUu0iJSG</t>
  </si>
  <si>
    <t>Roses (Remixes) (feat. ROZES)</t>
  </si>
  <si>
    <t>12MqM3S0fTvR6X4Jt1Xvn6</t>
  </si>
  <si>
    <t>69GGBxA162lTqCwzJG5jLp,521qvhdobR0GzhvU6TFw76,1oKdM70mJD8VvDOTKeS8t1</t>
  </si>
  <si>
    <t>3vv9phIu6Y1vX3jcqaGz5Z</t>
  </si>
  <si>
    <t>69GGBxA162lTqCwzJG5jLp,6jsjhAEteAlY0vCiLvMLBA</t>
  </si>
  <si>
    <t>1i1fxkWeaMmKEB4T7zqbzK</t>
  </si>
  <si>
    <t>69GGBxA162lTqCwzJG5jLp,6Dd3NScHWwnW6obMFbl1BH</t>
  </si>
  <si>
    <t>4BiiOzZCrXEzHRLYcYFiD5</t>
  </si>
  <si>
    <t>69GGBxA162lTqCwzJG5jLp,3XC57xz74X3xUi1hv4mge1</t>
  </si>
  <si>
    <t>72jbDTw1piOOj770jWNeaG</t>
  </si>
  <si>
    <t>7BKLCZ1jbUBVqRi2FVlTVw</t>
  </si>
  <si>
    <t>69GGBxA162lTqCwzJG5jLp,26VFTg2z8YR0cCuwLzESi2</t>
  </si>
  <si>
    <t>0jiFug6s3muiJ0YHJUv7QJ</t>
  </si>
  <si>
    <t>2LY0E3xg8svCVYXVNTze5T,7iymigONRODGl6XJIprcuF</t>
  </si>
  <si>
    <t>3n3HbqXgdpMRZ0ehEA8TZL</t>
  </si>
  <si>
    <t>5CVsjwjuzUOrlEc2OJbUg4,6ATGuATiaPOyjNIc5AjP3R</t>
  </si>
  <si>
    <t>2016-05-14</t>
  </si>
  <si>
    <t>5wzjJvNV4DpDtT53KapSLH</t>
  </si>
  <si>
    <t>60ELFqAhwT7jwRKJV6Rgfx</t>
  </si>
  <si>
    <t>4icP6VWlKBLIHzl0bBD4xw</t>
  </si>
  <si>
    <t>07QEuhtrNmmZ0zEcqE9SF6</t>
  </si>
  <si>
    <t>Cinematic</t>
  </si>
  <si>
    <t>3DamFFqW32WihKkTVlwTYQ</t>
  </si>
  <si>
    <t>Ocean Eyes</t>
  </si>
  <si>
    <t>59mH1qOaKrtOGGOu8kCrxg</t>
  </si>
  <si>
    <t>27fy6rHPC58Eo2VUu0iJSG</t>
  </si>
  <si>
    <t>2015-07-07</t>
  </si>
  <si>
    <t>3mof6Z6vz6gonsuIEQXank</t>
  </si>
  <si>
    <t>1kwGj7uDO5WXVXtQLvGJr0,76M2Ekj8bG8W7X2nbx2CpF</t>
  </si>
  <si>
    <t>2015-10-12</t>
  </si>
  <si>
    <t>7ppz0b5ecGXM8xHg5yGDhK</t>
  </si>
  <si>
    <t>41rVuRHYAiH7ltBTHVR9We,5KtyvSnzn6NcqukCOsjfe0</t>
  </si>
  <si>
    <t>6kUB88CQG4dAOkUmURwBLA</t>
  </si>
  <si>
    <t>41rVuRHYAiH7ltBTHVR9We,64KEffDW9EtZ1y2vBYgq8T</t>
  </si>
  <si>
    <t>1tndktY8ZFXapGYIeHUGR2</t>
  </si>
  <si>
    <t>4gA8RYIv4IG31JqKUM0QnW</t>
  </si>
  <si>
    <t>0P2bZXPyjHYRW4guHVAFl1,29zGrq344VFRdjeg1RyrdS,0Dt97GvTO4dxdBYqyxLwLY</t>
  </si>
  <si>
    <t>7eurOgoz8MJB50prrw3Sv5</t>
  </si>
  <si>
    <t>0P2bZXPyjHYRW4guHVAFl1,1BeMe0yy4Sqo29rnqkZ1tc,7d5SfGXKpgS3JK8BFIq59h</t>
  </si>
  <si>
    <t>2016-04-17</t>
  </si>
  <si>
    <t>6YeUIhr2njkkCBaBBrRK9j</t>
  </si>
  <si>
    <t>45eNHdiiabvmbp4erw26rg,59Yq0xrABEihHANsfo9QMT,0CjWKoS55T7DOt0HJuwF1H</t>
  </si>
  <si>
    <t>61sor95BL63MCvZYgKK8KM</t>
  </si>
  <si>
    <t>45eNHdiiabvmbp4erw26rg,7Gui07OSDQGktpwL3oH8yt</t>
  </si>
  <si>
    <t>4pioeMejnqa4T3QAEqwVA3</t>
  </si>
  <si>
    <t>45eNHdiiabvmbp4erw26rg,4LZ4De2MoO3lP6QaNCfvcu,0kErUwb6xgWfkdn0RyZWHZ</t>
  </si>
  <si>
    <t>1SyjFJu9xk5CpYD6bm1tjl</t>
  </si>
  <si>
    <t>3cBbeY7DCckx8eEQ70AM5y</t>
  </si>
  <si>
    <t>45eNHdiiabvmbp4erw26rg,6SnMMbLQ4iS8WIyt3ksmCR</t>
  </si>
  <si>
    <t>6tPnAqe6UNeKMoOrruBSEi</t>
  </si>
  <si>
    <t>45eNHdiiabvmbp4erw26rg,2y9j8qUwBMGPYPQJJxmYzD</t>
  </si>
  <si>
    <t>17Efhyf4A96n0EFXKeB7Ya</t>
  </si>
  <si>
    <t>45eNHdiiabvmbp4erw26rg,0fs8oBR1rx7JIXZi75h7Uu</t>
  </si>
  <si>
    <t>1ucn3B55IQQcQ8PPHcFtDS</t>
  </si>
  <si>
    <t>45eNHdiiabvmbp4erw26rg,4lCrbeUQSDPqegDkqrhKCL</t>
  </si>
  <si>
    <t>6f1oG9hTx3NETgV6q4rkw5</t>
  </si>
  <si>
    <t>45eNHdiiabvmbp4erw26rg</t>
  </si>
  <si>
    <t>5Cevkgj9FyNRFIwY3xSCn8</t>
  </si>
  <si>
    <t>45eNHdiiabvmbp4erw26rg,5mYakBbBzPMQTfkVMIgiDM</t>
  </si>
  <si>
    <t>2BXrD937cFvC3vNhMBG7my</t>
  </si>
  <si>
    <t>Star Dancefloor</t>
  </si>
  <si>
    <t>2012-11-12</t>
  </si>
  <si>
    <t>4VTRlB4KVaNfm7ZbMOKLNT</t>
  </si>
  <si>
    <t>Stamp On The Ground</t>
  </si>
  <si>
    <t>2009-09-25</t>
  </si>
  <si>
    <t>04rtmkmKP8MEhGS3LZBiFu</t>
  </si>
  <si>
    <t>5p7f24Rk5HkUZsaS3BLG5F,1okJ4NC308qbtY9LyHn6DO</t>
  </si>
  <si>
    <t>Cinquante Nuances Plus Claires (Bande Originale du Film)</t>
  </si>
  <si>
    <t>5IolIhX7z2V9kpzoy2dWiw</t>
  </si>
  <si>
    <t>0MsGeX5id3jBCMzGs8tqu1</t>
  </si>
  <si>
    <t>33o00sXuyWiApOFzo0vr0z,1t20wYnTiAT0Bs7H1hv9Wt</t>
  </si>
  <si>
    <t>Dysphoria</t>
  </si>
  <si>
    <t>2015-06-23</t>
  </si>
  <si>
    <t>5oyCruHORvRI8UEh9xVyam</t>
  </si>
  <si>
    <t>Heaven on Hold</t>
  </si>
  <si>
    <t>2qdjgXaSMJrG6bRc2Qt6oS</t>
  </si>
  <si>
    <t>2cppGOIz0cuDnKoGzrDsJQ</t>
  </si>
  <si>
    <t>0sJ4NbFdEhgLOtInlbRmFl</t>
  </si>
  <si>
    <t>ATLAS</t>
  </si>
  <si>
    <t>5Sco7mbJy7p7vdDtJW10fZ</t>
  </si>
  <si>
    <t>6hypt8VPJxeMXTTcRUHS86</t>
  </si>
  <si>
    <t>0VeoSHlgashtg5JYPJjl15</t>
  </si>
  <si>
    <t>6rrKbzJGGDlSZgLphopS49</t>
  </si>
  <si>
    <t>3SWqGa1J0M7hSBUDM0KePD</t>
  </si>
  <si>
    <t>2xrW6sZRmahuSAQMxO4BmJ</t>
  </si>
  <si>
    <t>78XfOXpUShe7mFwhjBEd94</t>
  </si>
  <si>
    <t>2wX6xSig4Rig5kZU6ePlWe,35rZNMlMkBs7ghHmGKt0xq</t>
  </si>
  <si>
    <t>My Best Life (feat. Mike Waters) [Club Mix]</t>
  </si>
  <si>
    <t>2019-08-05</t>
  </si>
  <si>
    <t>3TouNBLPOYREh5cIlDoI8n</t>
  </si>
  <si>
    <t>06bun5reMRmLxFCbcB6UHW,2qZwOcOK5pr8WaNJWvuZd2</t>
  </si>
  <si>
    <t>6y2R2ZlcAa6RlPYNoococC</t>
  </si>
  <si>
    <t>7i9D3b5D9UQPnnG58MJfn7,7szwIliQiPcrgqWrm0RKwO</t>
  </si>
  <si>
    <t>2RFIi9VvFES5EwHmdb6Xnz</t>
  </si>
  <si>
    <t>6FBUHxCdl6ePwkYY6JMclM,7CqltXhCBv0seWSgUsJcPV,50JJSqHUf2RQ9xsHs0KMHg</t>
  </si>
  <si>
    <t>7fa9MBXhVfQ8P8Df9OEbD8</t>
  </si>
  <si>
    <t>04gDigrS5kc9YWfZHwBETP,4kYSro6naA4h99UJvo89HB</t>
  </si>
  <si>
    <t>358m2SkMqdbJSSKjAjV4sW</t>
  </si>
  <si>
    <t>6gK1Uct5FEdaUWRWpU4Cl2,3XFcu2NnGWceLNdxRCfYH3,1aSwrSGBNGMLn9ymttfRkk</t>
  </si>
  <si>
    <t>Problems Remixes</t>
  </si>
  <si>
    <t>6Oc37SFRKtqaVI5RWiwLdc</t>
  </si>
  <si>
    <t>2014-09-25</t>
  </si>
  <si>
    <t>1cbiseIb2jg2xzf48InKkc</t>
  </si>
  <si>
    <t>4IuWSIEfIed8aZb49YA4Cj,7kANMNctYR16urrVo7GTSR</t>
  </si>
  <si>
    <t>7MTZVwYiEahXQIyCU2FLPV</t>
  </si>
  <si>
    <t>7kANMNctYR16urrVo7GTSR</t>
  </si>
  <si>
    <t>2015-05-14</t>
  </si>
  <si>
    <t>3Z8MtqXPuviYvYpJHUR3PJ</t>
  </si>
  <si>
    <t>4s4XzNKcU3PtmeV7OdXDmv</t>
  </si>
  <si>
    <t>0lfD4Ye7RAbP8FQiuE6aFs,0kjukWYfMpUe8Yr2c9S9Sj</t>
  </si>
  <si>
    <t>5TnRKumlakTY778WR9oBvR</t>
  </si>
  <si>
    <t>0t5H8FcoVPzn4sVeNxibMU,5v63dT2oEtPdBVdaG6M2ey</t>
  </si>
  <si>
    <t>6QWEpb2UewCfeMHZeMO5PR</t>
  </si>
  <si>
    <t>0t5H8FcoVPzn4sVeNxibMU,7cNksYHo3MZTuJPnUVAO3E</t>
  </si>
  <si>
    <t>NCS: Infinity</t>
  </si>
  <si>
    <t>4yYEgt4ipq9sqPcSugE6p4</t>
  </si>
  <si>
    <t>0t5H8FcoVPzn4sVeNxibMU,6n8gDEl7sDBnK4z08bsijw</t>
  </si>
  <si>
    <t>2015-10-31</t>
  </si>
  <si>
    <t>54fiTamOOfnsB9wmxhaENl</t>
  </si>
  <si>
    <t>0t5H8FcoVPzn4sVeNxibMU,41DKMtAnhVo7aDeluAHDJg,0daSHuKxoXYl50HIQ9aKzt</t>
  </si>
  <si>
    <t>Feels Right (Radio Edit)</t>
  </si>
  <si>
    <t>5ZiHgUvekvEbdRXO4pn7HQ</t>
  </si>
  <si>
    <t>2015-01-31</t>
  </si>
  <si>
    <t>6ULbkJ16YabZNdJMHsIVmE</t>
  </si>
  <si>
    <t>0pCGA9tdtbWwo1pKIs0CFx</t>
  </si>
  <si>
    <t>08z6EsebfUH0Q6J0Wf3eWf</t>
  </si>
  <si>
    <t>0pCGA9tdtbWwo1pKIs0CFx,1EkJy0Tz2PYa8ohGWOnqkw</t>
  </si>
  <si>
    <t>2014-11-13</t>
  </si>
  <si>
    <t>5uvJFkaN571MYOyNODQtze</t>
  </si>
  <si>
    <t>5EEuae5uigQnwgYCl0s8EF,18F4oSUUPMcYHSZZ2INjcf</t>
  </si>
  <si>
    <t>2015-04-22</t>
  </si>
  <si>
    <t>5oFNTOPx7Zwqi36F4Mnpnh</t>
  </si>
  <si>
    <t>5EEuae5uigQnwgYCl0s8EF</t>
  </si>
  <si>
    <t>2016</t>
  </si>
  <si>
    <t>6XCxVwAVnguMT4yN3YIC5U</t>
  </si>
  <si>
    <t>4YSY7W5Kj82QPZbbkqWAbb</t>
  </si>
  <si>
    <t>Nostalgia 64</t>
  </si>
  <si>
    <t>5VJNJ4eYDfqcybAn6c4ufV</t>
  </si>
  <si>
    <t>Antipixel</t>
  </si>
  <si>
    <t>2015-08-10</t>
  </si>
  <si>
    <t>34XufJGHtR31o64VEbY0xt</t>
  </si>
  <si>
    <t>3n0zUFcqgG1Yg7BPJEC4uV</t>
  </si>
  <si>
    <t>2Qjtb7JOzyhlQaIkSfVF62</t>
  </si>
  <si>
    <t>3K0GDmmiRwn1Zc7RZzTeAz,5EEuae5uigQnwgYCl0s8EF</t>
  </si>
  <si>
    <t>0VgKHBRCxOKf1YAlo4Zrqd</t>
  </si>
  <si>
    <t>5beNQx8Rsr5StjfjIhwS4o</t>
  </si>
  <si>
    <t>2015-11-22</t>
  </si>
  <si>
    <t>0O2t6ZqUyXze505PIxc2mz</t>
  </si>
  <si>
    <t>5beNQx8Rsr5StjfjIhwS4o,6BgeZ25p2wLpMEWUQqvYNJ</t>
  </si>
  <si>
    <t>2012-01-24</t>
  </si>
  <si>
    <t>0qoWHbeL3N2ldLxh4d37Sh</t>
  </si>
  <si>
    <t>4aXRgvgFyUleNwakv1zNZp</t>
  </si>
  <si>
    <t>3Fk8bs3cn1To3RirJk4Q8e</t>
  </si>
  <si>
    <t>15BlympuVSfZFROojEMY2M</t>
  </si>
  <si>
    <t>69GGBxA162lTqCwzJG5jLp,6Dd3NScHWwnW6obMFbl1BH,45eNHdiiabvmbp4erw26rg</t>
  </si>
  <si>
    <t>Don't Let Me Down (Remixes) (feat. Daya)</t>
  </si>
  <si>
    <t>6wo37KVqFJhtuxPTpLCcfe</t>
  </si>
  <si>
    <t>World War Joy...Takeaway</t>
  </si>
  <si>
    <t>3erAiWBiKsbVG39cqCrsI0</t>
  </si>
  <si>
    <t>4f9iBmdUOhQWeP7dcAn1pf</t>
  </si>
  <si>
    <t>1zi7xx7UVEFkmKfv06H8x0</t>
  </si>
  <si>
    <t>3TVXtAsR1Inumwj472S9r4,3tVQdUvClmAT7URs9V3rsp,77DAFfvm3O9zT5dIoG0eIO</t>
  </si>
  <si>
    <t>Views</t>
  </si>
  <si>
    <t>2016-05-06</t>
  </si>
  <si>
    <t>7dt6x5M1jzdTEt8oCbisTK</t>
  </si>
  <si>
    <t>246dkjvS1zLTtiykXe5h60</t>
  </si>
  <si>
    <t>3cFsmM51N5zMAuu1nNY4Tw</t>
  </si>
  <si>
    <t>5itOtNx0WxtJmi1TQ3RuRd</t>
  </si>
  <si>
    <t>7CajNmpbOovFoOoasH2HaY,4f9iBmdUOhQWeP7dcAn1pf</t>
  </si>
  <si>
    <t>23L5CiUhw2jV1OIMwthR3S</t>
  </si>
  <si>
    <t>60d24wfXkVzDSfLS6hyCjZ,64M6ah0SkkRsnPGtGiRAbb</t>
  </si>
  <si>
    <t>5CLGzJsGqhCEECcpnFQA8x</t>
  </si>
  <si>
    <t>5ljDRYaFEZy9INmM8Fl81e</t>
  </si>
  <si>
    <t>4SLEmV2rAQ71Ts0qyDGhE8,6bTG3OP5laBeEb27xgfoqT</t>
  </si>
  <si>
    <t>1Kr8qVQBldnHQbaMW7wS69</t>
  </si>
  <si>
    <t>12rBrcOPP50qIan8ew4iTP,25UzUBawTt2efMKKYNE4Qy</t>
  </si>
  <si>
    <t>2016-03-08</t>
  </si>
  <si>
    <t>7uzudGwu8EG5deuFD7EEJm</t>
  </si>
  <si>
    <t>2IjiuEObrCKyZvSb8xLxG9,0lzV2CiahHRiGd6qpADtPS</t>
  </si>
  <si>
    <t>7AK7Gj31ajJjpIPd9bxs43</t>
  </si>
  <si>
    <t>7f5Zgnp2spUuuzKplmRkt7,5gtYjyZlmPOc1lLHvYzCON</t>
  </si>
  <si>
    <t>Less is More</t>
  </si>
  <si>
    <t>05ZT8qhvwrfQrBeTuAJz4j</t>
  </si>
  <si>
    <t>2tQB3yQenRXZ0M8DR0Lp4Z</t>
  </si>
  <si>
    <t>7DMveApC7UnC2NPfPvlHSU,1b4DN8Vj0dnj5cceMFsRYN</t>
  </si>
  <si>
    <t>Let Me Hold You (Turn Me On)</t>
  </si>
  <si>
    <t>1louJpMmzEicAn7lzDalPW</t>
  </si>
  <si>
    <t>7DMveApC7UnC2NPfPvlHSU,6S2OmqARrzebs0tKUEyXyp</t>
  </si>
  <si>
    <t>1qp0ptMXNg9hqLH8sk7cc2</t>
  </si>
  <si>
    <t>1IueXOQyABrMOprrzwQJWN,7mWMzxN6IAIQ1tfFFtAiQv</t>
  </si>
  <si>
    <t>5s7xgzXtmY4gMjeSlgisjy</t>
  </si>
  <si>
    <t>2CPqh63wRVscbceKcPxwvv</t>
  </si>
  <si>
    <t>6lB8vOoI4DRrrVxXwuV19c,7eCmccnRwPmRnWPw61x6jM</t>
  </si>
  <si>
    <t>2016-04-15</t>
  </si>
  <si>
    <t>483XiZ5o13Cc1zoWV7jGml</t>
  </si>
  <si>
    <t>5nki7yRhxgM509M5ADlN1p,4EPJlUEBy49EX1wuFOvtjK</t>
  </si>
  <si>
    <t>Gecko (Overdrive)</t>
  </si>
  <si>
    <t>2014-06-03</t>
  </si>
  <si>
    <t>77OTLjQKtA32i2Ed4LEZ2q</t>
  </si>
  <si>
    <t>147jymD5t0TCXW0DbaXry0,5xJ32qIdXRe84ETWIv2RDA</t>
  </si>
  <si>
    <t>7vRriwrloYVaoAe3a9wJHe</t>
  </si>
  <si>
    <t>3iri9nBFs9e4wN7PLIetAw,1QRj3hoop9Mv5VvHQkwPEp</t>
  </si>
  <si>
    <t>us</t>
  </si>
  <si>
    <t>2P91MQbaiQOfbiz9VqhqKQ</t>
  </si>
  <si>
    <t>7COXchtUOMd6uIT6HvmRaI</t>
  </si>
  <si>
    <t>5JZ7CnR6gTvEMKX4g70Amv,3WGpXCj9YhhfX11TToZcXP</t>
  </si>
  <si>
    <t>2019-01-24</t>
  </si>
  <si>
    <t>2q9VwAS0T1CgJuvTwPERiZ</t>
  </si>
  <si>
    <t>4YXycRbyyAE0wozTk7QMEq,55fhWPvDiMpLnE4ZzNXZyW</t>
  </si>
  <si>
    <t>One in a Million</t>
  </si>
  <si>
    <t>3EaxenS8sXYOyntQwTEYMw</t>
  </si>
  <si>
    <t>74oOUKkcJV5s3bEWXGebHY,0DM4K3omFSjObY8CLj229h</t>
  </si>
  <si>
    <t>2019-05-25</t>
  </si>
  <si>
    <t>653QMEuurQeEMP6Nt58yFD</t>
  </si>
  <si>
    <t>2XWRdd4hm0QGvleXOW9YoO</t>
  </si>
  <si>
    <t>2014-09-15</t>
  </si>
  <si>
    <t>1xobJHNsdoBQAJ2cgSfHVu</t>
  </si>
  <si>
    <t>2UmIV6L2kavGpZnti5YIrL</t>
  </si>
  <si>
    <t>1My0Hfu5dTCbYisBk9ZRGr</t>
  </si>
  <si>
    <t>The Aviary</t>
  </si>
  <si>
    <t>3bvjsHQd792zIO4SKFxXKs</t>
  </si>
  <si>
    <t>4sTQVOfp9vEMCemLw50sbu,3iN9k8uvm4WrgdlOigOH8D</t>
  </si>
  <si>
    <t>4fC6tDEFmSBBCRBUOPeQ8b</t>
  </si>
  <si>
    <t>23fqKkggKUBHNkbKtXEls4,6eVWXmKBW7Iltub01D9R1c,4sTQVOfp9vEMCemLw50sbu</t>
  </si>
  <si>
    <t>Think About You (Galantis Remix)</t>
  </si>
  <si>
    <t>3aIhJDHxr1kgTSnutJxPTH</t>
  </si>
  <si>
    <t>Pharmacy</t>
  </si>
  <si>
    <t>2015-06-05</t>
  </si>
  <si>
    <t>46lFttIf5hnUZMGvjK0Wxo</t>
  </si>
  <si>
    <t>6M6Tk58pQvABy6ru66dY3d</t>
  </si>
  <si>
    <t>1pfgsjmxVZhoZpeDx6POKv</t>
  </si>
  <si>
    <t>4sTQVOfp9vEMCemLw50sbu,5Pwc4xIPtQLFEnJriah9YJ</t>
  </si>
  <si>
    <t>0tPQPaOKM32WgMSbPCYyRH</t>
  </si>
  <si>
    <t>1Cs0zKBU1kc0i8ypK3B9ai,4D75GcNG95ebPtNvoNVXhz,25uiPmTg16RbhZWAqwLBy5,6vXTefBL93Dj5IqAWq6OTv</t>
  </si>
  <si>
    <t>2017-11-02</t>
  </si>
  <si>
    <t>2Gl0FzuLxflY6nPifJp5Dr</t>
  </si>
  <si>
    <t>23fqKkggKUBHNkbKtXEls4,0X2BH1fck6amBIoJhDVmmJ</t>
  </si>
  <si>
    <t>2GgxS8bUT5G25QJTsfSv0R</t>
  </si>
  <si>
    <t>Halcyon Days</t>
  </si>
  <si>
    <t>3zHq9ouUJQFQRf3cm1rRLu</t>
  </si>
  <si>
    <t>Delirium (Deluxe)</t>
  </si>
  <si>
    <t>6kls8cSlUyHW2BUOkDJIZE</t>
  </si>
  <si>
    <t>0X2BH1fck6amBIoJhDVmmJ,4MCBfE4596Uoi2O4DtmEMz</t>
  </si>
  <si>
    <t>2019-06-26</t>
  </si>
  <si>
    <t>2wqaekenSQZm7hxQOYt8oE</t>
  </si>
  <si>
    <t>0awl5piYwO0CDTHEkCjUhn</t>
  </si>
  <si>
    <t>2014-01-21</t>
  </si>
  <si>
    <t>5Sf3GyLEAzJXxZ5mbCPXTu</t>
  </si>
  <si>
    <t>33W1pnW9zScZtYTnAoWnOT,3t5xRXzsuZmMDkQzgOX35S</t>
  </si>
  <si>
    <t>Waves (Robin Schulz Radio Edit)</t>
  </si>
  <si>
    <t>2014-02-07</t>
  </si>
  <si>
    <t>0Vct1PkjAYGH2X4iwNVR71</t>
  </si>
  <si>
    <t>2qv1mMhFsLq3NTftPx9Wwo</t>
  </si>
  <si>
    <t>3Lc8Xm0rp4eQXqEoZghGmY</t>
  </si>
  <si>
    <t>1nf5yEVCfMbqm1OCYpntBT</t>
  </si>
  <si>
    <t>ALL THIS MUSIC, Vol. 1</t>
  </si>
  <si>
    <t>2aivSjmdKjg8pp2ssdSSkh</t>
  </si>
  <si>
    <t>1nf5yEVCfMbqm1OCYpntBT,3ApUX1o6oSz321MMECyIYd</t>
  </si>
  <si>
    <t>0jWYIVQ6q5ixWpdUYpcEeh</t>
  </si>
  <si>
    <t>6gK1Uct5FEdaUWRWpU4Cl2,3W9UldYu0xJcaOAw2SUTDI</t>
  </si>
  <si>
    <t>Presence</t>
  </si>
  <si>
    <t>1952SQ7t45GNIkXOXHxHCl</t>
  </si>
  <si>
    <t>2EEZdCeGp095urJDE3wEpS</t>
  </si>
  <si>
    <t>1USj0dJqfBxnOiwiOuB7pU</t>
  </si>
  <si>
    <t>6gK1Uct5FEdaUWRWpU4Cl2,4kYGAK2zu9EAomwj3hXkXy</t>
  </si>
  <si>
    <t>3WRQUvzRvBDr4AxMWhXc5E</t>
  </si>
  <si>
    <t>5Gu0PDLN4YJeW75PpBSg9p</t>
  </si>
  <si>
    <t>5p7f24Rk5HkUZsaS3BLG5F,4AVFqumd2ogHFlRbKIjp1t,3b8QkneNDz4JHKKKlLgYZg,4olE3I5QU0dvSR7LIpqTXc</t>
  </si>
  <si>
    <t>36phXHOKx8rO7CMp2vNX4x</t>
  </si>
  <si>
    <t>HAIZ</t>
  </si>
  <si>
    <t>10GJQkjRJcZhGTLagFOC62</t>
  </si>
  <si>
    <t>1XJ93XskwJf7PCyIVLbNBt</t>
  </si>
  <si>
    <t>0ZED1XzwlLHW4ZaG4lOT6m,0C8ZW7ezQVs4URX5aX7Kqx</t>
  </si>
  <si>
    <t>Inner Monologue Part 1</t>
  </si>
  <si>
    <t>0xG0SHshCStMEyNbNC5d4k</t>
  </si>
  <si>
    <t>Nervous System</t>
  </si>
  <si>
    <t>5WtfUKzXircvW8l5aaVZWT</t>
  </si>
  <si>
    <t>0ZED1XzwlLHW4ZaG4lOT6m,1Hsdzj7Dlq2I7tHP7501T4</t>
  </si>
  <si>
    <t>0Ult84lvFuqNvbyXwyRQ58</t>
  </si>
  <si>
    <t>6MDME20pz9RveH9rEXvrOM,0ZED1XzwlLHW4ZaG4lOT6m</t>
  </si>
  <si>
    <t>2hnxrRNzF74mdDzpQZQukQ</t>
  </si>
  <si>
    <t>5JZ7CnR6gTvEMKX4g70Amv,0ZED1XzwlLHW4ZaG4lOT6m</t>
  </si>
  <si>
    <t>5Fla3zyOCcIRqrDoKLU0DP</t>
  </si>
  <si>
    <t>5CCwRZC6euC8Odo6y9X8jr</t>
  </si>
  <si>
    <t>Phoenix (Deluxe Edition)</t>
  </si>
  <si>
    <t>7FCfMXYTIiQ9b4hDYs4Iol</t>
  </si>
  <si>
    <t>3ebXMykcMXOcLeJ9xZ17XH</t>
  </si>
  <si>
    <t>60d24wfXkVzDSfLS6hyCjZ,6M2wZ9GZgrQXHCFfjv46we</t>
  </si>
  <si>
    <t>7ef4DlsgrMEH11cDZd32M6</t>
  </si>
  <si>
    <t>7CajNmpbOovFoOoasH2HaY,6M2wZ9GZgrQXHCFfjv46we</t>
  </si>
  <si>
    <t>2ekn2ttSfGqwhhate0LSR0</t>
  </si>
  <si>
    <t>76cy1WJvNGJTj78UqeA5zr</t>
  </si>
  <si>
    <t>7CotyU8EcChJlqOFnxPPmI</t>
  </si>
  <si>
    <t>0vqJkZ0RpLZixt3lTmD8vP,6P5NO5hzJbuOqSdyPB7SJM</t>
  </si>
  <si>
    <t>07CQ0ux2CwbaVN05sfG1zN</t>
  </si>
  <si>
    <t>6wKxOKEA3K6R2UZ3COLXEY,0vqJkZ0RpLZixt3lTmD8vP</t>
  </si>
  <si>
    <t>0lchLc0vSyRRqKSPIkFtJI</t>
  </si>
  <si>
    <t>0vqJkZ0RpLZixt3lTmD8vP,5cIc3SBFuBLVxJz58W2tU9</t>
  </si>
  <si>
    <t>2mIh8wXcUsTABbZbDel5Si</t>
  </si>
  <si>
    <t>0vqJkZ0RpLZixt3lTmD8vP,6M2wZ9GZgrQXHCFfjv46we</t>
  </si>
  <si>
    <t>08Kj0lvbsqAxzeUOBYZRL6</t>
  </si>
  <si>
    <t>0vqJkZ0RpLZixt3lTmD8vP,1hssO6mIBREUt4w6riUeBp</t>
  </si>
  <si>
    <t>556l9P7WVZVyYUBjT1YFTT</t>
  </si>
  <si>
    <t>0vqJkZ0RpLZixt3lTmD8vP,6TLwD7HPWuiOzvXEa3oCNe</t>
  </si>
  <si>
    <t>7wKzj1b8YKPuZELfVDz708</t>
  </si>
  <si>
    <t>6gK1Uct5FEdaUWRWpU4Cl2,1aSwrSGBNGMLn9ymttfRkk</t>
  </si>
  <si>
    <t>2rqR1bvEAmLHCNWBvyDt0V</t>
  </si>
  <si>
    <t>27fy6rHPC58Eo2VUu0iJSG,0hsokEgVmrRVMeirBtwr9p</t>
  </si>
  <si>
    <t>75ls0gurX68lUmMjE7QcsE</t>
  </si>
  <si>
    <t>3gIRvgZssIb9aiirIg0nI3</t>
  </si>
  <si>
    <t>glisten</t>
  </si>
  <si>
    <t>7ykMO4py7Nvrgf2vUHBkzr</t>
  </si>
  <si>
    <t>5eIbEEQnDM8yuDVB0bimSP,6Dd3NScHWwnW6obMFbl1BH</t>
  </si>
  <si>
    <t>2eS6pqoic3puCKVWmwZxD3</t>
  </si>
  <si>
    <t>4bazJLWIv8CuqmgxJRiGqo,5mNpMP01Co4vXZ3U0fWP3C</t>
  </si>
  <si>
    <t>2019-07-05</t>
  </si>
  <si>
    <t>7n1940b6kHcaEewFSZXnXa</t>
  </si>
  <si>
    <t>7wg1qvie3KqDNQbAkTdbX0,0FL2d6iFFNAV3yBUbXjZ1U</t>
  </si>
  <si>
    <t>Kids At Play- EP</t>
  </si>
  <si>
    <t>1DFD5Fotzgn6yYXkYsKiGs</t>
  </si>
  <si>
    <t>0xRXCcSX89eobfrshSVdyu,2nm38smINjms1LtczR0Cei</t>
  </si>
  <si>
    <t>0WHi11uzahqpEtPGYCW6oQ</t>
  </si>
  <si>
    <t>Narrated For You</t>
  </si>
  <si>
    <t>1roCmBlcpV7LzsmB7pmCyt</t>
  </si>
  <si>
    <t>5IH6FPUwQTxPSXurCrcIov,2wUjUUtkb5lvLKcGKsKqsR</t>
  </si>
  <si>
    <t>2W0AJEbIC2vdZTV2nVSAsg</t>
  </si>
  <si>
    <t>2qxmye6gAegTMjLKEBoR3d</t>
  </si>
  <si>
    <t>0rTV5WefWd1J3OwIheTzxM</t>
  </si>
  <si>
    <t>6LuN9FCkKOj5PcnpouEgny,6nS5roXSAGhTGr34W6n7Et</t>
  </si>
  <si>
    <t>2019-02-07</t>
  </si>
  <si>
    <t>7nRmfGNhHKEEu5o8yFXLXt</t>
  </si>
  <si>
    <t>6nS5roXSAGhTGr34W6n7Et,163tK9Wjr9P9DmM0AVK7lm</t>
  </si>
  <si>
    <t>Caracal (Deluxe)</t>
  </si>
  <si>
    <t>4kTBakk3h2S678cajDcVTw</t>
  </si>
  <si>
    <t>7ubEV4AIzzuaGKnl23GhjR</t>
  </si>
  <si>
    <t>5WdqBAQhGFCrZvBKXiPIu7,44pv88VpkRu39v0lupR2gZ</t>
  </si>
  <si>
    <t>4YRQQHfe0BXZACSuvaxGmW</t>
  </si>
  <si>
    <t>5WdqBAQhGFCrZvBKXiPIu7,1BCBAzjX8J0qpvNTPRDCLc</t>
  </si>
  <si>
    <t>Feels Like Home</t>
  </si>
  <si>
    <t>5poevcmYCOZ8uZQnUuOPxC</t>
  </si>
  <si>
    <t>5WdqBAQhGFCrZvBKXiPIu7</t>
  </si>
  <si>
    <t>3PTMcrpi5tbHzc8xxOZ8lG</t>
  </si>
  <si>
    <t>0ijhkvBpA7OBlY4clWSUZw</t>
  </si>
  <si>
    <t>Musique, Vol. 1</t>
  </si>
  <si>
    <t>2006-03-29</t>
  </si>
  <si>
    <t>6kqdfyMPuaP7xA0MLp6i33</t>
  </si>
  <si>
    <t>TRON: Legacy</t>
  </si>
  <si>
    <t>2010-12-03</t>
  </si>
  <si>
    <t>6pn21DwMsdRgTJA2wqh8PU</t>
  </si>
  <si>
    <t>Words I Never Said</t>
  </si>
  <si>
    <t>40jGEoOWxVGBSH3KAj10Vi</t>
  </si>
  <si>
    <t>2Y0W9OqExrVea1xEcCgYcS</t>
  </si>
  <si>
    <t>55BFQS36sJYz2B0ClypIvS,5ujrA1eZLDHR7yQ6FZa2qA</t>
  </si>
  <si>
    <t>2017-01-13</t>
  </si>
  <si>
    <t>69Lq3BWssbLhf4QDRtFY51</t>
  </si>
  <si>
    <t>5eIbEEQnDM8yuDVB0bimSP,360IAlyVv4PCEVjgyMZrxK</t>
  </si>
  <si>
    <t>3imS277wRbz1CFoDySgTff</t>
  </si>
  <si>
    <t>5eIbEEQnDM8yuDVB0bimSP,360IAlyVv4PCEVjgyMZrxK,0ZED1XzwlLHW4ZaG4lOT6m</t>
  </si>
  <si>
    <t>NOVA</t>
  </si>
  <si>
    <t>4ToogKQq58R9TvO40qRuxi</t>
  </si>
  <si>
    <t>2zbq8QdgWACnYdKTu2xIE4</t>
  </si>
  <si>
    <t>5xhHy5mpWsCkjo00LYRLSm</t>
  </si>
  <si>
    <t>1t20wYnTiAT0Bs7H1hv9Wt,04Y8tvC7J3R2k5iz73Zk0V</t>
  </si>
  <si>
    <t>2015-08-08</t>
  </si>
  <si>
    <t>4gUQmfnDAS7wwH0pzOH3Fb</t>
  </si>
  <si>
    <t>7fJALFBexDXzu0QdatF5O4</t>
  </si>
  <si>
    <t>1t20wYnTiAT0Bs7H1hv9Wt,3iri9nBFs9e4wN7PLIetAw</t>
  </si>
  <si>
    <t>i think you think too much of me</t>
  </si>
  <si>
    <t>6REPF37KwcWMqyk6XCuB7p</t>
  </si>
  <si>
    <t>7EkMIQ2PzEzwQroLl6dUvw</t>
  </si>
  <si>
    <t>vertigo</t>
  </si>
  <si>
    <t>0Mf6WhWLfOpzOxacvbcboj</t>
  </si>
  <si>
    <t>26ZX2JrAb8AFbr8FFfAsO7</t>
  </si>
  <si>
    <t>6K6OCvFQ4i7KKfGJsOAqY1</t>
  </si>
  <si>
    <t>0ZAiqymvbQUZAh9y6ZT3Rm</t>
  </si>
  <si>
    <t>4L5FRe68MeXk40tnlgFAH0</t>
  </si>
  <si>
    <t>6fcTRFpz0yH79qSKfof7lp,6CCTvLyIHqUhY6VQizt150,0t3yoCFCow8O6LiUloM9cq</t>
  </si>
  <si>
    <t>1FRFgyPNuqfXIRYlCJ1kwR</t>
  </si>
  <si>
    <t>6fcTRFpz0yH79qSKfof7lp,2r7POU2f5jV6x3k4vsNwrM</t>
  </si>
  <si>
    <t>Days To Come EP</t>
  </si>
  <si>
    <t>569BGSWQapYD8Niuy67Cal</t>
  </si>
  <si>
    <t>6fcTRFpz0yH79qSKfof7lp,6WLP1sraOcF3Gaxp7xBa4p,2r7POU2f5jV6x3k4vsNwrM</t>
  </si>
  <si>
    <t>5ZQMiwA8y8BEslhMmtLxLv</t>
  </si>
  <si>
    <t>6fcTRFpz0yH79qSKfof7lp,6CCTvLyIHqUhY6VQizt150,5d1oOpLkM76Tgr2zWMTYkm</t>
  </si>
  <si>
    <t>27YD36FUikKxbp3bKSiKGZ</t>
  </si>
  <si>
    <t>6fcTRFpz0yH79qSKfof7lp,20DZAfCuP1TKZl5KcY7z3Q,7lZauDnRoAC3kmaYae2opv,6d0ZjIp5L7Ygy2l02HskRX</t>
  </si>
  <si>
    <t>3F1TIgyzrfdU4dF8c4C75U</t>
  </si>
  <si>
    <t>6fcTRFpz0yH79qSKfof7lp,521qvhdobR0GzhvU6TFw76,3qnMl4DHT4gndzFAcG4FlM,1sKIizVYeHkGy7Tjmn9QRj</t>
  </si>
  <si>
    <t>5GmhrrcziQz36B3R4AyJYE</t>
  </si>
  <si>
    <t>6fcTRFpz0yH79qSKfof7lp,1sY8XHjk6WoA2B5YIGV1S2</t>
  </si>
  <si>
    <t>6KjTXwntv8paBCL3El9TnV</t>
  </si>
  <si>
    <t>10gzBoINW3cLJfZUka8Zoe,3dWyWwLvZWsWtXZHhmAiFL,6fcTRFpz0yH79qSKfof7lp</t>
  </si>
  <si>
    <t>Sahara Love</t>
  </si>
  <si>
    <t>1ilyIkfTTyMsYV7o8ejp4t</t>
  </si>
  <si>
    <t>1N9n8MSxrr4Emhb566493b,2rYFy6vVM1YiECVIAHaJBY</t>
  </si>
  <si>
    <t>2017-01-12</t>
  </si>
  <si>
    <t>3FNrsc6ndpuiaKXqnt1mJI</t>
  </si>
  <si>
    <t>2rYFy6vVM1YiECVIAHaJBY,5pdyjBIaY5o1yOyexGIUc6</t>
  </si>
  <si>
    <t>5bfgoQ5VvhjLp5TM7PKzcC</t>
  </si>
  <si>
    <t>4IS0KnPoUDwlvWMzXX4Pbo,3CqIBKbIRHObYuudV8Yfwt,2GH5uRMxmuAWn90B8DEZU3</t>
  </si>
  <si>
    <t>Dear Neighbor</t>
  </si>
  <si>
    <t>2016-03-17</t>
  </si>
  <si>
    <t>6IYwmINyUdoz694R7mHcBq</t>
  </si>
  <si>
    <t>2018-04-09</t>
  </si>
  <si>
    <t>7v3WYixx1bznCyA58XxRcp</t>
  </si>
  <si>
    <t>6PUJGZFdU710GXZKBjkybw</t>
  </si>
  <si>
    <t>Even Though You're Gone</t>
  </si>
  <si>
    <t>6rFGZ7xFUrURaacI5SS86D</t>
  </si>
  <si>
    <t>6o475bolVDoECc4O5rKrqE</t>
  </si>
  <si>
    <t>6fcTRFpz0yH79qSKfof7lp,6SnMMbLQ4iS8WIyt3ksmCR</t>
  </si>
  <si>
    <t>2016-11-09</t>
  </si>
  <si>
    <t>1iNHfkMDKKngy30INll1a2</t>
  </si>
  <si>
    <t>1evVSrPwMFcdOyL804jlsL</t>
  </si>
  <si>
    <t>3BuFzaaIPQHAFqPubPzcIO</t>
  </si>
  <si>
    <t>5A5FuAAAfHTtqF55upYvuw</t>
  </si>
  <si>
    <t>0j7yF7CURZTm6rnJWOWIoV</t>
  </si>
  <si>
    <t>7xYcJfhrRx9Iv8smhoEibc,7ddnIV2r4SLjuwyGlgLIWt</t>
  </si>
  <si>
    <t>4qDHt2ClApBBzDAvhNGWFd</t>
  </si>
  <si>
    <t>2BuSNpxpMGJGiAAWJYJT2t</t>
  </si>
  <si>
    <t>2018-04-01</t>
  </si>
  <si>
    <t>5W2QbqmtfXiz7US9DCl48l</t>
  </si>
  <si>
    <t>5FKchcZpQOkqFvXBj1aCvb,5Ad8YPmqQf2tay2SZ8NxWY</t>
  </si>
  <si>
    <t>7nEE5RihPZU6L5LZqDeEZD</t>
  </si>
  <si>
    <t>5FKchcZpQOkqFvXBj1aCvb,45eNHdiiabvmbp4erw26rg,2D03NzGIqn32zlCG1DViBu</t>
  </si>
  <si>
    <t>Apex</t>
  </si>
  <si>
    <t>2018-08-14</t>
  </si>
  <si>
    <t>2grynUHH0A3faPhGjdkjeJ</t>
  </si>
  <si>
    <t>0zg9mF9dX2knvdTKnL22T1,5Uh9Oco0Khv18UvTo2PucM,7muzHifhMdnfN1xncRLOqk</t>
  </si>
  <si>
    <t>Cracks</t>
  </si>
  <si>
    <t>2010-08-25</t>
  </si>
  <si>
    <t>4fb0iBhHbQeiJHOfLr6R75</t>
  </si>
  <si>
    <t>67qogtRNI0GjUr8PlaG6Zh,4BxJYbvCLVAO73rMZ6yTKJ</t>
  </si>
  <si>
    <t>4rX1D0bGnSgxcODvoseZEj</t>
  </si>
  <si>
    <t>2019-05-15</t>
  </si>
  <si>
    <t>66hayvUbTotekKU3H4ta1f</t>
  </si>
  <si>
    <t>1HxJeLhIuegM3KgvPn8sTa,5he5w2lnU9x7JFhnwcekXX,5fMUXHkw8R8eOP2RNVYEZX,1uNFoZAHBGtllmzznpCI3s</t>
  </si>
  <si>
    <t>4xigPf2sigSPmuFH3qCelB</t>
  </si>
  <si>
    <t>5WUlDfRSoLAfcVSX1WnrxN,5fMUXHkw8R8eOP2RNVYEZX,2feDdbD5araYcm6JhFHHw7,6IZ4ctovY9dl7bgHClAvKJ</t>
  </si>
  <si>
    <t>LABRINTH, SIA &amp; DIPLO PRESENT... LSD</t>
  </si>
  <si>
    <t>100eDEmpWV5YGVCqHI0leU</t>
  </si>
  <si>
    <t>6Dma0t0hOe6Bd6u5YRKF3n</t>
  </si>
  <si>
    <t>4lJNen4SMTIJMahALc3DcB</t>
  </si>
  <si>
    <t>5N4erncE7kuUccm7zEmwzk</t>
  </si>
  <si>
    <t>2X97ZAqRKRMYFIDqtvGgGc,6M2wZ9GZgrQXHCFfjv46we,5fMUXHkw8R8eOP2RNVYEZX,3hv9jJF3adDNsBSIQDqcjp</t>
  </si>
  <si>
    <t>5JEx7HbmvHQQswJCsoo9rA</t>
  </si>
  <si>
    <t>Close To Me (feat. Swae Lee)</t>
  </si>
  <si>
    <t>2018-10-24</t>
  </si>
  <si>
    <t>1gV0hgMNdpSWeW7ZjSUKnX</t>
  </si>
  <si>
    <t>0tvpihdAsKiNnP6sWS3jUI,5fMUXHkw8R8eOP2RNVYEZX,6eBYLQONaYZhZNAVK061t6</t>
  </si>
  <si>
    <t>6BOH1KsZm3nBpO6HgEorwV</t>
  </si>
  <si>
    <t>4FH1qQ5KcTtomryu4O5pgX,1kMPdZQVdUhMDKDWOJM5iK</t>
  </si>
  <si>
    <t>02BOIRxqsjOFWUJaKML1BA</t>
  </si>
  <si>
    <t>5xO9868Xc1mjAzmaN1efoK,6UAsg7BxuQBh72q5RWkXem</t>
  </si>
  <si>
    <t>6VEChHRCJrNnxvYbG95JKj</t>
  </si>
  <si>
    <t>2RnDmyX1zzOkK5Cj9QPhMq,4dRRQxDsUXpBkGqjS7vNcO</t>
  </si>
  <si>
    <t>Sizzlar</t>
  </si>
  <si>
    <t>6TsCxuOhv5F8VKKXJwrDcR</t>
  </si>
  <si>
    <t>2RnDmyX1zzOkK5Cj9QPhMq</t>
  </si>
  <si>
    <t>0g1BxXBhdbhImlgjJoIGal</t>
  </si>
  <si>
    <t>2RnDmyX1zzOkK5Cj9QPhMq,7FhrJLDe6bQ0Hqt9Wf7zXh</t>
  </si>
  <si>
    <t>5XMYlp6fKh1OUWS1TD4I7O</t>
  </si>
  <si>
    <t>1kwGj7uDO5WXVXtQLvGJr0,1ikID9RZZMvkuBGDWrqajq</t>
  </si>
  <si>
    <t>2015-05-08</t>
  </si>
  <si>
    <t>5wZ9WdJSxCvi8EaDOzzprn</t>
  </si>
  <si>
    <t>1kwGj7uDO5WXVXtQLvGJr0,1YUKNG5hEk2HXP8k1a1wWE</t>
  </si>
  <si>
    <t>7DhKVYTi6iwCkMw9NhzZMU</t>
  </si>
  <si>
    <t>1kwGj7uDO5WXVXtQLvGJr0,5A6v2PNokW7bjdxl8p4s8Y</t>
  </si>
  <si>
    <t>http://EP</t>
  </si>
  <si>
    <t>2vtXB4ShP4eprgRW1IYpAp</t>
  </si>
  <si>
    <t>45eNHdiiabvmbp4erw26rg,43NRjpCGCIj6GkhnAMdC60,1kwGj7uDO5WXVXtQLvGJr0</t>
  </si>
  <si>
    <t>Ashes (Remixes)</t>
  </si>
  <si>
    <t>3ssbHlUrGRP6vbY8AA1W1c</t>
  </si>
  <si>
    <t>59MDSNIYoOY0WRYuodzJPD</t>
  </si>
  <si>
    <t>Kaleido Collective Presents Chapter 3</t>
  </si>
  <si>
    <t>5gEA7OYFVqcY6gDvRBd3kO</t>
  </si>
  <si>
    <t>5RefB97fTcLUfZbRFolxw3</t>
  </si>
  <si>
    <t>59MDSNIYoOY0WRYuodzJPD,0jNDKefhfSbLR9sFvcPLHo</t>
  </si>
  <si>
    <t>cute</t>
  </si>
  <si>
    <t>290NlYLqIs61GjGZ5DKayj</t>
  </si>
  <si>
    <t>474FoNvLOHk9ZTAs1Vd3Qu</t>
  </si>
  <si>
    <t>5TgQ66WuWkoQ2xYxaSTnVP,7KUri7klyLaIFXLcuuOMCd</t>
  </si>
  <si>
    <t>Abbot Kinney</t>
  </si>
  <si>
    <t>6kXNnS7JJz0nAv4XEwEmQJ</t>
  </si>
  <si>
    <t>1vCWHaC5f2uS3yhpwWbIA6,53XhwfbYqKCa1cC15pYq2q</t>
  </si>
  <si>
    <t>2P4OICZRVAQcYAV2JReRfj</t>
  </si>
  <si>
    <t>Stories</t>
  </si>
  <si>
    <t>6EBlOYNcZ8MrdEov9lEdV6</t>
  </si>
  <si>
    <t>1vCWHaC5f2uS3yhpwWbIA6,7hOGhpa8RMSuDOWntGIAJt</t>
  </si>
  <si>
    <t>0ct6r3EGTcMLPtrXHDvVjc</t>
  </si>
  <si>
    <t>6Pgkp4qUoTmJIPn7ReaGxL</t>
  </si>
  <si>
    <t>1vCWHaC5f2uS3yhpwWbIA6,5JYo7gm2dkyLLlWHjxS7Dy</t>
  </si>
  <si>
    <t>4h8VwCb1MTGoLKueQ1WgbD</t>
  </si>
  <si>
    <t>2013-09-13</t>
  </si>
  <si>
    <t>03R2HwsAjLqmcmhvjK5eba</t>
  </si>
  <si>
    <t>2XiiUuK68XNdHaHOAF5hnT,0RViEWnZO2VhmY4oI0PhF9</t>
  </si>
  <si>
    <t>2017-04-10</t>
  </si>
  <si>
    <t>1CT9ebtobcouQw7G9mZ9AV</t>
  </si>
  <si>
    <t>60d24wfXkVzDSfLS6hyCjZ,53YSn9tHwGJ6bq5P0gGoYo</t>
  </si>
  <si>
    <t>Helicopter (Video Edit)</t>
  </si>
  <si>
    <t>2014-03-10</t>
  </si>
  <si>
    <t>16MCjtjOSAnWAAAmQWHP9u</t>
  </si>
  <si>
    <t>1V3VTM7VspiQjcmRhC010n</t>
  </si>
  <si>
    <t>3gfmFoJgmn9LiIj5mV8oSS</t>
  </si>
  <si>
    <t>6cEuCEZu7PAE9ZSzLLc2oQ,1V3VTM7VspiQjcmRhC010n</t>
  </si>
  <si>
    <t>Trouble</t>
  </si>
  <si>
    <t>1sh6lL6cmlcwhqZKGiKBua</t>
  </si>
  <si>
    <t>1vCWHaC5f2uS3yhpwWbIA6,5ChF3i92IPZHduM7jN3dpg</t>
  </si>
  <si>
    <t>I Could Be The One [Avicii vs Nicky Romero]</t>
  </si>
  <si>
    <t>2012-12-29</t>
  </si>
  <si>
    <t>6lBQ0SMCrJ7zy1LSCuXqwV</t>
  </si>
  <si>
    <t>60d24wfXkVzDSfLS6hyCjZ,2J80qXI4NHKpq5RT3xUF7V</t>
  </si>
  <si>
    <t>5m5vDr9hWKgAH8yYmSHZbu</t>
  </si>
  <si>
    <t>4Xwth6JeA22UpEXPKlLNaK</t>
  </si>
  <si>
    <t>Invincible (Radio Edit)</t>
  </si>
  <si>
    <t>3QpwpBfbqOjRXt2vgJvnOq</t>
  </si>
  <si>
    <t>2014-06-23</t>
  </si>
  <si>
    <t>7MhqTsHXyWMWVrVzX4vgqy</t>
  </si>
  <si>
    <t>4uiMn2g0pgTrhN096QJhbp,4JprKwueQv8ws3n7N8BLVC,2DdTPrw37sg2b0DLMHHGPW</t>
  </si>
  <si>
    <t>Big Bang (2015 Life In Color Anthem) [Zestty &amp; Lev Remix Edit]</t>
  </si>
  <si>
    <t>58zelXXgnj4UXvtIyxy9X6</t>
  </si>
  <si>
    <t>5X4LWwbUFNzPkEas04uU82,4uiMn2g0pgTrhN096QJhbp</t>
  </si>
  <si>
    <t>0G7Ik0gmxJBFJKAmK2p1k9</t>
  </si>
  <si>
    <t>3Kvce9qtIAmR4Axtq7mdGl</t>
  </si>
  <si>
    <t>4u5smJBskI6Adzv08PuiUP</t>
  </si>
  <si>
    <t>57rOXabUKgkrwHPSqzo4s5</t>
  </si>
  <si>
    <t>4u5smJBskI6Adzv08PuiUP,24V5UY0nChKpnb1TBPJhCw</t>
  </si>
  <si>
    <t>Feels (Jai Wolf Remix)</t>
  </si>
  <si>
    <t>2016-03-09</t>
  </si>
  <si>
    <t>14EgW52HVqnLHd30bgbPxg</t>
  </si>
  <si>
    <t>7c0XG5cIJTrrAgEC3ULPiq,1RyvyyTE3xzB2ZywiAwp0i,4u5smJBskI6Adzv08PuiUP</t>
  </si>
  <si>
    <t>Darkside (with Ty Dolla $ign &amp; Future feat. Kiiara) [From Bright: The Album]</t>
  </si>
  <si>
    <t>2017-11-09</t>
  </si>
  <si>
    <t>3QWjljChcOMkRDYSzF33Qr</t>
  </si>
  <si>
    <t>4u5smJBskI6Adzv08PuiUP,1qskAseW7apRxJBpYAO9Yk</t>
  </si>
  <si>
    <t>2017-04-12</t>
  </si>
  <si>
    <t>6JsfvqClYnc2R5yZ67C2ch</t>
  </si>
  <si>
    <t>7hOGhpa8RMSuDOWntGIAJt,4u5smJBskI6Adzv08PuiUP</t>
  </si>
  <si>
    <t>Cross My Mind: The Mixtape</t>
  </si>
  <si>
    <t>0BOEuUKoHdy8in20fG5smd</t>
  </si>
  <si>
    <t>6WhzFzROw3aq3rPWjgYlxr</t>
  </si>
  <si>
    <t>2015-10-26</t>
  </si>
  <si>
    <t>4ANIyqDu9QunO1w6DqCDTJ</t>
  </si>
  <si>
    <t>4lDBihdpMlOalxy1jkUbPl,0fs8oBR1rx7JIXZi75h7Uu</t>
  </si>
  <si>
    <t>48GBbQiTSlXX5i0cn3iIiJ</t>
  </si>
  <si>
    <t>2KsP6tYLJlTBvSUxnwlVWa,4lDBihdpMlOalxy1jkUbPl</t>
  </si>
  <si>
    <t>In The Arms Of A Stranger (Grey Remix)</t>
  </si>
  <si>
    <t>7qrMWXNwE1aD1o1sBnyIAh</t>
  </si>
  <si>
    <t>4nDoRrQiYLoBzwC5BhVJzF,4lDBihdpMlOalxy1jkUbPl</t>
  </si>
  <si>
    <t>Crown (with Camila Cabello &amp; Grey) [From Bright: The Album]</t>
  </si>
  <si>
    <t>4Ce37cRWvM1vIGGynKcs22</t>
  </si>
  <si>
    <t>5p7f24Rk5HkUZsaS3BLG5F,4lDBihdpMlOalxy1jkUbPl,2qxJFvFYMEDqd7ui6kSAcq</t>
  </si>
  <si>
    <t>08DqG1RqpxnICWOdOp2PLV</t>
  </si>
  <si>
    <t>4lDBihdpMlOalxy1jkUbPl,6J3RPKUwZlKMzh3vWa9wPc</t>
  </si>
  <si>
    <t>2waH47ZaqIWDk976W9Lqf8</t>
  </si>
  <si>
    <t>6gK1Uct5FEdaUWRWpU4Cl2,6J3RPKUwZlKMzh3vWa9wPc</t>
  </si>
  <si>
    <t>Suffer | Safe</t>
  </si>
  <si>
    <t>2018-10-10</t>
  </si>
  <si>
    <t>5L6mKOF7MKu6IYHGqxH998</t>
  </si>
  <si>
    <t>2016-07-27</t>
  </si>
  <si>
    <t>6tMHvAlPvVjFpnfhAgsFrw</t>
  </si>
  <si>
    <t>68WwJXWrpo1yVOOIZjLSeT,62Jfwxon19ZOT9eSL6bvtY</t>
  </si>
  <si>
    <t>Filthy Rich (Sweater Beats Remix)</t>
  </si>
  <si>
    <t>2017-08-02</t>
  </si>
  <si>
    <t>7my1wrfnHqssb3mtHEPWrI</t>
  </si>
  <si>
    <t>2cFrymmkijnjDg9SS92EPM,2qVNQb6YuOivk9b4Lp2anA</t>
  </si>
  <si>
    <t>cybersex</t>
  </si>
  <si>
    <t>4ABdTWafMCXfATpILRuZFW</t>
  </si>
  <si>
    <t>5X4LWwbUFNzPkEas04uU82,2cFrymmkijnjDg9SS92EPM</t>
  </si>
  <si>
    <t>3UWkbO4emEOu9YUeOGq3vU</t>
  </si>
  <si>
    <t>dead</t>
  </si>
  <si>
    <t>2015-06-02</t>
  </si>
  <si>
    <t>39bs2V8huzcmWoeSlHKZeP</t>
  </si>
  <si>
    <t>1nMYtxDrONcoGnKRvxTwPv</t>
  </si>
  <si>
    <t>digital druglord</t>
  </si>
  <si>
    <t>13JyykwyYQ3T5QxxL34ukQ</t>
  </si>
  <si>
    <t>6y6jbcPG4Yn3Du4moXaenr</t>
  </si>
  <si>
    <t>deadroses</t>
  </si>
  <si>
    <t>2015-02-14</t>
  </si>
  <si>
    <t>3Q3myFA7q4Op95DOpHplaY</t>
  </si>
  <si>
    <t>208e4ET5C2WdSQyM3P2mm1</t>
  </si>
  <si>
    <t>0SXgKLNtpIrH29F1vMRWzj</t>
  </si>
  <si>
    <t>2017-03-27</t>
  </si>
  <si>
    <t>1wsZ0cp5He4Wm4yohNjwIs</t>
  </si>
  <si>
    <t>idfc (Tarro Remix)</t>
  </si>
  <si>
    <t>2016-10-17</t>
  </si>
  <si>
    <t>2Dsk7tdA833NKFC20IZJ8O</t>
  </si>
  <si>
    <t>2016-08-17</t>
  </si>
  <si>
    <t>1H47LILEj9nGb74EPcZKWw</t>
  </si>
  <si>
    <t>4V2pR2iSd1g0RZCglrP3jn,0SXgKLNtpIrH29F1vMRWzj,6gwInscSxlouXzcmENDqk4</t>
  </si>
  <si>
    <t>5mZB7pYtcAPo7wo5DtW939</t>
  </si>
  <si>
    <t>3mdtjsn20feMaoIaiiIw52</t>
  </si>
  <si>
    <t>3OKg7YbOIatODzkRIbLJR4,79a4DDvkxUJy73sCJqrC8q</t>
  </si>
  <si>
    <t>Prelude (VIP Edit)</t>
  </si>
  <si>
    <t>29moc4LgQm1o98MoAWc6ZH</t>
  </si>
  <si>
    <t>6dZAVi5PugDwlAnH8KMEGl,3OKg7YbOIatODzkRIbLJR4,4C2BnfCRMI8bTf3LlBUljz</t>
  </si>
  <si>
    <t>45RVzBJK5uBLOcBLhDbLRR</t>
  </si>
  <si>
    <t>3OKg7YbOIatODzkRIbLJR4,5tQxiFKmOCwvqUlIbAiFkQ</t>
  </si>
  <si>
    <t>Warrior Songs</t>
  </si>
  <si>
    <t>5Qh8DqDqD0BxHbI2f8P3j2</t>
  </si>
  <si>
    <t>4mrBetqy378Jf1y6NLszlx,4DTbdShHu2RPYEEMUp2XWV</t>
  </si>
  <si>
    <t>0iTI5FTB9iEUtcMdx9YyZS</t>
  </si>
  <si>
    <t>3OKg7YbOIatODzkRIbLJR4,0vC48gyflgfcrP6f50V9R8,4DTbdShHu2RPYEEMUp2XWV</t>
  </si>
  <si>
    <t>2019-06-24</t>
  </si>
  <si>
    <t>5nV4nOYPxJPB92gZwk60Ms</t>
  </si>
  <si>
    <t>4DTbdShHu2RPYEEMUp2XWV,3Zif00eSvBUECxu8grzURU</t>
  </si>
  <si>
    <t>6jbAyDDqnahf7KV1yafqjY</t>
  </si>
  <si>
    <t>2famriH3O9cb6LHu8iRpUI</t>
  </si>
  <si>
    <t>1DzQInbDVhE9Lh5s6T0DUL,4DTbdShHu2RPYEEMUp2XWV</t>
  </si>
  <si>
    <t>2019-01-29</t>
  </si>
  <si>
    <t>7J0sU4qfNgpS58YaNXVBmP</t>
  </si>
  <si>
    <t>2015-03-09</t>
  </si>
  <si>
    <t>6tgnStxGaof6KpTDCoRqQk</t>
  </si>
  <si>
    <t>1DzQInbDVhE9Lh5s6T0DUL,49KBwzYt5vnyS41pH5K5vJ</t>
  </si>
  <si>
    <t>2M6AoWQC8nS8xNbSxl3FQA</t>
  </si>
  <si>
    <t>1JV42BPeocUJ0EyQh8ug6V,6CgLAgCJ6veWxsHIBFqc7P</t>
  </si>
  <si>
    <t>6enxDqqRS1j7iVzPI2wsnQ</t>
  </si>
  <si>
    <t>1JV42BPeocUJ0EyQh8ug6V</t>
  </si>
  <si>
    <t>Deadbeats Compilation (Vol. 1)</t>
  </si>
  <si>
    <t>2XcG1nMjOCvyVTqx7zw5NA</t>
  </si>
  <si>
    <t>1JV42BPeocUJ0EyQh8ug6V,0e1Zih19iuVEnhZPOuqL9V</t>
  </si>
  <si>
    <t>Love Notes EP</t>
  </si>
  <si>
    <t>6KBOBK0FQ5Ualqvg4IBAFc</t>
  </si>
  <si>
    <t>Reasons To</t>
  </si>
  <si>
    <t>2015-09-08</t>
  </si>
  <si>
    <t>6PKwxRMQbKG1at95fd3Du5</t>
  </si>
  <si>
    <t>7awSdFt1oj921XD9ZIbDq3</t>
  </si>
  <si>
    <t>2V7SPC1IGDns13S1y1uvdt</t>
  </si>
  <si>
    <t>7d5SfGXKpgS3JK8BFIq59h,685c4a84PTRlygc8EUE7tV</t>
  </si>
  <si>
    <t>2018-02-12</t>
  </si>
  <si>
    <t>50rBOd5DbsettwBaTvAMyX</t>
  </si>
  <si>
    <t>2019-04-24</t>
  </si>
  <si>
    <t>2OhU1KU1cqMi2bKC8dNY2g</t>
  </si>
  <si>
    <t>2FX5HPP1FNNuLlt2UU9os7</t>
  </si>
  <si>
    <t>3zYWQEkz5qZMvL1BVkY4BY</t>
  </si>
  <si>
    <t>4bGN5XDSLCLYd01uQqR3JA,4igVDi5Hs53eoAOGEAKEzQ</t>
  </si>
  <si>
    <t>2015-10-19</t>
  </si>
  <si>
    <t>4oaOiFsrOQFqRnIU3hg3cM</t>
  </si>
  <si>
    <t>6fcTRFpz0yH79qSKfof7lp,0nTbVTXLLbBA4xCtn0cFkv,2ITbqEgyp32vL3BxEFmQ1V,4NHQUGzhtTLFvgF5SZesLK</t>
  </si>
  <si>
    <t>Worlds Apart</t>
  </si>
  <si>
    <t>2014-04-29</t>
  </si>
  <si>
    <t>3wFw7cWZTgfLBYalXFZQji</t>
  </si>
  <si>
    <t>6cwRqYSDYwWsLveCcDRhyY,7szwIliQiPcrgqWrm0RKwO</t>
  </si>
  <si>
    <t>2014-09-23</t>
  </si>
  <si>
    <t>03OeNAtCG0dOi8BnY7LBOs</t>
  </si>
  <si>
    <t>27gvlSwWEjG3VHM7qRrWwA</t>
  </si>
  <si>
    <t>6cwRqYSDYwWsLveCcDRhyY,2Ndq6RparrhEoceel7LC4Z</t>
  </si>
  <si>
    <t>2014-08-11</t>
  </si>
  <si>
    <t>4dhCI327FFSWFYuU5uwqEe</t>
  </si>
  <si>
    <t>6cwRqYSDYwWsLveCcDRhyY,2GAvE8IRJsYcMuHcC8XkkD</t>
  </si>
  <si>
    <t>2015-03-11</t>
  </si>
  <si>
    <t>0rVjpoL6HBCpV456V2qoEC</t>
  </si>
  <si>
    <t>1XoMhaVxtcVukieSHOpBtn</t>
  </si>
  <si>
    <t>You &amp; Me - Single</t>
  </si>
  <si>
    <t>2015-07-15</t>
  </si>
  <si>
    <t>7oGi0ndMedRLlw1CVdakGD</t>
  </si>
  <si>
    <t>6cwRqYSDYwWsLveCcDRhyY,2HOMW1liAxI3URnEq95SMS</t>
  </si>
  <si>
    <t>2chcdIsVSI0jSeyzvPGXSF</t>
  </si>
  <si>
    <t>33o00sXuyWiApOFzo0vr0z,29L9NfUe14erU096RLrte8</t>
  </si>
  <si>
    <t>1Pznc1bQCiIvRVwRz7gKTG</t>
  </si>
  <si>
    <t>116vPhKB6LnyXtYiF49IfF</t>
  </si>
  <si>
    <t>1UtzKaSQyctQO8GN8EyzOn,15nugmNStcVj0wLks5jmGD</t>
  </si>
  <si>
    <t>I Hurt (Sound Remedy Remix)</t>
  </si>
  <si>
    <t>2Nb3hnoALb44lQNoP2nZlx</t>
  </si>
  <si>
    <t>1mOUOvOOaoTF2b3kDjrety,1I5eQkzyM8jCVZIM3k2bKL</t>
  </si>
  <si>
    <t>Umbrella (The White Panda Remix)</t>
  </si>
  <si>
    <t>0x0uobgoQpUnTKw8wFMypM</t>
  </si>
  <si>
    <t>4NTnwCK3RqTBH7TFIQrkfL</t>
  </si>
  <si>
    <t>7mDZhL1IySAc6JvGGCm1n7</t>
  </si>
  <si>
    <t>6YxrfNCKBcQlbITpmDLErL,0z8wRCODl1V4piv2zHPDV5</t>
  </si>
  <si>
    <t>INDXGO</t>
  </si>
  <si>
    <t>6enpruTLjziYJYWBBCgKpA</t>
  </si>
  <si>
    <t>2krDA9qCEfYKl4QjZcruhy</t>
  </si>
  <si>
    <t>Sunset Motel (Remix)</t>
  </si>
  <si>
    <t>2018-04-16</t>
  </si>
  <si>
    <t>1Fc8A5LCOHiyljaDgTAPyb</t>
  </si>
  <si>
    <t>0zDAH9Vyi1JsJCTrzaIEnv</t>
  </si>
  <si>
    <t>7lc76WSmecwJRfWMUu0f0f,6rT9026JOwgCwcOk2F6Qa2</t>
  </si>
  <si>
    <t>Beat Saber (Original Game Soundtrack), Vol. II</t>
  </si>
  <si>
    <t>2018-11-21</t>
  </si>
  <si>
    <t>763v0n4szIsWp3HOsfi7qq</t>
  </si>
  <si>
    <t>27eoCHVL1mohdzR7c61KQ1</t>
  </si>
  <si>
    <t>6dC0rIJNLSFZwqckLgXJ8p,7eCmccnRwPmRnWPw61x6jM</t>
  </si>
  <si>
    <t>Too Much</t>
  </si>
  <si>
    <t>4E5IBDRu8kJbzUv1qaZM1t</t>
  </si>
  <si>
    <t>06HF5MffJ05298m4NPrVEU</t>
  </si>
  <si>
    <t>sad girl</t>
  </si>
  <si>
    <t>2018-04-18</t>
  </si>
  <si>
    <t>6HspvxNi6wRqeZLPShEa5W</t>
  </si>
  <si>
    <t>2UGpJ5or8EJVtcFuNdyFgg</t>
  </si>
  <si>
    <t>4VrUT6GeeSRz6MB8tWJSHM</t>
  </si>
  <si>
    <t>64sp7I8wf70B7OLOpih6XJ</t>
  </si>
  <si>
    <t>52iLDrSoRtf9lcgFuLVfqE</t>
  </si>
  <si>
    <t>0olEV0xHPcpVOPZfg4MSgR</t>
  </si>
  <si>
    <t>7ahYQRrOQSXJ5OhsLnpfU8</t>
  </si>
  <si>
    <t>0TzeZppPwhEhySYaNRulr9</t>
  </si>
  <si>
    <t>5JMLG56F1X5mFmWNmS0iAp,3gIRvgZssIb9aiirIg0nI3</t>
  </si>
  <si>
    <t>6tNgjrWXWHx2zR52Q6qCLG</t>
  </si>
  <si>
    <t>6BivCuyKJtgLa9ooFsvUoZ</t>
  </si>
  <si>
    <t>Worlds</t>
  </si>
  <si>
    <t>0nejfXN5tjdICWIdfakXWx</t>
  </si>
  <si>
    <t>3dz0NnIZhtKKeXZxLOxCam,3WOOglGBDGvr6c2WBeMAWn</t>
  </si>
  <si>
    <t>2lNFWUrxuNaQsf5I1pDTPr</t>
  </si>
  <si>
    <t>786ymAh5BmHoIpvjyrvjXk</t>
  </si>
  <si>
    <t>18cCBvygH6yEFDY0cYN3wT</t>
  </si>
  <si>
    <t>3dz0NnIZhtKKeXZxLOxCam,3lj7jldByrrpUgW5Je8o1p</t>
  </si>
  <si>
    <t>1JY6B9ILvmRla2IKKRZvnH</t>
  </si>
  <si>
    <t>2CgOd0Lj5MuvOqzqdaAXtS</t>
  </si>
  <si>
    <t>3dz0NnIZhtKKeXZxLOxCam,4pb4rqWSoGUgxm63xmJ8xc</t>
  </si>
  <si>
    <t>3DQisSEr1TLp9H0BEeKiQS</t>
  </si>
  <si>
    <t>5tAa8Uaqr4VvA3693mbIhU</t>
  </si>
  <si>
    <t>1rIKgCH4H52lrvDcz50hS8</t>
  </si>
  <si>
    <t>1WoEJfK8R4vcVOi3pLDx0H</t>
  </si>
  <si>
    <t>0jnSjyof5ZrQCBsashHnma</t>
  </si>
  <si>
    <t>7jGpa7ynADyaSmcprXgO7I</t>
  </si>
  <si>
    <t>1MfRXRUJsQK40GjFV0Sm0t</t>
  </si>
  <si>
    <t>0C8ZW7ezQVs4URX5aX7Kqx,13ubrt8QOOCPljQ2FL1Kca</t>
  </si>
  <si>
    <t>7KxhSJOYiqCDclXDBNlFSZ</t>
  </si>
  <si>
    <t>Revival (Deluxe)</t>
  </si>
  <si>
    <t>3CJvmtWw2bJsudbAC5uCQk</t>
  </si>
  <si>
    <t>4lnAN2S1fcI0SjxEbksZVr</t>
  </si>
  <si>
    <t>0C8ZW7ezQVs4URX5aX7Kqx,13y7CgLHjMVRMDqxdx0Xdo</t>
  </si>
  <si>
    <t>2fZQIJew3nkNe99s2PKzul</t>
  </si>
  <si>
    <t>2017-05-18</t>
  </si>
  <si>
    <t>4hQ6UGyWQIGJmHSo0J88JW</t>
  </si>
  <si>
    <t>Back To You (From 13 Reasons Why – Season 2 Soundtrack)</t>
  </si>
  <si>
    <t>2018-05-10</t>
  </si>
  <si>
    <t>4eWQlBRaTjPPUlzacqEeoQ</t>
  </si>
  <si>
    <t>4nDoRrQiYLoBzwC5BhVJzF</t>
  </si>
  <si>
    <t>Camila</t>
  </si>
  <si>
    <t>1rfofaqEpACxVEHIZBJe6W</t>
  </si>
  <si>
    <t>4nDoRrQiYLoBzwC5BhVJzF,50co4Is1HCEo8bhOyUWKpn</t>
  </si>
  <si>
    <t>1beqtQO0aIc1dWsXr97Iji</t>
  </si>
  <si>
    <t>6TIYQ3jFPwQSRmorSezPxX</t>
  </si>
  <si>
    <t>bloom (Deluxe)</t>
  </si>
  <si>
    <t>0OI7AFifLSoGzpb8bdBLLV</t>
  </si>
  <si>
    <t>6TIYQ3jFPwQSRmorSezPxX,3NPpFNZtSTHheNBaWC82rB,64M6ah0SkkRsnPGtGiRAbb</t>
  </si>
  <si>
    <t>Home (with Machine Gun Kelly, X Ambassadors &amp; Bebe Rexha) [From Bright: The Album]</t>
  </si>
  <si>
    <t>2017-11-18</t>
  </si>
  <si>
    <t>1PSBzsahR2AKwLJgx8ehBj</t>
  </si>
  <si>
    <t>6TIYQ3jFPwQSRmorSezPxX,4nDoRrQiYLoBzwC5BhVJzF</t>
  </si>
  <si>
    <t>bloom</t>
  </si>
  <si>
    <t>40YcuQysJ0KlGQTeGUosTC</t>
  </si>
  <si>
    <t>02kJSzxNuaWGqwubyUba0Z,64M6ah0SkkRsnPGtGiRAbb</t>
  </si>
  <si>
    <t>When It's Dark Out</t>
  </si>
  <si>
    <t>0ZN72tCEgbwPXEtj6TPMxK</t>
  </si>
  <si>
    <t>4xRYI6VqpkE3UwrDrAZL8L,137W8MRPWKqSmrBGDBFSop</t>
  </si>
  <si>
    <t>Confessions of a Dangerous Mind</t>
  </si>
  <si>
    <t>3e7Y6sfFlIdBMJhX7wpqVO</t>
  </si>
  <si>
    <t>4xRYI6VqpkE3UwrDrAZL8L</t>
  </si>
  <si>
    <t>Bobby Tarantino II</t>
  </si>
  <si>
    <t>4EAV2cKiqKP5UPZmY6dejk</t>
  </si>
  <si>
    <t>4xRYI6VqpkE3UwrDrAZL8L,64KEffDW9EtZ1y2vBYgq8T</t>
  </si>
  <si>
    <t>2MuMD298IpYqKF367wegUd</t>
  </si>
  <si>
    <t>4xRYI6VqpkE3UwrDrAZL8L,7dGJo4pcD2V6oG8kP0tJRR</t>
  </si>
  <si>
    <t>5rxPi0MiR4miNK0rCmk980</t>
  </si>
  <si>
    <t>4xRYI6VqpkE3UwrDrAZL8L,4f9iBmdUOhQWeP7dcAn1pf</t>
  </si>
  <si>
    <t>Broken People (with Logic &amp; Rag'n'Bone Man) [From Bright: The Album]</t>
  </si>
  <si>
    <t>07FkzikE6FuHIa8Ma7zJGc</t>
  </si>
  <si>
    <t>6fOMl44jA4Sp5b9PpYCkzz</t>
  </si>
  <si>
    <t>Perception</t>
  </si>
  <si>
    <t>2OKo7g3KfmCt3kyLvUAL0g</t>
  </si>
  <si>
    <t>2019-05-30</t>
  </si>
  <si>
    <t>52okn5MNA47tk87PeZJLEL</t>
  </si>
  <si>
    <t>6qpYafQBtbAahx4U0V6VYL</t>
  </si>
  <si>
    <t>4lC8Q0azW5ij2e1skZo377,1U6FdBYgMkeRjQFuTF5JYr</t>
  </si>
  <si>
    <t>6HCmuewveUWxu30HSCsWk5</t>
  </si>
  <si>
    <t>2015-01-05</t>
  </si>
  <si>
    <t>2qb8RPLIVSEMIwKLKDtFfl</t>
  </si>
  <si>
    <t>40WIa01eubnEVkxUHeDZyF,1bZhxzq9mhYkPf0wdxGko9,01olvHW7uzIInQx9VTNuJm</t>
  </si>
  <si>
    <t>Follow You (The Remixes)</t>
  </si>
  <si>
    <t>2014-07-11</t>
  </si>
  <si>
    <t>1fjybDH9doQs30XowLYYo7</t>
  </si>
  <si>
    <t>01olvHW7uzIInQx9VTNuJm</t>
  </si>
  <si>
    <t>2014-04-11</t>
  </si>
  <si>
    <t>5MAM4PXb95MPl2JWSlMI6L</t>
  </si>
  <si>
    <t>01olvHW7uzIInQx9VTNuJm,2Ndq6RparrhEoceel7LC4Z</t>
  </si>
  <si>
    <t>2014-10-01</t>
  </si>
  <si>
    <t>3Yq9uBbAWY4FTvMO6IzPL1</t>
  </si>
  <si>
    <t>4AT7XlLBevgZIiKvZQ83ye,5E1FAGKopxyWqEREQblCDA</t>
  </si>
  <si>
    <t>3cjkfbF4rgqymxtRn7Iv15</t>
  </si>
  <si>
    <t>4AT7XlLBevgZIiKvZQ83ye,24CzPFC4y3bM4AkUnZfuAU</t>
  </si>
  <si>
    <t>2017-07-03</t>
  </si>
  <si>
    <t>7pCOQEjSzfBAswhwEusLh1</t>
  </si>
  <si>
    <t>45eNHdiiabvmbp4erw26rg,3RTklnRcfHgkQJwFpgOq3t,4AT7XlLBevgZIiKvZQ83ye</t>
  </si>
  <si>
    <t>Awake (Remixes)</t>
  </si>
  <si>
    <t>3HKiR4t12GW18bnPUVhx5l</t>
  </si>
  <si>
    <t>6fcTRFpz0yH79qSKfof7lp,1Uyqa2sdHm1bL5JK4IC4zc,4AT7XlLBevgZIiKvZQ83ye,3RTklnRcfHgkQJwFpgOq3t</t>
  </si>
  <si>
    <t>4a9nrzHhiNvzZavndNq88n</t>
  </si>
  <si>
    <t>6lO3fSdhsdpeOcrbqAJsRU,4HBMToZ4yMR07eiK9IxtjK</t>
  </si>
  <si>
    <t>2015-11-25</t>
  </si>
  <si>
    <t>6VqaGnQNZMUUuTADcllrxm</t>
  </si>
  <si>
    <t>4HBMToZ4yMR07eiK9IxtjK</t>
  </si>
  <si>
    <t>Lights - The Remixes</t>
  </si>
  <si>
    <t>2014-02-18</t>
  </si>
  <si>
    <t>718lC48FqA6liN6xSgBUhm</t>
  </si>
  <si>
    <t>4HBMToZ4yMR07eiK9IxtjK,75l0eCM6e1nhYDDpDEG6kb</t>
  </si>
  <si>
    <t>2015-04-28</t>
  </si>
  <si>
    <t>2wl9I2ajE7SbL7ttFU3L47</t>
  </si>
  <si>
    <t>Loose Dirt</t>
  </si>
  <si>
    <t>1zIEwDU2IZyHjy17ssOvyr</t>
  </si>
  <si>
    <t>26RDMInZjNDGA286L5l62Z</t>
  </si>
  <si>
    <t>1h6Cn3P4NGzXbaXidqURXs,0Tob4H0FLtEONHU1MjpUEp</t>
  </si>
  <si>
    <t>Disc-Overy</t>
  </si>
  <si>
    <t>2010-05-31</t>
  </si>
  <si>
    <t>1qZMPmpD1jDcOA7gZ6TCde</t>
  </si>
  <si>
    <t>0VffaI2jwQknRrxpECYHsF</t>
  </si>
  <si>
    <t>65hRZOQkVjmBdusz1N7aOv</t>
  </si>
  <si>
    <t>2011-05-13</t>
  </si>
  <si>
    <t>2V65y3PX4DkRhy1djlxd9p</t>
  </si>
  <si>
    <t>2012-09-14</t>
  </si>
  <si>
    <t>0MyY4WcN7DIfbSmp5yej5z</t>
  </si>
  <si>
    <t>Homework</t>
  </si>
  <si>
    <t>1997-01-17</t>
  </si>
  <si>
    <t>3H3cOQ6LBLSvmcaV7QkZEu</t>
  </si>
  <si>
    <t>Discovery</t>
  </si>
  <si>
    <t>2001-03-12</t>
  </si>
  <si>
    <t>37M8nuFfSrlKfTR0AAp7gK</t>
  </si>
  <si>
    <t>Human After All</t>
  </si>
  <si>
    <t>2005-03-14</t>
  </si>
  <si>
    <t>7LL40F6YdZgeiQ6en1c7Lk</t>
  </si>
  <si>
    <t>1iNeZGJsoC0D7ZyJTdIbDS</t>
  </si>
  <si>
    <t>08KMQiSeojdFPhlpdFmAKA</t>
  </si>
  <si>
    <t>4NknQvNULU4768BmrnSJZi</t>
  </si>
  <si>
    <t>6p3u4wHKpqSUhp0y1iVltR</t>
  </si>
  <si>
    <t>0vKHjq1eDRXknZxq9VXdnV</t>
  </si>
  <si>
    <t>4mVLgBVZ031c9SzOfbMRaR</t>
  </si>
  <si>
    <t>7qOg1sqMZzS167tnVga3Re</t>
  </si>
  <si>
    <t>11noU0zsPlDPi31iOq4YtG</t>
  </si>
  <si>
    <t>48mZ0CGCffjH49h5lAPTIe</t>
  </si>
  <si>
    <t>4tZwfgrHOc3mvqYlEYSvVi,3a9qv6NLHnsVxJUtKOMHvD</t>
  </si>
  <si>
    <t>TRON Legacy: Reconfigured</t>
  </si>
  <si>
    <t>1NeLwFETswx8Fzxl2AFl91</t>
  </si>
  <si>
    <t>1pKYYY0dkg23sQQXi0Q5zN</t>
  </si>
  <si>
    <t>5W3cjX2J3tjhG8zb6u0qHn</t>
  </si>
  <si>
    <t>5CMjjywI0eZMixPeqNd75R</t>
  </si>
  <si>
    <t>4tZwfgrHOc3mvqYlEYSvVi,2RdwBSPQiwcmiDo9kixcl8</t>
  </si>
  <si>
    <t>69kOkLUCkxIZYexIgSG8rq</t>
  </si>
  <si>
    <t>4tZwfgrHOc3mvqYlEYSvVi,2RdwBSPQiwcmiDo9kixcl8,3yDIp0kaq9EFKe07X1X2rz</t>
  </si>
  <si>
    <t>0DiWol3AO6WpXZgp0goxAV</t>
  </si>
  <si>
    <t>2Foc5Q5nqNiosCNqttzHof</t>
  </si>
  <si>
    <t>Get Lucky (feat. Pharrell Williams &amp; Nile Rodgers) [Radio Edit]</t>
  </si>
  <si>
    <t>2013-04-19</t>
  </si>
  <si>
    <t>7F9vK8hNFMml4GtHsaXui6</t>
  </si>
  <si>
    <t>57WHJIHrjOE3iAxpihhMnp,64M6ah0SkkRsnPGtGiRAbb,5fyDppLDl1juIu1BcUT5zh</t>
  </si>
  <si>
    <t>1XqYwulzkn1ymXmkAo1nAv</t>
  </si>
  <si>
    <t>53XhwfbYqKCa1cC15pYq2q,0pCNk4D3E2xtszsm6hMsWr</t>
  </si>
  <si>
    <t>Thunder (With K.Flay) [Official Remix]</t>
  </si>
  <si>
    <t>13P5rwmk2EsoFRIz9UCeh9</t>
  </si>
  <si>
    <t>1PbBg2aYjWLKRk84zJK15x</t>
  </si>
  <si>
    <t>Talking Dreams (Deluxe Edition)</t>
  </si>
  <si>
    <t>0uo1ijDwCKBmEQXTIMpVXM</t>
  </si>
  <si>
    <t>1SkY6AUOKqfL6sjSt8HVjq</t>
  </si>
  <si>
    <t>2QXlFiKu516LyFVFJO6yqG</t>
  </si>
  <si>
    <t>58nxGpcCfNDiqmFXklOslz</t>
  </si>
  <si>
    <t>6qqNVTkY8uBg9cP3Jd7DAH,356FCJoyYWyzONni54Dgrv</t>
  </si>
  <si>
    <t>Six Feet Under (The Remixes)</t>
  </si>
  <si>
    <t>4X6wMQec2NHdBhEGUwqUFV</t>
  </si>
  <si>
    <t>2015-01-20</t>
  </si>
  <si>
    <t>18qH5bBi8nOCN5e1caotvL</t>
  </si>
  <si>
    <t>6cWZQNgaL8yLtezJvag9Y9</t>
  </si>
  <si>
    <t>2015-06-03</t>
  </si>
  <si>
    <t>1VCEWYRGhRp6yaCFt7GzA9</t>
  </si>
  <si>
    <t>3r5ctrzNuyjx05F6iS8Nbl</t>
  </si>
  <si>
    <t>4aCkc4HrwC4Dopig7RELoH,2nUgzaTpZZxmzOh2hGlp64</t>
  </si>
  <si>
    <t>7dvg5YratVoM7s8LoZp26D</t>
  </si>
  <si>
    <t>4aCkc4HrwC4Dopig7RELoH,4EukMPjtYsdi87lkU1hIxN</t>
  </si>
  <si>
    <t>2017-11-07</t>
  </si>
  <si>
    <t>3uSwz1gv799BQhkqgIgfSz</t>
  </si>
  <si>
    <t>2s1AhFYnZAtSU5rk4lvwB7</t>
  </si>
  <si>
    <t>7C3Cbtr2PkH2l4tOGhtCsk,5MGoZUcMHAwTKzcXKKofQ9</t>
  </si>
  <si>
    <t>Souls</t>
  </si>
  <si>
    <t>14oTuzcNwzAsBqzv5NRv6U</t>
  </si>
  <si>
    <t>1ikID9RZZMvkuBGDWrqajq,0tkkz8CmkHga4YZgSHEDVl</t>
  </si>
  <si>
    <t>5GFyrGtAyLHGRXWEaG7JnH</t>
  </si>
  <si>
    <t>7C3Cbtr2PkH2l4tOGhtCsk,1ikID9RZZMvkuBGDWrqajq,7fWrZ2q4fGZAnuCPfgSU52</t>
  </si>
  <si>
    <t>05IyD7K9Q4lgu8W4Xfi9Lx</t>
  </si>
  <si>
    <t>1ikID9RZZMvkuBGDWrqajq,5JMLG56F1X5mFmWNmS0iAp</t>
  </si>
  <si>
    <t>2017-04-04</t>
  </si>
  <si>
    <t>6AAw43DJbIysnD0DwVurGd</t>
  </si>
  <si>
    <t>2zJ8chFLjiBHRNchfevMRI,1Oa0bMld0A3u5OTYfMzp5h</t>
  </si>
  <si>
    <t>7th2B8tA26On1RAt2WmnMI</t>
  </si>
  <si>
    <t>2zJ8chFLjiBHRNchfevMRI,4olE3I5QU0dvSR7LIpqTXc</t>
  </si>
  <si>
    <t>6PjitpdnGluMNLv0VeCVe5</t>
  </si>
  <si>
    <t>2zJ8chFLjiBHRNchfevMRI,4IFgewC2urR62Fwt7uAU03</t>
  </si>
  <si>
    <t>Raindrops (feat. Kerli) [Radio Edit]</t>
  </si>
  <si>
    <t>2015-01-13</t>
  </si>
  <si>
    <t>1QoM3m6vMpCDkd0ldZZltZ</t>
  </si>
  <si>
    <t>0FVj4JuzTyudaXAwfqDQ20,1L9i6qZYIGQedgM9QLSyzb,4GLJPBj5Cdr9AgLKvLWM4n</t>
  </si>
  <si>
    <t>1FPat9MxjcvQNvhuVuBcmQ</t>
  </si>
  <si>
    <t>0FVj4JuzTyudaXAwfqDQ20,7MtZPIh0gpnInKFnXGcYDS</t>
  </si>
  <si>
    <t>6V2AHCTqyVsN4c9R3X3BWj</t>
  </si>
  <si>
    <t>0FVj4JuzTyudaXAwfqDQ20</t>
  </si>
  <si>
    <t>33rqjnjFMni0A7pGXEMe3w</t>
  </si>
  <si>
    <t>28j8lBWDdDSHSSt5oPlsX2,5he5w2lnU9x7JFhnwcekXX,0pghUohLPptZWBasy2wmUx</t>
  </si>
  <si>
    <t>Generationwhy</t>
  </si>
  <si>
    <t>20v8h3IiH0gQhBcqCoVd2p</t>
  </si>
  <si>
    <t>28j8lBWDdDSHSSt5oPlsX2</t>
  </si>
  <si>
    <t>The Nightday</t>
  </si>
  <si>
    <t>2015-05-04</t>
  </si>
  <si>
    <t>3qlLSRfudjIMj9GyBcv1lV</t>
  </si>
  <si>
    <t>0Y0QSi6lz1bPik5Ffjr8sd,62vbsDRAq0qHdezaCOzB0T,6wKxOKEA3K6R2UZ3COLXEY</t>
  </si>
  <si>
    <t>Crystal Eyes</t>
  </si>
  <si>
    <t>6UDrfHEnUWI3O03sacM3KO</t>
  </si>
  <si>
    <t>0Y0QSi6lz1bPik5Ffjr8sd,3kHVioJpVxlazAAKQ64pC1</t>
  </si>
  <si>
    <t>4exhxjbZADzqfzozp1Bu2k</t>
  </si>
  <si>
    <t>0jNDKefhfSbLR9sFvcPLHo,59MDSNIYoOY0WRYuodzJPD</t>
  </si>
  <si>
    <t>5VsZd4qGOSTRdsNC0XRU1F</t>
  </si>
  <si>
    <t>6hubiasSMCpOCrcCbHDGTm</t>
  </si>
  <si>
    <t>7qEb82neL4upEhMUrkljpa</t>
  </si>
  <si>
    <t>67qogtRNI0GjUr8PlaG6Zh,0u18Cq5stIQLUoIaULzDmA</t>
  </si>
  <si>
    <t>2019-06-11</t>
  </si>
  <si>
    <t>53FR2HKUjfJ0hlnSsdAP1I</t>
  </si>
  <si>
    <t>057emEF0rUKs0K4Hpcb0iO</t>
  </si>
  <si>
    <t>6RmkZ03kFzGs26CD7O0iY8</t>
  </si>
  <si>
    <t>2017-07-11</t>
  </si>
  <si>
    <t>3WUwMDQvynv2lMOkR7R9D9</t>
  </si>
  <si>
    <t>0fs8oBR1rx7JIXZi75h7Uu,01lcJgyxgaU5P3fCeBog99</t>
  </si>
  <si>
    <t>63MRutmAXJwkxhMhPHoioS</t>
  </si>
  <si>
    <t>4SqTiwOEdYrNayaGMkc7ia</t>
  </si>
  <si>
    <t>Treasure - EP</t>
  </si>
  <si>
    <t>7nwGvxqSrgAuty1tlPGCFz</t>
  </si>
  <si>
    <t>1LOB7jTeEV14pHai6EXSzF,6jsjhAEteAlY0vCiLvMLBA</t>
  </si>
  <si>
    <t>4d7GbB5RQckWmvgj9Q1fQa</t>
  </si>
  <si>
    <t>4sTQVOfp9vEMCemLw50sbu,6jsjhAEteAlY0vCiLvMLBA</t>
  </si>
  <si>
    <t>1okBYMGQjaJ4Hzz1xZfA3N</t>
  </si>
  <si>
    <t>5zFEJ5R9FvqzlY3ayWCfPq</t>
  </si>
  <si>
    <t>Love Songs From A Lolita</t>
  </si>
  <si>
    <t>1RMJfOjuWNkfdjDo038CgU</t>
  </si>
  <si>
    <t>4N874uPqBka1QiCvnCVOtr</t>
  </si>
  <si>
    <t>Mine EP</t>
  </si>
  <si>
    <t>0Zge2Kfo3Yd9JOGnAmVPbb</t>
  </si>
  <si>
    <t>6QrQ7OrISRYIfS5mtacaw2,4N874uPqBka1QiCvnCVOtr</t>
  </si>
  <si>
    <t>3T6Mtmmx5OfrIUFfpJ1uB1</t>
  </si>
  <si>
    <t>4N874uPqBka1QiCvnCVOtr,2cFrymmkijnjDg9SS92EPM</t>
  </si>
  <si>
    <t>557KWxa3o2DHiCTeJCg2Ss</t>
  </si>
  <si>
    <t>America EP</t>
  </si>
  <si>
    <t>46gwMD8DJO8B6jy2C3hEeZ</t>
  </si>
  <si>
    <t>pretty sad</t>
  </si>
  <si>
    <t>7kqCbVG93MnBnkRGiKWTPs</t>
  </si>
  <si>
    <t>6VLtWgW0USISy1aFuouqxA</t>
  </si>
  <si>
    <t>0B8B8cVRFIG1yznoQe7c9s</t>
  </si>
  <si>
    <t>69GGBxA162lTqCwzJG5jLp,6ioOEWNNGK40H8xrGj6XPW</t>
  </si>
  <si>
    <t>6mmAeC57zRD5zzVTpB1ACF</t>
  </si>
  <si>
    <t>4uethVhVpoyO3OhT40JH1o</t>
  </si>
  <si>
    <t>5SmYtofSMKeccnqWksS9vW</t>
  </si>
  <si>
    <t>2docvXwmea0pDCPv7cDe9s</t>
  </si>
  <si>
    <t>2017-02-13</t>
  </si>
  <si>
    <t>4g64deYSvQZ4w9uGpYz2sL</t>
  </si>
  <si>
    <t>7wg1qvie3KqDNQbAkTdbX0,68WwJXWrpo1yVOOIZjLSeT</t>
  </si>
  <si>
    <t>1RMXNaUZ8AdmANVYyNjNum</t>
  </si>
  <si>
    <t>1nWS89L7evreaF9wcCsIyi,1LFGVkNRmXz8jIkyPjaGNL</t>
  </si>
  <si>
    <t>Klanga</t>
  </si>
  <si>
    <t>2014-11-28</t>
  </si>
  <si>
    <t>1Qg0JhbqPhYki1a5bv7NgH</t>
  </si>
  <si>
    <t>6YvP6AXefuZ3bROoEVjCiY,2Ohz3BAbalahBYLuM836cd</t>
  </si>
  <si>
    <t>2015-01-16</t>
  </si>
  <si>
    <t>0YAxyOGgSDHJI01vCojSbY</t>
  </si>
  <si>
    <t>5KnoVkIUGmK0PiDKMjz2LM,5KPJMJR9PCfMWSfco8i4W4</t>
  </si>
  <si>
    <t>28LzmRnsiidhiBBUvdi6Aj</t>
  </si>
  <si>
    <t>Goodbye (feat. Lyse) [Radio Edit]</t>
  </si>
  <si>
    <t>2015-02-05</t>
  </si>
  <si>
    <t>6SqX9J8tXk7rXaspk7GWX1</t>
  </si>
  <si>
    <t>7keGfmQR4X5w0two1xKZ7d,3iKatcdLBE1YxiAyvcow4w</t>
  </si>
  <si>
    <t>Layers</t>
  </si>
  <si>
    <t>5F2lWCeBZMxpo6SG1Q3PlL</t>
  </si>
  <si>
    <t>7keGfmQR4X5w0two1xKZ7d,2FsZnS8gQ8jG1HGnPYNlm9</t>
  </si>
  <si>
    <t>1A8j067qyiNwQnZT0bzUpZ</t>
  </si>
  <si>
    <t>7keGfmQR4X5w0two1xKZ7d,726MxZBpkxnnoKl6aN7mmj</t>
  </si>
  <si>
    <t>3c8iiZGfEammKJuWTErE5x</t>
  </si>
  <si>
    <t>4bL2B6hmLlMWnUEZnorEtG,2TL8gYTNgD6nXkyuUdDrMg</t>
  </si>
  <si>
    <t>I</t>
  </si>
  <si>
    <t>7vFoFDWqTX0mHzLfrF1Cfy</t>
  </si>
  <si>
    <t>5MouCg6ta7zAxsfMEbc1uh,4bL2B6hmLlMWnUEZnorEtG</t>
  </si>
  <si>
    <t>Me 4 U</t>
  </si>
  <si>
    <t>6HTJZ0TQJVMSKkUGzAOe2h</t>
  </si>
  <si>
    <t>4YXycRbyyAE0wozTk7QMEq,5me0Irg2ANcsgc93uaYrpb,1J2VVASYAamtQ3Bt8wGgA6,6MLDcHrNh4OqxDZAjMt5pt</t>
  </si>
  <si>
    <t>2015-02-17</t>
  </si>
  <si>
    <t>7w9L0X5hoJi5cSqL68IR6s</t>
  </si>
  <si>
    <t>4YXycRbyyAE0wozTk7QMEq,1bqxdqvUtPWZri43cKHac8</t>
  </si>
  <si>
    <t>2H8LPaY3NSjmOFMH2Rygnz</t>
  </si>
  <si>
    <t>4YXycRbyyAE0wozTk7QMEq,3AVfmawzu83sp94QW7CEGm</t>
  </si>
  <si>
    <t>2015-12-01</t>
  </si>
  <si>
    <t>2ezUSx36HRcVmNwx07krLE</t>
  </si>
  <si>
    <t>4YXycRbyyAE0wozTk7QMEq,4EPJlUEBy49EX1wuFOvtjK</t>
  </si>
  <si>
    <t>4TQcARE7Fd58akNhr3N7AE</t>
  </si>
  <si>
    <t>2HOMW1liAxI3URnEq95SMS</t>
  </si>
  <si>
    <t>Loner</t>
  </si>
  <si>
    <t>2wacARzd32BJTMdltdUSKc</t>
  </si>
  <si>
    <t>1LuFyappyEFGybt2qzLNDp</t>
  </si>
  <si>
    <t>5FWi1mowu6uiU2ZHwr1rby,75EZuo5MHV2572NRpMWotC</t>
  </si>
  <si>
    <t>Calamari Tuesday</t>
  </si>
  <si>
    <t>2013-10-14</t>
  </si>
  <si>
    <t>4KRkanYEoxAEBY5HDtYGU6</t>
  </si>
  <si>
    <t>7o7mC95EDbJKTcPAAs8C3r,1ikID9RZZMvkuBGDWrqajq,5AlIxbb8HarTSm2tdA5F0x</t>
  </si>
  <si>
    <t>5qRRNNHc04kyRGM0bItdeV</t>
  </si>
  <si>
    <t>67qogtRNI0GjUr8PlaG6Zh,3cMInYqk6yzf37zo8iznoz,6oMBHWDRue76zAGaT8Rxw0</t>
  </si>
  <si>
    <t>1w6qZZhfrImAU2gllRtxo3</t>
  </si>
  <si>
    <t>67qogtRNI0GjUr8PlaG6Zh,4GLJPBj5Cdr9AgLKvLWM4n</t>
  </si>
  <si>
    <t>Northern Lights</t>
  </si>
  <si>
    <t>1qJWrMVT9q26icroEXtSdF</t>
  </si>
  <si>
    <t>67qogtRNI0GjUr8PlaG6Zh,7ySHyUSqpKzGnDqOxLiCFH</t>
  </si>
  <si>
    <t>5FFoKbF8FK0AIC0i5GjSyM</t>
  </si>
  <si>
    <t>67qogtRNI0GjUr8PlaG6Zh,395RUhnuJcbFdgp6nYZsih</t>
  </si>
  <si>
    <t>1fR961e0W4W2eeRdjfcrNn</t>
  </si>
  <si>
    <t>67qogtRNI0GjUr8PlaG6Zh,4LAz9VRX8Nat9kvIzgkg2v,0ONHkAv9pCAFxb0zJwDNTy</t>
  </si>
  <si>
    <t>40Z7QfRaFEH0HcXlFJHBXc</t>
  </si>
  <si>
    <t>7vUJCRmF1if4uhMp2V3tRP,6gwInscSxlouXzcmENDqk4,6YxrfNCKBcQlbITpmDLErL</t>
  </si>
  <si>
    <t>6dyVRbfIOEbkXxOkC0FzBS</t>
  </si>
  <si>
    <t>7vUJCRmF1if4uhMp2V3tRP,7AnLiSqu9hvOLkGZ8VoCnl</t>
  </si>
  <si>
    <t>0c8X4ApJu6CNEXoIb5VKMo</t>
  </si>
  <si>
    <t>67qogtRNI0GjUr8PlaG6Zh,76M2Ekj8bG8W7X2nbx2CpF,54pgkpWVgQYbQXD8bkUP8n</t>
  </si>
  <si>
    <t>3Oiauiojgokw9vWQvFmEoI</t>
  </si>
  <si>
    <t>1FWybrAwiSa0zKibdLfZZr,67qogtRNI0GjUr8PlaG6Zh</t>
  </si>
  <si>
    <t>Eyes On Fire (Zed Dead Remix)</t>
  </si>
  <si>
    <t>5K69DyfCOQnfIMRqFFm2Ag</t>
  </si>
  <si>
    <t>5keDbKEPwrbe36cPzRpzsK</t>
  </si>
  <si>
    <t>Hard to Forget (EP)</t>
  </si>
  <si>
    <t>3pw0rf2YF38BEYie4JkcC3</t>
  </si>
  <si>
    <t>5oREZfPeedk4nyo1GpqKfU,38SIErfZNd7u2qlIzFeZqm</t>
  </si>
  <si>
    <t>2017-06-29</t>
  </si>
  <si>
    <t>5DOP9l0x4NvCIsS1tOGrre</t>
  </si>
  <si>
    <t>7vUJCRmF1if4uhMp2V3tRP,5FjiYgLczmrP2j1gijAGWp,7hJcb9fa4alzcOq3EaNPoG</t>
  </si>
  <si>
    <t>03EuhmMsEHVFI9ytainStU</t>
  </si>
  <si>
    <t>Lines in Wax</t>
  </si>
  <si>
    <t>2010-10-11</t>
  </si>
  <si>
    <t>0crMum0BzSBoGK9lxXx26b</t>
  </si>
  <si>
    <t>7vUJCRmF1if4uhMp2V3tRP,5KyW31NaWHwLPbk1gaAHUr</t>
  </si>
  <si>
    <t>089tprIgsyFSOrZpugamLI</t>
  </si>
  <si>
    <t>0Y0QSi6lz1bPik5Ffjr8sd,28j8lBWDdDSHSSt5oPlsX2</t>
  </si>
  <si>
    <t>4SNlufpg8PmrMmeS2luHcK</t>
  </si>
  <si>
    <t>1kwGj7uDO5WXVXtQLvGJr0,2zmrsXMHxagFz6vI2cD7r6,1q8oSM8SPFFKiu1FR2OJdt</t>
  </si>
  <si>
    <t>Stories to Tell</t>
  </si>
  <si>
    <t>04aAxqtGp5pv12UXAg4pkq</t>
  </si>
  <si>
    <t>4UXqAaa6dQYAk18Lv7PEgX</t>
  </si>
  <si>
    <t>American Beauty/American Psycho</t>
  </si>
  <si>
    <t>3zshP9h5monlNZLzdxFcpW</t>
  </si>
  <si>
    <t>2VXRxdCCHHajU61ohOXnO1,38SIErfZNd7u2qlIzFeZqm</t>
  </si>
  <si>
    <t>2awWMPb89fIkrjXQ3GV9WH</t>
  </si>
  <si>
    <t>3kYZIJOtlxX0YhaNz2j4ld</t>
  </si>
  <si>
    <t>1mU61l2mcjEFraXZLpvVMo</t>
  </si>
  <si>
    <t>1kFJTEnAvJ70S5mXplUAFR</t>
  </si>
  <si>
    <t>5J2e93DqMPvnlArk6AYieX</t>
  </si>
  <si>
    <t>2AsCNMhgUuqhs3Sx9Ko5Vq,4lfzmHxJUmbTMeg2OlnBNN</t>
  </si>
  <si>
    <t>2uNTIqpS21OBEaBNKyzzs0</t>
  </si>
  <si>
    <t>4qV5YCi5zzgDgzTClkK9bL</t>
  </si>
  <si>
    <t>Wallflower EP</t>
  </si>
  <si>
    <t>2IqjGuO7ksImDwt5OxFhZ1</t>
  </si>
  <si>
    <t>2WMIMX93pQyfyAF2J2r1ID</t>
  </si>
  <si>
    <t>Emerald</t>
  </si>
  <si>
    <t>2016-02-12</t>
  </si>
  <si>
    <t>5FHveakYOcExQSHLr4oerC</t>
  </si>
  <si>
    <t>2016-06-30</t>
  </si>
  <si>
    <t>3ShXDaOcQi162qjCa0FXBX</t>
  </si>
  <si>
    <t>5yHFElFCi9F3I316qLU0QA,5rL1bpxszSXKHmVPXR5ZGs</t>
  </si>
  <si>
    <t>0Ldj1WgCXX6GUmJG8AqNkr</t>
  </si>
  <si>
    <t>4Td7DjmnDqvSDBHtuJomoF,25IZcQsNwnvgeBiTEjBNI4</t>
  </si>
  <si>
    <t>2016-09-15</t>
  </si>
  <si>
    <t>6yDlpLvVOPY8ewfzEQDBkP</t>
  </si>
  <si>
    <t>2AsCNMhgUuqhs3Sx9Ko5Vq,38SIErfZNd7u2qlIzFeZqm</t>
  </si>
  <si>
    <t>2016-10-06</t>
  </si>
  <si>
    <t>30aOzbu9fkxlEkBPa2n3Pw</t>
  </si>
  <si>
    <t>6Y9V7eRu11UUWHiKtD0AAN</t>
  </si>
  <si>
    <t>4t1dkVSUytQdV6VstXWPmN</t>
  </si>
  <si>
    <t>1qbeRs6NqQCIuyIKWjfMlj</t>
  </si>
  <si>
    <t>7vUJCRmF1if4uhMp2V3tRP,7e1qyhWgdVEnEjG7Sbb5W0</t>
  </si>
  <si>
    <t>02itaCXOdC54J0ISjqqFAp</t>
  </si>
  <si>
    <t>6cEuCEZu7PAE9ZSzLLc2oQ,5wTdspmxzb8V4ZjvDodpBo</t>
  </si>
  <si>
    <t>4qDASPdGDs6ga5SnkDiifJ</t>
  </si>
  <si>
    <t>Where I'll Be Waiting (VIP Mix)</t>
  </si>
  <si>
    <t>2016-07-26</t>
  </si>
  <si>
    <t>0kD586ste6xyDRqUYhVlCh</t>
  </si>
  <si>
    <t>0vqJkZ0RpLZixt3lTmD8vP,7muzHifhMdnfN1xncRLOqk,1bqxdqvUtPWZri43cKHac8</t>
  </si>
  <si>
    <t>2016-12-06</t>
  </si>
  <si>
    <t>6FyIvdHUFc1MAmPI2hUO2W</t>
  </si>
  <si>
    <t>7vUJCRmF1if4uhMp2V3tRP</t>
  </si>
  <si>
    <t>60wwxj6Dd9NJlirf84wr2c</t>
  </si>
  <si>
    <t>2qxJFvFYMEDqd7ui6kSAcq,7qRll6DYV06u2VuRPAVqug</t>
  </si>
  <si>
    <t>1efL8xdeZ934vPnIZGy3SH</t>
  </si>
  <si>
    <t>4gYotnknfdBl4rlcMJWaFJ</t>
  </si>
  <si>
    <t>41DKMtAnhVo7aDeluAHDJg,5UA4NsiBgSQICPFMDKcPAe</t>
  </si>
  <si>
    <t>3Zwu2K0Qa5sT6teCCHPShP</t>
  </si>
  <si>
    <t>Infinity On High</t>
  </si>
  <si>
    <t>51aaEcG745n3y1zXvWgiXg</t>
  </si>
  <si>
    <t>5keDbKEPwrbe36cPzRpzsK,1PFc84GHTYPL0G12JHh9Mc</t>
  </si>
  <si>
    <t>03H8r2mL1W1bNOUn7naGiq</t>
  </si>
  <si>
    <t>4sGfNIfA14nKOKNi9NNQ12,2uFH2L4YKTo0fFZT67bkx3</t>
  </si>
  <si>
    <t>2014-10-29</t>
  </si>
  <si>
    <t>2vu1gO7FXJ35Vz71Ra4hnz</t>
  </si>
  <si>
    <t>2hN25RtzT6XhMmlNeZxsJq</t>
  </si>
  <si>
    <t>7vUJCRmF1if4uhMp2V3tRP,3DyXJRjmunVFt7RAKt6EMn</t>
  </si>
  <si>
    <t>1K9dytoXZbkvSWWMT2izBA</t>
  </si>
  <si>
    <t>5zYJziKktyqWwmoAWXrShP,4Td7DjmnDqvSDBHtuJomoF,5cfALf5vLhWIo7VeIh4fQX</t>
  </si>
  <si>
    <t>Evolution Theory (Deluxe Edition)</t>
  </si>
  <si>
    <t>1JDIArrcepzWDTAWXdGYmP</t>
  </si>
  <si>
    <t>2qxJFvFYMEDqd7ui6kSAcq,0C8ZW7ezQVs4URX5aX7Kqx</t>
  </si>
  <si>
    <t>True Colors</t>
  </si>
  <si>
    <t>1dFkD1JfRMzwO6hwUsE8aS</t>
  </si>
  <si>
    <t>2qxJFvFYMEDqd7ui6kSAcq,1mU61l2mcjEFraXZLpvVMo</t>
  </si>
  <si>
    <t>4Gcv5SsxnQWpmOnUI19EJk</t>
  </si>
  <si>
    <t>0FigU3fBZd8gtBYR3XUx5e</t>
  </si>
  <si>
    <t>6vBYLDvY6vMzHMknz56Ls3</t>
  </si>
  <si>
    <t>1kwGj7uDO5WXVXtQLvGJr0,6jsjhAEteAlY0vCiLvMLBA</t>
  </si>
  <si>
    <t>2014-10-17</t>
  </si>
  <si>
    <t>3SEupjP7CBdIoNPrFrMozG</t>
  </si>
  <si>
    <t>Gravity Pt. 1</t>
  </si>
  <si>
    <t>4keoy2fqgwGnbWlm3ZVZFa</t>
  </si>
  <si>
    <t>2qxJFvFYMEDqd7ui6kSAcq,67MNhiAICFY6Pwc2YxCO0K</t>
  </si>
  <si>
    <t>2018-07-18</t>
  </si>
  <si>
    <t>2wm6DCnWcWwfsIl0LvWYZ8</t>
  </si>
  <si>
    <t>45eNHdiiabvmbp4erw26rg,5fENlrINIVP0gJOtKxvORt</t>
  </si>
  <si>
    <t>6iLzFJhs4ATwJn7P1utZIJ</t>
  </si>
  <si>
    <t>1hCkSJcXREhrodeIHQdav8</t>
  </si>
  <si>
    <t>Game of Thrones (Music from the HBO® Series - Season 6)</t>
  </si>
  <si>
    <t>1BFBErSK8j6p4hZDgqTCAC</t>
  </si>
  <si>
    <t>39VDXMLHu8Zdezi5P8d6sX</t>
  </si>
  <si>
    <t>44y41NIqotSQh980A7qTWH</t>
  </si>
  <si>
    <t>7vUJCRmF1if4uhMp2V3tRP,5U1eJDpMKZiQustw16e0g2</t>
  </si>
  <si>
    <t>09IStsImFySgyp0pIQdqAc</t>
  </si>
  <si>
    <t>2qxJFvFYMEDqd7ui6kSAcq,6WY7D3jk8zTrHtmkqqo5GI,4lDBihdpMlOalxy1jkUbPl</t>
  </si>
  <si>
    <t>2018-01-23</t>
  </si>
  <si>
    <t>5eh17lUQtcqtDyHTkNQp19</t>
  </si>
  <si>
    <t>67qogtRNI0GjUr8PlaG6Zh,5fMUXHkw8R8eOP2RNVYEZX,134GdR5tUtxJrf8cpsfpyY</t>
  </si>
  <si>
    <t>3hzxBcOpm0wmr6YDD1EPq5</t>
  </si>
  <si>
    <t>0HZgYFimoJG9Ijy8InUWcV</t>
  </si>
  <si>
    <t>1vCWHaC5f2uS3yhpwWbIA6,142TY556WknD1ZRV8XilJQ</t>
  </si>
  <si>
    <t>2x0RZdkZcD8QRI53XT4GI5</t>
  </si>
  <si>
    <t>1vCWHaC5f2uS3yhpwWbIA6,0id62QV2SZZfvBn9xpmuCl</t>
  </si>
  <si>
    <t>3y3brCCecHC3Db18aIOnny</t>
  </si>
  <si>
    <t>23fqKkggKUBHNkbKtXEls4,5CCwRZC6euC8Odo6y9X8jr</t>
  </si>
  <si>
    <t>3nSglalUiJYQfUsnzvI5Px</t>
  </si>
  <si>
    <t>378dH6EszOLFShpRzAQkVM,3Nbau9SoiH72jmJdUTqjOY</t>
  </si>
  <si>
    <t>3khUbMB5jixpTCj4FmzHpB</t>
  </si>
  <si>
    <t>Suicide (Remixes)</t>
  </si>
  <si>
    <t>4nmqPOhnKgkWVjZdaXMAyY</t>
  </si>
  <si>
    <t>6wVyIzTpWaxf9Qt41XDWlk</t>
  </si>
  <si>
    <t>1IsJwyZYiFgZ0OBLn88ht0</t>
  </si>
  <si>
    <t>3fjs4zbBFxEFFe8Wyojo0G,5CieAewiroqzWWxdsWuoNu</t>
  </si>
  <si>
    <t>Glass Mansion</t>
  </si>
  <si>
    <t>2syQ0f4SAQdzvlAewPl1DJ</t>
  </si>
  <si>
    <t>2qxJFvFYMEDqd7ui6kSAcq,5pUo3fmmHT8bhCyHE52hA6</t>
  </si>
  <si>
    <t>2ISSQPb9LHHiV6ng2NXosL</t>
  </si>
  <si>
    <t>2qxJFvFYMEDqd7ui6kSAcq,50JJSqHUf2RQ9xsHs0KMHg</t>
  </si>
  <si>
    <t>3KrnkTF84wu0KF3vqVYgEh</t>
  </si>
  <si>
    <t>2Sa4c9qKaI7ILJs8D6gUCh,1mU61l2mcjEFraXZLpvVMo</t>
  </si>
  <si>
    <t>7IRA0zns34melgv2AJOdO2</t>
  </si>
  <si>
    <t>7vUJCRmF1if4uhMp2V3tRP,75vhKQQC1fAOmfLrEZUcET</t>
  </si>
  <si>
    <t>2016-05-25</t>
  </si>
  <si>
    <t>6pGT2Pc1p4n4oWXHjyoriG</t>
  </si>
  <si>
    <t>2015-12-05</t>
  </si>
  <si>
    <t>2E43WFS4rRc09za2r2GmZl</t>
  </si>
  <si>
    <t>Save Rock And Roll</t>
  </si>
  <si>
    <t>66WHHa2c6evCPVBvlblI2D</t>
  </si>
  <si>
    <t>41DKMtAnhVo7aDeluAHDJg,5wMfct6VVvaVQ8xGCXxIUa</t>
  </si>
  <si>
    <t>4hvmK2HZPB2MwKjWprYCxg</t>
  </si>
  <si>
    <t>03m6VWnRRsK4IFtzFOUjdD</t>
  </si>
  <si>
    <t>5zYJziKktyqWwmoAWXrShP</t>
  </si>
  <si>
    <t>Evolution Theory</t>
  </si>
  <si>
    <t>4UIAJ1WnUvAPPdkzq2rn1i</t>
  </si>
  <si>
    <t>47z7ZrgFoBvVpCnElCE3Zh,3TLztDNMMFjApR8Fecb0aD,736HGQRGr9rjG4VmmSpkz8</t>
  </si>
  <si>
    <t>Blood For Mercy</t>
  </si>
  <si>
    <t>6btkdvumrTmcFzy3oFpZqS</t>
  </si>
  <si>
    <t>1HQGhla3VNj1dBmKTtVT2t,7muzHifhMdnfN1xncRLOqk</t>
  </si>
  <si>
    <t>Thief (Flux Pavilion Remix)</t>
  </si>
  <si>
    <t>1VxogbO6bfygdfaCnE9oLb</t>
  </si>
  <si>
    <t>64KEffDW9EtZ1y2vBYgq8T,1HQGhla3VNj1dBmKTtVT2t,55fhWPvDiMpLnE4ZzNXZyW</t>
  </si>
  <si>
    <t>1U3SFEPvIhSsKMzyMKvxET</t>
  </si>
  <si>
    <t>6cEuCEZu7PAE9ZSzLLc2oQ,3IpvVrP3VLhruTmnququq7</t>
  </si>
  <si>
    <t>The Wave</t>
  </si>
  <si>
    <t>73inMsqLjdUDn53tg2HkZM</t>
  </si>
  <si>
    <t>1AlMOfS6T5s24LsrLZ2Eji,1HllAiVOVAOKzwauzKp3bo</t>
  </si>
  <si>
    <t>2016-12-08</t>
  </si>
  <si>
    <t>4ypH2OhXhxGnqDJUBwh47L</t>
  </si>
  <si>
    <t>45eNHdiiabvmbp4erw26rg,0fs8oBR1rx7JIXZi75h7Uu,24Hb4GKFYquK73R8mTyInu</t>
  </si>
  <si>
    <t>Crashing (Remixes)</t>
  </si>
  <si>
    <t>5EJ5fTxfPeRyR9MseB5TD7</t>
  </si>
  <si>
    <t>2Vv2on3jP9LePjkxUm0QFy</t>
  </si>
  <si>
    <t>2il3Y50BLiauLqlXJP22Bh</t>
  </si>
  <si>
    <t>6AZ0l58vbw8oNquULJscDG</t>
  </si>
  <si>
    <t>0pfnWUQZ5G18l2yswZzypo</t>
  </si>
  <si>
    <t>5JXpiWjQXWeLQo9mB8fzrT</t>
  </si>
  <si>
    <t>0182uWkvNqGEpsU2ogscao</t>
  </si>
  <si>
    <t>Sapphire</t>
  </si>
  <si>
    <t>4is6Z7ZZkQKxezliMAVah7</t>
  </si>
  <si>
    <t>4aJH4kVoy2tlhCwiwrMDeb</t>
  </si>
  <si>
    <t>53mCsmxRHk7sCatSQdWYkB</t>
  </si>
  <si>
    <t>570OqUwUwq6kedjH3xETS0</t>
  </si>
  <si>
    <t>1zGhmFmbXqUVPC3Rh89kqD</t>
  </si>
  <si>
    <t>6NijhaDhaxRXhzjwP3cQiG</t>
  </si>
  <si>
    <t>Ruby</t>
  </si>
  <si>
    <t>3Rpl6yBjkVFgaYmw9HKqMu</t>
  </si>
  <si>
    <t>19916uKFpyBCtTzaMoJwv1</t>
  </si>
  <si>
    <t>0VlrUeXXJXN3xQN0UV2f03</t>
  </si>
  <si>
    <t>36FrMib4S8OBo9mzKApmLA</t>
  </si>
  <si>
    <t>2It8676FECi8q5sbvkLzRo</t>
  </si>
  <si>
    <t>5eo5ur8ywyUqhz3Ma0EU2u</t>
  </si>
  <si>
    <t>2tLI4kPsmsxQQv6zr2jbgt,5CVsjwjuzUOrlEc2OJbUg4,0kkaYQEFjCEGEaEoQ01zoX</t>
  </si>
  <si>
    <t>2016-01-27</t>
  </si>
  <si>
    <t>2jRfRIvnZj4J6mxGnpVmdQ</t>
  </si>
  <si>
    <t>5CVsjwjuzUOrlEc2OJbUg4,3risOBDAx6GGVaCcBuhswz</t>
  </si>
  <si>
    <t>2017-03-22</t>
  </si>
  <si>
    <t>09dqs7fRPkRtbL3C9JwwYN</t>
  </si>
  <si>
    <t>5CVsjwjuzUOrlEc2OJbUg4,7fVAMCPyWtZf1yx92YTBmJ</t>
  </si>
  <si>
    <t>0Njuk9ivU3IwFfx9sxuwuh</t>
  </si>
  <si>
    <t>4JMdvZoXArDVuMNNelKmjo,3jaknADFL7EOn3lSRneM7v,5CVsjwjuzUOrlEc2OJbUg4</t>
  </si>
  <si>
    <t>Trndsttr (Lucian Remix) [feat. M. Maggie] (feat. M. Maggie)</t>
  </si>
  <si>
    <t>2016-02-29</t>
  </si>
  <si>
    <t>29NYSONJPzdia0UQswOAKW</t>
  </si>
  <si>
    <t>Pluto Tapes: Volume 1</t>
  </si>
  <si>
    <t>7GGNRmvseDF22exv05Kn1j</t>
  </si>
  <si>
    <t>Fake Smiles, Real Memories</t>
  </si>
  <si>
    <t>2018-07-06</t>
  </si>
  <si>
    <t>5nYX0UoGDNyikiecl8jLFz</t>
  </si>
  <si>
    <t>6lYktNy0nhWLQjo6zvKizF</t>
  </si>
  <si>
    <t>2017-02-21</t>
  </si>
  <si>
    <t>55fr2ndMLzQhJfYFeeUcxG</t>
  </si>
  <si>
    <t>Pluto Tapes</t>
  </si>
  <si>
    <t>04pjfS3YIK6gXjxi1zHeZa</t>
  </si>
  <si>
    <t>Legends Never Die (feat. Against The Current)</t>
  </si>
  <si>
    <t>6pxl5lMJJs2OdySOSRSRRI</t>
  </si>
  <si>
    <t>52AtuDhDYHavraoyirpylv</t>
  </si>
  <si>
    <t>2VDTgXwf3F6kcpX4HI0BKy</t>
  </si>
  <si>
    <t>3R2XdDHd8QsanrmYD63lxP</t>
  </si>
  <si>
    <t>5UIR8dRPP1GtdxYHYPwKN5</t>
  </si>
  <si>
    <t>The Darker The Weather // The Better The Man</t>
  </si>
  <si>
    <t>1At52Yikxdz4CFaLtLvpkx</t>
  </si>
  <si>
    <t>0vcOl2PEAd2tdfAlCVa0L4</t>
  </si>
  <si>
    <t>45XqSiFN5bruKinywdkbmQ</t>
  </si>
  <si>
    <t>2016-04-13</t>
  </si>
  <si>
    <t>2VS2AUrd9c4V114SDZwloa</t>
  </si>
  <si>
    <t>0IvMfcTTauiJ7qk3MACHXV</t>
  </si>
  <si>
    <t>2017-01-28</t>
  </si>
  <si>
    <t>44zc2eDVaPBh5AEZgf4lqb</t>
  </si>
  <si>
    <t>4G7TcabyLJntNwG3f9G515</t>
  </si>
  <si>
    <t>3dK02Pz2XLiqLKx1GQQwb9</t>
  </si>
  <si>
    <t>6Qt2QkoZVRJTE0GI4mY6KL</t>
  </si>
  <si>
    <t>4tCehbLlR0C4ag7Qj60X7R</t>
  </si>
  <si>
    <t>5d7P5eapBbN3gfce5ARfuh</t>
  </si>
  <si>
    <t>0o4fUGy8EitPtnQZ2Wp1jy</t>
  </si>
  <si>
    <t>59nb3KTZVNnlhqijf4d0Gs</t>
  </si>
  <si>
    <t>09yhMTRqQ1I1dniu3PoIQi</t>
  </si>
  <si>
    <t>3hyEbRtp617pNCuuQjyOmc,137W8MRPWKqSmrBGDBFSop,5UjifI1TYefXWn9GdqDOHl</t>
  </si>
  <si>
    <t>Paper Crowns (Deluxe)</t>
  </si>
  <si>
    <t>4GJAd1nBylAEbw1dZDVzEQ</t>
  </si>
  <si>
    <t>3hyEbRtp617pNCuuQjyOmc,0NIIxcxNHmOoyBx03SfTCD</t>
  </si>
  <si>
    <t>2idTnDVMIFBqdoHodX8WQc</t>
  </si>
  <si>
    <t>3hyEbRtp617pNCuuQjyOmc,6TXM1kV4L8DsDAkAfbOPYk,5dHt1vcEm9qb8fCyLcB3HL</t>
  </si>
  <si>
    <t>01iyINEYgPQ7ThMZuHUsqS</t>
  </si>
  <si>
    <t>3hyEbRtp617pNCuuQjyOmc,74KM79TiuVKeVCqs8QtB0B</t>
  </si>
  <si>
    <t>5bvNpG6wiIEf1PA13TkTu2</t>
  </si>
  <si>
    <t>3hyEbRtp617pNCuuQjyOmc,1oKdM70mJD8VvDOTKeS8t1</t>
  </si>
  <si>
    <t>4mEILaBM7bKZqKAun5tABu</t>
  </si>
  <si>
    <t>3hyEbRtp617pNCuuQjyOmc,2fsk4VlJdNF6G8cCMDrrzB</t>
  </si>
  <si>
    <t>6Z6quH5WcwOkmgGPGrGUPL</t>
  </si>
  <si>
    <t>0q4NrXqJnc367PieejuROJ,2TL8gYTNgD6nXkyuUdDrMg,00Z3UDoAQwzvGu13HoAM7J</t>
  </si>
  <si>
    <t>1KHGSJPHiHkG2FEGFy8fLc</t>
  </si>
  <si>
    <t>2TL8gYTNgD6nXkyuUdDrMg</t>
  </si>
  <si>
    <t>Bundle of Tantrums</t>
  </si>
  <si>
    <t>2013-09-06</t>
  </si>
  <si>
    <t>5JX11rWObF2DpfNQRw8tCD</t>
  </si>
  <si>
    <t>1OozJMmjaGAgX8WPTTMpcG</t>
  </si>
  <si>
    <t>Ain't Nobody (Loves Me Better) [Acoustic Version]</t>
  </si>
  <si>
    <t>5fa6CrQwHwthEoCvTtd5Ig</t>
  </si>
  <si>
    <t>4KKrLHpkVFoPAweoHsDCXt</t>
  </si>
  <si>
    <t>0Z0gcy8fZUhsyPCgrPJwHo</t>
  </si>
  <si>
    <t>Another Bundle of Tantrums</t>
  </si>
  <si>
    <t>2014-04-20</t>
  </si>
  <si>
    <t>3jegvM7Iolakj2grAT4ZO6</t>
  </si>
  <si>
    <t>3AzvNvE3xpgelqmE5MRnbI</t>
  </si>
  <si>
    <t>1l2ekx5skC4gJH8djERwh1,7hOGhpa8RMSuDOWntGIAJt</t>
  </si>
  <si>
    <t>1Cfws8y490Zpsqsyeme6V1</t>
  </si>
  <si>
    <t>0bdfiayQAKewqEvaU6rXCv,5fMUXHkw8R8eOP2RNVYEZX,1l2ekx5skC4gJH8djERwh1</t>
  </si>
  <si>
    <t>Sun In Our Eyes (Don Diablo Remix)</t>
  </si>
  <si>
    <t>2018-08-08</t>
  </si>
  <si>
    <t>0OcAPWLoSQU6sYOWnYfQ1x</t>
  </si>
  <si>
    <t>1l2ekx5skC4gJH8djERwh1,5Tf4EH8tDvznnjULcFxkIl</t>
  </si>
  <si>
    <t>1gnKUue6F9gXXHQshCBwEs</t>
  </si>
  <si>
    <t>1l2ekx5skC4gJH8djERwh1,7sfgqEdoeBTjd8lQsPT3Cy,13y7CgLHjMVRMDqxdx0Xdo</t>
  </si>
  <si>
    <t>4wejqH3DP6eiIqi6t3DWqJ</t>
  </si>
  <si>
    <t>4dASQiO1Eoo3RJvt74FtXB</t>
  </si>
  <si>
    <t>55Aa2cqylxrFIXC767Z865,137W8MRPWKqSmrBGDBFSop,53XhwfbYqKCa1cC15pYq2q,3NPpFNZtSTHheNBaWC82rB,4xRYI6VqpkE3UwrDrAZL8L,7c0XG5cIJTrrAgEC3ULPiq</t>
  </si>
  <si>
    <t>Sucker for Pain (with Logic &amp; Ty Dolla $ign feat. X Ambassadors)</t>
  </si>
  <si>
    <t>2RSHsoi04658QL5xgQVov3</t>
  </si>
  <si>
    <t>Origins (Deluxe)</t>
  </si>
  <si>
    <t>0pqnGHJpmpxLKifKRmU6WP</t>
  </si>
  <si>
    <t>1zB4vmk8tFRmM9UULNzbLB</t>
  </si>
  <si>
    <t>6Qn5zhYkTa37e91HC1D7lb</t>
  </si>
  <si>
    <t>2FY7b99s15jUprqC0M5NCT</t>
  </si>
  <si>
    <t>5qaEfEh1AtSdrdrByCP7qR</t>
  </si>
  <si>
    <t>62yJjFtgkhUrXktIoSjgP2</t>
  </si>
  <si>
    <t>69yfbpvmkIaB10msnKT7Q5</t>
  </si>
  <si>
    <t>53XhwfbYqKCa1cC15pYq2q,2YZyLoL8N0Wb9xBt1NhZWg</t>
  </si>
  <si>
    <t>2katwBZFM6F5gEAXuC6DBO</t>
  </si>
  <si>
    <t>3gvrcgcaDEtg31znlAd4dw</t>
  </si>
  <si>
    <t>The Sway - Single</t>
  </si>
  <si>
    <t>6D8WgDaIuyirn6egGauzVK</t>
  </si>
  <si>
    <t>3RP50pmG8Wz1mhNCidQj68,2QSPrJfYeRXaltEEiriXN9</t>
  </si>
  <si>
    <t>1CnPYaKxTVb4LWOtiGOm0m</t>
  </si>
  <si>
    <t>50JJSqHUf2RQ9xsHs0KMHg</t>
  </si>
  <si>
    <t>The Human Condition</t>
  </si>
  <si>
    <t>5masKPHeAOVNgxdLebIcK7</t>
  </si>
  <si>
    <t>23fqKkggKUBHNkbKtXEls4,48sLioddyaXkuhyHXSkpsB</t>
  </si>
  <si>
    <t>0Zbbxnx4SGGHoIow4PpISP</t>
  </si>
  <si>
    <t>23fqKkggKUBHNkbKtXEls4,1QDrz3DMMaz3TB1cm0PGDu</t>
  </si>
  <si>
    <t>Stargazing - EP</t>
  </si>
  <si>
    <t>1I8tHoNBFTuoJAlh4hfVVE</t>
  </si>
  <si>
    <t>23fqKkggKUBHNkbKtXEls4,1rw8ZTLnDHd74TWDDukjVi</t>
  </si>
  <si>
    <t>3eR23VReFzcdmS7TYCrhCe</t>
  </si>
  <si>
    <t>23fqKkggKUBHNkbKtXEls4,0C8ZW7ezQVs4URX5aX7Kqx</t>
  </si>
  <si>
    <t>2017-02-16</t>
  </si>
  <si>
    <t>3Kuu5vASpXK8oRsxOvau6P</t>
  </si>
  <si>
    <t>6xTU6B6nFwKKTSZ9ySXS80</t>
  </si>
  <si>
    <t>23fqKkggKUBHNkbKtXEls4,360IAlyVv4PCEVjgyMZrxK</t>
  </si>
  <si>
    <t>Kids in Love</t>
  </si>
  <si>
    <t>0kHyKhJMukHEPfeh8s7rdM</t>
  </si>
  <si>
    <t>23fqKkggKUBHNkbKtXEls4,53XhwfbYqKCa1cC15pYq2q</t>
  </si>
  <si>
    <t>6aoGtdWXBkYQ2O2wnyIz2x</t>
  </si>
  <si>
    <t>23fqKkggKUBHNkbKtXEls4,5JMLG56F1X5mFmWNmS0iAp</t>
  </si>
  <si>
    <t>14sOS5L36385FJ3OL8hew4</t>
  </si>
  <si>
    <t>23fqKkggKUBHNkbKtXEls4,5JYo7gm2dkyLLlWHjxS7Dy</t>
  </si>
  <si>
    <t>5QaaFvMFYwQKTeCHPXaFWl</t>
  </si>
  <si>
    <t>3jOstUTkEu2JkjvRdBA5Gu,6qLB9SoM25z2JDFBcgvJ8G</t>
  </si>
  <si>
    <t>Happy Hour (The Remixes)</t>
  </si>
  <si>
    <t>1q4OKSgFLygFNeGr5TkfoB</t>
  </si>
  <si>
    <t>6qLB9SoM25z2JDFBcgvJ8G,3TggUGYApDP4IRlUcpuKRY</t>
  </si>
  <si>
    <t>1NAeorrSNCibpdJMpXLFeG</t>
  </si>
  <si>
    <t>6qLB9SoM25z2JDFBcgvJ8G,0Dhar5McHXlUdJYJhpJaI8</t>
  </si>
  <si>
    <t>2GtSvnYFfj7vvpo9B0FqlI</t>
  </si>
  <si>
    <t>We Need Love (from Songland)</t>
  </si>
  <si>
    <t>6gym3PjNtswFqUxE8c1Vz2</t>
  </si>
  <si>
    <t>2014</t>
  </si>
  <si>
    <t>4JPrZ70BZAB2wSPTrTr5fd</t>
  </si>
  <si>
    <t>4i3rHxf0hIOVLaXsvSaaRP</t>
  </si>
  <si>
    <t>2016-03-20</t>
  </si>
  <si>
    <t>60cYr5uuMoxvyuIx45rGEW</t>
  </si>
  <si>
    <t>3O8goxZKbL0HUYN53n8h3o</t>
  </si>
  <si>
    <t>7pGyQZx9thVa8GxMBeXscB,6p4AluOj2RxnUuPWwZLTxN</t>
  </si>
  <si>
    <t>Jeune A La Retraite</t>
  </si>
  <si>
    <t>2009</t>
  </si>
  <si>
    <t>6Iocm6VMu6bVNYwiDoyQFW</t>
  </si>
  <si>
    <t>2QYEvpsWUOjqaYuxDPTCmV,4utLUGcTvOJFr6aqIJtYWV</t>
  </si>
  <si>
    <t>Last Train To Paris</t>
  </si>
  <si>
    <t>1BdjQ2Xd8y4FoHXLP52AhC</t>
  </si>
  <si>
    <t>3o8bovLXjsxsFBTXajm1VA</t>
  </si>
  <si>
    <t>4N874uPqBka1QiCvnCVOtr,3ApUX1o6oSz321MMECyIYd</t>
  </si>
  <si>
    <t>6Wrx0ZDaB3dxBDl1ZnddXT</t>
  </si>
  <si>
    <t>00TKPo9MxwZ0j4ooveIxWZ</t>
  </si>
  <si>
    <t>single.</t>
  </si>
  <si>
    <t>5VR6tKa3ltD0FkWBVqL3Pf</t>
  </si>
  <si>
    <t>Overthinking</t>
  </si>
  <si>
    <t>6Vigp41BietH0WoFZ52JI5</t>
  </si>
  <si>
    <t>5cIc3SBFuBLVxJz58W2tU9</t>
  </si>
  <si>
    <t>2015-09-04</t>
  </si>
  <si>
    <t>2015-05-01</t>
  </si>
  <si>
    <t>3OXpdrHLT4IqM76RajgM6Q</t>
  </si>
  <si>
    <t>7bXWSg5gd0Em0eQ5xpthWF</t>
  </si>
  <si>
    <t>5WdqBAQhGFCrZvBKXiPIu7,6aAestjbtEbALwyIYPg8Na</t>
  </si>
  <si>
    <t>5vtyFzfLkCSJvXEZFjQAa1</t>
  </si>
  <si>
    <t>0U8azVJLFJhIqAbOqoPUMG</t>
  </si>
  <si>
    <t>Monstercat 010 - Conquest</t>
  </si>
  <si>
    <t>2012-10-31</t>
  </si>
  <si>
    <t>5vMAKJ78vhNtvbIKz4yeIY</t>
  </si>
  <si>
    <t>60W8lvIZJwNcYF97L0fsuD</t>
  </si>
  <si>
    <t>4Z1xD1Wr3EF2uqgEODVPyH</t>
  </si>
  <si>
    <t>7wg1qvie3KqDNQbAkTdbX0</t>
  </si>
  <si>
    <t>OWSLA Worldwide Broadcast</t>
  </si>
  <si>
    <t>4yNoaxUJjnP50AXYoAZx4S</t>
  </si>
  <si>
    <t>7muzHifhMdnfN1xncRLOqk,1mU61l2mcjEFraXZLpvVMo</t>
  </si>
  <si>
    <t>Tesla</t>
  </si>
  <si>
    <t>2014-07-10</t>
  </si>
  <si>
    <t>7H8fBamGUheu0DSpp3pj03</t>
  </si>
  <si>
    <t>46CitWgnWrvF9t70C2p1Me</t>
  </si>
  <si>
    <t>Wild Youth EP</t>
  </si>
  <si>
    <t>4o9qHv5ZoHjNIRwobYaTdL</t>
  </si>
  <si>
    <t>12lFBaie1IW75Q7eViLrjd</t>
  </si>
  <si>
    <t>2014-12-17</t>
  </si>
  <si>
    <t>7xDKR7VFr2a4vmxrQDgkjh</t>
  </si>
  <si>
    <t>66phyNbqecPgZ1bk5SPHzB</t>
  </si>
  <si>
    <t>2017-03-08</t>
  </si>
  <si>
    <t>5PwCuqzezD4a7mfxMNwk86</t>
  </si>
  <si>
    <t>4zjO8Jhi2pciJJzd8Q6rga,30ejUciK31BCg0IVCbt1dW</t>
  </si>
  <si>
    <t>1ZoZUQjoBlUROqNrodMpYL</t>
  </si>
  <si>
    <t>73tITL3u5T35u309PLpN6K,4uNv6RD2YXwoaKgHfJZkkL</t>
  </si>
  <si>
    <t>4l7VZQZ8ycQFqMPFTTsLgv</t>
  </si>
  <si>
    <t>0daugAjUgbJSqdlyYNwIbT,3pFPBG84k5bQVbL9apf2PD</t>
  </si>
  <si>
    <t>3VAeTjREoKPY1exOXR4oBm</t>
  </si>
  <si>
    <t>6hmhG1b4LEyNuashVvuIAo</t>
  </si>
  <si>
    <t>1Xylc3o4UrD53lo9CvFvVg,7uMh23xWiuR7zsNkuNcm2G</t>
  </si>
  <si>
    <t>2kR2xX5txMmfkVFIgukZpS</t>
  </si>
  <si>
    <t>6gwInscSxlouXzcmENDqk4,7vWC03wqXwUqjPON8hc1tz,63cplGnouXU54bGPY7JC8m</t>
  </si>
  <si>
    <t>2pCGJHqq21iQLBpUIukNsd</t>
  </si>
  <si>
    <t>2fdnozCu0BPpkE4tuDRwf6,2aMgFUIDlQ6qu3bWFJTvdT</t>
  </si>
  <si>
    <t>40ZZYF9I8cGHEuT1h9Gw37</t>
  </si>
  <si>
    <t>45eNHdiiabvmbp4erw26rg,75aiMKKxzFHGFRxyLwvL2d</t>
  </si>
  <si>
    <t>4RJviB6wSOjsPVf1xumBVL</t>
  </si>
  <si>
    <t>60ETw93KnLzkysVpiZ3VYA,2z2l9z2yioLWSoCECNIyEl</t>
  </si>
  <si>
    <t>6ZSO7kPn8IMJFymyticbJO</t>
  </si>
  <si>
    <t>low kii savage</t>
  </si>
  <si>
    <t>2016-03-22</t>
  </si>
  <si>
    <t>1o4NTGC77RBp82ZLn5qT9q</t>
  </si>
  <si>
    <t>5CVsjwjuzUOrlEc2OJbUg4,14eQOEJwQwEFzqlaXuSMjf</t>
  </si>
  <si>
    <t>New America</t>
  </si>
  <si>
    <t>5ZUFFZZ7qaKtgSbYfHom5f</t>
  </si>
  <si>
    <t>Life as a Dog</t>
  </si>
  <si>
    <t>4XBUuCLTGHfg5OvRA1iiTy</t>
  </si>
  <si>
    <t>Tunesdays</t>
  </si>
  <si>
    <t>1lhLZGDYPwXeOjfpxMWtQZ</t>
  </si>
  <si>
    <t>Hypnotic (Vanic Remix)</t>
  </si>
  <si>
    <t>54LFnRxLlnwV7R04CMZwjD</t>
  </si>
  <si>
    <t>1gh8GYfxnY6D9nXPQ1Pb6g</t>
  </si>
  <si>
    <t>4XOuT4tFDIYEfh61ra53oQ</t>
  </si>
  <si>
    <t>0QRl3JibD4kMY6dUU2OPoP</t>
  </si>
  <si>
    <t>Anxiety</t>
  </si>
  <si>
    <t>2E70P03j3u2R8Wq3ri5cKL</t>
  </si>
  <si>
    <t>6wUAn24MOirNVNqQM47fda</t>
  </si>
  <si>
    <t>1xdzPs8nOWHtcCBZNTMAi2</t>
  </si>
  <si>
    <t>4VfTgWhy9PKLJN3xKJcDqf</t>
  </si>
  <si>
    <t>4bJygwUKrRgq1stlNXcgMg</t>
  </si>
  <si>
    <t>2Q3eZMfDQgT8MhPowKFXYO</t>
  </si>
  <si>
    <t>200 KM/H In The Wrong Lane (10th Anniversary Edition)</t>
  </si>
  <si>
    <t>3CmnZAYHzgI9k5WGXYdyVn</t>
  </si>
  <si>
    <t>5HXtP2JoYh9ljmcg3kStPS</t>
  </si>
  <si>
    <t>5WtyrNUe6mKot8tyhzyJnS</t>
  </si>
  <si>
    <t>3d93SycnChD1X6cJtrR5j5</t>
  </si>
  <si>
    <t>47io5veNtr9LTowtR6sdIN</t>
  </si>
  <si>
    <t>7MEJKkrO2bgmH6enxbJ50J</t>
  </si>
  <si>
    <t>3UVUSY9ojJhxh1Y6dG8a85</t>
  </si>
  <si>
    <t>64iuc7K7UUVqR6ptsXMFr3</t>
  </si>
  <si>
    <t>776TkR1aQPHVnoSLkR1Ds6</t>
  </si>
  <si>
    <t>1tVGUwoTDHgYpjDyYUSBUL</t>
  </si>
  <si>
    <t>1TfqLAPs4K3s2rJMoCokcS</t>
  </si>
  <si>
    <t>0NKDgy9j66h3DLnN8qu1bB,5MspMQqdVbdwP6ax3GXqum,7gcCQIlkkfbul5Mt0jBQkg</t>
  </si>
  <si>
    <t>Sweet Dreams (Are Made Of This)</t>
  </si>
  <si>
    <t>1983-01-04</t>
  </si>
  <si>
    <t>1MHowJKV6EtV62GLP2X23S</t>
  </si>
  <si>
    <t>0trBqRcZ4lXqh8FERL5ZMa,667PRpjUWWwm45prjd14SD</t>
  </si>
  <si>
    <t>E.V.O.L.U.T.I.O.N</t>
  </si>
  <si>
    <t>6FmgfD3NTbcVH2uh6N2nvX</t>
  </si>
  <si>
    <t>4ZdAf6hSgPoUKGUYcJKYWM</t>
  </si>
  <si>
    <t>We Are Together (Mixes)</t>
  </si>
  <si>
    <t>6jcy8ioaxqYh9tGHvOOctm</t>
  </si>
  <si>
    <t>7lZauDnRoAC3kmaYae2opv,0GABmJRgNaIyOYzpslzG2W,3RTklnRcfHgkQJwFpgOq3t</t>
  </si>
  <si>
    <t>1m14OmN132he3ywf1vkMWK</t>
  </si>
  <si>
    <t>5k3yEwL4LbBA5R41pxGz8L</t>
  </si>
  <si>
    <t>1cxgK9QATO1nSr8GqcjoA1,2YE9xDQHXzmnwE8qq6Gqg8</t>
  </si>
  <si>
    <t>4mu5UnYMvr9NgtqK4N5BGN</t>
  </si>
  <si>
    <t>619CzMJPPWrCeZwx5qw6ko,6om1oTl0iSZGBRs52bJEqI</t>
  </si>
  <si>
    <t>2019-04-18</t>
  </si>
  <si>
    <t>67qwD3QV9X1VV85JW3WznX</t>
  </si>
  <si>
    <t>1N21tqenVOnzbRhdvw5bGH</t>
  </si>
  <si>
    <t>2019-04-14</t>
  </si>
  <si>
    <t>4J3QxXfgcDulX7lzRrKfJL</t>
  </si>
  <si>
    <t>5UMPbGkhhURnJ4pRUatCM1</t>
  </si>
  <si>
    <t>2o5jDhtHVPhrJdv3cEQ99Z,1NyxTiCivDmzgFWYD1V01m,0m6f0nNS9GEq41eIJ288ff</t>
  </si>
  <si>
    <t>6bolfjXj78EIQRB48C6QTc</t>
  </si>
  <si>
    <t>2o5jDhtHVPhrJdv3cEQ99Z,7KUri7klyLaIFXLcuuOMCd,0id62QV2SZZfvBn9xpmuCl</t>
  </si>
  <si>
    <t>6iC7vapdKp0XlKhxOkp8QJ</t>
  </si>
  <si>
    <t>2o5jDhtHVPhrJdv3cEQ99Z,7bNqXqIrIfwJnipx7oGeU4,13y7CgLHjMVRMDqxdx0Xdo</t>
  </si>
  <si>
    <t>5L2l7mI8J1USMzhsmdjat9</t>
  </si>
  <si>
    <t>2o5jDhtHVPhrJdv3cEQ99Z</t>
  </si>
  <si>
    <t>A Town Called Paradise</t>
  </si>
  <si>
    <t>2014-06-13</t>
  </si>
  <si>
    <t>4kWO6O1BUXcZmaxitpVUwp</t>
  </si>
  <si>
    <t>2o5jDhtHVPhrJdv3cEQ99Z,5vQfv3s2Z2SRdPZKr82ABw,0bdJZl7TDeiymDYzMJnVh2,246dkjvS1zLTtiykXe5h60</t>
  </si>
  <si>
    <t>2OMrGS9ha9tsM6nknOpSOY</t>
  </si>
  <si>
    <t>2wX6xSig4Rig5kZU6ePlWe,1q4zUzqEWKe8YvpI9OxKqL</t>
  </si>
  <si>
    <t>2016-04-22</t>
  </si>
  <si>
    <t>2M1mqcNUBIAfRoD2Puhejf</t>
  </si>
  <si>
    <t>2wX6xSig4Rig5kZU6ePlWe,0eBOZ74PcpQb3SisNPgaRQ</t>
  </si>
  <si>
    <t>58hjBuGWj43LQ6WjN3ZQAK</t>
  </si>
  <si>
    <t>2wX6xSig4Rig5kZU6ePlWe,47BEc2RoW53owMyxacXWdV,0Cd6nHYwecCNM1sVEXKlYr</t>
  </si>
  <si>
    <t>4CVOUJki8YUWol3jhLphgs</t>
  </si>
  <si>
    <t>6BrvowZBreEkXzJQMpL174,2wX6xSig4Rig5kZU6ePlWe</t>
  </si>
  <si>
    <t>3F9YLiNOsWDHZhSJsS0Cw1</t>
  </si>
  <si>
    <t>Secrets (feat. Vassy) [Radio Edit]</t>
  </si>
  <si>
    <t>5Yi0OWd0WSRExcyXKOsaDo</t>
  </si>
  <si>
    <t>2wX6xSig4Rig5kZU6ePlWe,6S3KljEiIOWoLMUyZrkQUc</t>
  </si>
  <si>
    <t>Bazaar - Single (Official Sunburn Goa 2015 Anthem)</t>
  </si>
  <si>
    <t>2015-12-25</t>
  </si>
  <si>
    <t>1zG3vdLkyPZG9l9tWkSnVn</t>
  </si>
  <si>
    <t>1l2ekx5skC4gJH8djERwh1,6S3KljEiIOWoLMUyZrkQUc</t>
  </si>
  <si>
    <t>2unhoqOdiSRE1NLTIVEC5W</t>
  </si>
  <si>
    <t>6S3KljEiIOWoLMUyZrkQUc</t>
  </si>
  <si>
    <t>0E9ZjEAyAwOXZ7wJC0PD33</t>
  </si>
  <si>
    <t>3v6Ji4uoWtKRkhuDUaxi9n,1OAjDaKgg00KCUYqDe68un</t>
  </si>
  <si>
    <t>3LUWWox8YYykohBbHUrrxd</t>
  </si>
  <si>
    <t>6LqNN22kT3074XbTVUrhzX</t>
  </si>
  <si>
    <t>Cannibal (Expanded Edition)</t>
  </si>
  <si>
    <t>2010-11-19</t>
  </si>
  <si>
    <t>7EQGXaVSyEDsCWKmUcfpLk</t>
  </si>
  <si>
    <t>Warrior (Expanded Edition)</t>
  </si>
  <si>
    <t>2012-11-30</t>
  </si>
  <si>
    <t>0HPD5WQqrq7wPWR7P7Dw1i</t>
  </si>
  <si>
    <t>Animal (Expanded Edition)</t>
  </si>
  <si>
    <t>3GpbwCm3YxiWDvy29Uo3vP</t>
  </si>
  <si>
    <t>0jnsk9HBra6NMjO2oANoPY</t>
  </si>
  <si>
    <t>R.O.O.T.S. (Route of Overcoming the Struggle)</t>
  </si>
  <si>
    <t>2009-03-30</t>
  </si>
  <si>
    <t>4bZd0nRuX8HyjeXAUBczvm</t>
  </si>
  <si>
    <t>Wild Ones</t>
  </si>
  <si>
    <t>2012-06-22</t>
  </si>
  <si>
    <t>1NpW5kyvO4XrNJ3rnfcNy3</t>
  </si>
  <si>
    <t>0jnsk9HBra6NMjO2oANoPY,5WUlDfRSoLAfcVSX1WnrxN</t>
  </si>
  <si>
    <t>3bC1ahPIYt1btJzSSEyyrF</t>
  </si>
  <si>
    <t>26rdOwwjC2UnweK3xeS58u</t>
  </si>
  <si>
    <t>0jnsk9HBra6NMjO2oANoPY,6d47Z08T4snK50HgTEHo5Z,27fy6rHPC58Eo2VUu0iJSG</t>
  </si>
  <si>
    <t>2015-04-07</t>
  </si>
  <si>
    <t>6Knv6wdA0luoMUuuoYi2i1</t>
  </si>
  <si>
    <t>4t0UsYzmmmZRMTWn77jiGF</t>
  </si>
  <si>
    <t>2WvLeseDGPX1slhmxI59G3</t>
  </si>
  <si>
    <t>1993-06-15</t>
  </si>
  <si>
    <t>49X0LAl6faAusYq02PRAY6</t>
  </si>
  <si>
    <t>0AkpPlFLnr0VQwZQeMGht0</t>
  </si>
  <si>
    <t>Modjo (Remastered)</t>
  </si>
  <si>
    <t>0cGG2EouYCEEC3xfa0tDFV</t>
  </si>
  <si>
    <t>6aq8T2RcspxVOGgMrTzjWc</t>
  </si>
  <si>
    <t>Non-Stop Erotic Cabaret</t>
  </si>
  <si>
    <t>1981</t>
  </si>
  <si>
    <t>1wgqttlPacpvmX5DKVboOa</t>
  </si>
  <si>
    <t>0QJIPDAEDILuo8AIq3pMuU</t>
  </si>
  <si>
    <t>Kala</t>
  </si>
  <si>
    <t>2007-08-20</t>
  </si>
  <si>
    <t>57kR5SniQIbsbVoIjjOUDa</t>
  </si>
  <si>
    <t>540vIaP2JwjQb9dm3aArA4,2VAnyOxzJuSAj7XIuEOT38</t>
  </si>
  <si>
    <t>2014-10-14</t>
  </si>
  <si>
    <t>6qVXkG01rBYGfxIndGOQ3z</t>
  </si>
  <si>
    <t>1JI77eVbrOtdHOsLK4G1Mq</t>
  </si>
  <si>
    <t>1Cs0zKBU1kc0i8ypK3B9ai,3gk0OYeLFWYupGFRHqLSR7,0DxeaLnv6SyYk2DOqkLO8c,3gTl4XARdQR2Sy59osG0Ia</t>
  </si>
  <si>
    <t>285HeuLxsngjFn4GGegGNm</t>
  </si>
  <si>
    <t>1Cs0zKBU1kc0i8ypK3B9ai,4D75GcNG95ebPtNvoNVXhz,64M6ah0SkkRsnPGtGiRAbb,0hCNtLu0JehylgoiP8L4Gh</t>
  </si>
  <si>
    <t>2rgtCOVK2tpfao2VjURn84</t>
  </si>
  <si>
    <t>1Cs0zKBU1kc0i8ypK3B9ai,66AE89GQTx88zLYhXn1wFK</t>
  </si>
  <si>
    <t>7pqgMEKsDMOHUdFQ7n0N9K</t>
  </si>
  <si>
    <t>5YPMEOJ58kfl56VHxTgwx3</t>
  </si>
  <si>
    <t>Nothing but the Beat (Ultimate Edition)</t>
  </si>
  <si>
    <t>3UN6cIn3VIyg0z1LCuFSum</t>
  </si>
  <si>
    <t>1Cs0zKBU1kc0i8ypK3B9ai,23zg3TcAtWQy7J6upgbUnj</t>
  </si>
  <si>
    <t>4f3uZW3Wc1uO2cN4WJs5nu</t>
  </si>
  <si>
    <t>1Cs0zKBU1kc0i8ypK3B9ai,7bXgB6jMjp9ATFy66eO08Z,55Aa2cqylxrFIXC767Z865</t>
  </si>
  <si>
    <t>1SgdUjvppHnIp6L7DZSnwc</t>
  </si>
  <si>
    <t>6T27IN7Ai94BeDv6PPCmoC</t>
  </si>
  <si>
    <t>1Cs0zKBU1kc0i8ypK3B9ai,0hCNtLu0JehylgoiP8L4Gh</t>
  </si>
  <si>
    <t>0TDLuuLlV54CkRRUOahJb4</t>
  </si>
  <si>
    <t>6XjN4IF5nIVwGJWLgMdtjR</t>
  </si>
  <si>
    <t>1Cs0zKBU1kc0i8ypK3B9ai,0z4gvV4rjIZ9wHck67ucSV</t>
  </si>
  <si>
    <t>One More Love (Deluxe)</t>
  </si>
  <si>
    <t>2010-11-25</t>
  </si>
  <si>
    <t>64r1Dcco8Vj0inAZgEK05a</t>
  </si>
  <si>
    <t>6xlgLRzZNTaeYmiwpB8HMi</t>
  </si>
  <si>
    <t>One Love (Club Version)</t>
  </si>
  <si>
    <t>2009-11-27</t>
  </si>
  <si>
    <t>491JJd1TmhmleHUDGvdKRF</t>
  </si>
  <si>
    <t>4L6zBUIPLIqvPacWAjjaDN</t>
  </si>
  <si>
    <t>1Cs0zKBU1kc0i8ypK3B9ai,3AuMNF8rQAKOzjYppFNAoB</t>
  </si>
  <si>
    <t>2MGRnjJc7C0z3EOEWRqcMw</t>
  </si>
  <si>
    <t>1Cs0zKBU1kc0i8ypK3B9ai,2qSEpijpT3YSXgxcXac1ly,26wzW8jdKfy5i8U7kGmGbE,4EhiIwwMPecLznwn87sRw2</t>
  </si>
  <si>
    <t>Pop Life</t>
  </si>
  <si>
    <t>2007-06-01</t>
  </si>
  <si>
    <t>5RyLEROLyJL2IQZXFamM0G</t>
  </si>
  <si>
    <t>1Cs0zKBU1kc0i8ypK3B9ai,2qSEpijpT3YSXgxcXac1ly</t>
  </si>
  <si>
    <t>1hzV2vgAOjm9VJA7m0kA04</t>
  </si>
  <si>
    <t>1Cs0zKBU1kc0i8ypK3B9ai,2yWER4vAftcZCFPc7ednct</t>
  </si>
  <si>
    <t>4hYFhNXRMHoD3lyHwVCWfT</t>
  </si>
  <si>
    <t>1Cs0zKBU1kc0i8ypK3B9ai,2qSEpijpT3YSXgxcXac1ly,6hyMWrxGBsOx6sWcVj1DqP,4FqPRilb0Ja0TKG3RS3y4s</t>
  </si>
  <si>
    <t>03oK265y87YNXHIQSOAWOp</t>
  </si>
  <si>
    <t>5bJ3imTI0ErWNsFWEgi5F8</t>
  </si>
  <si>
    <t>1Cs0zKBU1kc0i8ypK3B9ai,4FqPRilb0Ja0TKG3RS3y4s,2L5xi76mB2qwg00CMkuyEN</t>
  </si>
  <si>
    <t>0TBaFEx7WENZgqLXWErD0b</t>
  </si>
  <si>
    <t>4EhiIwwMPecLznwn87sRw2,4S1P19bTfbDVjEA8Hxs4Cj,1Cs0zKBU1kc0i8ypK3B9ai</t>
  </si>
  <si>
    <t>Guetta Blaster</t>
  </si>
  <si>
    <t>2004-06-04</t>
  </si>
  <si>
    <t>5lgS45xqkTk2HVm7Jph9ya</t>
  </si>
  <si>
    <t>Just a Little More Love</t>
  </si>
  <si>
    <t>2002-05-20</t>
  </si>
  <si>
    <t>5WsoigqxXrE2aUbQkVbEPZ</t>
  </si>
  <si>
    <t>0uRdK8gy7fXJGRywrlmPM7</t>
  </si>
  <si>
    <t>Three Second Memory</t>
  </si>
  <si>
    <t>0UmEBl3nxQJoDWDBosOtZE</t>
  </si>
  <si>
    <t>0rgYEoKvriKGhWc7uD6pRG</t>
  </si>
  <si>
    <t>4aKdmOXdUKX07HVd3sGgzw,7ddnIV2r4SLjuwyGlgLIWt</t>
  </si>
  <si>
    <t>Something Wrong Here</t>
  </si>
  <si>
    <t>6L1MYcOp6Hcqguxax5fwbM</t>
  </si>
  <si>
    <t>161mym5juYaMTRpbcVqmFf,5dvXWWl0jucCDnaAoWDgbS</t>
  </si>
  <si>
    <t>5xdVqHtFS0eLuNp4Z8Wbpa</t>
  </si>
  <si>
    <t>0tBbt8CrmxbjRP0pueQkyU</t>
  </si>
  <si>
    <t>0C8ZW7ezQVs4URX5aX7Kqx,64KEffDW9EtZ1y2vBYgq8T</t>
  </si>
  <si>
    <t>2017-10-25</t>
  </si>
  <si>
    <t>0z5oVCQVRz1vWim0EJpgUr</t>
  </si>
  <si>
    <t>1kTBGIBgFuqaxbdeXX3L6H,1AT64PJc0geIUwVRqYqkTu,06bun5reMRmLxFCbcB6UHW</t>
  </si>
  <si>
    <t>2016-10-01</t>
  </si>
  <si>
    <t>6TAUFocVcihHHoAcMkGxUx</t>
  </si>
  <si>
    <t>67WMyaBOp5pwWeBXLIJ0ra</t>
  </si>
  <si>
    <t>7z8fkGpUDt6eb6fyysRTH9,35dP7ddpwy7mkanF1WnM2g,1RdQK73ZgvXjkaBJkibE6X,1Ars2RdXFbmt04pZ5g2RNr</t>
  </si>
  <si>
    <t>6HsqdiO4IfbZqxwD0uo5U0</t>
  </si>
  <si>
    <t>4mMQbktFunDczWJqlbhmha</t>
  </si>
  <si>
    <t>Conundrum - EP</t>
  </si>
  <si>
    <t>1WSGTYKLEpKfNQYYW5Oymt</t>
  </si>
  <si>
    <t>5CiGnKThu5ctn9pBxv7DGa,0C8ZW7ezQVs4URX5aX7Kqx,1vyhD5VmyZ7KMfW5gqLgo5,0GM7qgcRCORpGnfcN2tCiB</t>
  </si>
  <si>
    <t>2019-02-28</t>
  </si>
  <si>
    <t>4w8niZpiMy6qz1mntFA5uM</t>
  </si>
  <si>
    <t>540vIaP2JwjQb9dm3aArA4,0C8ZW7ezQVs4URX5aX7Kqx,1i8SpTcr7yvPOmcqrbnVXY,4kYSro6naA4h99UJvo89HB</t>
  </si>
  <si>
    <t>2I84berXa3zYZiWx9gFCJX</t>
  </si>
  <si>
    <t>738wLrAtLtCtFOLvQBXOXp,0X2BH1fck6amBIoJhDVmmJ,4frHO7KPcfMjhnVdIMJ98c</t>
  </si>
  <si>
    <t>Peace Is The Mission (Extended)</t>
  </si>
  <si>
    <t>2OwpDdx02nvLJc9Amo9MCE</t>
  </si>
  <si>
    <t>738wLrAtLtCtFOLvQBXOXp,4wHZkzWXD9GPr4RQAYjUcv</t>
  </si>
  <si>
    <t>4eP9Et7gkdPf6eeCRNal75</t>
  </si>
  <si>
    <t>2LY0E3xg8svCVYXVNTze5T,5JSXWmQO8csVUy6hSRu8TA</t>
  </si>
  <si>
    <t>3QpaiRj9N9npDiuyTcqFDV</t>
  </si>
  <si>
    <t>738wLrAtLtCtFOLvQBXOXp,4wHZkzWXD9GPr4RQAYjUcv,2LY0E3xg8svCVYXVNTze5T</t>
  </si>
  <si>
    <t>3lO38SiB2WAQRqTAHN7WTC</t>
  </si>
  <si>
    <t>2QSPrJfYeRXaltEEiriXN9,2LY0E3xg8svCVYXVNTze5T</t>
  </si>
  <si>
    <t>Borderline (Vanic Remix)</t>
  </si>
  <si>
    <t>2015-03-31</t>
  </si>
  <si>
    <t>2UPXQ1UumX1qBh8COMbo6K</t>
  </si>
  <si>
    <t>2LY0E3xg8svCVYXVNTze5T</t>
  </si>
  <si>
    <t>4heFQCyiW0RUEX1Q1lb008</t>
  </si>
  <si>
    <t>7vk5e3vY1uw9plTHJAMwjN,6pWcSL9wSJZQ9ne0TnhdWr,7bp2lSdh12wcA8LyB1srfJ,1TcbdifqhtxLz77unBYJ7z</t>
  </si>
  <si>
    <t>Different World</t>
  </si>
  <si>
    <t>3LlmKSHR3Rs0Y3KHQLAYDk</t>
  </si>
  <si>
    <t>0nrWZWkJM62ftQJSI8fDc0</t>
  </si>
  <si>
    <t>7vk5e3vY1uw9plTHJAMwjN,5T8zbK3dic52T9bFu0aY8z</t>
  </si>
  <si>
    <t>1tfVpMI8G6EakZU4rEja4w</t>
  </si>
  <si>
    <t>1xUZ6CgfpXspcQuEIOhf2v</t>
  </si>
  <si>
    <t>7vk5e3vY1uw9plTHJAMwjN,6NXk2pLFocS2OkNdT7ncBt</t>
  </si>
  <si>
    <t>6HMT7AzGA5wmn5m2t1BuZR</t>
  </si>
  <si>
    <t>7vk5e3vY1uw9plTHJAMwjN,77AiFEVeAVj2ORpC85QVJs,2LGU3PxihjIK5SUeCVcdFl,5paQT78PtTz59108hibz4G</t>
  </si>
  <si>
    <t>0lG6QM1jjbbX5UUn3DPmrZ</t>
  </si>
  <si>
    <t>7vk5e3vY1uw9plTHJAMwjN,1PnnRNGfichOAfPOn5mVyx</t>
  </si>
  <si>
    <t>7kVDkZkZc8qBUBsF6klUoY</t>
  </si>
  <si>
    <t>7vk5e3vY1uw9plTHJAMwjN,2Tg0aF5cbZktYFzgR1iAKv</t>
  </si>
  <si>
    <t>1HvCFAUIWQsWV9zud3UhDl</t>
  </si>
  <si>
    <t>7vk5e3vY1uw9plTHJAMwjN,55fhWPvDiMpLnE4ZzNXZyW,5fyDppLDl1juIu1BcUT5zh,4gvkdged3Xw3ImXFm3jiay</t>
  </si>
  <si>
    <t>6SRWhUJcD2YKahCwHavz3X</t>
  </si>
  <si>
    <t>7vk5e3vY1uw9plTHJAMwjN,1eMmoIprPDWeFdB1FxU6ZV,6064pL9Hu3Wx2bwJMeOx6o</t>
  </si>
  <si>
    <t>698ItKASDavgwZ3WjaWjtz</t>
  </si>
  <si>
    <t>4n7jnSxVLd8QioibtTDBDq</t>
  </si>
  <si>
    <t>7vk5e3vY1uw9plTHJAMwjN,74KM79TiuVKeVCqs8QtB0B,329e4yvIujISKGKz1BZZbO</t>
  </si>
  <si>
    <t>0lks2Kt9veMOFEAPN0fsqN</t>
  </si>
  <si>
    <t>7vk5e3vY1uw9plTHJAMwjN,6pWcSL9wSJZQ9ne0TnhdWr,61pvU6ZLOF3bl0IOtbmME7</t>
  </si>
  <si>
    <t>1kusepF3AacIEtUTYrw4GV</t>
  </si>
  <si>
    <t>1tUiPKYOob0YbMdVRbr79w</t>
  </si>
  <si>
    <t>1rSGNXhhYuWoq9BEz5DZGO,6D5xkX8ecb4bGccXqtDI63</t>
  </si>
  <si>
    <t>Glorious</t>
  </si>
  <si>
    <t>3qokU6oAQiynzPfQMfPbmR</t>
  </si>
  <si>
    <t>1rSGNXhhYuWoq9BEz5DZGO,2FLqlgckDKdmpBrvLAT5BM</t>
  </si>
  <si>
    <t>5YtS0hAq1MQLjypNTzXPfC</t>
  </si>
  <si>
    <t>1rSGNXhhYuWoq9BEz5DZGO</t>
  </si>
  <si>
    <t>3WtCu35qpzGCLIGa8pczdu</t>
  </si>
  <si>
    <t>26VFTg2z8YR0cCuwLzESi2,4xnMDfgEmXZEEDdITKcGuE</t>
  </si>
  <si>
    <t>Complementary Colors</t>
  </si>
  <si>
    <t>6pooRNiLyYpxZeIA5kJ5EX</t>
  </si>
  <si>
    <t>1iaTDu4PCIWQQOwwwqq5qW</t>
  </si>
  <si>
    <t>4LZ4De2MoO3lP6QaNCfvcu,320LkiSxenwJtoxQ9SZ1eV</t>
  </si>
  <si>
    <t>4ajF5UznaEpfHFXv64AQ7T</t>
  </si>
  <si>
    <t>4LZ4De2MoO3lP6QaNCfvcu,7u7MDzwo7VtVe7FhS3cq8Y</t>
  </si>
  <si>
    <t>2MtSy7eqnQNMccP66SdPgc</t>
  </si>
  <si>
    <t>4LZ4De2MoO3lP6QaNCfvcu,2iGv4H4s4Fmcf92HincJWw</t>
  </si>
  <si>
    <t>04amRUbvDaUMmE9U4Vs48E</t>
  </si>
  <si>
    <t>4LZ4De2MoO3lP6QaNCfvcu,7dgIauPOyCkDRfiQeDN4XJ,3NXoNO2BNUsmG9Lmoy5pk8</t>
  </si>
  <si>
    <t>2oVoSgGAlog02WQ2pLCxcT</t>
  </si>
  <si>
    <t>7z2avKuuiMAT4XZJFv8Rvh,1Xylc3o4UrD53lo9CvFvVg</t>
  </si>
  <si>
    <t>What a Time To Be Alive</t>
  </si>
  <si>
    <t>03x2rVJRFUrvwlfxoHd9Mo</t>
  </si>
  <si>
    <t>4iVVU8DyQvOVsKafv3KWIF</t>
  </si>
  <si>
    <t>1kvKOGxYFufFOZFEOCDJxz</t>
  </si>
  <si>
    <t>51NFxnQvaosfDDutk0tams</t>
  </si>
  <si>
    <t>Bellyache</t>
  </si>
  <si>
    <t>5xey3cl8y5fWst3EKgPFk8</t>
  </si>
  <si>
    <t>7pHECccR6FiKZqFhjULGbB</t>
  </si>
  <si>
    <t>Loser</t>
  </si>
  <si>
    <t>2018-11-29</t>
  </si>
  <si>
    <t>4PQJcyOjVSurR2fRZ4MNVE</t>
  </si>
  <si>
    <t>7lSZpgUg8R79pC49uc6IHX</t>
  </si>
  <si>
    <t>3kywzyEr7V106Un5cDyh12</t>
  </si>
  <si>
    <t>75iZaRMctH8FamTOhokRVJ</t>
  </si>
  <si>
    <t>2olyfHW5Sn7LnIQlxjTZdU</t>
  </si>
  <si>
    <t>7bdYxWPCs46dQ0XLwySOyv</t>
  </si>
  <si>
    <t>48khCAQwGoX43sPlR87Rri</t>
  </si>
  <si>
    <t>3i1kSF9lmVAvbt4LiPwkx8</t>
  </si>
  <si>
    <t>3TgPhPv7z0D4pQhH8iKmDW</t>
  </si>
  <si>
    <t>5PdkO9RT7Z3ANCsaDzLOEp</t>
  </si>
  <si>
    <t>5226Ocpr2cbudvurouwNUF</t>
  </si>
  <si>
    <t>6LtFWkakk2no03jeyznFrf</t>
  </si>
  <si>
    <t>0ppSBkcjCsfVCXsAPYDAk0</t>
  </si>
  <si>
    <t>Sleeping With Roses II</t>
  </si>
  <si>
    <t>6XOkqE0l7midd8y5BC5yQH</t>
  </si>
  <si>
    <t>5L40lPxGOtkpCYfaakKJbq</t>
  </si>
  <si>
    <t>7cM9Kqto11iJpY2RwgVJSq</t>
  </si>
  <si>
    <t>3ApUX1o6oSz321MMECyIYd,5JMLG56F1X5mFmWNmS0iAp</t>
  </si>
  <si>
    <t>The Story of Us</t>
  </si>
  <si>
    <t>172BxPrgDzSgLzFK6jfGpz</t>
  </si>
  <si>
    <t>5iNrZmtVMtYev5M9yoWpEq,5awQWdBpLqN2KFVRN8w56T</t>
  </si>
  <si>
    <t>0vbtURX4qv1l7besfwmnD8</t>
  </si>
  <si>
    <t>2KsP6tYLJlTBvSUxnwlVWa,5iNrZmtVMtYev5M9yoWpEq</t>
  </si>
  <si>
    <t>At Night, Alone.</t>
  </si>
  <si>
    <t>7H7RtxRYHIwfhOy8vLxpAw</t>
  </si>
  <si>
    <t>3OKg7YbOIatODzkRIbLJR4,0vC48gyflgfcrP6f50V9R8</t>
  </si>
  <si>
    <t>0n3aMxrlVGrxoGfYgmVb0F</t>
  </si>
  <si>
    <t>3OKg7YbOIatODzkRIbLJR4,3n1yZfKIQhSaPjF1LZBhxy</t>
  </si>
  <si>
    <t>1nRm0zSnBz6drMTlk3C20E</t>
  </si>
  <si>
    <t>3OKg7YbOIatODzkRIbLJR4,7ddnIV2r4SLjuwyGlgLIWt,2Ndq6RparrhEoceel7LC4Z</t>
  </si>
  <si>
    <t>67YkHJvLYOR1mKdpQSTsUr</t>
  </si>
  <si>
    <t>2015-01-29</t>
  </si>
  <si>
    <t>2k1bFfcPIRTMeCGO48F0OE</t>
  </si>
  <si>
    <t>3v8aPisqoGRZEwwf2rCeXQ</t>
  </si>
  <si>
    <t>2015-04-16</t>
  </si>
  <si>
    <t>5xXB7wVgRmBHoMBmcfEE3C</t>
  </si>
  <si>
    <t>7HX6O8k7gAHFzm9Dd50Kuz</t>
  </si>
  <si>
    <t>6QJnaTEqZYHoA1RWv9NHKS</t>
  </si>
  <si>
    <t>0hTrQoqDmFnA4S1PC265e1</t>
  </si>
  <si>
    <t>47qYqGPgMTh3l1PRKBHEfI</t>
  </si>
  <si>
    <t>2015-03-06</t>
  </si>
  <si>
    <t>3VvBPkc24zC7x05mgJTyGO</t>
  </si>
  <si>
    <t>2015-11-07</t>
  </si>
  <si>
    <t>5YC0tUmxklulsxM2etD5HK</t>
  </si>
  <si>
    <t>4IFgewC2urR62Fwt7uAU03</t>
  </si>
  <si>
    <t>Shadow Works</t>
  </si>
  <si>
    <t>5gmF7XKQs1fDyOKtnjOuCb</t>
  </si>
  <si>
    <t>09JE6W6w6E4TubHKbwtt5h</t>
  </si>
  <si>
    <t>4B8VRGtOuGHKQJjcHpJQpM</t>
  </si>
  <si>
    <t>69ZrXz17a2ajFEPvOpYCn6</t>
  </si>
  <si>
    <t>25sgk305KZfyuqVBQIahim</t>
  </si>
  <si>
    <t>5icOoE6VgqFKohjWWNp0Ac</t>
  </si>
  <si>
    <t>64KEffDW9EtZ1y2vBYgq8T,3CjlHNtplJyTf9npxaPl5w</t>
  </si>
  <si>
    <t>4T6qHpA6VSKZL2MDlDOgJB</t>
  </si>
  <si>
    <t>3NPpFNZtSTHheNBaWC82rB,2FsZnS8gQ8jG1HGnPYNlm9</t>
  </si>
  <si>
    <t>VHS</t>
  </si>
  <si>
    <t>6BDLcvvtyJD2vnXRDi1IjQ</t>
  </si>
  <si>
    <t>6fcTRFpz0yH79qSKfof7lp,45eNHdiiabvmbp4erw26rg,4LZ4De2MoO3lP6QaNCfvcu,1sKIizVYeHkGy7Tjmn9QRj</t>
  </si>
  <si>
    <t>0Ev562zA4pmUsBqjxsxxdx</t>
  </si>
  <si>
    <t>2ZRQcIgzPCVaT9XKhXZIzh,45eNHdiiabvmbp4erw26rg,6Dd3NScHWwnW6obMFbl1BH</t>
  </si>
  <si>
    <t>4EwSqnjnXCG7NqY08RRSKq</t>
  </si>
  <si>
    <t>67qogtRNI0GjUr8PlaG6Zh,45eNHdiiabvmbp4erw26rg</t>
  </si>
  <si>
    <t>2017-07-24</t>
  </si>
  <si>
    <t>6vWk151OrbHfKe4D6Z6tdV</t>
  </si>
  <si>
    <t>2017-08-07</t>
  </si>
  <si>
    <t>2mTvrbkjut8EeWhC9oru6d</t>
  </si>
  <si>
    <t>2017-09-14</t>
  </si>
  <si>
    <t>5ip3FCi89E2eDtId6kcJmo</t>
  </si>
  <si>
    <t>64KEffDW9EtZ1y2vBYgq8T,6LuN9FCkKOj5PcnpouEgny,45eNHdiiabvmbp4erw26rg</t>
  </si>
  <si>
    <t>Silence (Illenium Remix)</t>
  </si>
  <si>
    <t>2017-10-12</t>
  </si>
  <si>
    <t>0wO6oeF9kMp1FuIUe1AGWZ</t>
  </si>
  <si>
    <t>45eNHdiiabvmbp4erw26rg,3qnMl4DHT4gndzFAcG4FlM,0Ye4nfYAA91T1X56gnlXAA</t>
  </si>
  <si>
    <t>20KW4L9nwQ5oP4IHHrbCeY</t>
  </si>
  <si>
    <t>45eNHdiiabvmbp4erw26rg,4LZ4De2MoO3lP6QaNCfvcu,7oB4pCSzvvRtZka6DxXUfN,4IFgewC2urR62Fwt7uAU03</t>
  </si>
  <si>
    <t>5ZzjNL4J31lqU853Un7T3f</t>
  </si>
  <si>
    <t>0n30h31bEKiIHXXzPbkdqy</t>
  </si>
  <si>
    <t>4bw3ZyWA1ui0Adu285NWDl</t>
  </si>
  <si>
    <t>26VFTg2z8YR0cCuwLzESi2,45eNHdiiabvmbp4erw26rg</t>
  </si>
  <si>
    <t>Without Me (ILLENIUM Remix)</t>
  </si>
  <si>
    <t>7egj375ez0KtF3bYCfAHdZ</t>
  </si>
  <si>
    <t>6SP30VdncYypcHkkzgbqZb</t>
  </si>
  <si>
    <t>3MtxiqrTNRwtj9EIVDjRSU</t>
  </si>
  <si>
    <t>2016-02-15</t>
  </si>
  <si>
    <t>1uLO8rvBwJoRqrLIyvQNWF</t>
  </si>
  <si>
    <t>60NXuYborLfMiTPJMcxkM5</t>
  </si>
  <si>
    <t>45eNHdiiabvmbp4erw26rg,3IDGSw4dPbHMSnd93gkeXG</t>
  </si>
  <si>
    <t>1xZsXDIGuqUTFRVJ15B3bf</t>
  </si>
  <si>
    <t>45eNHdiiabvmbp4erw26rg,1UtzKaSQyctQO8GN8EyzOn,7nQVHZnQGjMyc1HSOQW7GZ</t>
  </si>
  <si>
    <t>7cA3OHUSgQdcG332ZAx8Lj</t>
  </si>
  <si>
    <t>45eNHdiiabvmbp4erw26rg,6ukLdq8N1FTWbz1AnJeVA6</t>
  </si>
  <si>
    <t>55tevo6vHJEn12nzuSdJ6R</t>
  </si>
  <si>
    <t>10hG4ZlpIUGvcZESL6Uhxx</t>
  </si>
  <si>
    <t>45eNHdiiabvmbp4erw26rg,43NRjpCGCIj6GkhnAMdC60</t>
  </si>
  <si>
    <t>1BsCq2fxpa1llb73lDdgw5</t>
  </si>
  <si>
    <t>45eNHdiiabvmbp4erw26rg,3ApUX1o6oSz321MMECyIYd</t>
  </si>
  <si>
    <t>47l9ZNCnbLoLYST8Csmuz0</t>
  </si>
  <si>
    <t>46RvocxUkMUhCtDxk1BUyT</t>
  </si>
  <si>
    <t>45eNHdiiabvmbp4erw26rg,7nQVHZnQGjMyc1HSOQW7GZ</t>
  </si>
  <si>
    <t>43hcHVoAiHpkJ2gMbmO72h</t>
  </si>
  <si>
    <t>45eNHdiiabvmbp4erw26rg,1I5eQkzyM8jCVZIM3k2bKL</t>
  </si>
  <si>
    <t>Awake</t>
  </si>
  <si>
    <t>4pWawf1Rq4qHDv4Ktqjg2D</t>
  </si>
  <si>
    <t>45eNHdiiabvmbp4erw26rg,1bqxdqvUtPWZri43cKHac8</t>
  </si>
  <si>
    <t>0e0UxWGgjXoYAYUFhJgwji</t>
  </si>
  <si>
    <t>45eNHdiiabvmbp4erw26rg,2ZRQcIgzPCVaT9XKhXZIzh,6Dd3NScHWwnW6obMFbl1BH</t>
  </si>
  <si>
    <t>1bI9jePC8sxwC8wGtCDCqR</t>
  </si>
  <si>
    <t>4rIAqwhHGfWChQvQGYwEfR</t>
  </si>
  <si>
    <t>45eNHdiiabvmbp4erw26rg,5ooIuCvSBl6Eo4cHixvB7x</t>
  </si>
  <si>
    <t>5WggjuxMubr94bo33Aan4K</t>
  </si>
  <si>
    <t>45eNHdiiabvmbp4erw26rg,4IFgewC2urR62Fwt7uAU03</t>
  </si>
  <si>
    <t>4G3IXyVRxSx5lLhUvv3fu3</t>
  </si>
  <si>
    <t>45eNHdiiabvmbp4erw26rg,3RTklnRcfHgkQJwFpgOq3t</t>
  </si>
  <si>
    <t>5XlvOh5YbJMp7CU3NoksNf</t>
  </si>
  <si>
    <t>2oL0HIuo0cxIycDtJWbpuN</t>
  </si>
  <si>
    <t>4ZAerT2NicBmzZ4VkpmWEn</t>
  </si>
  <si>
    <t>45eNHdiiabvmbp4erw26rg,3l0H4QNiYYNdIsnZ4JgJAg</t>
  </si>
  <si>
    <t>0q7oMII7kWTj1ZSX6GT6LU</t>
  </si>
  <si>
    <t>4d42YQbGZxwYq7YZiCkTDb</t>
  </si>
  <si>
    <t>45eNHdiiabvmbp4erw26rg,3ppkM4QtM781APpaX7H9t7</t>
  </si>
  <si>
    <t>6h3lMAmmpQDFqoHk9F99IR</t>
  </si>
  <si>
    <t>1o2NpYGqHiCq7FoiYdyd1x</t>
  </si>
  <si>
    <t>aurora</t>
  </si>
  <si>
    <t>18W92Zm1KjLCbUIszOhpkD</t>
  </si>
  <si>
    <t>5jAMCwdNHWr7JThxtMuEyy,1o2NpYGqHiCq7FoiYdyd1x</t>
  </si>
  <si>
    <t>3fo6DYGktjENCiagUeU9yH</t>
  </si>
  <si>
    <t>6wNeKPXF0RDKyvfKfri5hf</t>
  </si>
  <si>
    <t>3LgWsmilsrWXiPYQFRD0T7</t>
  </si>
  <si>
    <t>WHEN WE ALL FALL ASLEEP, WHERE DO WE GO?</t>
  </si>
  <si>
    <t>5t3Vk8bRKylx4fjj7qlbib</t>
  </si>
  <si>
    <t>5w7wuzMzsDer96KqxafeRK</t>
  </si>
  <si>
    <t>dont smile at me</t>
  </si>
  <si>
    <t>2017-12-22</t>
  </si>
  <si>
    <t>41zXlQxzTi6cGAjpOXyLYH</t>
  </si>
  <si>
    <t>7hDVYcQq6MxkdJGweuCtl9</t>
  </si>
  <si>
    <t>1ni8ZTAY1GHXEFOGHl7fdg</t>
  </si>
  <si>
    <t>0u2P5u6lvoDfwTYjAADbn4</t>
  </si>
  <si>
    <t>6qqNVTkY8uBg9cP3Jd7DAH,6LuN9FCkKOj5PcnpouEgny</t>
  </si>
  <si>
    <t>2018-04-19</t>
  </si>
  <si>
    <t>0tMSssfxAL2oV8Vri0mFHE</t>
  </si>
  <si>
    <t>6CcJMwBtXByIz4zQLzFkKc</t>
  </si>
  <si>
    <t>7qEKqBCD2vE5vIBsrUitpD</t>
  </si>
  <si>
    <t>43zdsphuZLzwA9k4DJhU0I</t>
  </si>
  <si>
    <t>4SSnFejRGlZikf02HLewEF</t>
  </si>
  <si>
    <t>3Fj47GNK2kUF0uaEDgXLaD</t>
  </si>
  <si>
    <t>6IRdLKIyS4p7XNiP8r6rsx</t>
  </si>
  <si>
    <t>2Fxmhks0bxGSBdJ92vM42m</t>
  </si>
  <si>
    <t>4QIo4oxwzzafcBWkKjDpXY</t>
  </si>
  <si>
    <t>3XF5xLJHOQQRbWya6hBp7d</t>
  </si>
  <si>
    <t>4Ub8UsjWuewQrPhuepfVpd</t>
  </si>
  <si>
    <t>All This Bad Blood</t>
  </si>
  <si>
    <t>3IvSKBO9Fu4yEWRPXvfrLU</t>
  </si>
  <si>
    <t>7BNDyzwDboNRR2wmd7GSew</t>
  </si>
  <si>
    <t>1ZyQGXH9dZ4AecevHhKUxi</t>
  </si>
  <si>
    <t>World Gone Mad (From Bright: The Album)</t>
  </si>
  <si>
    <t>3gicyfiEVMGONgzygpWjNT</t>
  </si>
  <si>
    <t>5iNrZmtVMtYev5M9yoWpEq,7EQ0qTo7fWT7DPxmxtSYEc</t>
  </si>
  <si>
    <t>2018-12-06</t>
  </si>
  <si>
    <t>2dpaYNEQHiRxtZbfNsse99</t>
  </si>
  <si>
    <t>64KEffDW9EtZ1y2vBYgq8T,7EQ0qTo7fWT7DPxmxtSYEc</t>
  </si>
  <si>
    <t>0JA4wfKVmCJ84aCwKBXohf</t>
  </si>
  <si>
    <t>Black</t>
  </si>
  <si>
    <t>4ZS3PmdXt20YDDsgEh9zmM</t>
  </si>
  <si>
    <t>1YznSk5tLLp9BnzuNgghrZ,50tDsT4wwq8FCMJNkn1D67</t>
  </si>
  <si>
    <t>5FN1qN680GO9MJ7rs5wyb7</t>
  </si>
  <si>
    <t>3hqNHQeH0zhObqWTgI5ZPq</t>
  </si>
  <si>
    <t>3iARls5EH6Q4fks2tWJStQ</t>
  </si>
  <si>
    <t>1dUsk0WrlYMj3pUh4PZym4</t>
  </si>
  <si>
    <t>4IuWSIEfIed8aZb49YA4Cj</t>
  </si>
  <si>
    <t>6JwWNfmtA1DxGgch10i4jX</t>
  </si>
  <si>
    <t>5BBBDm18Y0TCRXZggaOnZG,3RTklnRcfHgkQJwFpgOq3t</t>
  </si>
  <si>
    <t>4ToNBURFziUHOgZlackamI</t>
  </si>
  <si>
    <t>6hfwwpXqZPRC9CsKI7qtv1,0Y0QSi6lz1bPik5Ffjr8sd,6LuN9FCkKOj5PcnpouEgny</t>
  </si>
  <si>
    <t>The Color Of You (Remixes)</t>
  </si>
  <si>
    <t>6FuWfcL5seyIfzzPCRBTBD</t>
  </si>
  <si>
    <t>7ymczLNmjz6AVMGApVNWbB,20lmiQy576CSBPz0VJHmnC,1rcjWfyRCF09kNQ8cEGdib</t>
  </si>
  <si>
    <t>Same Page</t>
  </si>
  <si>
    <t>6LdRmeJVVBzTZz93x9ZNnR</t>
  </si>
  <si>
    <t>55FVjkpZs1zuo3zqBgrKtC</t>
  </si>
  <si>
    <t>2016-12-21</t>
  </si>
  <si>
    <t>2SYktvuBUIWlvZg7fA4cFY</t>
  </si>
  <si>
    <t>24V5UY0nChKpnb1TBPJhCw,7pylhrS9HpyWwbTtmEqg9K,5K0BVchFxmuKBw7DojGSQO</t>
  </si>
  <si>
    <t>Lost Remixes</t>
  </si>
  <si>
    <t>59UAVCN7aFzXFYgSR1Dw3B</t>
  </si>
  <si>
    <t>7vWC03wqXwUqjPON8hc1tz</t>
  </si>
  <si>
    <t>5qIajkw5hVu6tITkwxMCJa</t>
  </si>
  <si>
    <t>4sd35Xgghwj2Z3BZfSGur3</t>
  </si>
  <si>
    <t>2DPNCmriULoBsOA4sMoqHI</t>
  </si>
  <si>
    <t>SUCKER (feat. Gigi)</t>
  </si>
  <si>
    <t>2019-01-08</t>
  </si>
  <si>
    <t>09oZ9eXQ2fo6YDrPzJqAoP</t>
  </si>
  <si>
    <t>6LuN9FCkKOj5PcnpouEgny,0hEurMDQu99nJRq8pTxO14</t>
  </si>
  <si>
    <t>Free Spirit</t>
  </si>
  <si>
    <t>0eey1qkbAYy8j8Z51MlvAU</t>
  </si>
  <si>
    <t>2kgvaYV2tbNyOonFI3YlfH,7ddnIV2r4SLjuwyGlgLIWt,4u1nYxjl132D6rcMeYQ6Zz</t>
  </si>
  <si>
    <t>1eN1K7YPRButXU7Mq0V58N</t>
  </si>
  <si>
    <t>0uGk2czvcpWQA383Im6ajf</t>
  </si>
  <si>
    <t>1NDxZ7cFAo481dtYWdrUnR</t>
  </si>
  <si>
    <t>0uGk2czvcpWQA383Im6ajf,7DMveApC7UnC2NPfPvlHSU,0CEK8AzyeD5ZUdUloB6yQV</t>
  </si>
  <si>
    <t>Pretty Girl (Cheat Codes X CADE Remix)</t>
  </si>
  <si>
    <t>4JkJntZgFNvjkGg3sMRRsX</t>
  </si>
  <si>
    <t>3G9gR0x4v3J2Vek0Fw0yf2</t>
  </si>
  <si>
    <t>2015-08-04</t>
  </si>
  <si>
    <t>2IO7yf562c1zLzpanal1DT</t>
  </si>
  <si>
    <t>BADLANDS (Deluxe)</t>
  </si>
  <si>
    <t>4FqMPJlvfY5Nfo3gRKcNxl</t>
  </si>
  <si>
    <t>5dcYoYFAXh0f0qI05AoufB</t>
  </si>
  <si>
    <t>5Dg2h1wsm7ZijCo0yLmbvR</t>
  </si>
  <si>
    <t>3UhxppZQkfk9WniMtjpESF</t>
  </si>
  <si>
    <t>2dgFqylK6gyILa4HY65u0y</t>
  </si>
  <si>
    <t>Living Room</t>
  </si>
  <si>
    <t>2pwnEzgIzYL4AOw4ousjkB</t>
  </si>
  <si>
    <t>0ftAX4mbuRx6Wr6PvpAIZs</t>
  </si>
  <si>
    <t>77AiFEVeAVj2ORpC85QVJs,6icQOAFXDZKsumw3YXyusw,6s22t5Y3prQHyaHWUN1R1C</t>
  </si>
  <si>
    <t>7bXvOMQ3UrcTS1dO9Ppzsg</t>
  </si>
  <si>
    <t>6s22t5Y3prQHyaHWUN1R1C,4LAz9VRX8Nat9kvIzgkg2v</t>
  </si>
  <si>
    <t>The Click</t>
  </si>
  <si>
    <t>3BuLtAmXKy5uQYl4ED1zBT</t>
  </si>
  <si>
    <t>4u8Gkqyg87iGSW3hQbbnQZ</t>
  </si>
  <si>
    <t>The Click (Deluxe Edition)</t>
  </si>
  <si>
    <t>0WmH9fXWCQ51RQi1kWPJrI</t>
  </si>
  <si>
    <t>Neotheater</t>
  </si>
  <si>
    <t>3BGdYF8YRMdM9hwo38GKih</t>
  </si>
  <si>
    <t>4NknsYwkHVIeCxEq18UXCv</t>
  </si>
  <si>
    <t>5IZvHSW6xqxHFnZIfgWImC</t>
  </si>
  <si>
    <t>2XlYhPJ3EJ8afROY5okHzR</t>
  </si>
  <si>
    <t>2wPL8Vh6lZ0DLaAw1N7Caj</t>
  </si>
  <si>
    <t>4WgvTITBJbEfCJHguiE7QS</t>
  </si>
  <si>
    <t>7dGJo4pcD2V6oG8kP0tJRR,5pKCCKE2ajJHZ9KAiaK11H</t>
  </si>
  <si>
    <t>1cS0TgbR263ey9jn0MwD2s</t>
  </si>
  <si>
    <t>7dGJo4pcD2V6oG8kP0tJRR,6eUKZXaKkcviH0Ku9w2n3V</t>
  </si>
  <si>
    <t>58QhkbaAkLFnn7JwAnAato</t>
  </si>
  <si>
    <t>3yfqSUWxFvZELEM4PmlwIR</t>
  </si>
  <si>
    <t>1v7L65Lzy0j0vdpRjJewt1</t>
  </si>
  <si>
    <t>Just Lose It</t>
  </si>
  <si>
    <t>2004-01-01</t>
  </si>
  <si>
    <t>2SL6oP2YAEQbqsrkOzRGO4</t>
  </si>
  <si>
    <t>7lQ8MOhq6IN2w8EYcFNSUk</t>
  </si>
  <si>
    <t>The Eminem Show</t>
  </si>
  <si>
    <t>2002-05-26</t>
  </si>
  <si>
    <t>15JINEqzVMv3SvJTAXAKED</t>
  </si>
  <si>
    <t>60SdxE8apGAxMiRrpbmLY0</t>
  </si>
  <si>
    <t>7dGJo4pcD2V6oG8kP0tJRR,6C1ohJrd5VydigQtaGy5Wa</t>
  </si>
  <si>
    <t>4xkOaSrkexMciUUogZKVTS</t>
  </si>
  <si>
    <t>7dGJo4pcD2V6oG8kP0tJRR,1Oa0bMld0A3u5OTYfMzp5h</t>
  </si>
  <si>
    <t>6QcERmfQKHKtRE4yW7f0cC</t>
  </si>
  <si>
    <t>4utLUGcTvOJFr6aqIJtYWV</t>
  </si>
  <si>
    <t>Aquaman (Original Motion Picture Soundtrack)</t>
  </si>
  <si>
    <t>29HvCc31h9XemzbR82Skgb</t>
  </si>
  <si>
    <t>7LEMezp5TN5VKdnRLIdxEt</t>
  </si>
  <si>
    <t>6Jb7UPWUXDOrgdI0XnBSp5</t>
  </si>
  <si>
    <t>Hushh</t>
  </si>
  <si>
    <t>55gz8MakFlHbhOAne0Aeai</t>
  </si>
  <si>
    <t>1jfBIylYmLMklQOpbWT5s0</t>
  </si>
  <si>
    <t>3kWoU9YVIpaqH2qL2vV98P</t>
  </si>
  <si>
    <t>4ZYLzDVRwd80h4BZEDk2kN</t>
  </si>
  <si>
    <t>7lZauDnRoAC3kmaYae2opv</t>
  </si>
  <si>
    <t>Mirrormask</t>
  </si>
  <si>
    <t>2013-06-11</t>
  </si>
  <si>
    <t>50pEs4BEQlgoZo6rKHNtEA</t>
  </si>
  <si>
    <t>24V5UY0nChKpnb1TBPJhCw,5K0BVchFxmuKBw7DojGSQO</t>
  </si>
  <si>
    <t>28f4r6WghcxWsi4xDSPDyN</t>
  </si>
  <si>
    <t>2KNdiMnwBeOVhCoyaeAjWu</t>
  </si>
  <si>
    <t>44n97yHySt0Z9rqPaXgjCK</t>
  </si>
  <si>
    <t>hopeless fountain kingdom (Deluxe)</t>
  </si>
  <si>
    <t>5k38wzpLb15YgncyWdTZE4</t>
  </si>
  <si>
    <t>02kJSzxNuaWGqwubyUba0Z,26VFTg2z8YR0cCuwLzESi2</t>
  </si>
  <si>
    <t>The Beautiful &amp; Damned</t>
  </si>
  <si>
    <t>7y9iMe8SOB6z3NoHE2OfXl</t>
  </si>
  <si>
    <t>7FGq80cy8juXBCD2nrqdWU</t>
  </si>
  <si>
    <t>5CiGnKThu5ctn9pBxv7DGa,26VFTg2z8YR0cCuwLzESi2,6LuN9FCkKOj5PcnpouEgny</t>
  </si>
  <si>
    <t>FRIENDS KEEP SECRETS</t>
  </si>
  <si>
    <t>5p7ujcrUXASCNwRaWNHR1C</t>
  </si>
  <si>
    <t>2018-10-04</t>
  </si>
  <si>
    <t>0PAj9Y5kFEzhGeWkockoxv</t>
  </si>
  <si>
    <t>Know-It-All (Deluxe)</t>
  </si>
  <si>
    <t>3ArYVrRb0lDBLzuJJqIXzC</t>
  </si>
  <si>
    <t>664gdARxaClFsoF5SXKOws</t>
  </si>
  <si>
    <t>6uBhi9gBXWjanegOb2Phh0</t>
  </si>
  <si>
    <t>2qxJFvFYMEDqd7ui6kSAcq,2wUjUUtkb5lvLKcGKsKqsR</t>
  </si>
  <si>
    <t>5xhJmd0I15jFcEdqxfCzKk</t>
  </si>
  <si>
    <t>69GGBxA162lTqCwzJG5jLp,7wjeXCtRND2ZdKfMJFu6JC</t>
  </si>
  <si>
    <t>6cPyTS0Kk2sc4xQwC93kOg</t>
  </si>
  <si>
    <t>5Ce9z7GqSknXccyppRxNLY</t>
  </si>
  <si>
    <t>3sBfXJVKKUWyKqEUsrYiNO</t>
  </si>
  <si>
    <t>6nxWCVXbOlEVRexSbLsTer,4NHQUGzhtTLFvgF5SZesLK,45eNHdiiabvmbp4erw26rg</t>
  </si>
  <si>
    <t>Skin: The Remixes</t>
  </si>
  <si>
    <t>150zGw0P2EJccYJKnFIler</t>
  </si>
  <si>
    <t>02Yq8TMuecXONAjkORNJNM</t>
  </si>
  <si>
    <t>6nxWCVXbOlEVRexSbLsTer,4NHQUGzhtTLFvgF5SZesLK</t>
  </si>
  <si>
    <t>3W2ZcrRsInZbjWylOi6KhZ</t>
  </si>
  <si>
    <t>6nS5roXSAGhTGr34W6n7Et,14L5rpGTLVUz1pD8fUeJB1,6nxWCVXbOlEVRexSbLsTer</t>
  </si>
  <si>
    <t>12REd1n8PeiHHWOh066tpr</t>
  </si>
  <si>
    <t>46ydq5g3k17iLJs3qMDvO6</t>
  </si>
  <si>
    <t>7FjZU7XFs7P9jHI9Z0yRhK</t>
  </si>
  <si>
    <t>5jAMCwdNHWr7JThxtMuEyy,4bL2B6hmLlMWnUEZnorEtG,0rlKkLkpsCnJbZethGBfAk,5mYakBbBzPMQTfkVMIgiDM</t>
  </si>
  <si>
    <t>So Close (feat. Georgia Ku)</t>
  </si>
  <si>
    <t>0Tv9DumSM7K9v4EME1XdsC</t>
  </si>
  <si>
    <t>6VSMAVF00xwG8Adoqnbqy6,3noOJBzljbPMoifF6wY12v</t>
  </si>
  <si>
    <t>7KT7VGnPU5QVXN3q1BOeqb</t>
  </si>
  <si>
    <t>21mKp7DqtSNHhCAU2ugvUw,5EBlHXi71tDXnFtroEh7Rg</t>
  </si>
  <si>
    <t>5n9DJWUiwuKuPE9sCVbQ0n</t>
  </si>
  <si>
    <t>4csQIMQm6vI2A2SCVDuM2z</t>
  </si>
  <si>
    <t>6tB4XVKceo2307SSWXaO0y</t>
  </si>
  <si>
    <t>6Nt8JXqD73iPp1tJLJduaQ</t>
  </si>
  <si>
    <t>7snnEDYwv30hRtmifVni8P</t>
  </si>
  <si>
    <t>0jNDKefhfSbLR9sFvcPLHo,5pKrorYHoVt088MOxEhNLg</t>
  </si>
  <si>
    <t>7uSZPbd8DxdkmSauCKnITY</t>
  </si>
  <si>
    <t>2015-02-23</t>
  </si>
  <si>
    <t>6jq6rcOikCZAmjliAgAmfT</t>
  </si>
  <si>
    <t>6PMXCAKSAH7GAZkmUwQ5hB</t>
  </si>
  <si>
    <t>5AbEYl6Ij4pyF6YGZ3wi38</t>
  </si>
  <si>
    <t>2ojIFOZEhTBtDpO27UWhcb</t>
  </si>
  <si>
    <t>2017-10-03</t>
  </si>
  <si>
    <t>4AqH4V7PEC5BTK29FVmXQd</t>
  </si>
  <si>
    <t>0u18Cq5stIQLUoIaULzDmA,0jNDKefhfSbLR9sFvcPLHo,7HPVAGjCVDzP7xcNrkwgxL</t>
  </si>
  <si>
    <t>2017-05-16</t>
  </si>
  <si>
    <t>3xY7S39qKvxMx6q87FUxDL</t>
  </si>
  <si>
    <t>6VRRu9NewkmX12BMCvCJQ1</t>
  </si>
  <si>
    <t>0u18Cq5stIQLUoIaULzDmA,3RTklnRcfHgkQJwFpgOq3t</t>
  </si>
  <si>
    <t>0JITWDB1tVUH2VUXmVtYpL</t>
  </si>
  <si>
    <t>1DkX0AcEDzuFeh4TEAl143</t>
  </si>
  <si>
    <t>3xZSvYNuO12ZgH8IMrEZ0W</t>
  </si>
  <si>
    <t>4UhExRgMW9QR7oNmTI2lPG,6WpTbKQVhOVHmSb8QZREAc</t>
  </si>
  <si>
    <t>My Friends Are Robots (Good Bear Remix)</t>
  </si>
  <si>
    <t>4IMJx3Y5usJyZretqLWmDX</t>
  </si>
  <si>
    <t>Never Gonna</t>
  </si>
  <si>
    <t>2016-12-03</t>
  </si>
  <si>
    <t>4unpXe9GYrqsD3eIL3QGZp</t>
  </si>
  <si>
    <t>2kgvaYV2tbNyOonFI3YlfH,7gh5SnyMRtWO5mzAThI4AB</t>
  </si>
  <si>
    <t>2fx6GdnhYsPVLsHOy7yGir</t>
  </si>
  <si>
    <t>6vd0iw9nRnxUADUos1y3j1</t>
  </si>
  <si>
    <t>Sacrifice</t>
  </si>
  <si>
    <t>2018-11-15</t>
  </si>
  <si>
    <t>7ykHVXUtDHqPfzMEkTmfYw</t>
  </si>
  <si>
    <t>Crusade</t>
  </si>
  <si>
    <t>3nUtunxUw00BfFWkZW0YQV</t>
  </si>
  <si>
    <t>436gmIEJ59BLLi2amF6OEL</t>
  </si>
  <si>
    <t>0XtnjngdyPgVxb9qXBUeJh</t>
  </si>
  <si>
    <t>44oL4Cwc1jkTxLH5kwHe1a</t>
  </si>
  <si>
    <t>1WpcDNuy4BDoYH3iF0S1Mu</t>
  </si>
  <si>
    <t>7lZauDnRoAC3kmaYae2opv,4IuWSIEfIed8aZb49YA4Cj</t>
  </si>
  <si>
    <t>7iYMW4Ww40RAbfeccmzMQa</t>
  </si>
  <si>
    <t>7lZauDnRoAC3kmaYae2opv,0OE65qjIKHqSyU7YWpOQrv</t>
  </si>
  <si>
    <t>1R1vlmRWwnuxw6Qb70I75P</t>
  </si>
  <si>
    <t>7lZauDnRoAC3kmaYae2opv,0hEeBhTVYUKs2B4PY2IdMB</t>
  </si>
  <si>
    <t>7pPciGaYxP2FsFQCIBDEhb</t>
  </si>
  <si>
    <t>60al6ZkP5cOsZN96FqzDGH</t>
  </si>
  <si>
    <t>4U9kJBr61UhO5srPib7zyz</t>
  </si>
  <si>
    <t>3kKbRNJmzSWdDgfKqJ9Eck</t>
  </si>
  <si>
    <t>3bjLA6ukBcGtvhe5tybxp7</t>
  </si>
  <si>
    <t>Drifter</t>
  </si>
  <si>
    <t>5JCi3pyggvk4B0yd0BK3ow</t>
  </si>
  <si>
    <t>4NHQUGzhtTLFvgF5SZesLK,4dM6NDYSfLcspt8GLoT5aE</t>
  </si>
  <si>
    <t>6oNZ0WxqptE7V0qpjtyJ4a</t>
  </si>
  <si>
    <t>21mKp7DqtSNHhCAU2ugvUw,4xnihxcoXWK3UqryOSnbw5</t>
  </si>
  <si>
    <t>4aJnMRNeuDZSQN7FaSNGtM</t>
  </si>
  <si>
    <t>Summer's Gone</t>
  </si>
  <si>
    <t>2012-09-05</t>
  </si>
  <si>
    <t>6vjWim6xU6tPjA42GxSp1U</t>
  </si>
  <si>
    <t>4csQIMQm6vI2A2SCVDuM2z,21mKp7DqtSNHhCAU2ugvUw</t>
  </si>
  <si>
    <t>Something About You (The Remixes)</t>
  </si>
  <si>
    <t>7jZHUhAmW5oq1cq6s8IxmK</t>
  </si>
  <si>
    <t>21mKp7DqtSNHhCAU2ugvUw,7kdIgG6b9e3DZVmroWzu9w</t>
  </si>
  <si>
    <t>In Return</t>
  </si>
  <si>
    <t>2014-09-08</t>
  </si>
  <si>
    <t>1LeItUMezKA1HdCHxYICed</t>
  </si>
  <si>
    <t>21mKp7DqtSNHhCAU2ugvUw,0DGAOR3KtqWwWSwDzhzqOa</t>
  </si>
  <si>
    <t>3uWfZX7rYHT6ErSblROUWT</t>
  </si>
  <si>
    <t>4Q7x2zwXG97jfvG7GdOsb3</t>
  </si>
  <si>
    <t>5mRJ7oQMkrY0ro9ufnd62G</t>
  </si>
  <si>
    <t>4TcSvASmTs7HICEY6is1iX</t>
  </si>
  <si>
    <t>2tLI4kPsmsxQQv6zr2jbgt,23GMmLeVwj1yKMo1WGEwIj</t>
  </si>
  <si>
    <t>1Q8xVViK57bDw8gbyXjP0P</t>
  </si>
  <si>
    <t>2B00MZNljOitCgetHiNcxf</t>
  </si>
  <si>
    <t>0a0TiZm7hjmgyY9i1sWm3Z</t>
  </si>
  <si>
    <t>2tLI4kPsmsxQQv6zr2jbgt,4OEToyI1vqVhG1b9wxXzTV</t>
  </si>
  <si>
    <t>24iHPg1j6I8MOsdNYR5qqf</t>
  </si>
  <si>
    <t>4JznCAfxUluG6YAdAiM0YE,38SIErfZNd7u2qlIzFeZqm</t>
  </si>
  <si>
    <t>5c1Miz53kZbsJFoa6RvS99</t>
  </si>
  <si>
    <t>4JznCAfxUluG6YAdAiM0YE</t>
  </si>
  <si>
    <t>5EqjEnNVbolSj52gNf7fFT</t>
  </si>
  <si>
    <t>1bqxdqvUtPWZri43cKHac8,4JznCAfxUluG6YAdAiM0YE</t>
  </si>
  <si>
    <t>Lights Down Low (Not Your Dope Remix)</t>
  </si>
  <si>
    <t>2F8jzbDgrR9p0uyBnCQPdN</t>
  </si>
  <si>
    <t>2018-10-07</t>
  </si>
  <si>
    <t>0YqKmEpcCHli1AFNCrNte2</t>
  </si>
  <si>
    <t>6J4zegMTYP4nGJSpSDvy49,46schiPKx3WhuYpa4XykpL,4JznCAfxUluG6YAdAiM0YE</t>
  </si>
  <si>
    <t>4W9ANU2SXjq7WTaP0DzbCa</t>
  </si>
  <si>
    <t>4JznCAfxUluG6YAdAiM0YE,1bqxdqvUtPWZri43cKHac8</t>
  </si>
  <si>
    <t>2017-08-31</t>
  </si>
  <si>
    <t>07j30aEL5IkZT64k7tLQg2</t>
  </si>
  <si>
    <t>3su2ysXuvyYB0413e2SbSi</t>
  </si>
  <si>
    <t>3cMBzDRp3OkdhFYPqmxyUc</t>
  </si>
  <si>
    <t>3XFcu2NnGWceLNdxRCfYH3,5aNJpeK3hUdPY9orfExdOF</t>
  </si>
  <si>
    <t>5ROEgRkFQ0JihbUsfNsIWf</t>
  </si>
  <si>
    <t>4lmQv59m2uX1OhnHuQskh2</t>
  </si>
  <si>
    <t>1j3s6SE0wUgJfBULiHfgCv</t>
  </si>
  <si>
    <t>6qTpWr6mNtCWaCqohRyvJo</t>
  </si>
  <si>
    <t>2018-09-15</t>
  </si>
  <si>
    <t>Liked</t>
  </si>
  <si>
    <t>Comparaison</t>
  </si>
  <si>
    <t>Calculs</t>
  </si>
  <si>
    <t>Analyse Likes</t>
  </si>
  <si>
    <t>Raw Genre Likes</t>
  </si>
  <si>
    <t>Raw Genre soirée</t>
  </si>
  <si>
    <t>Raw Genre Boom</t>
  </si>
  <si>
    <t>Genre Boom</t>
  </si>
  <si>
    <t>Genre Soirée</t>
  </si>
  <si>
    <t>future bass,vapor twitch,trap soul</t>
  </si>
  <si>
    <t>alt z,indie poptimism</t>
  </si>
  <si>
    <t>charlotte nc indie,future bass</t>
  </si>
  <si>
    <t>dance pop,edm,electro house,norwegian pop,pop,pop dance,pop edm,tropical house,uk pop,portuguese rock</t>
  </si>
  <si>
    <t>bass trap,pop edm,eurovision,swedish pop</t>
  </si>
  <si>
    <t>bass trap,gaming edm,traprun,indian edm,la pop</t>
  </si>
  <si>
    <t>bangerz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</si>
</sst>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NumberFormat="1"/>
    <xf numFmtId="0" fontId="0" fillId="2" borderId="1" xfId="0" applyNumberFormat="1" applyFont="1" applyFill="1" applyBorder="1"/>
    <xf numFmtId="0" fontId="0" fillId="0" borderId="1" xfId="0" applyNumberFormat="1" applyFont="1" applyBorder="1"/>
    <xf numFmtId="0" fontId="0" fillId="4" borderId="0" xfId="0" applyFill="1"/>
    <xf numFmtId="0" fontId="0" fillId="3" borderId="2" xfId="0" applyNumberFormat="1" applyFont="1" applyFill="1" applyBorder="1"/>
    <xf numFmtId="0" fontId="0" fillId="4" borderId="2" xfId="0" applyNumberFormat="1" applyFont="1" applyFill="1" applyBorder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 applyBorder="1" applyAlignment="1">
      <alignment horizontal="left"/>
    </xf>
    <xf numFmtId="14" fontId="0" fillId="0" borderId="0" xfId="0" applyNumberFormat="1"/>
    <xf numFmtId="22" fontId="0" fillId="0" borderId="0" xfId="0" applyNumberFormat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2" fontId="0" fillId="0" borderId="0" xfId="0" applyNumberFormat="1" applyFont="1" applyAlignment="1">
      <alignment horizontal="center"/>
    </xf>
    <xf numFmtId="9" fontId="0" fillId="0" borderId="0" xfId="1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</cellXfs>
  <cellStyles count="2">
    <cellStyle name="Normal" xfId="0" builtinId="0"/>
    <cellStyle name="Percent" xfId="1" builtinId="5"/>
  </cellStyles>
  <dxfs count="17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</font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Popularity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'Comparaison'!$A$2:$A$9</c:f>
              <c:strCache>
                <c:ptCount val="8"/>
                <c:pt idx="0">
                  <c:v>Liked</c:v>
                </c:pt>
                <c:pt idx="1">
                  <c:v>bangerz</c:v>
                </c:pt>
                <c:pt idx="2">
                  <c:v>Classico</c:v>
                </c:pt>
                <c:pt idx="3">
                  <c:v>Hardstyle</c:v>
                </c:pt>
                <c:pt idx="4">
                  <c:v>Summer</c:v>
                </c:pt>
                <c:pt idx="5">
                  <c:v>Hard</c:v>
                </c:pt>
                <c:pt idx="6">
                  <c:v>Soirée</c:v>
                </c:pt>
                <c:pt idx="7">
                  <c:v>Yes</c:v>
                </c:pt>
              </c:strCache>
            </c:strRef>
          </c:cat>
          <c:val>
            <c:numRef>
              <c:f>'Comparaison'!$D$2:$D$9</c:f>
              <c:numCache>
                <c:formatCode>0</c:formatCode>
                <c:ptCount val="8"/>
                <c:pt idx="0">
                  <c:v>45.153611956822587</c:v>
                </c:pt>
                <c:pt idx="1">
                  <c:v>43.428571428571431</c:v>
                </c:pt>
                <c:pt idx="2">
                  <c:v>37.936507936507937</c:v>
                </c:pt>
                <c:pt idx="3">
                  <c:v>46.05</c:v>
                </c:pt>
                <c:pt idx="4">
                  <c:v>73.900000000000006</c:v>
                </c:pt>
                <c:pt idx="5">
                  <c:v>34.609137055837564</c:v>
                </c:pt>
                <c:pt idx="6">
                  <c:v>58.753926701570684</c:v>
                </c:pt>
                <c:pt idx="7">
                  <c:v>37.866666666666667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E-46DE-8096-6E37EDAB9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637453712"/>
        <c:axId val="1637451416"/>
      </c:barChart>
      <c:catAx>
        <c:axId val="1637453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37451416"/>
        <c:crosses val="autoZero"/>
        <c:auto val="1"/>
        <c:lblAlgn val="ctr"/>
        <c:lblOffset val="100"/>
        <c:noMultiLvlLbl val="0"/>
      </c:catAx>
      <c:valAx>
        <c:axId val="163745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3745371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Danceability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'Comparaison'!$A$2:$A$9</c:f>
              <c:strCache>
                <c:ptCount val="8"/>
                <c:pt idx="0">
                  <c:v>Liked</c:v>
                </c:pt>
                <c:pt idx="1">
                  <c:v>bangerz</c:v>
                </c:pt>
                <c:pt idx="2">
                  <c:v>Classico</c:v>
                </c:pt>
                <c:pt idx="3">
                  <c:v>Hardstyle</c:v>
                </c:pt>
                <c:pt idx="4">
                  <c:v>Summer</c:v>
                </c:pt>
                <c:pt idx="5">
                  <c:v>Hard</c:v>
                </c:pt>
                <c:pt idx="6">
                  <c:v>Soirée</c:v>
                </c:pt>
                <c:pt idx="7">
                  <c:v>Yes</c:v>
                </c:pt>
              </c:strCache>
            </c:strRef>
          </c:cat>
          <c:val>
            <c:numRef>
              <c:f>'Comparaison'!$E$2:$E$9</c:f>
              <c:numCache>
                <c:formatCode>0%</c:formatCode>
                <c:ptCount val="8"/>
                <c:pt idx="0">
                  <c:v>0.59540155081694923</c:v>
                </c:pt>
                <c:pt idx="1">
                  <c:v>0.5780857142857142</c:v>
                </c:pt>
                <c:pt idx="2">
                  <c:v>0.35985087719298225</c:v>
                </c:pt>
                <c:pt idx="3">
                  <c:v>0.46520979020979047</c:v>
                </c:pt>
                <c:pt idx="4">
                  <c:v>0.7385531914893616</c:v>
                </c:pt>
                <c:pt idx="5">
                  <c:v>0.52882584269662913</c:v>
                </c:pt>
                <c:pt idx="6">
                  <c:v>0.67590710382513652</c:v>
                </c:pt>
                <c:pt idx="7">
                  <c:v>0.59789999999999999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2-4C1C-BB35-A20A80C2C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931917512"/>
        <c:axId val="931915544"/>
      </c:barChart>
      <c:catAx>
        <c:axId val="931917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1915544"/>
        <c:crosses val="autoZero"/>
        <c:auto val="1"/>
        <c:lblAlgn val="ctr"/>
        <c:lblOffset val="100"/>
        <c:noMultiLvlLbl val="0"/>
      </c:catAx>
      <c:valAx>
        <c:axId val="93191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191751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BPM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'Comparaison'!$A$2:$A$9</c:f>
              <c:strCache>
                <c:ptCount val="8"/>
                <c:pt idx="0">
                  <c:v>Liked</c:v>
                </c:pt>
                <c:pt idx="1">
                  <c:v>bangerz</c:v>
                </c:pt>
                <c:pt idx="2">
                  <c:v>Classico</c:v>
                </c:pt>
                <c:pt idx="3">
                  <c:v>Hardstyle</c:v>
                </c:pt>
                <c:pt idx="4">
                  <c:v>Summer</c:v>
                </c:pt>
                <c:pt idx="5">
                  <c:v>Hard</c:v>
                </c:pt>
                <c:pt idx="6">
                  <c:v>Soirée</c:v>
                </c:pt>
                <c:pt idx="7">
                  <c:v>Yes</c:v>
                </c:pt>
              </c:strCache>
            </c:strRef>
          </c:cat>
          <c:val>
            <c:numRef>
              <c:f>'Comparaison'!$O$2:$O$9</c:f>
              <c:numCache>
                <c:formatCode>0.00</c:formatCode>
                <c:ptCount val="8"/>
                <c:pt idx="0">
                  <c:v>124.61065055555551</c:v>
                </c:pt>
                <c:pt idx="1">
                  <c:v>117.09688571428568</c:v>
                </c:pt>
                <c:pt idx="2">
                  <c:v>113.49563636363636</c:v>
                </c:pt>
                <c:pt idx="3">
                  <c:v>152.8777702702703</c:v>
                </c:pt>
                <c:pt idx="4">
                  <c:v>116.00792</c:v>
                </c:pt>
                <c:pt idx="5">
                  <c:v>135.57494382022469</c:v>
                </c:pt>
                <c:pt idx="6">
                  <c:v>122.98158227848104</c:v>
                </c:pt>
                <c:pt idx="7">
                  <c:v>121.34176666666663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8-49BB-95F4-85BC7AF22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625849712"/>
        <c:axId val="1625850368"/>
      </c:barChart>
      <c:catAx>
        <c:axId val="162584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5850368"/>
        <c:crosses val="autoZero"/>
        <c:auto val="1"/>
        <c:lblAlgn val="ctr"/>
        <c:lblOffset val="100"/>
        <c:noMultiLvlLbl val="0"/>
      </c:catAx>
      <c:valAx>
        <c:axId val="162585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584971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'Genre Boom'!$B$1</c:f>
              <c:strCache>
                <c:ptCount val="1"/>
                <c:pt idx="0">
                  <c:v>Occurrence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'Genre Boom'!$A$2:$A$21</c:f>
              <c:strCache>
                <c:ptCount val="20"/>
                <c:pt idx="0">
                  <c:v>rawstyle</c:v>
                </c:pt>
                <c:pt idx="1">
                  <c:v>tekk</c:v>
                </c:pt>
                <c:pt idx="2">
                  <c:v>classic hardstyle</c:v>
                </c:pt>
                <c:pt idx="3">
                  <c:v>frenchcore</c:v>
                </c:pt>
                <c:pt idx="4">
                  <c:v>euphoric hardstyle</c:v>
                </c:pt>
                <c:pt idx="5">
                  <c:v>uptempo hardcore</c:v>
                </c:pt>
                <c:pt idx="6">
                  <c:v>edm</c:v>
                </c:pt>
                <c:pt idx="7">
                  <c:v>pop dance</c:v>
                </c:pt>
                <c:pt idx="8">
                  <c:v>electro house</c:v>
                </c:pt>
                <c:pt idx="9">
                  <c:v>tekno</c:v>
                </c:pt>
                <c:pt idx="10">
                  <c:v>raggatek</c:v>
                </c:pt>
                <c:pt idx="11">
                  <c:v>dance pop</c:v>
                </c:pt>
                <c:pt idx="12">
                  <c:v>gabba</c:v>
                </c:pt>
                <c:pt idx="13">
                  <c:v>progressive electro house</c:v>
                </c:pt>
                <c:pt idx="14">
                  <c:v>hardcore techno</c:v>
                </c:pt>
                <c:pt idx="15">
                  <c:v>jumpstyle</c:v>
                </c:pt>
                <c:pt idx="16">
                  <c:v>progressive house</c:v>
                </c:pt>
                <c:pt idx="17">
                  <c:v>belgian edm</c:v>
                </c:pt>
                <c:pt idx="18">
                  <c:v>happy hardcore</c:v>
                </c:pt>
                <c:pt idx="19">
                  <c:v>melbourne bounce international</c:v>
                </c:pt>
              </c:strCache>
            </c:strRef>
          </c:cat>
          <c:val>
            <c:numRef>
              <c:f>'Genre Boom'!$B$2:$B$21</c:f>
              <c:numCache>
                <c:formatCode>General</c:formatCode>
                <c:ptCount val="20"/>
                <c:pt idx="0">
                  <c:v>63</c:v>
                </c:pt>
                <c:pt idx="1">
                  <c:v>63</c:v>
                </c:pt>
                <c:pt idx="2">
                  <c:v>57</c:v>
                </c:pt>
                <c:pt idx="3">
                  <c:v>57</c:v>
                </c:pt>
                <c:pt idx="4">
                  <c:v>49</c:v>
                </c:pt>
                <c:pt idx="5">
                  <c:v>48</c:v>
                </c:pt>
                <c:pt idx="6">
                  <c:v>34</c:v>
                </c:pt>
                <c:pt idx="7">
                  <c:v>30</c:v>
                </c:pt>
                <c:pt idx="8">
                  <c:v>25</c:v>
                </c:pt>
                <c:pt idx="9">
                  <c:v>24</c:v>
                </c:pt>
                <c:pt idx="10">
                  <c:v>23</c:v>
                </c:pt>
                <c:pt idx="11">
                  <c:v>18</c:v>
                </c:pt>
                <c:pt idx="12">
                  <c:v>16</c:v>
                </c:pt>
                <c:pt idx="13">
                  <c:v>16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0B-434D-9435-3308E7AF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625423408"/>
        <c:axId val="1289692168"/>
      </c:barChart>
      <c:catAx>
        <c:axId val="16254234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9692168"/>
        <c:crosses val="autoZero"/>
        <c:auto val="1"/>
        <c:lblAlgn val="ctr"/>
        <c:lblOffset val="100"/>
        <c:noMultiLvlLbl val="0"/>
      </c:catAx>
      <c:valAx>
        <c:axId val="12896921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542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'Genre Soirée'!$B$1</c:f>
              <c:strCache>
                <c:ptCount val="1"/>
                <c:pt idx="0">
                  <c:v>Occurrence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'Genre Soirée'!$A$2:$A$21</c:f>
              <c:strCache>
                <c:ptCount val="20"/>
                <c:pt idx="0">
                  <c:v>pop</c:v>
                </c:pt>
                <c:pt idx="1">
                  <c:v>edm</c:v>
                </c:pt>
                <c:pt idx="2">
                  <c:v>dance pop</c:v>
                </c:pt>
                <c:pt idx="3">
                  <c:v>pop dance</c:v>
                </c:pt>
                <c:pt idx="4">
                  <c:v>tropical house</c:v>
                </c:pt>
                <c:pt idx="5">
                  <c:v>electro house</c:v>
                </c:pt>
                <c:pt idx="6">
                  <c:v>pop rap</c:v>
                </c:pt>
                <c:pt idx="7">
                  <c:v>house</c:v>
                </c:pt>
                <c:pt idx="8">
                  <c:v>uk dance</c:v>
                </c:pt>
                <c:pt idx="9">
                  <c:v>electropop</c:v>
                </c:pt>
                <c:pt idx="10">
                  <c:v>modern rock</c:v>
                </c:pt>
                <c:pt idx="11">
                  <c:v>progressive house</c:v>
                </c:pt>
                <c:pt idx="12">
                  <c:v>french hip hop</c:v>
                </c:pt>
                <c:pt idx="13">
                  <c:v>new french touch</c:v>
                </c:pt>
                <c:pt idx="14">
                  <c:v>progressive electro house</c:v>
                </c:pt>
                <c:pt idx="15">
                  <c:v>uk pop</c:v>
                </c:pt>
                <c:pt idx="16">
                  <c:v>rap</c:v>
                </c:pt>
                <c:pt idx="17">
                  <c:v>rap conscient</c:v>
                </c:pt>
                <c:pt idx="18">
                  <c:v>rock</c:v>
                </c:pt>
                <c:pt idx="19">
                  <c:v>big room</c:v>
                </c:pt>
              </c:strCache>
            </c:strRef>
          </c:cat>
          <c:val>
            <c:numRef>
              <c:f>'Genre Soirée'!$B$2:$B$21</c:f>
              <c:numCache>
                <c:formatCode>General</c:formatCode>
                <c:ptCount val="20"/>
                <c:pt idx="0">
                  <c:v>74</c:v>
                </c:pt>
                <c:pt idx="1">
                  <c:v>72</c:v>
                </c:pt>
                <c:pt idx="2">
                  <c:v>63</c:v>
                </c:pt>
                <c:pt idx="3">
                  <c:v>60</c:v>
                </c:pt>
                <c:pt idx="4">
                  <c:v>57</c:v>
                </c:pt>
                <c:pt idx="5">
                  <c:v>41</c:v>
                </c:pt>
                <c:pt idx="6">
                  <c:v>29</c:v>
                </c:pt>
                <c:pt idx="7">
                  <c:v>27</c:v>
                </c:pt>
                <c:pt idx="8">
                  <c:v>19</c:v>
                </c:pt>
                <c:pt idx="9">
                  <c:v>17</c:v>
                </c:pt>
                <c:pt idx="10">
                  <c:v>16</c:v>
                </c:pt>
                <c:pt idx="11">
                  <c:v>16</c:v>
                </c:pt>
                <c:pt idx="12">
                  <c:v>15</c:v>
                </c:pt>
                <c:pt idx="13">
                  <c:v>15</c:v>
                </c:pt>
                <c:pt idx="14">
                  <c:v>14</c:v>
                </c:pt>
                <c:pt idx="15">
                  <c:v>12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E1-4F6C-BFB8-8D9180874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96098864"/>
        <c:axId val="541985528"/>
      </c:barChart>
      <c:catAx>
        <c:axId val="12960988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985528"/>
        <c:crosses val="autoZero"/>
        <c:auto val="1"/>
        <c:lblAlgn val="ctr"/>
        <c:lblOffset val="100"/>
        <c:noMultiLvlLbl val="0"/>
      </c:catAx>
      <c:valAx>
        <c:axId val="5419855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9609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447675</xdr:colOff>
          <xdr:row>3</xdr:row>
          <xdr:rowOff>0</xdr:rowOff>
        </xdr:from>
        <xdr:to>
          <xdr:col>19</xdr:col>
          <xdr:colOff>19050</xdr:colOff>
          <xdr:row>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16</xdr:row>
      <xdr:rowOff>0</xdr:rowOff>
    </xdr:from>
    <xdr:to>
      <xdr:col>4</xdr:col>
      <xdr:colOff>752475</xdr:colOff>
      <xdr:row>30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16</xdr:row>
      <xdr:rowOff>0</xdr:rowOff>
    </xdr:from>
    <xdr:to>
      <xdr:col>11</xdr:col>
      <xdr:colOff>238125</xdr:colOff>
      <xdr:row>30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466725</xdr:colOff>
      <xdr:row>15</xdr:row>
      <xdr:rowOff>180975</xdr:rowOff>
    </xdr:from>
    <xdr:to>
      <xdr:col>17</xdr:col>
      <xdr:colOff>9525</xdr:colOff>
      <xdr:row>30</xdr:row>
      <xdr:rowOff>66675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466725</xdr:colOff>
          <xdr:row>6</xdr:row>
          <xdr:rowOff>57150</xdr:rowOff>
        </xdr:from>
        <xdr:to>
          <xdr:col>19</xdr:col>
          <xdr:colOff>19050</xdr:colOff>
          <xdr:row>11</xdr:row>
          <xdr:rowOff>142875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7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Suppression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204787</xdr:colOff>
      <xdr:row>11</xdr:row>
      <xdr:rowOff>166687</xdr:rowOff>
    </xdr:from>
    <xdr:to>
      <xdr:col>15</xdr:col>
      <xdr:colOff>509587</xdr:colOff>
      <xdr:row>26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19</xdr:row>
      <xdr:rowOff>157162</xdr:rowOff>
    </xdr:from>
    <xdr:to>
      <xdr:col>10</xdr:col>
      <xdr:colOff>552450</xdr:colOff>
      <xdr:row>34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4" xr16:uid="{A202B09C-4853-4237-99AA-ADFAC973CBC6}" autoFormatId="16" applyNumberFormats="0" applyBorderFormats="0" applyFontFormats="0" applyPatternFormats="0" applyAlignmentFormats="0" applyWidthHeightFormats="0">
  <queryTableRefresh nextId="24">
    <queryTableFields count="23">
      <queryTableField id="1" name="Spotify ID" tableColumnId="1"/>
      <queryTableField id="2" name="Artist IDs" tableColumnId="2"/>
      <queryTableField id="3" name="Track Name" tableColumnId="3"/>
      <queryTableField id="4" name="Album Name" tableColumnId="4"/>
      <queryTableField id="5" name="Artist Name(s)" tableColumnId="5"/>
      <queryTableField id="6" name="Release Date" tableColumnId="6"/>
      <queryTableField id="7" name="Duration (ms)" tableColumnId="7"/>
      <queryTableField id="8" name="Popularity" tableColumnId="8"/>
      <queryTableField id="9" name="Added By" tableColumnId="9"/>
      <queryTableField id="10" name="Added At" tableColumnId="10"/>
      <queryTableField id="11" name="Genres" tableColumnId="11"/>
      <queryTableField id="12" name="Danceability" tableColumnId="12"/>
      <queryTableField id="13" name="Energy" tableColumnId="13"/>
      <queryTableField id="14" name="Key" tableColumnId="14"/>
      <queryTableField id="15" name="Loudness" tableColumnId="15"/>
      <queryTableField id="16" name="Mode" tableColumnId="16"/>
      <queryTableField id="17" name="Speechiness" tableColumnId="17"/>
      <queryTableField id="18" name="Acousticness" tableColumnId="18"/>
      <queryTableField id="19" name="Instrumentalness" tableColumnId="19"/>
      <queryTableField id="20" name="Liveness" tableColumnId="20"/>
      <queryTableField id="21" name="Valence" tableColumnId="21"/>
      <queryTableField id="22" name="Tempo" tableColumnId="22"/>
      <queryTableField id="23" name="Time Signature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8" xr16:uid="{A545DAA6-8EA8-465A-9027-42CEAC82E608}" autoFormatId="16" applyNumberFormats="0" applyBorderFormats="0" applyFontFormats="0" applyPatternFormats="0" applyAlignmentFormats="0" applyWidthHeightFormats="0">
  <queryTableRefresh nextId="24">
    <queryTableFields count="23">
      <queryTableField id="1" name="Spotify ID" tableColumnId="1"/>
      <queryTableField id="2" name="Artist IDs" tableColumnId="2"/>
      <queryTableField id="3" name="Track Name" tableColumnId="3"/>
      <queryTableField id="4" name="Album Name" tableColumnId="4"/>
      <queryTableField id="5" name="Artist Name(s)" tableColumnId="5"/>
      <queryTableField id="6" name="Release Date" tableColumnId="6"/>
      <queryTableField id="7" name="Duration (ms)" tableColumnId="7"/>
      <queryTableField id="8" name="Popularity" tableColumnId="8"/>
      <queryTableField id="9" name="Added By" tableColumnId="9"/>
      <queryTableField id="10" name="Added At" tableColumnId="10"/>
      <queryTableField id="11" name="Genres" tableColumnId="11"/>
      <queryTableField id="12" name="Danceability" tableColumnId="12"/>
      <queryTableField id="13" name="Energy" tableColumnId="13"/>
      <queryTableField id="14" name="Key" tableColumnId="14"/>
      <queryTableField id="15" name="Loudness" tableColumnId="15"/>
      <queryTableField id="16" name="Mode" tableColumnId="16"/>
      <queryTableField id="17" name="Speechiness" tableColumnId="17"/>
      <queryTableField id="18" name="Acousticness" tableColumnId="18"/>
      <queryTableField id="19" name="Instrumentalness" tableColumnId="19"/>
      <queryTableField id="20" name="Liveness" tableColumnId="20"/>
      <queryTableField id="21" name="Valence" tableColumnId="21"/>
      <queryTableField id="22" name="Tempo" tableColumnId="22"/>
      <queryTableField id="23" name="Time Signature" tableColumnId="2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2" xr16:uid="{D8F216A4-430A-428F-AF7B-F29434D91CDF}" autoFormatId="16" applyNumberFormats="0" applyBorderFormats="0" applyFontFormats="0" applyPatternFormats="0" applyAlignmentFormats="0" applyWidthHeightFormats="0">
  <queryTableRefresh nextId="24">
    <queryTableFields count="23">
      <queryTableField id="1" name="Spotify ID" tableColumnId="1"/>
      <queryTableField id="2" name="Artist IDs" tableColumnId="2"/>
      <queryTableField id="3" name="Track Name" tableColumnId="3"/>
      <queryTableField id="4" name="Album Name" tableColumnId="4"/>
      <queryTableField id="5" name="Artist Name(s)" tableColumnId="5"/>
      <queryTableField id="6" name="Release Date" tableColumnId="6"/>
      <queryTableField id="7" name="Duration (ms)" tableColumnId="7"/>
      <queryTableField id="8" name="Popularity" tableColumnId="8"/>
      <queryTableField id="9" name="Added By" tableColumnId="9"/>
      <queryTableField id="10" name="Added At" tableColumnId="10"/>
      <queryTableField id="11" name="Genres" tableColumnId="11"/>
      <queryTableField id="12" name="Danceability" tableColumnId="12"/>
      <queryTableField id="13" name="Energy" tableColumnId="13"/>
      <queryTableField id="14" name="Key" tableColumnId="14"/>
      <queryTableField id="15" name="Loudness" tableColumnId="15"/>
      <queryTableField id="16" name="Mode" tableColumnId="16"/>
      <queryTableField id="17" name="Speechiness" tableColumnId="17"/>
      <queryTableField id="18" name="Acousticness" tableColumnId="18"/>
      <queryTableField id="19" name="Instrumentalness" tableColumnId="19"/>
      <queryTableField id="20" name="Liveness" tableColumnId="20"/>
      <queryTableField id="21" name="Valence" tableColumnId="21"/>
      <queryTableField id="22" name="Tempo" tableColumnId="22"/>
      <queryTableField id="23" name="Time Signature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6BF232AF-FC60-4C18-B7DA-561C686DA21C}" autoFormatId="16" applyNumberFormats="0" applyBorderFormats="0" applyFontFormats="0" applyPatternFormats="0" applyAlignmentFormats="0" applyWidthHeightFormats="0">
  <queryTableRefresh nextId="24">
    <queryTableFields count="23">
      <queryTableField id="1" name="Spotify ID" tableColumnId="1"/>
      <queryTableField id="2" name="Artist IDs" tableColumnId="2"/>
      <queryTableField id="3" name="Track Name" tableColumnId="3"/>
      <queryTableField id="4" name="Album Name" tableColumnId="4"/>
      <queryTableField id="5" name="Artist Name(s)" tableColumnId="5"/>
      <queryTableField id="6" name="Release Date" tableColumnId="6"/>
      <queryTableField id="7" name="Duration (ms)" tableColumnId="7"/>
      <queryTableField id="8" name="Popularity" tableColumnId="8"/>
      <queryTableField id="9" name="Added By" tableColumnId="9"/>
      <queryTableField id="10" name="Added At" tableColumnId="10"/>
      <queryTableField id="11" name="Genres" tableColumnId="11"/>
      <queryTableField id="12" name="Danceability" tableColumnId="12"/>
      <queryTableField id="13" name="Energy" tableColumnId="13"/>
      <queryTableField id="14" name="Key" tableColumnId="14"/>
      <queryTableField id="15" name="Loudness" tableColumnId="15"/>
      <queryTableField id="16" name="Mode" tableColumnId="16"/>
      <queryTableField id="17" name="Speechiness" tableColumnId="17"/>
      <queryTableField id="18" name="Acousticness" tableColumnId="18"/>
      <queryTableField id="19" name="Instrumentalness" tableColumnId="19"/>
      <queryTableField id="20" name="Liveness" tableColumnId="20"/>
      <queryTableField id="21" name="Valence" tableColumnId="21"/>
      <queryTableField id="22" name="Tempo" tableColumnId="22"/>
      <queryTableField id="23" name="Time Signature" tableColumnId="2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" xr16:uid="{2834EA23-C66C-4F96-B833-7BE3B6C001D0}" autoFormatId="16" applyNumberFormats="0" applyBorderFormats="0" applyFontFormats="0" applyPatternFormats="0" applyAlignmentFormats="0" applyWidthHeightFormats="0">
  <queryTableRefresh nextId="24">
    <queryTableFields count="23">
      <queryTableField id="1" name="Spotify ID" tableColumnId="1"/>
      <queryTableField id="2" name="Artist IDs" tableColumnId="2"/>
      <queryTableField id="3" name="Track Name" tableColumnId="3"/>
      <queryTableField id="4" name="Album Name" tableColumnId="4"/>
      <queryTableField id="5" name="Artist Name(s)" tableColumnId="5"/>
      <queryTableField id="6" name="Release Date" tableColumnId="6"/>
      <queryTableField id="7" name="Duration (ms)" tableColumnId="7"/>
      <queryTableField id="8" name="Popularity" tableColumnId="8"/>
      <queryTableField id="9" name="Added By" tableColumnId="9"/>
      <queryTableField id="10" name="Added At" tableColumnId="10"/>
      <queryTableField id="11" name="Genres" tableColumnId="11"/>
      <queryTableField id="12" name="Danceability" tableColumnId="12"/>
      <queryTableField id="13" name="Energy" tableColumnId="13"/>
      <queryTableField id="14" name="Key" tableColumnId="14"/>
      <queryTableField id="15" name="Loudness" tableColumnId="15"/>
      <queryTableField id="16" name="Mode" tableColumnId="16"/>
      <queryTableField id="17" name="Speechiness" tableColumnId="17"/>
      <queryTableField id="18" name="Acousticness" tableColumnId="18"/>
      <queryTableField id="19" name="Instrumentalness" tableColumnId="19"/>
      <queryTableField id="20" name="Liveness" tableColumnId="20"/>
      <queryTableField id="21" name="Valence" tableColumnId="21"/>
      <queryTableField id="22" name="Tempo" tableColumnId="22"/>
      <queryTableField id="23" name="Time Signature" tableColumnId="2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67DC37F6-68CF-4522-82C4-73573D7F3A29}" autoFormatId="16" applyNumberFormats="0" applyBorderFormats="0" applyFontFormats="0" applyPatternFormats="0" applyAlignmentFormats="0" applyWidthHeightFormats="0">
  <queryTableRefresh nextId="24">
    <queryTableFields count="23">
      <queryTableField id="1" name="Spotify ID" tableColumnId="1"/>
      <queryTableField id="2" name="Artist IDs" tableColumnId="2"/>
      <queryTableField id="3" name="Track Name" tableColumnId="3"/>
      <queryTableField id="4" name="Album Name" tableColumnId="4"/>
      <queryTableField id="5" name="Artist Name(s)" tableColumnId="5"/>
      <queryTableField id="6" name="Release Date" tableColumnId="6"/>
      <queryTableField id="7" name="Duration (ms)" tableColumnId="7"/>
      <queryTableField id="8" name="Popularity" tableColumnId="8"/>
      <queryTableField id="9" name="Added By" tableColumnId="9"/>
      <queryTableField id="10" name="Added At" tableColumnId="10"/>
      <queryTableField id="11" name="Genres" tableColumnId="11"/>
      <queryTableField id="12" name="Danceability" tableColumnId="12"/>
      <queryTableField id="13" name="Energy" tableColumnId="13"/>
      <queryTableField id="14" name="Key" tableColumnId="14"/>
      <queryTableField id="15" name="Loudness" tableColumnId="15"/>
      <queryTableField id="16" name="Mode" tableColumnId="16"/>
      <queryTableField id="17" name="Speechiness" tableColumnId="17"/>
      <queryTableField id="18" name="Acousticness" tableColumnId="18"/>
      <queryTableField id="19" name="Instrumentalness" tableColumnId="19"/>
      <queryTableField id="20" name="Liveness" tableColumnId="20"/>
      <queryTableField id="21" name="Valence" tableColumnId="21"/>
      <queryTableField id="22" name="Tempo" tableColumnId="22"/>
      <queryTableField id="23" name="Time Signature" tableColumnId="2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5" xr16:uid="{622E6D67-2F1D-4956-944E-152F8F96003A}" autoFormatId="16" applyNumberFormats="0" applyBorderFormats="0" applyFontFormats="0" applyPatternFormats="0" applyAlignmentFormats="0" applyWidthHeightFormats="0">
  <queryTableRefresh nextId="24">
    <queryTableFields count="23">
      <queryTableField id="1" name="Spotify ID" tableColumnId="1"/>
      <queryTableField id="2" name="Artist IDs" tableColumnId="2"/>
      <queryTableField id="3" name="Track Name" tableColumnId="3"/>
      <queryTableField id="4" name="Album Name" tableColumnId="4"/>
      <queryTableField id="5" name="Artist Name(s)" tableColumnId="5"/>
      <queryTableField id="6" name="Release Date" tableColumnId="6"/>
      <queryTableField id="7" name="Duration (ms)" tableColumnId="7"/>
      <queryTableField id="8" name="Popularity" tableColumnId="8"/>
      <queryTableField id="9" name="Added By" tableColumnId="9"/>
      <queryTableField id="10" name="Added At" tableColumnId="10"/>
      <queryTableField id="11" name="Genres" tableColumnId="11"/>
      <queryTableField id="12" name="Danceability" tableColumnId="12"/>
      <queryTableField id="13" name="Energy" tableColumnId="13"/>
      <queryTableField id="14" name="Key" tableColumnId="14"/>
      <queryTableField id="15" name="Loudness" tableColumnId="15"/>
      <queryTableField id="16" name="Mode" tableColumnId="16"/>
      <queryTableField id="17" name="Speechiness" tableColumnId="17"/>
      <queryTableField id="18" name="Acousticness" tableColumnId="18"/>
      <queryTableField id="19" name="Instrumentalness" tableColumnId="19"/>
      <queryTableField id="20" name="Liveness" tableColumnId="20"/>
      <queryTableField id="21" name="Valence" tableColumnId="21"/>
      <queryTableField id="22" name="Tempo" tableColumnId="22"/>
      <queryTableField id="23" name="Time Signature" tableColumnId="2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0B23650E-3192-4A50-AC82-2A99B5EABCDA}" autoFormatId="16" applyNumberFormats="0" applyBorderFormats="0" applyFontFormats="0" applyPatternFormats="0" applyAlignmentFormats="0" applyWidthHeightFormats="0">
  <queryTableRefresh nextId="24">
    <queryTableFields count="23">
      <queryTableField id="1" name="Spotify ID" tableColumnId="1"/>
      <queryTableField id="2" name="Artist IDs" tableColumnId="2"/>
      <queryTableField id="3" name="Track Name" tableColumnId="3"/>
      <queryTableField id="4" name="Album Name" tableColumnId="4"/>
      <queryTableField id="5" name="Artist Name(s)" tableColumnId="5"/>
      <queryTableField id="6" name="Release Date" tableColumnId="6"/>
      <queryTableField id="7" name="Duration (ms)" tableColumnId="7"/>
      <queryTableField id="8" name="Popularity" tableColumnId="8"/>
      <queryTableField id="9" name="Added By" tableColumnId="9"/>
      <queryTableField id="10" name="Added At" tableColumnId="10"/>
      <queryTableField id="11" name="Genres" tableColumnId="11"/>
      <queryTableField id="12" name="Danceability" tableColumnId="12"/>
      <queryTableField id="13" name="Energy" tableColumnId="13"/>
      <queryTableField id="14" name="Key" tableColumnId="14"/>
      <queryTableField id="15" name="Loudness" tableColumnId="15"/>
      <queryTableField id="16" name="Mode" tableColumnId="16"/>
      <queryTableField id="17" name="Speechiness" tableColumnId="17"/>
      <queryTableField id="18" name="Acousticness" tableColumnId="18"/>
      <queryTableField id="19" name="Instrumentalness" tableColumnId="19"/>
      <queryTableField id="20" name="Liveness" tableColumnId="20"/>
      <queryTableField id="21" name="Valence" tableColumnId="21"/>
      <queryTableField id="22" name="Tempo" tableColumnId="22"/>
      <queryTableField id="23" name="Time Signature" tableColumnId="2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42" xr16:uid="{806C4DE6-9C22-4992-9FF9-23430BAEBCFF}" autoFormatId="16" applyNumberFormats="0" applyBorderFormats="0" applyFontFormats="0" applyPatternFormats="0" applyAlignmentFormats="0" applyWidthHeightFormats="0">
  <queryTableRefresh headersInLastRefresh="0" nextId="18">
    <queryTableFields count="17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  <queryTableField id="11" name="Column1.11" tableColumnId="11"/>
      <queryTableField id="12" name="Column1.12" tableColumnId="12"/>
      <queryTableField id="13" name="Column1.13" tableColumnId="13"/>
      <queryTableField id="14" name="Column1.14" tableColumnId="14"/>
      <queryTableField id="15" name="Column1.15" tableColumnId="15"/>
      <queryTableField id="16" name="Column1.16" tableColumnId="16"/>
      <queryTableField id="17" name="Column1.17" tableColumnId="1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41" xr16:uid="{8E529546-27EC-4047-BB88-A93996E46161}" autoFormatId="16" applyNumberFormats="0" applyBorderFormats="0" applyFontFormats="0" applyPatternFormats="0" applyAlignmentFormats="0" applyWidthHeightFormats="0">
  <queryTableRefresh headersInLastRefresh="0" nextId="18">
    <queryTableFields count="17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  <queryTableField id="11" name="Column1.11" tableColumnId="11"/>
      <queryTableField id="12" name="Column1.12" tableColumnId="12"/>
      <queryTableField id="13" name="Column1.13" tableColumnId="13"/>
      <queryTableField id="14" name="Column1.14" tableColumnId="14"/>
      <queryTableField id="15" name="Column1.15" tableColumnId="15"/>
      <queryTableField id="16" name="Column1.16" tableColumnId="16"/>
      <queryTableField id="17" name="Column1.17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ACCED78-16B0-4B2D-A969-6654248FE284}" name="Yes" displayName="Yes" ref="A1:W61" tableType="queryTable" totalsRowShown="0">
  <autoFilter ref="A1:W61" xr:uid="{BACCED78-16B0-4B2D-A969-6654248FE284}"/>
  <tableColumns count="23">
    <tableColumn id="1" xr3:uid="{19F53FC2-99BA-4EB4-948D-E150A53FB459}" uniqueName="1" name="Spotify ID" queryTableFieldId="1" dataDxfId="178"/>
    <tableColumn id="2" xr3:uid="{BDBBDF74-0A57-435C-A7DA-FFE2E8E0482F}" uniqueName="2" name="Artist IDs" queryTableFieldId="2" dataDxfId="177"/>
    <tableColumn id="3" xr3:uid="{0A0117A7-653F-4AA4-8547-E3EA7F4571FF}" uniqueName="3" name="Track Name" queryTableFieldId="3" dataDxfId="176"/>
    <tableColumn id="4" xr3:uid="{115A1001-6D4F-4240-9D08-B5454E87A508}" uniqueName="4" name="Album Name" queryTableFieldId="4" dataDxfId="175"/>
    <tableColumn id="5" xr3:uid="{571BA779-68D7-4CEA-B981-66CB88D6536E}" uniqueName="5" name="Artist Name(s)" queryTableFieldId="5" dataDxfId="174"/>
    <tableColumn id="6" xr3:uid="{13AAE2FF-FD12-43C7-A6CA-FA0CA950A685}" uniqueName="6" name="Release Date" queryTableFieldId="6" dataDxfId="173"/>
    <tableColumn id="7" xr3:uid="{C9EFB40D-950B-4F97-AA22-B5242F0FC742}" uniqueName="7" name="Duration (ms)" queryTableFieldId="7"/>
    <tableColumn id="8" xr3:uid="{D38F9FAD-4889-4F60-BF98-37854F41F5FC}" uniqueName="8" name="Popularity" queryTableFieldId="8"/>
    <tableColumn id="9" xr3:uid="{B9DF1B0A-D5A8-4B8E-8E3B-6C3A79110C94}" uniqueName="9" name="Added By" queryTableFieldId="9" dataDxfId="172"/>
    <tableColumn id="10" xr3:uid="{F11FF1FC-1117-4F05-899B-E194AEE441D5}" uniqueName="10" name="Added At" queryTableFieldId="10" dataDxfId="171"/>
    <tableColumn id="11" xr3:uid="{2B579AFF-5FEF-4FD6-AE53-EAD8A561638F}" uniqueName="11" name="Genres" queryTableFieldId="11" dataDxfId="170"/>
    <tableColumn id="12" xr3:uid="{B4526859-F55E-42FE-8F2E-57028DBDD4A0}" uniqueName="12" name="Danceability" queryTableFieldId="12" dataDxfId="169"/>
    <tableColumn id="13" xr3:uid="{7AD97D39-CD3A-4C94-BF43-D23BFBF6D54A}" uniqueName="13" name="Energy" queryTableFieldId="13" dataDxfId="168"/>
    <tableColumn id="14" xr3:uid="{5A114805-7FEC-4807-B7EC-2FE3B6015B5E}" uniqueName="14" name="Key" queryTableFieldId="14"/>
    <tableColumn id="15" xr3:uid="{6C40C1B8-9E81-4D02-A5AA-90CF7F95904E}" uniqueName="15" name="Loudness" queryTableFieldId="15" dataDxfId="167"/>
    <tableColumn id="16" xr3:uid="{213A3632-A0BC-4670-84BC-54AFC3A5E646}" uniqueName="16" name="Mode" queryTableFieldId="16"/>
    <tableColumn id="17" xr3:uid="{3C6382D9-563F-4C12-AC25-1A927C78956C}" uniqueName="17" name="Speechiness" queryTableFieldId="17" dataDxfId="166"/>
    <tableColumn id="18" xr3:uid="{CED56BF9-2ECF-4CFD-B0D0-D6B51A429B7C}" uniqueName="18" name="Acousticness" queryTableFieldId="18" dataDxfId="165"/>
    <tableColumn id="19" xr3:uid="{14E07F89-CBFF-4B29-856F-ECF4B67F4E17}" uniqueName="19" name="Instrumentalness" queryTableFieldId="19" dataDxfId="164"/>
    <tableColumn id="20" xr3:uid="{47D0A32D-F1C9-4ABD-945A-E2E9E9FD3785}" uniqueName="20" name="Liveness" queryTableFieldId="20" dataDxfId="163"/>
    <tableColumn id="21" xr3:uid="{652F7322-E9C7-4F51-894F-2643BDF72D2D}" uniqueName="21" name="Valence" queryTableFieldId="21" dataDxfId="162"/>
    <tableColumn id="22" xr3:uid="{7E75539A-68DA-4080-97B4-CF13298C9EB5}" uniqueName="22" name="Tempo" queryTableFieldId="22" dataDxfId="161"/>
    <tableColumn id="23" xr3:uid="{58BB0D91-5569-4016-AB0D-53232ECD2F17}" uniqueName="23" name="Time Signature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7090F5-1E41-498A-8334-B09BFA66098E}" name="Soirée" displayName="Soirée" ref="A1:W192" tableType="queryTable" totalsRowShown="0">
  <autoFilter ref="A1:W192" xr:uid="{D47090F5-1E41-498A-8334-B09BFA66098E}"/>
  <tableColumns count="23">
    <tableColumn id="1" xr3:uid="{1268A293-FD4D-4B4D-A815-D8436AA5205F}" uniqueName="1" name="Spotify ID" queryTableFieldId="1" dataDxfId="160"/>
    <tableColumn id="2" xr3:uid="{49300EB3-6B84-45FC-BD7D-0524A2D6C937}" uniqueName="2" name="Artist IDs" queryTableFieldId="2" dataDxfId="159"/>
    <tableColumn id="3" xr3:uid="{D8669318-076A-4A32-BBD5-CF11B09B0E61}" uniqueName="3" name="Track Name" queryTableFieldId="3" dataDxfId="158"/>
    <tableColumn id="4" xr3:uid="{0DB8AC75-8BD1-466E-A8C4-DFA7E68C6DDC}" uniqueName="4" name="Album Name" queryTableFieldId="4" dataDxfId="157"/>
    <tableColumn id="5" xr3:uid="{C36C911B-FC77-4E5E-9D53-1B0275AC1A80}" uniqueName="5" name="Artist Name(s)" queryTableFieldId="5" dataDxfId="156"/>
    <tableColumn id="6" xr3:uid="{E481526B-5249-4CB0-982A-83D192955E19}" uniqueName="6" name="Release Date" queryTableFieldId="6" dataDxfId="155"/>
    <tableColumn id="7" xr3:uid="{2507A971-C852-40C1-B9B3-13AC24E6565C}" uniqueName="7" name="Duration (ms)" queryTableFieldId="7"/>
    <tableColumn id="8" xr3:uid="{B946EE30-AB11-4C40-93E3-A854D47A50BE}" uniqueName="8" name="Popularity" queryTableFieldId="8"/>
    <tableColumn id="9" xr3:uid="{AC6EAAE6-235B-45B4-A73A-1C016AF047ED}" uniqueName="9" name="Added By" queryTableFieldId="9" dataDxfId="154"/>
    <tableColumn id="10" xr3:uid="{A988E52B-F93D-4B76-8041-2962E8427D95}" uniqueName="10" name="Added At" queryTableFieldId="10" dataDxfId="153"/>
    <tableColumn id="11" xr3:uid="{185B5507-8AAC-4981-9F8B-F95DB68268C9}" uniqueName="11" name="Genres" queryTableFieldId="11" dataDxfId="152"/>
    <tableColumn id="12" xr3:uid="{AC2E99A5-DB95-436B-B407-662A99E21CEE}" uniqueName="12" name="Danceability" queryTableFieldId="12" dataDxfId="151"/>
    <tableColumn id="13" xr3:uid="{836130E1-204B-41B4-9005-1E0AB6A158A6}" uniqueName="13" name="Energy" queryTableFieldId="13" dataDxfId="150"/>
    <tableColumn id="14" xr3:uid="{35C886D9-ED3F-4A33-B395-119E8DFA3979}" uniqueName="14" name="Key" queryTableFieldId="14"/>
    <tableColumn id="15" xr3:uid="{59342783-AE3C-461A-AB68-87C8B3ECA4FC}" uniqueName="15" name="Loudness" queryTableFieldId="15" dataDxfId="149"/>
    <tableColumn id="16" xr3:uid="{18B3DF13-14F9-43C9-B1A7-55400A32F410}" uniqueName="16" name="Mode" queryTableFieldId="16"/>
    <tableColumn id="17" xr3:uid="{49BD4B71-FAB0-4F6F-BBAD-033A8247446A}" uniqueName="17" name="Speechiness" queryTableFieldId="17" dataDxfId="148"/>
    <tableColumn id="18" xr3:uid="{CBC9AEA6-318D-401E-9F0A-BD16B4BA2F4D}" uniqueName="18" name="Acousticness" queryTableFieldId="18" dataDxfId="147"/>
    <tableColumn id="19" xr3:uid="{0054C823-322A-49F4-A337-40C919B8BEA3}" uniqueName="19" name="Instrumentalness" queryTableFieldId="19" dataDxfId="146"/>
    <tableColumn id="20" xr3:uid="{0C52676A-92D1-440B-A05A-826C9B95D3B4}" uniqueName="20" name="Liveness" queryTableFieldId="20" dataDxfId="145"/>
    <tableColumn id="21" xr3:uid="{DB6F0249-63A3-489F-B100-5747A2FDD848}" uniqueName="21" name="Valence" queryTableFieldId="21" dataDxfId="144"/>
    <tableColumn id="22" xr3:uid="{934835EA-164E-4683-9F8C-AF147EC51E34}" uniqueName="22" name="Tempo" queryTableFieldId="22" dataDxfId="143"/>
    <tableColumn id="23" xr3:uid="{906DD063-E739-4315-A555-16BE2DFBCBA1}" uniqueName="23" name="Time Signature" queryTableFieldId="2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29E8110-A473-4FE5-8123-B44A0629FA45}" name="Hard" displayName="Hard" ref="A1:W198" tableType="queryTable" totalsRowShown="0">
  <autoFilter ref="A1:W198" xr:uid="{829E8110-A473-4FE5-8123-B44A0629FA45}"/>
  <tableColumns count="23">
    <tableColumn id="1" xr3:uid="{51ECA927-8673-4A3E-A204-76C5CD48C60B}" uniqueName="1" name="Spotify ID" queryTableFieldId="1" dataDxfId="142"/>
    <tableColumn id="2" xr3:uid="{9A54EBA3-7CE5-4D2F-8BBC-E9B6A71D8A3B}" uniqueName="2" name="Artist IDs" queryTableFieldId="2" dataDxfId="141"/>
    <tableColumn id="3" xr3:uid="{BE5C5404-28D9-4F4B-B511-DA2FF29602D0}" uniqueName="3" name="Track Name" queryTableFieldId="3" dataDxfId="140"/>
    <tableColumn id="4" xr3:uid="{75FAA636-AE79-4FE0-A600-B7B6C7127A27}" uniqueName="4" name="Album Name" queryTableFieldId="4" dataDxfId="139"/>
    <tableColumn id="5" xr3:uid="{E4AD6D96-6C94-46F6-8A00-C051D847C17B}" uniqueName="5" name="Artist Name(s)" queryTableFieldId="5" dataDxfId="138"/>
    <tableColumn id="6" xr3:uid="{D4726AE5-5820-47B9-80FF-EF8DC7D10BEB}" uniqueName="6" name="Release Date" queryTableFieldId="6" dataDxfId="137"/>
    <tableColumn id="7" xr3:uid="{D461A1B6-4D82-4D4D-B595-4F7841496306}" uniqueName="7" name="Duration (ms)" queryTableFieldId="7"/>
    <tableColumn id="8" xr3:uid="{C92FBBBF-681E-4C73-B92C-342B28BE319A}" uniqueName="8" name="Popularity" queryTableFieldId="8"/>
    <tableColumn id="9" xr3:uid="{D3E5C6DE-DBDD-4271-9F5A-18F38A551297}" uniqueName="9" name="Added By" queryTableFieldId="9" dataDxfId="136"/>
    <tableColumn id="10" xr3:uid="{34AF56AE-499D-4C56-80ED-CD38D07D9B16}" uniqueName="10" name="Added At" queryTableFieldId="10" dataDxfId="135"/>
    <tableColumn id="11" xr3:uid="{85C9D3D1-7688-4779-9A39-C528F8FEE7EA}" uniqueName="11" name="Genres" queryTableFieldId="11" dataDxfId="134"/>
    <tableColumn id="12" xr3:uid="{83C54215-4F0C-4614-BFCD-EB1104EA6706}" uniqueName="12" name="Danceability" queryTableFieldId="12" dataDxfId="133"/>
    <tableColumn id="13" xr3:uid="{1DD83D8A-F883-477F-9BC8-A8B5EC7BF49B}" uniqueName="13" name="Energy" queryTableFieldId="13" dataDxfId="132"/>
    <tableColumn id="14" xr3:uid="{810D301F-55BB-4223-90AA-25078758EDBF}" uniqueName="14" name="Key" queryTableFieldId="14"/>
    <tableColumn id="15" xr3:uid="{BA3B9552-D6BE-4BD5-8FAA-FC8637D19D3E}" uniqueName="15" name="Loudness" queryTableFieldId="15" dataDxfId="131"/>
    <tableColumn id="16" xr3:uid="{F153A625-9010-4923-8708-E9499A8CBF42}" uniqueName="16" name="Mode" queryTableFieldId="16"/>
    <tableColumn id="17" xr3:uid="{1A69A22E-5216-4D21-B4CB-0D31A4E24688}" uniqueName="17" name="Speechiness" queryTableFieldId="17" dataDxfId="130"/>
    <tableColumn id="18" xr3:uid="{2813F7BF-085E-4F6D-B6CF-1CA080D9E922}" uniqueName="18" name="Acousticness" queryTableFieldId="18" dataDxfId="129"/>
    <tableColumn id="19" xr3:uid="{06522125-2469-4545-8981-C79CAFB8A6E4}" uniqueName="19" name="Instrumentalness" queryTableFieldId="19" dataDxfId="128"/>
    <tableColumn id="20" xr3:uid="{CE468981-7A87-4C91-B8BD-DBB10046AD29}" uniqueName="20" name="Liveness" queryTableFieldId="20" dataDxfId="127"/>
    <tableColumn id="21" xr3:uid="{355F2156-900C-461E-9312-0CAF2B0B3FE2}" uniqueName="21" name="Valence" queryTableFieldId="21" dataDxfId="126"/>
    <tableColumn id="22" xr3:uid="{416C6CBF-B627-476E-B045-2783A64203CA}" uniqueName="22" name="Tempo" queryTableFieldId="22" dataDxfId="125"/>
    <tableColumn id="23" xr3:uid="{0D63FDF4-F36A-4561-8D8E-403C3E2EDACC}" uniqueName="23" name="Time Signature" queryTableFieldId="2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8F1B77F-9CDA-4231-B751-6D234AC9C95A}" name="Summer" displayName="Summer" ref="A1:W51" tableType="queryTable" totalsRowShown="0">
  <autoFilter ref="A1:W51" xr:uid="{D8F1B77F-9CDA-4231-B751-6D234AC9C95A}"/>
  <tableColumns count="23">
    <tableColumn id="1" xr3:uid="{EE3D1A4A-B88E-42D8-99BA-BD8D37D3510E}" uniqueName="1" name="Spotify ID" queryTableFieldId="1" dataDxfId="124"/>
    <tableColumn id="2" xr3:uid="{F27F8BBF-5AE4-4F1A-A1CA-FF78E23F4CC0}" uniqueName="2" name="Artist IDs" queryTableFieldId="2" dataDxfId="123"/>
    <tableColumn id="3" xr3:uid="{770E8894-9B88-4A7B-950C-3E10B16FDB59}" uniqueName="3" name="Track Name" queryTableFieldId="3" dataDxfId="122"/>
    <tableColumn id="4" xr3:uid="{E16A696B-9E93-4E99-BD40-D09D1AE6C472}" uniqueName="4" name="Album Name" queryTableFieldId="4" dataDxfId="121"/>
    <tableColumn id="5" xr3:uid="{68A6A4A8-58B9-4BEC-9593-E0D07A2C59E8}" uniqueName="5" name="Artist Name(s)" queryTableFieldId="5" dataDxfId="120"/>
    <tableColumn id="6" xr3:uid="{59FE77FB-7D8D-4EB2-94ED-6252BFAD36EF}" uniqueName="6" name="Release Date" queryTableFieldId="6" dataDxfId="119"/>
    <tableColumn id="7" xr3:uid="{06524760-AADF-40A1-A352-AF9084F89ABF}" uniqueName="7" name="Duration (ms)" queryTableFieldId="7"/>
    <tableColumn id="8" xr3:uid="{C9F4A381-F360-41E3-803A-01FB67E428D8}" uniqueName="8" name="Popularity" queryTableFieldId="8"/>
    <tableColumn id="9" xr3:uid="{E9996740-2F45-4A51-9796-8C67509AB22B}" uniqueName="9" name="Added By" queryTableFieldId="9" dataDxfId="118"/>
    <tableColumn id="10" xr3:uid="{978D192C-BA91-4E53-8B63-E51CF598EEE5}" uniqueName="10" name="Added At" queryTableFieldId="10" dataDxfId="117"/>
    <tableColumn id="11" xr3:uid="{E5BDDDD3-8C96-464B-96C1-5AB455FA682F}" uniqueName="11" name="Genres" queryTableFieldId="11" dataDxfId="116"/>
    <tableColumn id="12" xr3:uid="{D55DC6D8-B548-4EF3-A9DB-9AC5462A1CFA}" uniqueName="12" name="Danceability" queryTableFieldId="12" dataDxfId="115"/>
    <tableColumn id="13" xr3:uid="{BF5875E7-2270-450E-894A-71EB8B159417}" uniqueName="13" name="Energy" queryTableFieldId="13" dataDxfId="114"/>
    <tableColumn id="14" xr3:uid="{58AB4160-4217-40E4-986B-494435DCE065}" uniqueName="14" name="Key" queryTableFieldId="14"/>
    <tableColumn id="15" xr3:uid="{2F5EF407-E3D1-4998-B750-2324EC5AC8CF}" uniqueName="15" name="Loudness" queryTableFieldId="15" dataDxfId="113"/>
    <tableColumn id="16" xr3:uid="{FD2A5C2D-5C8D-4606-9A3E-0ABF86A79165}" uniqueName="16" name="Mode" queryTableFieldId="16"/>
    <tableColumn id="17" xr3:uid="{1F3AD51F-4777-4909-AFC3-61C607CF3D44}" uniqueName="17" name="Speechiness" queryTableFieldId="17" dataDxfId="112"/>
    <tableColumn id="18" xr3:uid="{0F622791-6FEC-403F-B03C-91411EFC799A}" uniqueName="18" name="Acousticness" queryTableFieldId="18" dataDxfId="111"/>
    <tableColumn id="19" xr3:uid="{ED88D30A-E179-418D-8047-B2B385E171E9}" uniqueName="19" name="Instrumentalness" queryTableFieldId="19" dataDxfId="110"/>
    <tableColumn id="20" xr3:uid="{06D423A6-2CB2-4A21-995C-796690899340}" uniqueName="20" name="Liveness" queryTableFieldId="20" dataDxfId="109"/>
    <tableColumn id="21" xr3:uid="{1CF47A25-A299-4ADA-B0FA-E386BBE1F807}" uniqueName="21" name="Valence" queryTableFieldId="21" dataDxfId="108"/>
    <tableColumn id="22" xr3:uid="{835C672B-22FC-49CC-BE21-9B06AA700315}" uniqueName="22" name="Tempo" queryTableFieldId="22" dataDxfId="107"/>
    <tableColumn id="23" xr3:uid="{A411B798-704C-4559-B684-E71C838BF311}" uniqueName="23" name="Time Signature" queryTableFieldId="2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4BE797E-8A79-4928-9B7C-E60A13D9C440}" name="Hardstyle" displayName="Hardstyle" ref="A1:W161" tableType="queryTable" totalsRowShown="0">
  <autoFilter ref="A1:W161" xr:uid="{B4BE797E-8A79-4928-9B7C-E60A13D9C440}"/>
  <tableColumns count="23">
    <tableColumn id="1" xr3:uid="{533C1DF4-3823-4AEF-943C-CE854FF1A196}" uniqueName="1" name="Spotify ID" queryTableFieldId="1" dataDxfId="106"/>
    <tableColumn id="2" xr3:uid="{5707CF23-AB32-4622-B567-9616B3CFADDA}" uniqueName="2" name="Artist IDs" queryTableFieldId="2" dataDxfId="105"/>
    <tableColumn id="3" xr3:uid="{2689B9E4-C2A2-4E85-8591-2618B531082E}" uniqueName="3" name="Track Name" queryTableFieldId="3" dataDxfId="104"/>
    <tableColumn id="4" xr3:uid="{F62A4767-E128-42E7-8450-84EDA27F2185}" uniqueName="4" name="Album Name" queryTableFieldId="4" dataDxfId="103"/>
    <tableColumn id="5" xr3:uid="{2FCE9AB7-4717-4D57-BEE0-F0BD0C7F0397}" uniqueName="5" name="Artist Name(s)" queryTableFieldId="5" dataDxfId="102"/>
    <tableColumn id="6" xr3:uid="{43011A66-250C-41C5-B4A6-17E14299768E}" uniqueName="6" name="Release Date" queryTableFieldId="6" dataDxfId="101"/>
    <tableColumn id="7" xr3:uid="{1AB372DE-1DB6-4D5D-B637-2BE10E001164}" uniqueName="7" name="Duration (ms)" queryTableFieldId="7"/>
    <tableColumn id="8" xr3:uid="{33A0BF00-79BD-4EFC-8E11-B64818E6B11F}" uniqueName="8" name="Popularity" queryTableFieldId="8"/>
    <tableColumn id="9" xr3:uid="{F7B2D7EF-DAC3-4AC5-BBAB-90E698845452}" uniqueName="9" name="Added By" queryTableFieldId="9" dataDxfId="100"/>
    <tableColumn id="10" xr3:uid="{6DE286D8-CD62-4BAF-AAA5-27605092CD5E}" uniqueName="10" name="Added At" queryTableFieldId="10" dataDxfId="99"/>
    <tableColumn id="11" xr3:uid="{397DDA3F-76A2-41C7-90CA-41449BF520A6}" uniqueName="11" name="Genres" queryTableFieldId="11" dataDxfId="98"/>
    <tableColumn id="12" xr3:uid="{D38A39C5-9693-484E-B98A-9ACC43073539}" uniqueName="12" name="Danceability" queryTableFieldId="12" dataDxfId="97"/>
    <tableColumn id="13" xr3:uid="{7EC9B694-F9FC-41F0-A5FF-0B80609E3212}" uniqueName="13" name="Energy" queryTableFieldId="13" dataDxfId="96"/>
    <tableColumn id="14" xr3:uid="{E515806D-713A-4668-A29D-5E272D3EC3EE}" uniqueName="14" name="Key" queryTableFieldId="14"/>
    <tableColumn id="15" xr3:uid="{ECFECEBD-48B8-41A3-9BC0-3152A8E2A9CF}" uniqueName="15" name="Loudness" queryTableFieldId="15" dataDxfId="95"/>
    <tableColumn id="16" xr3:uid="{ED5DB0D4-EECD-4535-89EA-EB6ED9D47481}" uniqueName="16" name="Mode" queryTableFieldId="16"/>
    <tableColumn id="17" xr3:uid="{330D13CB-19A6-42CF-9E04-9B72A1E0B207}" uniqueName="17" name="Speechiness" queryTableFieldId="17" dataDxfId="94"/>
    <tableColumn id="18" xr3:uid="{0D8E8FFA-6E08-43A7-9A7E-91C5A064A1DC}" uniqueName="18" name="Acousticness" queryTableFieldId="18" dataDxfId="93"/>
    <tableColumn id="19" xr3:uid="{8E2FC8D6-1B1D-4DFB-A439-BC6CB22493EC}" uniqueName="19" name="Instrumentalness" queryTableFieldId="19" dataDxfId="92"/>
    <tableColumn id="20" xr3:uid="{D171D904-0292-441A-BB00-47D9FC047B37}" uniqueName="20" name="Liveness" queryTableFieldId="20" dataDxfId="91"/>
    <tableColumn id="21" xr3:uid="{1B1D96F7-A6EF-41B9-9B9D-DB2435C8BD5A}" uniqueName="21" name="Valence" queryTableFieldId="21" dataDxfId="90"/>
    <tableColumn id="22" xr3:uid="{6598BFBF-5ACA-4A99-8350-653B9DC9017C}" uniqueName="22" name="Tempo" queryTableFieldId="22" dataDxfId="89"/>
    <tableColumn id="23" xr3:uid="{187A4EF3-E917-4C40-AC85-940EED0BB6B0}" uniqueName="23" name="Time Signature" queryTableFieldId="2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EE5DE8D-1427-4964-A0D4-CABD9FEBCEF0}" name="Classico" displayName="Classico" ref="A1:W127" tableType="queryTable" totalsRowShown="0">
  <autoFilter ref="A1:W127" xr:uid="{1EE5DE8D-1427-4964-A0D4-CABD9FEBCEF0}"/>
  <tableColumns count="23">
    <tableColumn id="1" xr3:uid="{C06B0B7C-BF37-4755-83A0-113610EF8B93}" uniqueName="1" name="Spotify ID" queryTableFieldId="1" dataDxfId="88"/>
    <tableColumn id="2" xr3:uid="{C01F731C-E1DF-48C6-BB5A-51E62283E0F7}" uniqueName="2" name="Artist IDs" queryTableFieldId="2" dataDxfId="87"/>
    <tableColumn id="3" xr3:uid="{C826E0F4-8F2D-49C0-8CF8-B7500291338A}" uniqueName="3" name="Track Name" queryTableFieldId="3" dataDxfId="86"/>
    <tableColumn id="4" xr3:uid="{DC0573A3-531E-48DF-9FDF-2408ADE25FA3}" uniqueName="4" name="Album Name" queryTableFieldId="4" dataDxfId="85"/>
    <tableColumn id="5" xr3:uid="{40B30344-B805-4FF3-979C-C8862B522DF9}" uniqueName="5" name="Artist Name(s)" queryTableFieldId="5" dataDxfId="84"/>
    <tableColumn id="6" xr3:uid="{1E453836-666A-43B0-85EE-133F6C0CC9D7}" uniqueName="6" name="Release Date" queryTableFieldId="6" dataDxfId="83"/>
    <tableColumn id="7" xr3:uid="{6E188B24-7C44-42C2-B48C-35801D9F6015}" uniqueName="7" name="Duration (ms)" queryTableFieldId="7"/>
    <tableColumn id="8" xr3:uid="{90ECBDDD-50C5-4781-9ADD-1957F34CF4B9}" uniqueName="8" name="Popularity" queryTableFieldId="8"/>
    <tableColumn id="9" xr3:uid="{E505FAE2-A3AB-4516-8B04-0CA98E97124A}" uniqueName="9" name="Added By" queryTableFieldId="9" dataDxfId="82"/>
    <tableColumn id="10" xr3:uid="{E4A78AFB-5C8F-44D6-83B9-2552BFC9FFA8}" uniqueName="10" name="Added At" queryTableFieldId="10" dataDxfId="81"/>
    <tableColumn id="11" xr3:uid="{FFA171D6-F919-4446-A10B-DBD527E1800D}" uniqueName="11" name="Genres" queryTableFieldId="11" dataDxfId="80"/>
    <tableColumn id="12" xr3:uid="{70645F78-ABBB-4667-B563-AC1EDAC2DBA5}" uniqueName="12" name="Danceability" queryTableFieldId="12" dataDxfId="79"/>
    <tableColumn id="13" xr3:uid="{02EE249C-DAB7-4276-9673-3B06287E5BA0}" uniqueName="13" name="Energy" queryTableFieldId="13" dataDxfId="78"/>
    <tableColumn id="14" xr3:uid="{02D1964E-7039-4608-8423-30C758563D26}" uniqueName="14" name="Key" queryTableFieldId="14"/>
    <tableColumn id="15" xr3:uid="{B32ED6C6-5F56-445D-A7A7-9051C42C57D5}" uniqueName="15" name="Loudness" queryTableFieldId="15" dataDxfId="77"/>
    <tableColumn id="16" xr3:uid="{77A3E2FD-E421-459F-AB65-3D0A3DD6F46C}" uniqueName="16" name="Mode" queryTableFieldId="16"/>
    <tableColumn id="17" xr3:uid="{F602744B-9A58-4203-9B2A-D40C473DBE1D}" uniqueName="17" name="Speechiness" queryTableFieldId="17" dataDxfId="76"/>
    <tableColumn id="18" xr3:uid="{90771251-D38A-4A0E-8604-25019567ADC7}" uniqueName="18" name="Acousticness" queryTableFieldId="18" dataDxfId="75"/>
    <tableColumn id="19" xr3:uid="{9A3112FB-291E-4897-BFD1-665C367B780A}" uniqueName="19" name="Instrumentalness" queryTableFieldId="19" dataDxfId="74"/>
    <tableColumn id="20" xr3:uid="{0218FBF0-6ECE-464D-B1B3-F9273A23013D}" uniqueName="20" name="Liveness" queryTableFieldId="20" dataDxfId="73"/>
    <tableColumn id="21" xr3:uid="{D322B521-DB38-44B8-918D-757732F36144}" uniqueName="21" name="Valence" queryTableFieldId="21" dataDxfId="72"/>
    <tableColumn id="22" xr3:uid="{2266F36E-263D-4EA6-917E-BA7C4727B1B2}" uniqueName="22" name="Tempo" queryTableFieldId="22" dataDxfId="71"/>
    <tableColumn id="23" xr3:uid="{16513192-2D68-4F6D-811C-FC87A0D14CBF}" uniqueName="23" name="Time Signature" queryTableFieldId="2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74488D9-1EB3-4E6C-A7C3-A404E335DE70}" name="Liked" displayName="Liked" ref="A1:W3614" tableType="queryTable" totalsRowShown="0">
  <autoFilter ref="A1:W3614" xr:uid="{E74488D9-1EB3-4E6C-A7C3-A404E335DE70}"/>
  <tableColumns count="23">
    <tableColumn id="1" xr3:uid="{020DB36D-EDF2-4B8D-AF10-8D43F6A4F448}" uniqueName="1" name="Spotify ID" queryTableFieldId="1" dataDxfId="70"/>
    <tableColumn id="2" xr3:uid="{5CE529E5-E2F1-4B76-8924-FC82670DA7E3}" uniqueName="2" name="Artist IDs" queryTableFieldId="2" dataDxfId="69"/>
    <tableColumn id="3" xr3:uid="{FDD8590A-37A5-4FC5-84A9-B5036AB97878}" uniqueName="3" name="Track Name" queryTableFieldId="3" dataDxfId="68"/>
    <tableColumn id="4" xr3:uid="{F920298A-5EF5-40D6-9275-5D9EF06C0B78}" uniqueName="4" name="Album Name" queryTableFieldId="4" dataDxfId="67"/>
    <tableColumn id="5" xr3:uid="{3EFC29FC-4343-4488-865B-8E09F1ADC292}" uniqueName="5" name="Artist Name(s)" queryTableFieldId="5" dataDxfId="66"/>
    <tableColumn id="6" xr3:uid="{42675DA2-28CC-4A23-B143-BC21CD4D2942}" uniqueName="6" name="Release Date" queryTableFieldId="6" dataDxfId="65"/>
    <tableColumn id="7" xr3:uid="{66208042-9BAE-44C8-818F-79AFFCA64AD5}" uniqueName="7" name="Duration (ms)" queryTableFieldId="7"/>
    <tableColumn id="8" xr3:uid="{268C459E-D5F4-42B2-9CC3-EB13E50E5303}" uniqueName="8" name="Popularity" queryTableFieldId="8"/>
    <tableColumn id="9" xr3:uid="{B9E7E760-F259-4760-BB7D-204247F01615}" uniqueName="9" name="Added By" queryTableFieldId="9" dataDxfId="64"/>
    <tableColumn id="10" xr3:uid="{FE6C9D57-2FF3-46C8-96C8-3578897AEE9E}" uniqueName="10" name="Added At" queryTableFieldId="10" dataDxfId="63"/>
    <tableColumn id="11" xr3:uid="{7988FD31-9B64-4017-87FA-C673DCA5E412}" uniqueName="11" name="Genres" queryTableFieldId="11" dataDxfId="62"/>
    <tableColumn id="12" xr3:uid="{87ADC822-DB3B-456B-846C-B55086064EAF}" uniqueName="12" name="Danceability" queryTableFieldId="12" dataDxfId="61"/>
    <tableColumn id="13" xr3:uid="{C2C14B81-B294-441A-B8DD-AD71B4B9F803}" uniqueName="13" name="Energy" queryTableFieldId="13" dataDxfId="60"/>
    <tableColumn id="14" xr3:uid="{FEBA5652-B45E-4128-966E-8CC01A586215}" uniqueName="14" name="Key" queryTableFieldId="14"/>
    <tableColumn id="15" xr3:uid="{4D949144-AE5B-47F2-BC9A-D908A0683C6E}" uniqueName="15" name="Loudness" queryTableFieldId="15" dataDxfId="59"/>
    <tableColumn id="16" xr3:uid="{B097CDC3-EF94-40BF-9DBD-9D0269E872D6}" uniqueName="16" name="Mode" queryTableFieldId="16"/>
    <tableColumn id="17" xr3:uid="{3193EB6D-93BA-40C7-826B-2B607E9CD19A}" uniqueName="17" name="Speechiness" queryTableFieldId="17" dataDxfId="58"/>
    <tableColumn id="18" xr3:uid="{87434328-4820-4A36-B1C0-43971517867C}" uniqueName="18" name="Acousticness" queryTableFieldId="18" dataDxfId="57"/>
    <tableColumn id="19" xr3:uid="{ABEF8BEE-7A90-463D-BC71-B896FF6BB1CD}" uniqueName="19" name="Instrumentalness" queryTableFieldId="19" dataDxfId="56"/>
    <tableColumn id="20" xr3:uid="{2D65B04B-5F0D-4376-94A6-3CAA08737493}" uniqueName="20" name="Liveness" queryTableFieldId="20" dataDxfId="55"/>
    <tableColumn id="21" xr3:uid="{A9CE147F-6C88-43E8-9670-D7F2CB38C7A9}" uniqueName="21" name="Valence" queryTableFieldId="21" dataDxfId="54"/>
    <tableColumn id="22" xr3:uid="{0ADD5655-F383-42EE-9B21-4FA3ED44BC6B}" uniqueName="22" name="Tempo" queryTableFieldId="22" dataDxfId="53"/>
    <tableColumn id="23" xr3:uid="{B0CC6F4B-54D1-46E0-8795-CD9D7F706C91}" uniqueName="23" name="Time Signature" queryTableFieldId="2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1B0FE51-AEDB-401A-B782-0B72003ABF0A}" name="Comparaison" displayName="Comparaison" ref="A1:P9" totalsRowShown="0" headerRowDxfId="52">
  <autoFilter ref="A1:P9" xr:uid="{A1B0FE51-AEDB-401A-B782-0B72003ABF0A}"/>
  <tableColumns count="16">
    <tableColumn id="1" xr3:uid="{CB742A3B-F059-4E51-9606-D089C752D685}" name="Playlist"/>
    <tableColumn id="2" xr3:uid="{EFB04132-95D6-47CB-868D-83D5ACD86092}" name="Duration (ms)"/>
    <tableColumn id="3" xr3:uid="{B32303EA-52A6-4810-A5F5-0263FC1D88A5}" name="Duration (m:ss)"/>
    <tableColumn id="4" xr3:uid="{00DC3CB0-AED3-4427-A156-1650E7DE7E6C}" name="Popularity"/>
    <tableColumn id="5" xr3:uid="{38CCC8E7-EAA0-45EE-9247-A2E0C90020D7}" name="Danceability" dataCellStyle="Percent"/>
    <tableColumn id="6" xr3:uid="{3124950E-E584-45E5-B6E9-5DDE1EB8AFB1}" name="Energy" dataCellStyle="Percent"/>
    <tableColumn id="7" xr3:uid="{7D37664A-0A5F-4E30-BCD4-F8147D3374FD}" name="Key"/>
    <tableColumn id="8" xr3:uid="{2FCDD12B-5888-4451-9B07-9AD56E5F1566}" name="Loudness"/>
    <tableColumn id="9" xr3:uid="{49523EA6-A7E3-4559-A311-E209D5115416}" name="Mode" dataCellStyle="Percent"/>
    <tableColumn id="10" xr3:uid="{10D69427-2CB8-4E37-A0CB-2063CD3358C9}" name="Speechiness" dataCellStyle="Percent"/>
    <tableColumn id="11" xr3:uid="{B92833D7-4B42-4F9F-AC76-E1C4BDDC6999}" name="Acousticness" dataCellStyle="Percent"/>
    <tableColumn id="12" xr3:uid="{8E07678F-E6CD-4BE1-99AE-CA5C10B91134}" name="Instrumentalness" dataCellStyle="Percent"/>
    <tableColumn id="13" xr3:uid="{3A7CC01B-1092-4312-8617-80D1C51EABCF}" name="Liveness" dataCellStyle="Percent"/>
    <tableColumn id="14" xr3:uid="{ABBF9BF1-C895-46BD-A123-AC47FEF1FD39}" name="Valence" dataCellStyle="Percent"/>
    <tableColumn id="15" xr3:uid="{12A1CED8-F3B2-4B03-8049-538EC00786A5}" name="Tempo"/>
    <tableColumn id="16" xr3:uid="{D6600750-2248-4C34-9BD0-E111ABF9F4F3}" name="Time Signature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7EAA6B8-6DBD-4529-8C94-142D04EAAC83}" name="bangerz" displayName="bangerz" ref="A1:W36" tableType="queryTable" totalsRowShown="0">
  <autoFilter ref="A1:W36" xr:uid="{F7EAA6B8-6DBD-4529-8C94-142D04EAAC83}"/>
  <tableColumns count="23">
    <tableColumn id="1" xr3:uid="{626D2926-B317-4FA6-AAB7-AE3247C50CE2}" uniqueName="1" name="Spotify ID" queryTableFieldId="1" dataDxfId="51"/>
    <tableColumn id="2" xr3:uid="{819857B6-4E31-4C61-B07F-627CE9356CD5}" uniqueName="2" name="Artist IDs" queryTableFieldId="2" dataDxfId="50"/>
    <tableColumn id="3" xr3:uid="{FA0162E3-956F-41E9-AAB0-94C94CF0C359}" uniqueName="3" name="Track Name" queryTableFieldId="3" dataDxfId="49"/>
    <tableColumn id="4" xr3:uid="{F0D58886-DC9A-4D51-937E-DD38CA905814}" uniqueName="4" name="Album Name" queryTableFieldId="4" dataDxfId="48"/>
    <tableColumn id="5" xr3:uid="{6A331037-AD8E-4D1B-B7B0-7B2B19311937}" uniqueName="5" name="Artist Name(s)" queryTableFieldId="5" dataDxfId="47"/>
    <tableColumn id="6" xr3:uid="{60EB62E6-8722-4BD4-AD2C-15906A8AF399}" uniqueName="6" name="Release Date" queryTableFieldId="6" dataDxfId="46"/>
    <tableColumn id="7" xr3:uid="{9316E015-E86B-4782-8453-2FEAB56B49C5}" uniqueName="7" name="Duration (ms)" queryTableFieldId="7"/>
    <tableColumn id="8" xr3:uid="{2CA71BE8-BAC1-4D45-8E88-E79FD732B88B}" uniqueName="8" name="Popularity" queryTableFieldId="8"/>
    <tableColumn id="9" xr3:uid="{F489742F-900A-4DA7-A8D1-2E535CC1869F}" uniqueName="9" name="Added By" queryTableFieldId="9" dataDxfId="45"/>
    <tableColumn id="10" xr3:uid="{496A1917-2CBF-4D8D-92DE-FC0349B055EC}" uniqueName="10" name="Added At" queryTableFieldId="10" dataDxfId="44"/>
    <tableColumn id="11" xr3:uid="{AF20468B-EA31-477B-9EB8-881B1D775C1A}" uniqueName="11" name="Genres" queryTableFieldId="11" dataDxfId="43"/>
    <tableColumn id="12" xr3:uid="{D6FC55E8-CF3C-41D1-AFD5-52EB4452B38B}" uniqueName="12" name="Danceability" queryTableFieldId="12" dataDxfId="42"/>
    <tableColumn id="13" xr3:uid="{CC39FE8E-1506-4C26-9FE1-DC759336F20F}" uniqueName="13" name="Energy" queryTableFieldId="13" dataDxfId="41"/>
    <tableColumn id="14" xr3:uid="{A6A63A9F-4754-49CC-A041-52D3CB59454C}" uniqueName="14" name="Key" queryTableFieldId="14"/>
    <tableColumn id="15" xr3:uid="{D97773D6-DA45-4B09-A130-1BFA43FBA717}" uniqueName="15" name="Loudness" queryTableFieldId="15" dataDxfId="40"/>
    <tableColumn id="16" xr3:uid="{02DDCBAB-137E-453F-A356-DBF448B14EE2}" uniqueName="16" name="Mode" queryTableFieldId="16"/>
    <tableColumn id="17" xr3:uid="{41543FAD-6D20-4A3B-94CC-6146ACD7C98F}" uniqueName="17" name="Speechiness" queryTableFieldId="17" dataDxfId="39"/>
    <tableColumn id="18" xr3:uid="{28E67964-7F07-4925-94C3-1D78C3FF3840}" uniqueName="18" name="Acousticness" queryTableFieldId="18" dataDxfId="38"/>
    <tableColumn id="19" xr3:uid="{4FA580A9-0738-4A49-A55C-03CE3CAC880A}" uniqueName="19" name="Instrumentalness" queryTableFieldId="19" dataDxfId="37"/>
    <tableColumn id="20" xr3:uid="{9E8AD9BF-86D6-4002-8EA1-7DAFB6C2ADBB}" uniqueName="20" name="Liveness" queryTableFieldId="20" dataDxfId="36"/>
    <tableColumn id="21" xr3:uid="{FFDDE7A4-719E-4E5E-AA23-E8E3871A7F08}" uniqueName="21" name="Valence" queryTableFieldId="21" dataDxfId="35"/>
    <tableColumn id="22" xr3:uid="{D64CCBC1-FCC1-4881-8C85-7B801BB0DB96}" uniqueName="22" name="Tempo" queryTableFieldId="22" dataDxfId="34"/>
    <tableColumn id="23" xr3:uid="{8CBB3A2D-614D-49A7-B303-19BBFE08FCFC}" uniqueName="23" name="Time Signature" queryTableFieldId="2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82C1A1-51A0-4697-A9FF-8B8CFE54B0F0}" name="Table4" displayName="Table4" ref="C1:D2539" totalsRowShown="0">
  <autoFilter ref="C1:D2539" xr:uid="{1A82C1A1-51A0-4697-A9FF-8B8CFE54B0F0}"/>
  <sortState xmlns:xlrd2="http://schemas.microsoft.com/office/spreadsheetml/2017/richdata2" ref="C2:D1048576">
    <sortCondition descending="1" ref="D1:D1048576"/>
  </sortState>
  <tableColumns count="2">
    <tableColumn id="1" xr3:uid="{C0CDFD64-1A59-4CC3-AC4E-43A8C3C30C9E}" name="Artiste"/>
    <tableColumn id="2" xr3:uid="{29AD5EC7-1023-4480-8710-F209E57F64FC}" name="Occur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07FAF6-4A32-4661-8E2E-B51E2B18CBFA}" name="Table5_212" displayName="Table5_212" ref="I1:Y3613" tableType="queryTable" headerRowCount="0" totalsRowShown="0">
  <tableColumns count="17">
    <tableColumn id="1" xr3:uid="{E922E995-C064-4A55-BBD8-4D42A47201E2}" uniqueName="1" name="Column1.1" queryTableFieldId="1" dataDxfId="33"/>
    <tableColumn id="2" xr3:uid="{0DCD0B88-8196-49AA-A807-893E660D7856}" uniqueName="2" name="Column1.2" queryTableFieldId="2" dataDxfId="32"/>
    <tableColumn id="3" xr3:uid="{947AAAC8-9950-479D-AB21-4DE461FA672A}" uniqueName="3" name="Column1.3" queryTableFieldId="3" dataDxfId="31"/>
    <tableColumn id="4" xr3:uid="{5FD844A2-D0EB-4D53-B491-1A6A785334EE}" uniqueName="4" name="Column1.4" queryTableFieldId="4" dataDxfId="30"/>
    <tableColumn id="5" xr3:uid="{53BFDC08-2959-40EA-A551-79E37D763781}" uniqueName="5" name="Column1.5" queryTableFieldId="5" dataDxfId="29"/>
    <tableColumn id="6" xr3:uid="{BE92C001-98A7-478F-A772-537C14627977}" uniqueName="6" name="Column1.6" queryTableFieldId="6" dataDxfId="28"/>
    <tableColumn id="7" xr3:uid="{433CA128-38E4-4D54-9863-13EC430C4FD9}" uniqueName="7" name="Column1.7" queryTableFieldId="7" dataDxfId="27"/>
    <tableColumn id="8" xr3:uid="{96D939F0-B154-4F08-B1F1-15AB1A41E367}" uniqueName="8" name="Column1.8" queryTableFieldId="8" dataDxfId="26"/>
    <tableColumn id="9" xr3:uid="{CAC1F0EA-83F1-42F4-A411-3011D80764A4}" uniqueName="9" name="Column1.9" queryTableFieldId="9" dataDxfId="25"/>
    <tableColumn id="10" xr3:uid="{BA092D95-43A7-43E7-9AF3-78D058DDC058}" uniqueName="10" name="Column1.10" queryTableFieldId="10" dataDxfId="24"/>
    <tableColumn id="11" xr3:uid="{2399895B-3FEC-4005-85C9-0A893079164F}" uniqueName="11" name="Column1.11" queryTableFieldId="11" dataDxfId="23"/>
    <tableColumn id="12" xr3:uid="{1193AE13-A037-4625-AC90-32E4187E4D42}" uniqueName="12" name="Column1.12" queryTableFieldId="12" dataDxfId="22"/>
    <tableColumn id="13" xr3:uid="{9A07E547-07A1-4502-B906-9DE70D1B0192}" uniqueName="13" name="Column1.13" queryTableFieldId="13" dataDxfId="21"/>
    <tableColumn id="14" xr3:uid="{9D8151D6-C97A-4F89-87FE-A8B125334452}" uniqueName="14" name="Column1.14" queryTableFieldId="14" dataDxfId="20"/>
    <tableColumn id="15" xr3:uid="{32B33F79-B259-4BF8-899F-69240A566429}" uniqueName="15" name="Column1.15" queryTableFieldId="15" dataDxfId="19"/>
    <tableColumn id="16" xr3:uid="{27F90A5E-4074-4D77-BDB8-A2AE73F3BC46}" uniqueName="16" name="Column1.16" queryTableFieldId="16" dataDxfId="18"/>
    <tableColumn id="17" xr3:uid="{AB3FA10C-E6EF-480B-9DC2-176B0F5C7086}" uniqueName="17" name="Column1.17" queryTableFieldId="17" dataDxfId="1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9899D8F-D236-4053-858B-F25A4410D348}" name="Table12" displayName="Table12" ref="F1:G1048576" totalsRowShown="0">
  <autoFilter ref="F1:G1048576" xr:uid="{69899D8F-D236-4053-858B-F25A4410D348}"/>
  <tableColumns count="2">
    <tableColumn id="1" xr3:uid="{3C20630C-E8A7-4C75-8C64-11E87816BE69}" name="Genre">
      <calculatedColumnFormula array="1">IF(I1&lt;&gt;Table12[[#All],[Genre]],I1,Table5_212[[#This Row],[Column1.1]])</calculatedColumnFormula>
    </tableColumn>
    <tableColumn id="2" xr3:uid="{3A783B61-156D-40E6-A241-41C57A5132B3}" name="Occurrenc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6DB39F-BC40-4D38-9536-170782A1ECEF}" name="Table5_2" displayName="Table5_2" ref="A1:Q3613" tableType="queryTable" headerRowCount="0" totalsRowShown="0">
  <tableColumns count="17">
    <tableColumn id="1" xr3:uid="{C14F0CDC-25F1-4BB5-85F6-D6BD2E71C894}" uniqueName="1" name="Column1.1" queryTableFieldId="1" dataDxfId="16"/>
    <tableColumn id="2" xr3:uid="{10D5E8CF-791A-4DAD-B399-36BA48D46CE0}" uniqueName="2" name="Column1.2" queryTableFieldId="2" dataDxfId="15"/>
    <tableColumn id="3" xr3:uid="{940A2298-6A26-4BF9-9C77-F91DD19D4519}" uniqueName="3" name="Column1.3" queryTableFieldId="3" dataDxfId="14"/>
    <tableColumn id="4" xr3:uid="{C6B1CB09-E16C-4F87-ACA5-2BBDCDE29E40}" uniqueName="4" name="Column1.4" queryTableFieldId="4" dataDxfId="13"/>
    <tableColumn id="5" xr3:uid="{41FFE1DA-0FB4-4FE0-A8E8-F9AFB54D9DAB}" uniqueName="5" name="Column1.5" queryTableFieldId="5" dataDxfId="12"/>
    <tableColumn id="6" xr3:uid="{23A40AB7-9DA1-47DD-BA53-2E20150E54D6}" uniqueName="6" name="Column1.6" queryTableFieldId="6" dataDxfId="11"/>
    <tableColumn id="7" xr3:uid="{7E0A9F4B-4240-4602-AAFB-D54CE6B8944A}" uniqueName="7" name="Column1.7" queryTableFieldId="7" dataDxfId="10"/>
    <tableColumn id="8" xr3:uid="{97CCE5EB-4AFB-4A39-A58D-FE4D9CAE8F83}" uniqueName="8" name="Column1.8" queryTableFieldId="8" dataDxfId="9"/>
    <tableColumn id="9" xr3:uid="{8D755712-22E5-4BA0-8819-CBDD611033A9}" uniqueName="9" name="Column1.9" queryTableFieldId="9" dataDxfId="8"/>
    <tableColumn id="10" xr3:uid="{77CD4C42-B5A4-4699-BE59-559C5CC8131E}" uniqueName="10" name="Column1.10" queryTableFieldId="10" dataDxfId="7"/>
    <tableColumn id="11" xr3:uid="{56B8193D-8F7A-42C7-9947-1FACD7ACD708}" uniqueName="11" name="Column1.11" queryTableFieldId="11" dataDxfId="6"/>
    <tableColumn id="12" xr3:uid="{12225434-8237-4B9D-8793-F8861BD05D13}" uniqueName="12" name="Column1.12" queryTableFieldId="12" dataDxfId="5"/>
    <tableColumn id="13" xr3:uid="{00F8CE68-8E05-4D00-A8FC-C16579BDF481}" uniqueName="13" name="Column1.13" queryTableFieldId="13" dataDxfId="4"/>
    <tableColumn id="14" xr3:uid="{B69A2E7B-7129-4BF1-9830-24728F4ADDEF}" uniqueName="14" name="Column1.14" queryTableFieldId="14" dataDxfId="3"/>
    <tableColumn id="15" xr3:uid="{8953F49D-B5E9-4D57-8850-B3C9F6A63DB5}" uniqueName="15" name="Column1.15" queryTableFieldId="15" dataDxfId="2"/>
    <tableColumn id="16" xr3:uid="{C00D4C53-82F2-42B1-81B3-9BB87684E379}" uniqueName="16" name="Column1.16" queryTableFieldId="16" dataDxfId="1"/>
    <tableColumn id="17" xr3:uid="{71790797-DABE-4E23-9E06-12B6E6420464}" uniqueName="17" name="Column1.17" queryTableFieldId="1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F21D0-6654-4820-81E5-FF940B3FF03F}">
  <sheetPr codeName="Sheet25"/>
  <dimension ref="A1:W61"/>
  <sheetViews>
    <sheetView topLeftCell="L1" workbookViewId="0">
      <selection activeCell="L1" sqref="L1:W1048576"/>
    </sheetView>
  </sheetViews>
  <sheetFormatPr defaultRowHeight="15" x14ac:dyDescent="0.25"/>
  <cols>
    <col min="1" max="1" width="28.28515625" bestFit="1" customWidth="1"/>
    <col min="2" max="2" width="81.140625" bestFit="1" customWidth="1"/>
    <col min="3" max="3" width="57.5703125" bestFit="1" customWidth="1"/>
    <col min="4" max="4" width="46.7109375" bestFit="1" customWidth="1"/>
    <col min="5" max="5" width="40.5703125" bestFit="1" customWidth="1"/>
    <col min="6" max="6" width="14.85546875" bestFit="1" customWidth="1"/>
    <col min="7" max="7" width="15.5703125" bestFit="1" customWidth="1"/>
    <col min="8" max="8" width="12.42578125" bestFit="1" customWidth="1"/>
    <col min="9" max="9" width="39.42578125" bestFit="1" customWidth="1"/>
    <col min="10" max="10" width="15.85546875" bestFit="1" customWidth="1"/>
    <col min="11" max="11" width="81.140625" bestFit="1" customWidth="1"/>
    <col min="12" max="12" width="14.28515625" bestFit="1" customWidth="1"/>
    <col min="13" max="13" width="9.28515625" bestFit="1" customWidth="1"/>
    <col min="14" max="14" width="6.5703125" bestFit="1" customWidth="1"/>
    <col min="15" max="15" width="11.5703125" bestFit="1" customWidth="1"/>
    <col min="16" max="16" width="8.5703125" bestFit="1" customWidth="1"/>
    <col min="17" max="17" width="14.28515625" bestFit="1" customWidth="1"/>
    <col min="18" max="18" width="14.7109375" bestFit="1" customWidth="1"/>
    <col min="19" max="19" width="18.85546875" bestFit="1" customWidth="1"/>
    <col min="20" max="20" width="10.85546875" bestFit="1" customWidth="1"/>
    <col min="21" max="21" width="10.42578125" bestFit="1" customWidth="1"/>
    <col min="22" max="22" width="9.42578125" bestFit="1" customWidth="1"/>
    <col min="23" max="23" width="16.7109375" bestFit="1" customWidth="1"/>
  </cols>
  <sheetData>
    <row r="1" spans="1:23" x14ac:dyDescent="0.25">
      <c r="A1" t="s">
        <v>11055</v>
      </c>
      <c r="B1" t="s">
        <v>11056</v>
      </c>
      <c r="C1" t="s">
        <v>0</v>
      </c>
      <c r="D1" t="s">
        <v>11057</v>
      </c>
      <c r="E1" t="s">
        <v>1</v>
      </c>
      <c r="F1" t="s">
        <v>11058</v>
      </c>
      <c r="G1" t="s">
        <v>2</v>
      </c>
      <c r="H1" t="s">
        <v>3</v>
      </c>
      <c r="I1" t="s">
        <v>11059</v>
      </c>
      <c r="J1" t="s">
        <v>11060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</row>
    <row r="2" spans="1:23" x14ac:dyDescent="0.25">
      <c r="A2" s="1" t="s">
        <v>11061</v>
      </c>
      <c r="B2" s="1" t="s">
        <v>11062</v>
      </c>
      <c r="C2" s="1" t="s">
        <v>350</v>
      </c>
      <c r="D2" s="1" t="s">
        <v>350</v>
      </c>
      <c r="E2" s="1" t="s">
        <v>351</v>
      </c>
      <c r="F2" s="10">
        <v>43161</v>
      </c>
      <c r="G2">
        <v>188689</v>
      </c>
      <c r="H2">
        <v>30</v>
      </c>
      <c r="I2" s="1" t="s">
        <v>11063</v>
      </c>
      <c r="J2" s="11">
        <v>43874.099988425929</v>
      </c>
      <c r="K2" s="1" t="s">
        <v>50</v>
      </c>
      <c r="L2" s="1">
        <f>0.548</f>
        <v>0.54800000000000004</v>
      </c>
      <c r="M2" s="1" t="b">
        <f>0.8=5</f>
        <v>0</v>
      </c>
      <c r="N2">
        <f>0</f>
        <v>0</v>
      </c>
      <c r="O2" s="1">
        <v>-6.5430000000000001</v>
      </c>
      <c r="P2">
        <v>1</v>
      </c>
      <c r="Q2" s="1">
        <v>3.5999999999999997E-2</v>
      </c>
      <c r="R2" s="1">
        <v>1.41E-2</v>
      </c>
      <c r="S2" s="1">
        <v>2.33E-3</v>
      </c>
      <c r="T2" s="1">
        <v>0.111</v>
      </c>
      <c r="U2" s="1">
        <v>0.379</v>
      </c>
      <c r="V2" s="1">
        <v>144.952</v>
      </c>
      <c r="W2">
        <v>4</v>
      </c>
    </row>
    <row r="3" spans="1:23" x14ac:dyDescent="0.25">
      <c r="A3" s="1" t="s">
        <v>11064</v>
      </c>
      <c r="B3" s="1" t="s">
        <v>11065</v>
      </c>
      <c r="C3" s="1" t="s">
        <v>6159</v>
      </c>
      <c r="D3" s="1" t="s">
        <v>6159</v>
      </c>
      <c r="E3" s="1" t="s">
        <v>6157</v>
      </c>
      <c r="F3" s="10">
        <v>43733</v>
      </c>
      <c r="G3">
        <v>231663</v>
      </c>
      <c r="H3">
        <v>65</v>
      </c>
      <c r="I3" s="1" t="s">
        <v>11063</v>
      </c>
      <c r="J3" s="11">
        <v>43874.101724537039</v>
      </c>
      <c r="K3" s="1" t="s">
        <v>6158</v>
      </c>
      <c r="L3" s="1">
        <v>0.57399999999999995</v>
      </c>
      <c r="M3" s="1">
        <v>0.61199999999999999</v>
      </c>
      <c r="N3">
        <f>0</f>
        <v>0</v>
      </c>
      <c r="O3" s="1">
        <v>-4.7409999999999997</v>
      </c>
      <c r="P3">
        <v>1</v>
      </c>
      <c r="Q3" s="1">
        <v>7.8100000000000003E-2</v>
      </c>
      <c r="R3" s="1">
        <v>0.35699999999999998</v>
      </c>
      <c r="S3" s="1">
        <f>0</f>
        <v>0</v>
      </c>
      <c r="T3" s="1">
        <v>0.158</v>
      </c>
      <c r="U3" s="1">
        <v>0.36799999999999999</v>
      </c>
      <c r="V3" s="1">
        <v>136.04599999999999</v>
      </c>
      <c r="W3">
        <v>3</v>
      </c>
    </row>
    <row r="4" spans="1:23" x14ac:dyDescent="0.25">
      <c r="A4" s="1" t="s">
        <v>11066</v>
      </c>
      <c r="B4" s="1" t="s">
        <v>11067</v>
      </c>
      <c r="C4" s="1" t="s">
        <v>8416</v>
      </c>
      <c r="D4" s="1" t="s">
        <v>8416</v>
      </c>
      <c r="E4" s="1" t="s">
        <v>8417</v>
      </c>
      <c r="F4" s="10">
        <v>42629</v>
      </c>
      <c r="G4">
        <v>201600</v>
      </c>
      <c r="H4">
        <v>41</v>
      </c>
      <c r="I4" s="1" t="s">
        <v>11063</v>
      </c>
      <c r="J4" s="11">
        <v>43874.098391203705</v>
      </c>
      <c r="K4" s="1" t="s">
        <v>11068</v>
      </c>
      <c r="L4" s="1">
        <v>0.38100000000000001</v>
      </c>
      <c r="M4" s="1">
        <v>0.66800000000000004</v>
      </c>
      <c r="N4">
        <v>1</v>
      </c>
      <c r="O4" s="1">
        <v>-4.3280000000000003</v>
      </c>
      <c r="P4">
        <f>0</f>
        <v>0</v>
      </c>
      <c r="Q4" s="1">
        <v>3.2599999999999997E-2</v>
      </c>
      <c r="R4" s="1">
        <v>4.5700000000000003E-3</v>
      </c>
      <c r="S4" s="1">
        <f>0</f>
        <v>0</v>
      </c>
      <c r="T4" s="1">
        <v>8.77E-2</v>
      </c>
      <c r="U4" s="1">
        <v>0.104</v>
      </c>
      <c r="V4" s="1">
        <v>75.004000000000005</v>
      </c>
      <c r="W4">
        <v>4</v>
      </c>
    </row>
    <row r="5" spans="1:23" x14ac:dyDescent="0.25">
      <c r="A5" s="1" t="s">
        <v>11069</v>
      </c>
      <c r="B5" s="1" t="s">
        <v>11070</v>
      </c>
      <c r="C5" s="1" t="s">
        <v>7677</v>
      </c>
      <c r="D5" s="1" t="s">
        <v>11071</v>
      </c>
      <c r="E5" s="1" t="s">
        <v>7678</v>
      </c>
      <c r="F5" s="10">
        <v>41411</v>
      </c>
      <c r="G5">
        <v>251293</v>
      </c>
      <c r="H5">
        <v>62</v>
      </c>
      <c r="I5" s="1" t="s">
        <v>11063</v>
      </c>
      <c r="J5" s="11">
        <v>43874.099976851852</v>
      </c>
      <c r="K5" s="1" t="s">
        <v>7679</v>
      </c>
      <c r="L5" s="1">
        <v>0.80400000000000005</v>
      </c>
      <c r="M5" s="1">
        <v>0.45100000000000001</v>
      </c>
      <c r="N5">
        <v>6</v>
      </c>
      <c r="O5" s="1">
        <v>-8.2070000000000007</v>
      </c>
      <c r="P5">
        <v>1</v>
      </c>
      <c r="Q5" s="1">
        <v>9.4899999999999998E-2</v>
      </c>
      <c r="R5" s="1">
        <v>0.38800000000000001</v>
      </c>
      <c r="S5" s="1">
        <v>2.1699999999999999E-5</v>
      </c>
      <c r="T5" s="1">
        <v>9.2399999999999996E-2</v>
      </c>
      <c r="U5" s="1">
        <v>0.19</v>
      </c>
      <c r="V5" s="1">
        <v>178.06100000000001</v>
      </c>
      <c r="W5">
        <v>4</v>
      </c>
    </row>
    <row r="6" spans="1:23" x14ac:dyDescent="0.25">
      <c r="A6" s="1" t="s">
        <v>11072</v>
      </c>
      <c r="B6" s="1" t="s">
        <v>11073</v>
      </c>
      <c r="C6" s="1" t="s">
        <v>6970</v>
      </c>
      <c r="D6" s="1" t="s">
        <v>6970</v>
      </c>
      <c r="E6" s="1" t="s">
        <v>6971</v>
      </c>
      <c r="F6" s="10">
        <v>43595</v>
      </c>
      <c r="G6">
        <v>274639</v>
      </c>
      <c r="H6">
        <v>45</v>
      </c>
      <c r="I6" s="1" t="s">
        <v>11063</v>
      </c>
      <c r="J6" s="11">
        <v>43874.098020833335</v>
      </c>
      <c r="K6" s="1" t="s">
        <v>11068</v>
      </c>
      <c r="L6" s="1">
        <v>0.58599999999999997</v>
      </c>
      <c r="M6" s="1">
        <v>0.69</v>
      </c>
      <c r="N6">
        <v>1</v>
      </c>
      <c r="O6" s="1">
        <v>-4.7539999999999996</v>
      </c>
      <c r="P6">
        <f>0</f>
        <v>0</v>
      </c>
      <c r="Q6" s="1">
        <v>2.69E-2</v>
      </c>
      <c r="R6" s="1">
        <v>0.10100000000000001</v>
      </c>
      <c r="S6" s="1">
        <v>1.37E-4</v>
      </c>
      <c r="T6" s="1">
        <v>6.3299999999999995E-2</v>
      </c>
      <c r="U6" s="1">
        <v>0.17499999999999999</v>
      </c>
      <c r="V6" s="1">
        <v>97.025000000000006</v>
      </c>
      <c r="W6">
        <v>4</v>
      </c>
    </row>
    <row r="7" spans="1:23" x14ac:dyDescent="0.25">
      <c r="A7" s="1" t="s">
        <v>11074</v>
      </c>
      <c r="B7" s="1" t="s">
        <v>11075</v>
      </c>
      <c r="C7" s="1" t="s">
        <v>2901</v>
      </c>
      <c r="D7" s="1" t="s">
        <v>11076</v>
      </c>
      <c r="E7" s="1" t="s">
        <v>2902</v>
      </c>
      <c r="F7" s="10">
        <v>43924</v>
      </c>
      <c r="G7">
        <v>192608</v>
      </c>
      <c r="H7">
        <v>0</v>
      </c>
      <c r="I7" s="1" t="s">
        <v>11063</v>
      </c>
      <c r="J7" s="11">
        <v>44002.722916666666</v>
      </c>
      <c r="K7" s="1" t="s">
        <v>2903</v>
      </c>
      <c r="L7" s="1">
        <v>0.79800000000000004</v>
      </c>
      <c r="M7" s="1">
        <v>0.53700000000000003</v>
      </c>
      <c r="N7">
        <v>2</v>
      </c>
      <c r="O7" s="1">
        <v>-7.4180000000000001</v>
      </c>
      <c r="P7">
        <v>1</v>
      </c>
      <c r="Q7" s="1">
        <v>6.6799999999999998E-2</v>
      </c>
      <c r="R7" s="1">
        <v>7.2300000000000003E-2</v>
      </c>
      <c r="S7" s="1">
        <v>5.7299999999999999E-3</v>
      </c>
      <c r="T7" s="1">
        <v>0.44</v>
      </c>
      <c r="U7" s="1">
        <v>0.21099999999999999</v>
      </c>
      <c r="V7" s="1">
        <v>100.066</v>
      </c>
      <c r="W7">
        <v>4</v>
      </c>
    </row>
    <row r="8" spans="1:23" x14ac:dyDescent="0.25">
      <c r="A8" s="1" t="s">
        <v>11077</v>
      </c>
      <c r="B8" s="1" t="s">
        <v>11078</v>
      </c>
      <c r="C8" s="1" t="s">
        <v>7805</v>
      </c>
      <c r="D8" s="1" t="s">
        <v>11079</v>
      </c>
      <c r="E8" s="1" t="s">
        <v>7806</v>
      </c>
      <c r="F8" s="10">
        <v>42328</v>
      </c>
      <c r="G8">
        <v>194000</v>
      </c>
      <c r="H8">
        <v>46</v>
      </c>
      <c r="I8" s="1" t="s">
        <v>11063</v>
      </c>
      <c r="J8" s="11">
        <v>43874.097905092596</v>
      </c>
      <c r="K8" s="1" t="s">
        <v>463</v>
      </c>
      <c r="L8" s="1">
        <v>0.69499999999999995</v>
      </c>
      <c r="M8" s="1">
        <v>0.63800000000000001</v>
      </c>
      <c r="N8">
        <v>11</v>
      </c>
      <c r="O8" s="1">
        <v>-8.64</v>
      </c>
      <c r="P8">
        <f>0</f>
        <v>0</v>
      </c>
      <c r="Q8" s="1">
        <v>3.95E-2</v>
      </c>
      <c r="R8" s="1">
        <v>1.14E-2</v>
      </c>
      <c r="S8" s="1">
        <v>5.3200000000000001E-3</v>
      </c>
      <c r="T8" s="1">
        <v>0.111</v>
      </c>
      <c r="U8" s="1">
        <v>0.44600000000000001</v>
      </c>
      <c r="V8" s="1">
        <v>119.986</v>
      </c>
      <c r="W8">
        <v>4</v>
      </c>
    </row>
    <row r="9" spans="1:23" x14ac:dyDescent="0.25">
      <c r="A9" s="1" t="s">
        <v>11080</v>
      </c>
      <c r="B9" s="1" t="s">
        <v>11081</v>
      </c>
      <c r="C9" s="1" t="s">
        <v>8787</v>
      </c>
      <c r="D9" s="1" t="s">
        <v>11082</v>
      </c>
      <c r="E9" s="1" t="s">
        <v>8779</v>
      </c>
      <c r="F9" s="10">
        <v>41898</v>
      </c>
      <c r="G9">
        <v>324806</v>
      </c>
      <c r="H9">
        <v>62</v>
      </c>
      <c r="I9" s="1" t="s">
        <v>11063</v>
      </c>
      <c r="J9" s="11">
        <v>43874.097743055558</v>
      </c>
      <c r="K9" s="1" t="s">
        <v>8780</v>
      </c>
      <c r="L9" s="1">
        <v>0.48699999999999999</v>
      </c>
      <c r="M9" s="1">
        <v>0.68</v>
      </c>
      <c r="N9">
        <v>7</v>
      </c>
      <c r="O9" s="1">
        <v>-8.4969999999999999</v>
      </c>
      <c r="P9">
        <f>0</f>
        <v>0</v>
      </c>
      <c r="Q9" s="1">
        <v>4.0800000000000003E-2</v>
      </c>
      <c r="R9" s="1">
        <v>5.9900000000000003E-4</v>
      </c>
      <c r="S9" s="1">
        <v>3.39E-2</v>
      </c>
      <c r="T9" s="1">
        <v>0.14399999999999999</v>
      </c>
      <c r="U9" s="1">
        <v>7.5200000000000003E-2</v>
      </c>
      <c r="V9" s="1">
        <v>94.46</v>
      </c>
      <c r="W9">
        <v>3</v>
      </c>
    </row>
    <row r="10" spans="1:23" x14ac:dyDescent="0.25">
      <c r="A10" s="1" t="s">
        <v>11083</v>
      </c>
      <c r="B10" s="1" t="s">
        <v>11084</v>
      </c>
      <c r="C10" s="1" t="s">
        <v>8410</v>
      </c>
      <c r="D10" s="1" t="s">
        <v>8410</v>
      </c>
      <c r="E10" s="1" t="s">
        <v>8411</v>
      </c>
      <c r="F10" s="10">
        <v>43497</v>
      </c>
      <c r="G10">
        <v>211250</v>
      </c>
      <c r="H10">
        <v>27</v>
      </c>
      <c r="I10" s="1" t="s">
        <v>11063</v>
      </c>
      <c r="J10" s="11">
        <v>43874.09878472222</v>
      </c>
      <c r="K10" s="1" t="s">
        <v>11085</v>
      </c>
      <c r="L10" s="1">
        <v>0.54500000000000004</v>
      </c>
      <c r="M10" s="1">
        <v>0.70199999999999996</v>
      </c>
      <c r="N10">
        <v>6</v>
      </c>
      <c r="O10" s="1">
        <v>-6.2690000000000001</v>
      </c>
      <c r="P10">
        <f>0</f>
        <v>0</v>
      </c>
      <c r="Q10" s="1">
        <v>4.7300000000000002E-2</v>
      </c>
      <c r="R10" s="1">
        <v>3.9899999999999998E-2</v>
      </c>
      <c r="S10" s="1">
        <f>0</f>
        <v>0</v>
      </c>
      <c r="T10" s="1">
        <v>0.11799999999999999</v>
      </c>
      <c r="U10" s="1">
        <v>0.32900000000000001</v>
      </c>
      <c r="V10" s="1">
        <v>95.989000000000004</v>
      </c>
      <c r="W10">
        <v>4</v>
      </c>
    </row>
    <row r="11" spans="1:23" x14ac:dyDescent="0.25">
      <c r="A11" s="1" t="s">
        <v>11086</v>
      </c>
      <c r="B11" s="1" t="s">
        <v>11087</v>
      </c>
      <c r="C11" s="1" t="s">
        <v>2345</v>
      </c>
      <c r="D11" s="1" t="s">
        <v>2345</v>
      </c>
      <c r="E11" s="1" t="s">
        <v>6420</v>
      </c>
      <c r="F11" s="10">
        <v>43431</v>
      </c>
      <c r="G11">
        <v>173156</v>
      </c>
      <c r="H11">
        <v>17</v>
      </c>
      <c r="I11" s="1" t="s">
        <v>11063</v>
      </c>
      <c r="J11" s="11">
        <v>43874.099085648151</v>
      </c>
      <c r="K11" s="1" t="s">
        <v>6421</v>
      </c>
      <c r="L11" s="1">
        <v>0.47899999999999998</v>
      </c>
      <c r="M11" s="1">
        <v>0.63800000000000001</v>
      </c>
      <c r="N11">
        <v>11</v>
      </c>
      <c r="O11" s="1">
        <v>-7.867</v>
      </c>
      <c r="P11">
        <f>0</f>
        <v>0</v>
      </c>
      <c r="Q11" s="1">
        <v>3.8199999999999998E-2</v>
      </c>
      <c r="R11" s="1">
        <v>3.3500000000000002E-2</v>
      </c>
      <c r="S11" s="1">
        <v>1.52E-5</v>
      </c>
      <c r="T11" s="1">
        <v>0.109</v>
      </c>
      <c r="U11" s="1">
        <v>0.16700000000000001</v>
      </c>
      <c r="V11" s="1">
        <v>140.04900000000001</v>
      </c>
      <c r="W11">
        <v>4</v>
      </c>
    </row>
    <row r="12" spans="1:23" x14ac:dyDescent="0.25">
      <c r="A12" s="1" t="s">
        <v>11088</v>
      </c>
      <c r="B12" s="1" t="s">
        <v>11089</v>
      </c>
      <c r="C12" s="1" t="s">
        <v>6425</v>
      </c>
      <c r="D12" s="1" t="s">
        <v>11090</v>
      </c>
      <c r="E12" s="1" t="s">
        <v>6426</v>
      </c>
      <c r="F12" s="10">
        <v>43224</v>
      </c>
      <c r="G12">
        <v>237000</v>
      </c>
      <c r="H12">
        <v>0</v>
      </c>
      <c r="I12" s="1" t="s">
        <v>11063</v>
      </c>
      <c r="J12" s="11">
        <v>43874.099166666667</v>
      </c>
      <c r="K12" s="1" t="s">
        <v>6427</v>
      </c>
      <c r="L12" s="1">
        <v>0.57699999999999996</v>
      </c>
      <c r="M12" s="1">
        <v>0.92400000000000004</v>
      </c>
      <c r="N12">
        <v>4</v>
      </c>
      <c r="O12" s="1">
        <v>-2.298</v>
      </c>
      <c r="P12">
        <f>0</f>
        <v>0</v>
      </c>
      <c r="Q12" s="1">
        <v>9.5399999999999999E-2</v>
      </c>
      <c r="R12" s="1">
        <v>0.152</v>
      </c>
      <c r="S12" s="1">
        <v>5.4000000000000003E-3</v>
      </c>
      <c r="T12" s="1">
        <v>0.14399999999999999</v>
      </c>
      <c r="U12" s="1">
        <v>0.29899999999999999</v>
      </c>
      <c r="V12" s="1">
        <v>140.083</v>
      </c>
      <c r="W12">
        <v>4</v>
      </c>
    </row>
    <row r="13" spans="1:23" x14ac:dyDescent="0.25">
      <c r="A13" s="1" t="s">
        <v>11091</v>
      </c>
      <c r="B13" s="1" t="s">
        <v>11092</v>
      </c>
      <c r="C13" s="1" t="s">
        <v>6443</v>
      </c>
      <c r="D13" s="1" t="s">
        <v>6443</v>
      </c>
      <c r="E13" s="1" t="s">
        <v>6444</v>
      </c>
      <c r="F13" s="10">
        <v>43728</v>
      </c>
      <c r="G13">
        <v>193500</v>
      </c>
      <c r="H13">
        <v>36</v>
      </c>
      <c r="I13" s="1" t="s">
        <v>11063</v>
      </c>
      <c r="J13" s="11">
        <v>43874.099305555559</v>
      </c>
      <c r="K13" s="1" t="s">
        <v>1439</v>
      </c>
      <c r="L13" s="1">
        <v>0.66400000000000003</v>
      </c>
      <c r="M13" s="1">
        <v>0.73099999999999998</v>
      </c>
      <c r="N13">
        <v>1</v>
      </c>
      <c r="O13" s="1">
        <v>-7.2649999999999997</v>
      </c>
      <c r="P13">
        <f>0</f>
        <v>0</v>
      </c>
      <c r="Q13" s="1">
        <v>7.3999999999999996E-2</v>
      </c>
      <c r="R13" s="1">
        <v>5.3699999999999998E-2</v>
      </c>
      <c r="S13" s="1">
        <v>2.5299999999999999E-6</v>
      </c>
      <c r="T13" s="1">
        <v>0.41199999999999998</v>
      </c>
      <c r="U13" s="1">
        <v>0.60699999999999998</v>
      </c>
      <c r="V13" s="1">
        <v>115.002</v>
      </c>
      <c r="W13">
        <v>4</v>
      </c>
    </row>
    <row r="14" spans="1:23" x14ac:dyDescent="0.25">
      <c r="A14" s="1" t="s">
        <v>11093</v>
      </c>
      <c r="B14" s="1" t="s">
        <v>11094</v>
      </c>
      <c r="C14" s="1" t="s">
        <v>6479</v>
      </c>
      <c r="D14" s="1" t="s">
        <v>6479</v>
      </c>
      <c r="E14" s="1" t="s">
        <v>6480</v>
      </c>
      <c r="F14" s="10">
        <v>43594</v>
      </c>
      <c r="G14">
        <v>217443</v>
      </c>
      <c r="H14">
        <v>34</v>
      </c>
      <c r="I14" s="1" t="s">
        <v>11063</v>
      </c>
      <c r="J14" s="11">
        <v>43874.099444444444</v>
      </c>
      <c r="K14" s="1" t="s">
        <v>50</v>
      </c>
      <c r="L14" s="1">
        <v>0.41899999999999998</v>
      </c>
      <c r="M14" s="1">
        <v>0.39900000000000002</v>
      </c>
      <c r="N14">
        <v>4</v>
      </c>
      <c r="O14" s="1">
        <v>-8.9819999999999993</v>
      </c>
      <c r="P14">
        <f>0</f>
        <v>0</v>
      </c>
      <c r="Q14" s="1">
        <v>2.8500000000000001E-2</v>
      </c>
      <c r="R14" s="1">
        <v>0.33500000000000002</v>
      </c>
      <c r="S14" s="1">
        <v>6.9300000000000004E-5</v>
      </c>
      <c r="T14" s="1">
        <v>8.5300000000000001E-2</v>
      </c>
      <c r="U14" s="1">
        <v>0.29199999999999998</v>
      </c>
      <c r="V14" s="1">
        <v>170.113</v>
      </c>
      <c r="W14">
        <v>4</v>
      </c>
    </row>
    <row r="15" spans="1:23" x14ac:dyDescent="0.25">
      <c r="A15" s="1" t="s">
        <v>11095</v>
      </c>
      <c r="B15" s="1" t="s">
        <v>11096</v>
      </c>
      <c r="C15" s="1" t="s">
        <v>8170</v>
      </c>
      <c r="D15" s="1" t="s">
        <v>11097</v>
      </c>
      <c r="E15" s="1" t="s">
        <v>8171</v>
      </c>
      <c r="F15" s="10">
        <v>42125</v>
      </c>
      <c r="G15">
        <v>174777</v>
      </c>
      <c r="H15">
        <v>38</v>
      </c>
      <c r="I15" s="1" t="s">
        <v>11063</v>
      </c>
      <c r="J15" s="11">
        <v>43874.099664351852</v>
      </c>
      <c r="K15" s="1" t="s">
        <v>8172</v>
      </c>
      <c r="L15" s="1">
        <v>0.67800000000000005</v>
      </c>
      <c r="M15" s="1">
        <v>0.69899999999999995</v>
      </c>
      <c r="N15">
        <v>11</v>
      </c>
      <c r="O15" s="1">
        <v>-6.8719999999999999</v>
      </c>
      <c r="P15">
        <f>0</f>
        <v>0</v>
      </c>
      <c r="Q15" s="1">
        <v>5.3100000000000001E-2</v>
      </c>
      <c r="R15" s="1">
        <v>0.26700000000000002</v>
      </c>
      <c r="S15" s="1">
        <v>6.4000000000000001E-2</v>
      </c>
      <c r="T15" s="1">
        <v>0.13400000000000001</v>
      </c>
      <c r="U15" s="1">
        <v>0.53600000000000003</v>
      </c>
      <c r="V15" s="1">
        <v>116.895</v>
      </c>
      <c r="W15">
        <v>4</v>
      </c>
    </row>
    <row r="16" spans="1:23" x14ac:dyDescent="0.25">
      <c r="A16" s="1" t="s">
        <v>11098</v>
      </c>
      <c r="B16" s="1" t="s">
        <v>11099</v>
      </c>
      <c r="C16" s="1" t="s">
        <v>6570</v>
      </c>
      <c r="D16" s="1" t="s">
        <v>11100</v>
      </c>
      <c r="E16" s="1" t="s">
        <v>6571</v>
      </c>
      <c r="F16" s="10">
        <v>39814</v>
      </c>
      <c r="G16">
        <v>328253</v>
      </c>
      <c r="H16">
        <v>57</v>
      </c>
      <c r="I16" s="1" t="s">
        <v>11063</v>
      </c>
      <c r="J16" s="11">
        <v>43874.099745370368</v>
      </c>
      <c r="K16" s="1" t="s">
        <v>6569</v>
      </c>
      <c r="L16" s="1">
        <v>0.61699999999999999</v>
      </c>
      <c r="M16" s="1">
        <v>0.61699999999999999</v>
      </c>
      <c r="N16">
        <v>8</v>
      </c>
      <c r="O16" s="1">
        <v>-6.9409999999999998</v>
      </c>
      <c r="P16">
        <v>1</v>
      </c>
      <c r="Q16" s="1">
        <v>0.122</v>
      </c>
      <c r="R16" s="1">
        <v>3.9700000000000003E-5</v>
      </c>
      <c r="S16" s="1">
        <v>5.9799999999999999E-2</v>
      </c>
      <c r="T16" s="1">
        <v>0.253</v>
      </c>
      <c r="U16" s="1">
        <v>0.51700000000000002</v>
      </c>
      <c r="V16" s="1">
        <v>127.996</v>
      </c>
      <c r="W16">
        <v>4</v>
      </c>
    </row>
    <row r="17" spans="1:23" x14ac:dyDescent="0.25">
      <c r="A17" s="1" t="s">
        <v>11101</v>
      </c>
      <c r="B17" s="1" t="s">
        <v>11102</v>
      </c>
      <c r="C17" s="1" t="s">
        <v>7967</v>
      </c>
      <c r="D17" s="1" t="s">
        <v>11103</v>
      </c>
      <c r="E17" s="1" t="s">
        <v>7968</v>
      </c>
      <c r="F17" s="10">
        <v>43622</v>
      </c>
      <c r="G17">
        <v>178958</v>
      </c>
      <c r="H17">
        <v>58</v>
      </c>
      <c r="I17" s="1" t="s">
        <v>11063</v>
      </c>
      <c r="J17" s="11">
        <v>43874.099780092591</v>
      </c>
      <c r="K17" s="1" t="s">
        <v>7969</v>
      </c>
      <c r="L17" s="1">
        <v>0.53</v>
      </c>
      <c r="M17" s="1">
        <v>0.52500000000000002</v>
      </c>
      <c r="N17">
        <f>0</f>
        <v>0</v>
      </c>
      <c r="O17" s="1">
        <v>-8.3190000000000008</v>
      </c>
      <c r="P17">
        <v>1</v>
      </c>
      <c r="Q17" s="1">
        <v>5.8500000000000003E-2</v>
      </c>
      <c r="R17" s="1">
        <v>0.22800000000000001</v>
      </c>
      <c r="S17" s="1">
        <v>2.2000000000000001E-6</v>
      </c>
      <c r="T17" s="1">
        <v>8.1199999999999994E-2</v>
      </c>
      <c r="U17" s="1">
        <v>0.22500000000000001</v>
      </c>
      <c r="V17" s="1">
        <v>134.23599999999999</v>
      </c>
      <c r="W17">
        <v>4</v>
      </c>
    </row>
    <row r="18" spans="1:23" x14ac:dyDescent="0.25">
      <c r="A18" s="1" t="s">
        <v>11104</v>
      </c>
      <c r="B18" s="1" t="s">
        <v>11105</v>
      </c>
      <c r="C18" s="1" t="s">
        <v>5958</v>
      </c>
      <c r="D18" s="1" t="s">
        <v>11071</v>
      </c>
      <c r="E18" s="1" t="s">
        <v>340</v>
      </c>
      <c r="F18" s="10">
        <v>41411</v>
      </c>
      <c r="G18">
        <v>337560</v>
      </c>
      <c r="H18">
        <v>76</v>
      </c>
      <c r="I18" s="1" t="s">
        <v>11063</v>
      </c>
      <c r="J18" s="11">
        <v>43874.099861111114</v>
      </c>
      <c r="K18" s="1" t="s">
        <v>341</v>
      </c>
      <c r="L18" s="1">
        <v>0.77500000000000002</v>
      </c>
      <c r="M18" s="1">
        <v>0.58499999999999996</v>
      </c>
      <c r="N18">
        <v>10</v>
      </c>
      <c r="O18" s="1">
        <v>-9.516</v>
      </c>
      <c r="P18">
        <f>0</f>
        <v>0</v>
      </c>
      <c r="Q18" s="1">
        <v>2.7099999999999999E-2</v>
      </c>
      <c r="R18" s="1">
        <v>4.2200000000000001E-2</v>
      </c>
      <c r="S18" s="1">
        <v>0.61899999999999999</v>
      </c>
      <c r="T18" s="1">
        <v>7.6999999999999999E-2</v>
      </c>
      <c r="U18" s="1">
        <v>0.51800000000000002</v>
      </c>
      <c r="V18" s="1">
        <v>109.94199999999999</v>
      </c>
      <c r="W18">
        <v>4</v>
      </c>
    </row>
    <row r="19" spans="1:23" x14ac:dyDescent="0.25">
      <c r="A19" s="1" t="s">
        <v>11106</v>
      </c>
      <c r="B19" s="1" t="s">
        <v>11107</v>
      </c>
      <c r="C19" s="1" t="s">
        <v>7485</v>
      </c>
      <c r="D19" s="1" t="s">
        <v>11108</v>
      </c>
      <c r="E19" s="1" t="s">
        <v>7486</v>
      </c>
      <c r="F19" s="10">
        <v>42748</v>
      </c>
      <c r="G19">
        <v>195306</v>
      </c>
      <c r="H19">
        <v>68</v>
      </c>
      <c r="I19" s="1" t="s">
        <v>11063</v>
      </c>
      <c r="J19" s="11">
        <v>43874.099918981483</v>
      </c>
      <c r="K19" s="1" t="s">
        <v>7487</v>
      </c>
      <c r="L19" s="1">
        <v>0.66100000000000003</v>
      </c>
      <c r="M19" s="1">
        <v>0.41899999999999998</v>
      </c>
      <c r="N19">
        <v>4</v>
      </c>
      <c r="O19" s="1">
        <v>-9.8070000000000004</v>
      </c>
      <c r="P19">
        <f>0</f>
        <v>0</v>
      </c>
      <c r="Q19" s="1">
        <v>4.0399999999999998E-2</v>
      </c>
      <c r="R19" s="1">
        <v>0.114</v>
      </c>
      <c r="S19" s="1">
        <v>1.19E-5</v>
      </c>
      <c r="T19" s="1">
        <v>8.48E-2</v>
      </c>
      <c r="U19" s="1">
        <v>0.14499999999999999</v>
      </c>
      <c r="V19" s="1">
        <v>144.97999999999999</v>
      </c>
      <c r="W19">
        <v>4</v>
      </c>
    </row>
    <row r="20" spans="1:23" x14ac:dyDescent="0.25">
      <c r="A20" s="1" t="s">
        <v>11109</v>
      </c>
      <c r="B20" s="1" t="s">
        <v>11110</v>
      </c>
      <c r="C20" s="1" t="s">
        <v>8182</v>
      </c>
      <c r="D20" s="1" t="s">
        <v>11111</v>
      </c>
      <c r="E20" s="1" t="s">
        <v>8183</v>
      </c>
      <c r="F20" s="10">
        <v>42244</v>
      </c>
      <c r="G20">
        <v>235186</v>
      </c>
      <c r="H20">
        <v>27</v>
      </c>
      <c r="I20" s="1" t="s">
        <v>11063</v>
      </c>
      <c r="J20" s="11">
        <v>43874.099953703706</v>
      </c>
      <c r="K20" s="1" t="s">
        <v>8184</v>
      </c>
      <c r="L20" s="1">
        <v>0.57599999999999996</v>
      </c>
      <c r="M20" s="1">
        <v>0.60199999999999998</v>
      </c>
      <c r="N20">
        <f>0</f>
        <v>0</v>
      </c>
      <c r="O20" s="1">
        <v>-6.5910000000000002</v>
      </c>
      <c r="P20">
        <f>0</f>
        <v>0</v>
      </c>
      <c r="Q20" s="1">
        <v>0.315</v>
      </c>
      <c r="R20" s="1">
        <v>0.249</v>
      </c>
      <c r="S20" s="1">
        <v>6.2E-4</v>
      </c>
      <c r="T20" s="1">
        <v>0.14399999999999999</v>
      </c>
      <c r="U20" s="1">
        <v>0.56000000000000005</v>
      </c>
      <c r="V20" s="1">
        <v>141.345</v>
      </c>
      <c r="W20">
        <v>4</v>
      </c>
    </row>
    <row r="21" spans="1:23" x14ac:dyDescent="0.25">
      <c r="A21" s="1" t="s">
        <v>11112</v>
      </c>
      <c r="B21" s="1" t="s">
        <v>11113</v>
      </c>
      <c r="C21" s="1" t="s">
        <v>347</v>
      </c>
      <c r="D21" s="1" t="s">
        <v>347</v>
      </c>
      <c r="E21" s="1" t="s">
        <v>348</v>
      </c>
      <c r="F21" s="10">
        <v>43854</v>
      </c>
      <c r="G21">
        <v>222266</v>
      </c>
      <c r="H21">
        <v>0</v>
      </c>
      <c r="I21" s="1" t="s">
        <v>11063</v>
      </c>
      <c r="J21" s="11">
        <v>43874.100023148145</v>
      </c>
      <c r="K21" s="1" t="s">
        <v>349</v>
      </c>
      <c r="L21" s="1">
        <v>0.61599999999999999</v>
      </c>
      <c r="M21" s="1">
        <v>0.93400000000000005</v>
      </c>
      <c r="N21">
        <v>5</v>
      </c>
      <c r="O21" s="1">
        <v>-4.992</v>
      </c>
      <c r="P21">
        <f>0</f>
        <v>0</v>
      </c>
      <c r="Q21" s="1">
        <v>6.54E-2</v>
      </c>
      <c r="R21" s="1">
        <v>1.5599999999999999E-2</v>
      </c>
      <c r="S21" s="1">
        <v>0.318</v>
      </c>
      <c r="T21" s="1">
        <v>0.36</v>
      </c>
      <c r="U21" s="1">
        <v>0.55200000000000005</v>
      </c>
      <c r="V21" s="1">
        <v>122.018</v>
      </c>
      <c r="W21">
        <v>4</v>
      </c>
    </row>
    <row r="22" spans="1:23" x14ac:dyDescent="0.25">
      <c r="A22" s="1" t="s">
        <v>11114</v>
      </c>
      <c r="B22" s="1" t="s">
        <v>11115</v>
      </c>
      <c r="C22" s="1" t="s">
        <v>416</v>
      </c>
      <c r="D22" s="1" t="s">
        <v>11116</v>
      </c>
      <c r="E22" s="1" t="s">
        <v>417</v>
      </c>
      <c r="F22" s="10">
        <v>42093</v>
      </c>
      <c r="G22">
        <v>233986</v>
      </c>
      <c r="H22">
        <v>49</v>
      </c>
      <c r="I22" s="1" t="s">
        <v>11063</v>
      </c>
      <c r="J22" s="11">
        <v>43874.100578703707</v>
      </c>
      <c r="K22" s="1" t="s">
        <v>11117</v>
      </c>
      <c r="L22" s="1">
        <v>0.52</v>
      </c>
      <c r="M22" s="1">
        <v>0.82499999999999996</v>
      </c>
      <c r="N22">
        <v>7</v>
      </c>
      <c r="O22" s="1">
        <v>-2.1709999999999998</v>
      </c>
      <c r="P22">
        <f>0</f>
        <v>0</v>
      </c>
      <c r="Q22" s="1">
        <v>4.5999999999999999E-2</v>
      </c>
      <c r="R22" s="1">
        <v>1.6199999999999999E-3</v>
      </c>
      <c r="S22" s="1">
        <f>0</f>
        <v>0</v>
      </c>
      <c r="T22" s="1">
        <v>0.71099999999999997</v>
      </c>
      <c r="U22" s="1">
        <v>0.26400000000000001</v>
      </c>
      <c r="V22" s="1">
        <v>125.011</v>
      </c>
      <c r="W22">
        <v>4</v>
      </c>
    </row>
    <row r="23" spans="1:23" x14ac:dyDescent="0.25">
      <c r="A23" s="1" t="s">
        <v>11118</v>
      </c>
      <c r="B23" s="1" t="s">
        <v>11119</v>
      </c>
      <c r="C23" s="1" t="s">
        <v>342</v>
      </c>
      <c r="D23" s="1" t="s">
        <v>342</v>
      </c>
      <c r="E23" s="1" t="s">
        <v>343</v>
      </c>
      <c r="F23" s="10">
        <v>42234</v>
      </c>
      <c r="G23">
        <v>291526</v>
      </c>
      <c r="H23">
        <v>5</v>
      </c>
      <c r="I23" s="1" t="s">
        <v>11063</v>
      </c>
      <c r="J23" s="11">
        <v>43874.100694444445</v>
      </c>
      <c r="K23" s="1" t="s">
        <v>50</v>
      </c>
      <c r="L23" s="1">
        <v>0.45200000000000001</v>
      </c>
      <c r="M23" s="1">
        <v>0.55000000000000004</v>
      </c>
      <c r="N23">
        <v>1</v>
      </c>
      <c r="O23" s="1">
        <v>-6.2640000000000002</v>
      </c>
      <c r="P23">
        <v>1</v>
      </c>
      <c r="Q23" s="1">
        <v>3.32E-2</v>
      </c>
      <c r="R23" s="1">
        <v>0.32600000000000001</v>
      </c>
      <c r="S23" s="1">
        <v>3.5099999999999999E-2</v>
      </c>
      <c r="T23" s="1">
        <v>0.11</v>
      </c>
      <c r="U23" s="1">
        <v>8.3000000000000004E-2</v>
      </c>
      <c r="V23" s="1">
        <v>94.004000000000005</v>
      </c>
      <c r="W23">
        <v>4</v>
      </c>
    </row>
    <row r="24" spans="1:23" x14ac:dyDescent="0.25">
      <c r="A24" s="1" t="s">
        <v>11120</v>
      </c>
      <c r="B24" s="1" t="s">
        <v>11121</v>
      </c>
      <c r="C24" s="1" t="s">
        <v>6098</v>
      </c>
      <c r="D24" s="1" t="s">
        <v>6098</v>
      </c>
      <c r="E24" s="1" t="s">
        <v>6097</v>
      </c>
      <c r="F24" s="10">
        <v>43308</v>
      </c>
      <c r="G24">
        <v>184000</v>
      </c>
      <c r="H24">
        <v>0</v>
      </c>
      <c r="I24" s="1" t="s">
        <v>11063</v>
      </c>
      <c r="J24" s="11">
        <v>43874.101365740738</v>
      </c>
      <c r="K24" s="1" t="s">
        <v>50</v>
      </c>
      <c r="L24" s="1">
        <v>0.77300000000000002</v>
      </c>
      <c r="M24" s="1">
        <v>0.73099999999999998</v>
      </c>
      <c r="N24">
        <f>0</f>
        <v>0</v>
      </c>
      <c r="O24" s="1">
        <v>-5.6180000000000003</v>
      </c>
      <c r="P24">
        <v>1</v>
      </c>
      <c r="Q24" s="1">
        <v>0.113</v>
      </c>
      <c r="R24" s="1">
        <v>0.17299999999999999</v>
      </c>
      <c r="S24" s="1">
        <v>1.3999999999999999E-6</v>
      </c>
      <c r="T24" s="1">
        <v>0.104</v>
      </c>
      <c r="U24" s="1">
        <v>0.34499999999999997</v>
      </c>
      <c r="V24" s="1">
        <v>150.01300000000001</v>
      </c>
      <c r="W24">
        <v>4</v>
      </c>
    </row>
    <row r="25" spans="1:23" x14ac:dyDescent="0.25">
      <c r="A25" s="1" t="s">
        <v>11122</v>
      </c>
      <c r="B25" s="1" t="s">
        <v>11123</v>
      </c>
      <c r="C25" s="1" t="s">
        <v>6167</v>
      </c>
      <c r="D25" s="1" t="s">
        <v>6167</v>
      </c>
      <c r="E25" s="1" t="s">
        <v>6168</v>
      </c>
      <c r="F25" s="10">
        <v>43826</v>
      </c>
      <c r="G25">
        <v>179052</v>
      </c>
      <c r="H25">
        <v>75</v>
      </c>
      <c r="I25" s="1" t="s">
        <v>11063</v>
      </c>
      <c r="J25" s="11">
        <v>43874.101747685185</v>
      </c>
      <c r="K25" s="1" t="s">
        <v>6169</v>
      </c>
      <c r="L25" s="1">
        <v>0.67</v>
      </c>
      <c r="M25" s="1">
        <v>0.66800000000000004</v>
      </c>
      <c r="N25">
        <v>3</v>
      </c>
      <c r="O25" s="1">
        <v>-4.306</v>
      </c>
      <c r="P25">
        <f>0</f>
        <v>0</v>
      </c>
      <c r="Q25" s="1">
        <v>4.2200000000000001E-2</v>
      </c>
      <c r="R25" s="1">
        <v>0.53600000000000003</v>
      </c>
      <c r="S25" s="1">
        <f>0</f>
        <v>0</v>
      </c>
      <c r="T25" s="1">
        <v>0.13300000000000001</v>
      </c>
      <c r="U25" s="1">
        <v>0.60799999999999998</v>
      </c>
      <c r="V25" s="1">
        <v>88.033000000000001</v>
      </c>
      <c r="W25">
        <v>4</v>
      </c>
    </row>
    <row r="26" spans="1:23" x14ac:dyDescent="0.25">
      <c r="A26" s="1" t="s">
        <v>11124</v>
      </c>
      <c r="B26" s="1" t="s">
        <v>11125</v>
      </c>
      <c r="C26" s="1" t="s">
        <v>6632</v>
      </c>
      <c r="D26" s="1" t="s">
        <v>6632</v>
      </c>
      <c r="E26" s="1" t="s">
        <v>6633</v>
      </c>
      <c r="F26" s="10">
        <v>43420</v>
      </c>
      <c r="G26">
        <v>214941</v>
      </c>
      <c r="H26">
        <v>64</v>
      </c>
      <c r="I26" s="1" t="s">
        <v>11063</v>
      </c>
      <c r="J26" s="11">
        <v>43874.102847222224</v>
      </c>
      <c r="K26" s="1" t="s">
        <v>6634</v>
      </c>
      <c r="L26" s="1">
        <v>0.57399999999999995</v>
      </c>
      <c r="M26" s="1">
        <v>0.72799999999999998</v>
      </c>
      <c r="N26">
        <v>1</v>
      </c>
      <c r="O26" s="1">
        <v>-4.7770000000000001</v>
      </c>
      <c r="P26">
        <v>1</v>
      </c>
      <c r="Q26" s="1">
        <v>6.2E-2</v>
      </c>
      <c r="R26" s="1">
        <v>1.61E-2</v>
      </c>
      <c r="S26" s="1">
        <v>1.42E-6</v>
      </c>
      <c r="T26" s="1">
        <v>8.5099999999999995E-2</v>
      </c>
      <c r="U26" s="1">
        <v>0.26600000000000001</v>
      </c>
      <c r="V26" s="1">
        <v>125.047</v>
      </c>
      <c r="W26">
        <v>4</v>
      </c>
    </row>
    <row r="27" spans="1:23" x14ac:dyDescent="0.25">
      <c r="A27" s="1" t="s">
        <v>11126</v>
      </c>
      <c r="B27" s="1" t="s">
        <v>11127</v>
      </c>
      <c r="C27" s="1" t="s">
        <v>6650</v>
      </c>
      <c r="D27" s="1" t="s">
        <v>11128</v>
      </c>
      <c r="E27" s="1" t="s">
        <v>6651</v>
      </c>
      <c r="F27" s="10">
        <v>42556</v>
      </c>
      <c r="G27">
        <v>261818</v>
      </c>
      <c r="H27">
        <v>47</v>
      </c>
      <c r="I27" s="1" t="s">
        <v>11063</v>
      </c>
      <c r="J27" s="11">
        <v>43874.10361111111</v>
      </c>
      <c r="K27" s="1" t="s">
        <v>6349</v>
      </c>
      <c r="L27" s="1">
        <v>0.66</v>
      </c>
      <c r="M27" s="1">
        <v>0.98399999999999999</v>
      </c>
      <c r="N27">
        <v>7</v>
      </c>
      <c r="O27" s="1">
        <v>-3.282</v>
      </c>
      <c r="P27">
        <v>1</v>
      </c>
      <c r="Q27" s="1">
        <v>0.14299999999999999</v>
      </c>
      <c r="R27" s="1">
        <v>1.18E-2</v>
      </c>
      <c r="S27" s="1">
        <v>0.69599999999999995</v>
      </c>
      <c r="T27" s="1">
        <v>7.8E-2</v>
      </c>
      <c r="U27" s="1">
        <v>0.35</v>
      </c>
      <c r="V27" s="1">
        <v>132.06200000000001</v>
      </c>
      <c r="W27">
        <v>4</v>
      </c>
    </row>
    <row r="28" spans="1:23" x14ac:dyDescent="0.25">
      <c r="A28" s="1" t="s">
        <v>11129</v>
      </c>
      <c r="B28" s="1" t="s">
        <v>11130</v>
      </c>
      <c r="C28" s="1" t="s">
        <v>6013</v>
      </c>
      <c r="D28" s="1" t="s">
        <v>11131</v>
      </c>
      <c r="E28" s="1" t="s">
        <v>1479</v>
      </c>
      <c r="F28" s="10">
        <v>43504</v>
      </c>
      <c r="G28">
        <v>195581</v>
      </c>
      <c r="H28">
        <v>0</v>
      </c>
      <c r="I28" s="1" t="s">
        <v>11063</v>
      </c>
      <c r="J28" s="11">
        <v>43875.053993055553</v>
      </c>
      <c r="K28" s="1" t="s">
        <v>1480</v>
      </c>
      <c r="L28" s="1">
        <v>0.629</v>
      </c>
      <c r="M28" s="1">
        <v>0.91800000000000004</v>
      </c>
      <c r="N28">
        <v>11</v>
      </c>
      <c r="O28" s="1">
        <v>-2.6949999999999998</v>
      </c>
      <c r="P28">
        <f>0</f>
        <v>0</v>
      </c>
      <c r="Q28" s="1">
        <v>5.1200000000000002E-2</v>
      </c>
      <c r="R28" s="1">
        <v>0.14099999999999999</v>
      </c>
      <c r="S28" s="1">
        <v>3.2499999999999999E-4</v>
      </c>
      <c r="T28" s="1">
        <v>0.253</v>
      </c>
      <c r="U28" s="1">
        <v>0.27200000000000002</v>
      </c>
      <c r="V28" s="1">
        <v>126.038</v>
      </c>
      <c r="W28">
        <v>4</v>
      </c>
    </row>
    <row r="29" spans="1:23" x14ac:dyDescent="0.25">
      <c r="A29" s="1" t="s">
        <v>11132</v>
      </c>
      <c r="B29" s="1" t="s">
        <v>11133</v>
      </c>
      <c r="C29" s="1" t="s">
        <v>6032</v>
      </c>
      <c r="D29" s="1" t="s">
        <v>6032</v>
      </c>
      <c r="E29" s="1" t="s">
        <v>2088</v>
      </c>
      <c r="F29" s="10">
        <v>43837</v>
      </c>
      <c r="G29">
        <v>195909</v>
      </c>
      <c r="H29">
        <v>59</v>
      </c>
      <c r="I29" s="1" t="s">
        <v>11063</v>
      </c>
      <c r="J29" s="11">
        <v>43875.054259259261</v>
      </c>
      <c r="K29" s="1" t="s">
        <v>2089</v>
      </c>
      <c r="L29" s="1">
        <v>0.73699999999999999</v>
      </c>
      <c r="M29" s="1">
        <v>0.45600000000000002</v>
      </c>
      <c r="N29">
        <f>0</f>
        <v>0</v>
      </c>
      <c r="O29" s="1">
        <v>-9.7910000000000004</v>
      </c>
      <c r="P29">
        <v>1</v>
      </c>
      <c r="Q29" s="1">
        <v>8.1699999999999995E-2</v>
      </c>
      <c r="R29" s="1">
        <v>3.0599999999999999E-2</v>
      </c>
      <c r="S29" s="1">
        <f>0</f>
        <v>0</v>
      </c>
      <c r="T29" s="1">
        <v>8.6300000000000002E-2</v>
      </c>
      <c r="U29" s="1">
        <v>0.42</v>
      </c>
      <c r="V29" s="1">
        <v>132.875</v>
      </c>
      <c r="W29">
        <v>4</v>
      </c>
    </row>
    <row r="30" spans="1:23" x14ac:dyDescent="0.25">
      <c r="A30" s="1" t="s">
        <v>11134</v>
      </c>
      <c r="B30" s="1" t="s">
        <v>11135</v>
      </c>
      <c r="C30" s="1" t="s">
        <v>6048</v>
      </c>
      <c r="D30" s="1" t="s">
        <v>6048</v>
      </c>
      <c r="E30" s="1" t="s">
        <v>6049</v>
      </c>
      <c r="F30" s="10">
        <v>43385</v>
      </c>
      <c r="G30">
        <v>168837</v>
      </c>
      <c r="H30">
        <v>24</v>
      </c>
      <c r="I30" s="1" t="s">
        <v>11063</v>
      </c>
      <c r="J30" s="11">
        <v>43875.054560185185</v>
      </c>
      <c r="K30" s="1" t="s">
        <v>6050</v>
      </c>
      <c r="L30" s="1">
        <v>0.622</v>
      </c>
      <c r="M30" s="1">
        <v>0.73799999999999999</v>
      </c>
      <c r="N30">
        <v>9</v>
      </c>
      <c r="O30" s="1">
        <v>-3.9769999999999999</v>
      </c>
      <c r="P30">
        <f>0</f>
        <v>0</v>
      </c>
      <c r="Q30" s="1">
        <v>6.0600000000000001E-2</v>
      </c>
      <c r="R30" s="1">
        <v>3.1699999999999999E-2</v>
      </c>
      <c r="S30" s="1">
        <v>1.6500000000000001E-5</v>
      </c>
      <c r="T30" s="1">
        <v>0.16600000000000001</v>
      </c>
      <c r="U30" s="1">
        <v>0.22500000000000001</v>
      </c>
      <c r="V30" s="1">
        <v>171.98400000000001</v>
      </c>
      <c r="W30">
        <v>4</v>
      </c>
    </row>
    <row r="31" spans="1:23" x14ac:dyDescent="0.25">
      <c r="A31" s="1" t="s">
        <v>11136</v>
      </c>
      <c r="B31" s="1" t="s">
        <v>11137</v>
      </c>
      <c r="C31" s="1" t="s">
        <v>6138</v>
      </c>
      <c r="D31" s="1" t="s">
        <v>6138</v>
      </c>
      <c r="E31" s="1" t="s">
        <v>6139</v>
      </c>
      <c r="F31" s="10">
        <v>43246</v>
      </c>
      <c r="G31">
        <v>183071</v>
      </c>
      <c r="H31">
        <v>0</v>
      </c>
      <c r="I31" s="1" t="s">
        <v>11063</v>
      </c>
      <c r="J31" s="11">
        <v>43875.055787037039</v>
      </c>
      <c r="K31" s="1" t="s">
        <v>50</v>
      </c>
      <c r="L31" s="1">
        <v>0.45100000000000001</v>
      </c>
      <c r="M31" s="1">
        <v>0.49399999999999999</v>
      </c>
      <c r="N31">
        <v>6</v>
      </c>
      <c r="O31" s="1">
        <v>-8.2189999999999994</v>
      </c>
      <c r="P31">
        <v>1</v>
      </c>
      <c r="Q31" s="1">
        <v>3.5000000000000003E-2</v>
      </c>
      <c r="R31" s="1">
        <v>0.57199999999999995</v>
      </c>
      <c r="S31" s="1">
        <v>9.8900000000000002E-6</v>
      </c>
      <c r="T31" s="1">
        <v>0.11700000000000001</v>
      </c>
      <c r="U31" s="1">
        <v>0.187</v>
      </c>
      <c r="V31" s="1">
        <v>75.09</v>
      </c>
      <c r="W31">
        <v>4</v>
      </c>
    </row>
    <row r="32" spans="1:23" x14ac:dyDescent="0.25">
      <c r="A32" s="1" t="s">
        <v>11138</v>
      </c>
      <c r="B32" s="1" t="s">
        <v>11139</v>
      </c>
      <c r="C32" s="1" t="s">
        <v>8050</v>
      </c>
      <c r="D32" s="1" t="s">
        <v>11140</v>
      </c>
      <c r="E32" s="1" t="s">
        <v>6757</v>
      </c>
      <c r="F32" s="10">
        <v>43364</v>
      </c>
      <c r="G32">
        <v>184060</v>
      </c>
      <c r="H32">
        <v>64</v>
      </c>
      <c r="I32" s="1" t="s">
        <v>11063</v>
      </c>
      <c r="J32" s="11">
        <v>43875.611886574072</v>
      </c>
      <c r="K32" s="1" t="s">
        <v>6758</v>
      </c>
      <c r="L32" s="1">
        <v>0.68899999999999995</v>
      </c>
      <c r="M32" s="1">
        <v>0.41199999999999998</v>
      </c>
      <c r="N32">
        <v>7</v>
      </c>
      <c r="O32" s="1">
        <v>-7.5229999999999997</v>
      </c>
      <c r="P32">
        <f>0</f>
        <v>0</v>
      </c>
      <c r="Q32" s="1">
        <v>3.0099999999999998E-2</v>
      </c>
      <c r="R32" s="1">
        <v>0.48799999999999999</v>
      </c>
      <c r="S32" s="1">
        <v>1.6000000000000001E-4</v>
      </c>
      <c r="T32" s="1">
        <v>6.59E-2</v>
      </c>
      <c r="U32" s="1">
        <v>0.53700000000000003</v>
      </c>
      <c r="V32" s="1">
        <v>126.754</v>
      </c>
      <c r="W32">
        <v>4</v>
      </c>
    </row>
    <row r="33" spans="1:23" x14ac:dyDescent="0.25">
      <c r="A33" s="1" t="s">
        <v>11141</v>
      </c>
      <c r="B33" s="1" t="s">
        <v>11142</v>
      </c>
      <c r="C33" s="1" t="s">
        <v>5261</v>
      </c>
      <c r="D33" s="1" t="s">
        <v>11143</v>
      </c>
      <c r="E33" s="1" t="s">
        <v>5259</v>
      </c>
      <c r="F33" s="10">
        <v>43112</v>
      </c>
      <c r="G33">
        <v>240192</v>
      </c>
      <c r="H33">
        <v>0</v>
      </c>
      <c r="I33" s="1" t="s">
        <v>11063</v>
      </c>
      <c r="J33" s="11">
        <v>43880.142685185187</v>
      </c>
      <c r="K33" s="1" t="s">
        <v>5260</v>
      </c>
      <c r="L33" s="1">
        <v>0.442</v>
      </c>
      <c r="M33" s="1">
        <v>0.65</v>
      </c>
      <c r="N33">
        <v>11</v>
      </c>
      <c r="O33" s="1">
        <v>-3.5590000000000002</v>
      </c>
      <c r="P33">
        <f>0</f>
        <v>0</v>
      </c>
      <c r="Q33" s="1">
        <v>5.0599999999999999E-2</v>
      </c>
      <c r="R33" s="1">
        <v>0.46500000000000002</v>
      </c>
      <c r="S33" s="1">
        <v>5.6100000000000004E-3</v>
      </c>
      <c r="T33" s="1">
        <v>0.10199999999999999</v>
      </c>
      <c r="U33" s="1">
        <v>0.54500000000000004</v>
      </c>
      <c r="V33" s="1">
        <v>167.79499999999999</v>
      </c>
      <c r="W33">
        <v>3</v>
      </c>
    </row>
    <row r="34" spans="1:23" x14ac:dyDescent="0.25">
      <c r="A34" s="1" t="s">
        <v>11144</v>
      </c>
      <c r="B34" s="1" t="s">
        <v>11145</v>
      </c>
      <c r="C34" s="1" t="s">
        <v>6002</v>
      </c>
      <c r="D34" s="1" t="s">
        <v>11146</v>
      </c>
      <c r="E34" s="1" t="s">
        <v>6003</v>
      </c>
      <c r="F34" s="10">
        <v>43854</v>
      </c>
      <c r="G34">
        <v>255368</v>
      </c>
      <c r="H34">
        <v>34</v>
      </c>
      <c r="I34" s="1" t="s">
        <v>11063</v>
      </c>
      <c r="J34" s="11">
        <v>43882.033182870371</v>
      </c>
      <c r="K34" s="1" t="s">
        <v>11147</v>
      </c>
      <c r="L34" s="1">
        <v>0.46400000000000002</v>
      </c>
      <c r="M34" s="1">
        <v>0.81399999999999995</v>
      </c>
      <c r="N34">
        <v>6</v>
      </c>
      <c r="O34" s="1">
        <v>-4.2110000000000003</v>
      </c>
      <c r="P34">
        <f>0</f>
        <v>0</v>
      </c>
      <c r="Q34" s="1">
        <v>6.3200000000000006E-2</v>
      </c>
      <c r="R34" s="1">
        <v>1.1599999999999999E-2</v>
      </c>
      <c r="S34" s="1">
        <v>9.8599999999999998E-5</v>
      </c>
      <c r="T34" s="1">
        <v>0.39</v>
      </c>
      <c r="U34" s="1">
        <v>0.33200000000000002</v>
      </c>
      <c r="V34" s="1">
        <v>90.113</v>
      </c>
      <c r="W34">
        <v>4</v>
      </c>
    </row>
    <row r="35" spans="1:23" x14ac:dyDescent="0.25">
      <c r="A35" s="1" t="s">
        <v>11148</v>
      </c>
      <c r="B35" s="1" t="s">
        <v>11149</v>
      </c>
      <c r="C35" s="1" t="s">
        <v>5982</v>
      </c>
      <c r="D35" s="1" t="s">
        <v>11150</v>
      </c>
      <c r="E35" s="1" t="s">
        <v>8090</v>
      </c>
      <c r="F35" s="10">
        <v>43140</v>
      </c>
      <c r="G35">
        <v>217016</v>
      </c>
      <c r="H35">
        <v>32</v>
      </c>
      <c r="I35" s="1" t="s">
        <v>11063</v>
      </c>
      <c r="J35" s="11">
        <v>43882.034270833334</v>
      </c>
      <c r="K35" s="1" t="s">
        <v>8091</v>
      </c>
      <c r="L35" s="1">
        <v>0.498</v>
      </c>
      <c r="M35" s="1">
        <v>0.755</v>
      </c>
      <c r="N35">
        <v>7</v>
      </c>
      <c r="O35" s="1">
        <v>-4.8620000000000001</v>
      </c>
      <c r="P35">
        <f>0</f>
        <v>0</v>
      </c>
      <c r="Q35" s="1">
        <v>7.7600000000000002E-2</v>
      </c>
      <c r="R35" s="1">
        <v>0.32800000000000001</v>
      </c>
      <c r="S35" s="1">
        <f>0</f>
        <v>0</v>
      </c>
      <c r="T35" s="1">
        <v>0.14299999999999999</v>
      </c>
      <c r="U35" s="1">
        <v>0.442</v>
      </c>
      <c r="V35" s="1">
        <v>123.63</v>
      </c>
      <c r="W35">
        <v>4</v>
      </c>
    </row>
    <row r="36" spans="1:23" x14ac:dyDescent="0.25">
      <c r="A36" s="1" t="s">
        <v>11151</v>
      </c>
      <c r="B36" s="1" t="s">
        <v>11152</v>
      </c>
      <c r="C36" s="1" t="s">
        <v>6488</v>
      </c>
      <c r="D36" s="1" t="s">
        <v>6488</v>
      </c>
      <c r="E36" s="1" t="s">
        <v>6489</v>
      </c>
      <c r="F36" s="10">
        <v>43447</v>
      </c>
      <c r="G36">
        <v>214400</v>
      </c>
      <c r="H36">
        <v>0</v>
      </c>
      <c r="I36" s="1" t="s">
        <v>11063</v>
      </c>
      <c r="J36" s="11">
        <v>43882.418379629627</v>
      </c>
      <c r="K36" s="1" t="s">
        <v>50</v>
      </c>
      <c r="L36" s="1">
        <v>0.55000000000000004</v>
      </c>
      <c r="M36" s="1">
        <v>0.69</v>
      </c>
      <c r="N36">
        <f>0</f>
        <v>0</v>
      </c>
      <c r="O36" s="1">
        <v>-4.59</v>
      </c>
      <c r="P36">
        <v>1</v>
      </c>
      <c r="Q36" s="1">
        <v>7.1999999999999995E-2</v>
      </c>
      <c r="R36" s="1">
        <v>0.13200000000000001</v>
      </c>
      <c r="S36" s="1">
        <v>9.3900000000000006E-5</v>
      </c>
      <c r="T36" s="1">
        <v>0.10199999999999999</v>
      </c>
      <c r="U36" s="1">
        <v>0.255</v>
      </c>
      <c r="V36" s="1">
        <v>149.94999999999999</v>
      </c>
      <c r="W36">
        <v>4</v>
      </c>
    </row>
    <row r="37" spans="1:23" x14ac:dyDescent="0.25">
      <c r="A37" s="1" t="s">
        <v>11153</v>
      </c>
      <c r="B37" s="1" t="s">
        <v>11154</v>
      </c>
      <c r="C37" s="1" t="s">
        <v>6301</v>
      </c>
      <c r="D37" s="1" t="s">
        <v>6301</v>
      </c>
      <c r="E37" s="1" t="s">
        <v>6302</v>
      </c>
      <c r="F37" s="10">
        <v>42293</v>
      </c>
      <c r="G37">
        <v>172413</v>
      </c>
      <c r="H37">
        <v>61</v>
      </c>
      <c r="I37" s="1" t="s">
        <v>11063</v>
      </c>
      <c r="J37" s="11">
        <v>44002.76158564815</v>
      </c>
      <c r="K37" s="1" t="s">
        <v>50</v>
      </c>
      <c r="L37" s="1">
        <v>0.47899999999999998</v>
      </c>
      <c r="M37" s="1">
        <v>0.71399999999999997</v>
      </c>
      <c r="N37">
        <v>7</v>
      </c>
      <c r="O37" s="1">
        <v>-3.7759999999999998</v>
      </c>
      <c r="P37">
        <f>0</f>
        <v>0</v>
      </c>
      <c r="Q37" s="1">
        <v>0.109</v>
      </c>
      <c r="R37" s="1">
        <v>2.5000000000000001E-2</v>
      </c>
      <c r="S37" s="1">
        <v>1.5299999999999999E-2</v>
      </c>
      <c r="T37" s="1">
        <v>0.20599999999999999</v>
      </c>
      <c r="U37" s="1">
        <v>0.49</v>
      </c>
      <c r="V37" s="1">
        <v>98.23</v>
      </c>
      <c r="W37">
        <v>4</v>
      </c>
    </row>
    <row r="38" spans="1:23" x14ac:dyDescent="0.25">
      <c r="A38" s="1" t="s">
        <v>11155</v>
      </c>
      <c r="B38" s="1" t="s">
        <v>11156</v>
      </c>
      <c r="C38" s="1" t="s">
        <v>5592</v>
      </c>
      <c r="D38" s="1" t="s">
        <v>5592</v>
      </c>
      <c r="E38" s="1" t="s">
        <v>5593</v>
      </c>
      <c r="F38" s="10">
        <v>42867</v>
      </c>
      <c r="G38">
        <v>189125</v>
      </c>
      <c r="H38">
        <v>21</v>
      </c>
      <c r="I38" s="1" t="s">
        <v>11063</v>
      </c>
      <c r="J38" s="11">
        <v>44002.787476851852</v>
      </c>
      <c r="K38" s="1" t="s">
        <v>947</v>
      </c>
      <c r="L38" s="1">
        <v>0.629</v>
      </c>
      <c r="M38" s="1">
        <v>0.76700000000000002</v>
      </c>
      <c r="N38">
        <v>10</v>
      </c>
      <c r="O38" s="1">
        <v>-5.8520000000000003</v>
      </c>
      <c r="P38">
        <f>0</f>
        <v>0</v>
      </c>
      <c r="Q38" s="1">
        <v>3.73E-2</v>
      </c>
      <c r="R38" s="1">
        <v>2.3300000000000001E-2</v>
      </c>
      <c r="S38" s="1">
        <v>4.06E-4</v>
      </c>
      <c r="T38" s="1">
        <v>9.2499999999999999E-2</v>
      </c>
      <c r="U38" s="1">
        <v>0.33400000000000002</v>
      </c>
      <c r="V38" s="1">
        <v>98.016999999999996</v>
      </c>
      <c r="W38">
        <v>4</v>
      </c>
    </row>
    <row r="39" spans="1:23" x14ac:dyDescent="0.25">
      <c r="A39" s="1" t="s">
        <v>11157</v>
      </c>
      <c r="B39" s="1" t="s">
        <v>11158</v>
      </c>
      <c r="C39" s="1" t="s">
        <v>5589</v>
      </c>
      <c r="D39" s="1" t="s">
        <v>5589</v>
      </c>
      <c r="E39" s="1" t="s">
        <v>5590</v>
      </c>
      <c r="F39" s="10">
        <v>43924</v>
      </c>
      <c r="G39">
        <v>152812</v>
      </c>
      <c r="H39">
        <v>47</v>
      </c>
      <c r="I39" s="1" t="s">
        <v>11063</v>
      </c>
      <c r="J39" s="11">
        <v>44002.787488425929</v>
      </c>
      <c r="K39" s="1" t="s">
        <v>5591</v>
      </c>
      <c r="L39" s="1">
        <v>0.69599999999999995</v>
      </c>
      <c r="M39" s="1">
        <v>0.91300000000000003</v>
      </c>
      <c r="N39">
        <v>5</v>
      </c>
      <c r="O39" s="1">
        <v>-4.5419999999999998</v>
      </c>
      <c r="P39">
        <f>0</f>
        <v>0</v>
      </c>
      <c r="Q39" s="1">
        <v>3.7199999999999997E-2</v>
      </c>
      <c r="R39" s="1">
        <v>1.47E-3</v>
      </c>
      <c r="S39" s="1">
        <v>2.3E-5</v>
      </c>
      <c r="T39" s="1">
        <v>8.1699999999999995E-2</v>
      </c>
      <c r="U39" s="1">
        <v>0.25</v>
      </c>
      <c r="V39" s="1">
        <v>127.994</v>
      </c>
      <c r="W39">
        <v>4</v>
      </c>
    </row>
    <row r="40" spans="1:23" x14ac:dyDescent="0.25">
      <c r="A40" s="1" t="s">
        <v>11159</v>
      </c>
      <c r="B40" s="1" t="s">
        <v>11160</v>
      </c>
      <c r="C40" s="1" t="s">
        <v>2885</v>
      </c>
      <c r="D40" s="1" t="s">
        <v>2885</v>
      </c>
      <c r="E40" s="1" t="s">
        <v>5594</v>
      </c>
      <c r="F40" s="10">
        <v>42734</v>
      </c>
      <c r="G40">
        <v>199970</v>
      </c>
      <c r="H40">
        <v>32</v>
      </c>
      <c r="I40" s="1" t="s">
        <v>11063</v>
      </c>
      <c r="J40" s="11">
        <v>44002.787499999999</v>
      </c>
      <c r="K40" s="1" t="s">
        <v>5595</v>
      </c>
      <c r="L40" s="1">
        <v>0.65400000000000003</v>
      </c>
      <c r="M40" s="1">
        <v>0.81100000000000005</v>
      </c>
      <c r="N40">
        <v>10</v>
      </c>
      <c r="O40" s="1">
        <v>-6.0519999999999996</v>
      </c>
      <c r="P40">
        <f>0</f>
        <v>0</v>
      </c>
      <c r="Q40" s="1">
        <v>3.9100000000000003E-2</v>
      </c>
      <c r="R40" s="1">
        <v>0.107</v>
      </c>
      <c r="S40" s="1">
        <v>2.6800000000000001E-5</v>
      </c>
      <c r="T40" s="1">
        <v>0.17100000000000001</v>
      </c>
      <c r="U40" s="1">
        <v>0.29199999999999998</v>
      </c>
      <c r="V40" s="1">
        <v>101.986</v>
      </c>
      <c r="W40">
        <v>4</v>
      </c>
    </row>
    <row r="41" spans="1:23" x14ac:dyDescent="0.25">
      <c r="A41" s="1" t="s">
        <v>11161</v>
      </c>
      <c r="B41" s="1" t="s">
        <v>11162</v>
      </c>
      <c r="C41" s="1" t="s">
        <v>5607</v>
      </c>
      <c r="D41" s="1" t="s">
        <v>11163</v>
      </c>
      <c r="E41" s="1" t="s">
        <v>5608</v>
      </c>
      <c r="F41" s="10">
        <v>43963</v>
      </c>
      <c r="G41">
        <v>199919</v>
      </c>
      <c r="H41">
        <v>3</v>
      </c>
      <c r="I41" s="1" t="s">
        <v>11063</v>
      </c>
      <c r="J41" s="11">
        <v>44002.787557870368</v>
      </c>
      <c r="K41" s="1" t="s">
        <v>2939</v>
      </c>
      <c r="L41" s="1">
        <v>0.67200000000000004</v>
      </c>
      <c r="M41" s="1">
        <v>0.86399999999999999</v>
      </c>
      <c r="N41">
        <v>9</v>
      </c>
      <c r="O41" s="1">
        <v>-7.5960000000000001</v>
      </c>
      <c r="P41">
        <f>0</f>
        <v>0</v>
      </c>
      <c r="Q41" s="1">
        <v>0.184</v>
      </c>
      <c r="R41" s="1">
        <v>5.2200000000000003E-2</v>
      </c>
      <c r="S41" s="1">
        <f>0</f>
        <v>0</v>
      </c>
      <c r="T41" s="1">
        <v>0.13900000000000001</v>
      </c>
      <c r="U41" s="1">
        <v>0.35599999999999998</v>
      </c>
      <c r="V41" s="1">
        <v>160.19900000000001</v>
      </c>
      <c r="W41">
        <v>4</v>
      </c>
    </row>
    <row r="42" spans="1:23" x14ac:dyDescent="0.25">
      <c r="A42" s="1" t="s">
        <v>11164</v>
      </c>
      <c r="B42" s="1" t="s">
        <v>11165</v>
      </c>
      <c r="C42" s="1" t="s">
        <v>5619</v>
      </c>
      <c r="D42" s="1" t="s">
        <v>11166</v>
      </c>
      <c r="E42" s="1" t="s">
        <v>5620</v>
      </c>
      <c r="F42" s="10">
        <v>42398</v>
      </c>
      <c r="G42">
        <v>215400</v>
      </c>
      <c r="H42">
        <v>33</v>
      </c>
      <c r="I42" s="1" t="s">
        <v>11063</v>
      </c>
      <c r="J42" s="11">
        <v>44002.787824074076</v>
      </c>
      <c r="K42" s="1" t="s">
        <v>5621</v>
      </c>
      <c r="L42" s="1">
        <v>0.51300000000000001</v>
      </c>
      <c r="M42" s="1">
        <v>0.76600000000000001</v>
      </c>
      <c r="N42">
        <v>9</v>
      </c>
      <c r="O42" s="1">
        <v>-5.0229999999999997</v>
      </c>
      <c r="P42">
        <f>0</f>
        <v>0</v>
      </c>
      <c r="Q42" s="1">
        <v>9.74E-2</v>
      </c>
      <c r="R42" s="1">
        <v>0.152</v>
      </c>
      <c r="S42" s="1">
        <v>9.3999999999999997E-4</v>
      </c>
      <c r="T42" s="1">
        <v>3.3399999999999999E-2</v>
      </c>
      <c r="U42" s="1">
        <v>0.47499999999999998</v>
      </c>
      <c r="V42" s="1">
        <v>156.04</v>
      </c>
      <c r="W42">
        <v>4</v>
      </c>
    </row>
    <row r="43" spans="1:23" x14ac:dyDescent="0.25">
      <c r="A43" s="1" t="s">
        <v>11167</v>
      </c>
      <c r="B43" s="1" t="s">
        <v>11168</v>
      </c>
      <c r="C43" s="1" t="s">
        <v>5665</v>
      </c>
      <c r="D43" s="1" t="s">
        <v>11169</v>
      </c>
      <c r="E43" s="1" t="s">
        <v>2792</v>
      </c>
      <c r="F43" s="10">
        <v>43910</v>
      </c>
      <c r="G43">
        <v>200040</v>
      </c>
      <c r="H43">
        <v>90</v>
      </c>
      <c r="I43" s="1" t="s">
        <v>11063</v>
      </c>
      <c r="J43" s="11">
        <v>44002.787893518522</v>
      </c>
      <c r="K43" s="1" t="s">
        <v>2793</v>
      </c>
      <c r="L43" s="1">
        <v>0.51400000000000001</v>
      </c>
      <c r="M43" s="1">
        <v>0.73</v>
      </c>
      <c r="N43">
        <v>1</v>
      </c>
      <c r="O43" s="1">
        <v>-5.9340000000000002</v>
      </c>
      <c r="P43">
        <v>1</v>
      </c>
      <c r="Q43" s="1">
        <v>5.9799999999999999E-2</v>
      </c>
      <c r="R43" s="1">
        <v>1.4599999999999999E-3</v>
      </c>
      <c r="S43" s="1">
        <v>9.5400000000000001E-5</v>
      </c>
      <c r="T43" s="1">
        <v>8.9700000000000002E-2</v>
      </c>
      <c r="U43" s="1">
        <v>0.33400000000000002</v>
      </c>
      <c r="V43" s="1">
        <v>171.005</v>
      </c>
      <c r="W43">
        <v>4</v>
      </c>
    </row>
    <row r="44" spans="1:23" x14ac:dyDescent="0.25">
      <c r="A44" s="1" t="s">
        <v>11170</v>
      </c>
      <c r="B44" s="1" t="s">
        <v>11171</v>
      </c>
      <c r="C44" s="1" t="s">
        <v>5670</v>
      </c>
      <c r="D44" s="1" t="s">
        <v>5670</v>
      </c>
      <c r="E44" s="1" t="s">
        <v>5671</v>
      </c>
      <c r="F44" s="10">
        <v>43952</v>
      </c>
      <c r="G44">
        <v>172761</v>
      </c>
      <c r="H44">
        <v>78</v>
      </c>
      <c r="I44" s="1" t="s">
        <v>11063</v>
      </c>
      <c r="J44" s="11">
        <v>44002.787939814814</v>
      </c>
      <c r="K44" s="1" t="s">
        <v>5672</v>
      </c>
      <c r="L44" s="1">
        <v>0.63</v>
      </c>
      <c r="M44" s="1">
        <v>0.63300000000000001</v>
      </c>
      <c r="N44">
        <v>4</v>
      </c>
      <c r="O44" s="1">
        <v>-7.0880000000000001</v>
      </c>
      <c r="P44">
        <v>1</v>
      </c>
      <c r="Q44" s="1">
        <v>4.5699999999999998E-2</v>
      </c>
      <c r="R44" s="1">
        <v>7.7600000000000004E-3</v>
      </c>
      <c r="S44" s="1">
        <f>0</f>
        <v>0</v>
      </c>
      <c r="T44" s="1">
        <v>5.4100000000000002E-2</v>
      </c>
      <c r="U44" s="1">
        <v>0.45200000000000001</v>
      </c>
      <c r="V44" s="1">
        <v>93.995000000000005</v>
      </c>
      <c r="W44">
        <v>4</v>
      </c>
    </row>
    <row r="45" spans="1:23" x14ac:dyDescent="0.25">
      <c r="A45" s="1" t="s">
        <v>11172</v>
      </c>
      <c r="B45" s="1" t="s">
        <v>11173</v>
      </c>
      <c r="C45" s="1" t="s">
        <v>5684</v>
      </c>
      <c r="D45" s="1" t="s">
        <v>5684</v>
      </c>
      <c r="E45" s="1" t="s">
        <v>3030</v>
      </c>
      <c r="F45" s="10">
        <v>43186</v>
      </c>
      <c r="G45">
        <v>221250</v>
      </c>
      <c r="H45">
        <v>34</v>
      </c>
      <c r="I45" s="1" t="s">
        <v>11063</v>
      </c>
      <c r="J45" s="11">
        <v>44002.787997685184</v>
      </c>
      <c r="K45" s="1" t="s">
        <v>142</v>
      </c>
      <c r="L45" s="1">
        <v>0.247</v>
      </c>
      <c r="M45" s="1">
        <v>0.56499999999999995</v>
      </c>
      <c r="N45">
        <v>9</v>
      </c>
      <c r="O45" s="1">
        <v>-5.3630000000000004</v>
      </c>
      <c r="P45">
        <f>0</f>
        <v>0</v>
      </c>
      <c r="Q45" s="1">
        <v>3.3300000000000003E-2</v>
      </c>
      <c r="R45" s="1">
        <v>2.16E-3</v>
      </c>
      <c r="S45" s="1">
        <v>1.6000000000000001E-3</v>
      </c>
      <c r="T45" s="1">
        <v>0.123</v>
      </c>
      <c r="U45" s="1">
        <v>0.114</v>
      </c>
      <c r="V45" s="1">
        <v>80.054000000000002</v>
      </c>
      <c r="W45">
        <v>4</v>
      </c>
    </row>
    <row r="46" spans="1:23" x14ac:dyDescent="0.25">
      <c r="A46" s="1" t="s">
        <v>11174</v>
      </c>
      <c r="B46" s="1" t="s">
        <v>11175</v>
      </c>
      <c r="C46" s="1" t="s">
        <v>5707</v>
      </c>
      <c r="D46" s="1" t="s">
        <v>5707</v>
      </c>
      <c r="E46" s="1" t="s">
        <v>331</v>
      </c>
      <c r="F46" s="10">
        <v>43938</v>
      </c>
      <c r="G46">
        <v>150720</v>
      </c>
      <c r="H46">
        <v>37</v>
      </c>
      <c r="I46" s="1" t="s">
        <v>11063</v>
      </c>
      <c r="J46" s="11">
        <v>44002.788032407407</v>
      </c>
      <c r="K46" s="1" t="s">
        <v>332</v>
      </c>
      <c r="L46" s="1">
        <v>0.68100000000000005</v>
      </c>
      <c r="M46" s="1">
        <v>0.76200000000000001</v>
      </c>
      <c r="N46">
        <f>0</f>
        <v>0</v>
      </c>
      <c r="O46" s="1">
        <v>-6.7670000000000003</v>
      </c>
      <c r="P46">
        <v>1</v>
      </c>
      <c r="Q46" s="1">
        <v>0.27</v>
      </c>
      <c r="R46" s="1">
        <v>0.12</v>
      </c>
      <c r="S46" s="1">
        <v>1.3999999999999999E-4</v>
      </c>
      <c r="T46" s="1">
        <v>0.17799999999999999</v>
      </c>
      <c r="U46" s="1">
        <v>0.59099999999999997</v>
      </c>
      <c r="V46" s="1">
        <v>124.958</v>
      </c>
      <c r="W46">
        <v>4</v>
      </c>
    </row>
    <row r="47" spans="1:23" x14ac:dyDescent="0.25">
      <c r="A47" s="1" t="s">
        <v>11176</v>
      </c>
      <c r="B47" s="1" t="s">
        <v>11177</v>
      </c>
      <c r="C47" s="1" t="s">
        <v>5698</v>
      </c>
      <c r="D47" s="1" t="s">
        <v>11178</v>
      </c>
      <c r="E47" s="1" t="s">
        <v>5699</v>
      </c>
      <c r="F47" s="10">
        <v>42720</v>
      </c>
      <c r="G47">
        <v>220000</v>
      </c>
      <c r="H47">
        <v>34</v>
      </c>
      <c r="I47" s="1" t="s">
        <v>11063</v>
      </c>
      <c r="J47" s="11">
        <v>44002.78806712963</v>
      </c>
      <c r="K47" s="1" t="s">
        <v>11179</v>
      </c>
      <c r="L47" s="1">
        <v>0.55300000000000005</v>
      </c>
      <c r="M47" s="1">
        <v>0.59199999999999997</v>
      </c>
      <c r="N47">
        <v>9</v>
      </c>
      <c r="O47" s="1">
        <v>-6.2050000000000001</v>
      </c>
      <c r="P47">
        <v>1</v>
      </c>
      <c r="Q47" s="1">
        <v>0.22500000000000001</v>
      </c>
      <c r="R47" s="1">
        <v>0.192</v>
      </c>
      <c r="S47" s="1">
        <v>3.6099999999999999E-4</v>
      </c>
      <c r="T47" s="1">
        <v>0.37</v>
      </c>
      <c r="U47" s="1">
        <v>0.26900000000000002</v>
      </c>
      <c r="V47" s="1">
        <v>78.016999999999996</v>
      </c>
      <c r="W47">
        <v>4</v>
      </c>
    </row>
    <row r="48" spans="1:23" x14ac:dyDescent="0.25">
      <c r="A48" s="1" t="s">
        <v>11180</v>
      </c>
      <c r="B48" s="1" t="s">
        <v>11181</v>
      </c>
      <c r="C48" s="1" t="s">
        <v>3631</v>
      </c>
      <c r="D48" s="1" t="s">
        <v>11182</v>
      </c>
      <c r="E48" s="1" t="s">
        <v>3797</v>
      </c>
      <c r="F48" s="10">
        <v>42664</v>
      </c>
      <c r="G48">
        <v>225933</v>
      </c>
      <c r="H48">
        <v>29</v>
      </c>
      <c r="I48" s="1" t="s">
        <v>11063</v>
      </c>
      <c r="J48" s="11">
        <v>44002.788182870368</v>
      </c>
      <c r="K48" s="1" t="s">
        <v>3798</v>
      </c>
      <c r="L48" s="1">
        <v>0.73499999999999999</v>
      </c>
      <c r="M48" s="1">
        <v>0.57599999999999996</v>
      </c>
      <c r="N48">
        <v>2</v>
      </c>
      <c r="O48" s="1">
        <v>-6.3460000000000001</v>
      </c>
      <c r="P48">
        <f>0</f>
        <v>0</v>
      </c>
      <c r="Q48" s="1">
        <v>2.87E-2</v>
      </c>
      <c r="R48" s="1">
        <v>2.1499999999999998E-2</v>
      </c>
      <c r="S48" s="1">
        <v>1.1199999999999999E-3</v>
      </c>
      <c r="T48" s="1">
        <v>9.9199999999999997E-2</v>
      </c>
      <c r="U48" s="1">
        <v>0.47899999999999998</v>
      </c>
      <c r="V48" s="1">
        <v>97.468000000000004</v>
      </c>
      <c r="W48">
        <v>4</v>
      </c>
    </row>
    <row r="49" spans="1:23" x14ac:dyDescent="0.25">
      <c r="A49" s="1" t="s">
        <v>11183</v>
      </c>
      <c r="B49" s="1" t="s">
        <v>11184</v>
      </c>
      <c r="C49" s="1" t="s">
        <v>5765</v>
      </c>
      <c r="D49" s="1" t="s">
        <v>11185</v>
      </c>
      <c r="E49" s="1" t="s">
        <v>2057</v>
      </c>
      <c r="F49" s="10">
        <v>43530</v>
      </c>
      <c r="G49">
        <v>165600</v>
      </c>
      <c r="H49">
        <v>43</v>
      </c>
      <c r="I49" s="1" t="s">
        <v>11063</v>
      </c>
      <c r="J49" s="11">
        <v>44002.788275462961</v>
      </c>
      <c r="K49" s="1" t="s">
        <v>50</v>
      </c>
      <c r="L49" s="1">
        <v>0.78300000000000003</v>
      </c>
      <c r="M49" s="1">
        <v>0.60199999999999998</v>
      </c>
      <c r="N49">
        <f>0</f>
        <v>0</v>
      </c>
      <c r="O49" s="1">
        <v>-6.2889999999999997</v>
      </c>
      <c r="P49">
        <v>1</v>
      </c>
      <c r="Q49" s="1">
        <v>4.8800000000000003E-2</v>
      </c>
      <c r="R49" s="1">
        <v>0.47699999999999998</v>
      </c>
      <c r="S49" s="1">
        <f>0</f>
        <v>0</v>
      </c>
      <c r="T49" s="1">
        <v>0.112</v>
      </c>
      <c r="U49" s="1">
        <v>0.57499999999999996</v>
      </c>
      <c r="V49" s="1">
        <v>99.94</v>
      </c>
      <c r="W49">
        <v>4</v>
      </c>
    </row>
    <row r="50" spans="1:23" x14ac:dyDescent="0.25">
      <c r="A50" s="1" t="s">
        <v>11186</v>
      </c>
      <c r="B50" s="1" t="s">
        <v>11187</v>
      </c>
      <c r="C50" s="1" t="s">
        <v>5842</v>
      </c>
      <c r="D50" s="1" t="s">
        <v>11188</v>
      </c>
      <c r="E50" s="1" t="s">
        <v>5843</v>
      </c>
      <c r="F50" s="10">
        <v>42230</v>
      </c>
      <c r="G50">
        <v>178333</v>
      </c>
      <c r="H50">
        <v>56</v>
      </c>
      <c r="I50" s="1" t="s">
        <v>11063</v>
      </c>
      <c r="J50" s="11">
        <v>44002.78837962963</v>
      </c>
      <c r="K50" s="1" t="s">
        <v>5844</v>
      </c>
      <c r="L50" s="1">
        <v>0.63100000000000001</v>
      </c>
      <c r="M50" s="1">
        <v>0.66100000000000003</v>
      </c>
      <c r="N50">
        <v>5</v>
      </c>
      <c r="O50" s="1">
        <v>-5.5</v>
      </c>
      <c r="P50">
        <f>0</f>
        <v>0</v>
      </c>
      <c r="Q50" s="1">
        <v>9.9900000000000003E-2</v>
      </c>
      <c r="R50" s="1">
        <v>0.22700000000000001</v>
      </c>
      <c r="S50" s="1">
        <v>1.4300000000000001E-6</v>
      </c>
      <c r="T50" s="1">
        <v>0.16600000000000001</v>
      </c>
      <c r="U50" s="1">
        <v>0.69799999999999995</v>
      </c>
      <c r="V50" s="1">
        <v>174.03100000000001</v>
      </c>
      <c r="W50">
        <v>4</v>
      </c>
    </row>
    <row r="51" spans="1:23" x14ac:dyDescent="0.25">
      <c r="A51" s="1" t="s">
        <v>11189</v>
      </c>
      <c r="B51" s="1" t="s">
        <v>11190</v>
      </c>
      <c r="C51" s="1" t="s">
        <v>5855</v>
      </c>
      <c r="D51" s="1" t="s">
        <v>11191</v>
      </c>
      <c r="E51" s="1" t="s">
        <v>338</v>
      </c>
      <c r="F51" s="10">
        <v>42059</v>
      </c>
      <c r="G51">
        <v>242068</v>
      </c>
      <c r="H51">
        <v>62</v>
      </c>
      <c r="I51" s="1" t="s">
        <v>11063</v>
      </c>
      <c r="J51" s="11">
        <v>44002.788414351853</v>
      </c>
      <c r="K51" s="1" t="s">
        <v>339</v>
      </c>
      <c r="L51" s="1">
        <v>0.502</v>
      </c>
      <c r="M51" s="1">
        <v>0.77700000000000002</v>
      </c>
      <c r="N51">
        <v>1</v>
      </c>
      <c r="O51" s="1">
        <v>-4.6269999999999998</v>
      </c>
      <c r="P51">
        <v>1</v>
      </c>
      <c r="Q51" s="1">
        <v>9.3399999999999997E-2</v>
      </c>
      <c r="R51" s="1">
        <v>0.11700000000000001</v>
      </c>
      <c r="S51" s="1">
        <v>2.9100000000000001E-6</v>
      </c>
      <c r="T51" s="1">
        <v>9.5699999999999993E-2</v>
      </c>
      <c r="U51" s="1">
        <v>0.35599999999999998</v>
      </c>
      <c r="V51" s="1">
        <v>174.15299999999999</v>
      </c>
      <c r="W51">
        <v>4</v>
      </c>
    </row>
    <row r="52" spans="1:23" x14ac:dyDescent="0.25">
      <c r="A52" s="1" t="s">
        <v>11192</v>
      </c>
      <c r="B52" s="1" t="s">
        <v>11193</v>
      </c>
      <c r="C52" s="1" t="s">
        <v>5860</v>
      </c>
      <c r="D52" s="1" t="s">
        <v>5458</v>
      </c>
      <c r="E52" s="1" t="s">
        <v>5861</v>
      </c>
      <c r="F52" s="10">
        <v>43762</v>
      </c>
      <c r="G52">
        <v>231290</v>
      </c>
      <c r="H52">
        <v>63</v>
      </c>
      <c r="I52" s="1" t="s">
        <v>11063</v>
      </c>
      <c r="J52" s="11">
        <v>44002.789537037039</v>
      </c>
      <c r="K52" s="1" t="s">
        <v>5862</v>
      </c>
      <c r="L52" s="1">
        <v>0.59</v>
      </c>
      <c r="M52" s="1">
        <v>0.76400000000000001</v>
      </c>
      <c r="N52">
        <v>2</v>
      </c>
      <c r="O52" s="1">
        <v>-4.7350000000000003</v>
      </c>
      <c r="P52">
        <v>1</v>
      </c>
      <c r="Q52" s="1">
        <v>4.6699999999999998E-2</v>
      </c>
      <c r="R52" s="1">
        <v>0.22900000000000001</v>
      </c>
      <c r="S52" s="1">
        <f>0</f>
        <v>0</v>
      </c>
      <c r="T52" s="1">
        <v>0.192</v>
      </c>
      <c r="U52" s="1">
        <v>0.33100000000000002</v>
      </c>
      <c r="V52" s="1">
        <v>104.911</v>
      </c>
      <c r="W52">
        <v>4</v>
      </c>
    </row>
    <row r="53" spans="1:23" x14ac:dyDescent="0.25">
      <c r="A53" s="1" t="s">
        <v>11194</v>
      </c>
      <c r="B53" s="1" t="s">
        <v>11195</v>
      </c>
      <c r="C53" s="1" t="s">
        <v>5690</v>
      </c>
      <c r="D53" s="1" t="s">
        <v>628</v>
      </c>
      <c r="E53" s="1" t="s">
        <v>5691</v>
      </c>
      <c r="F53" s="10">
        <v>41666</v>
      </c>
      <c r="G53">
        <v>224047</v>
      </c>
      <c r="H53">
        <v>32</v>
      </c>
      <c r="I53" s="1" t="s">
        <v>11063</v>
      </c>
      <c r="J53" s="11">
        <v>44006.809594907405</v>
      </c>
      <c r="K53" s="1" t="s">
        <v>5692</v>
      </c>
      <c r="L53" s="1">
        <v>0.48</v>
      </c>
      <c r="M53" s="1">
        <v>0.89900000000000002</v>
      </c>
      <c r="N53">
        <f>0</f>
        <v>0</v>
      </c>
      <c r="O53" s="1">
        <v>-4.2590000000000003</v>
      </c>
      <c r="P53">
        <f>0</f>
        <v>0</v>
      </c>
      <c r="Q53" s="1">
        <v>0.11700000000000001</v>
      </c>
      <c r="R53" s="1">
        <v>5.7500000000000002E-2</v>
      </c>
      <c r="S53" s="1">
        <f>0</f>
        <v>0</v>
      </c>
      <c r="T53" s="1">
        <v>0.33300000000000002</v>
      </c>
      <c r="U53" s="1">
        <v>0.42699999999999999</v>
      </c>
      <c r="V53" s="1">
        <v>125.93</v>
      </c>
      <c r="W53">
        <v>4</v>
      </c>
    </row>
    <row r="54" spans="1:23" x14ac:dyDescent="0.25">
      <c r="A54" s="1" t="s">
        <v>11196</v>
      </c>
      <c r="B54" s="1" t="s">
        <v>11197</v>
      </c>
      <c r="C54" s="1" t="s">
        <v>6635</v>
      </c>
      <c r="D54" s="1" t="s">
        <v>11198</v>
      </c>
      <c r="E54" s="1" t="s">
        <v>5164</v>
      </c>
      <c r="F54" s="10">
        <v>43616</v>
      </c>
      <c r="G54">
        <v>217653</v>
      </c>
      <c r="H54">
        <v>1</v>
      </c>
      <c r="I54" s="1" t="s">
        <v>11063</v>
      </c>
      <c r="J54" s="11">
        <v>44015.039895833332</v>
      </c>
      <c r="K54" s="1" t="s">
        <v>5165</v>
      </c>
      <c r="L54" s="1">
        <v>0.59099999999999997</v>
      </c>
      <c r="M54" s="1">
        <v>0.70199999999999996</v>
      </c>
      <c r="N54">
        <v>7</v>
      </c>
      <c r="O54" s="1">
        <v>-5.59</v>
      </c>
      <c r="P54">
        <v>1</v>
      </c>
      <c r="Q54" s="1">
        <v>2.8899999999999999E-2</v>
      </c>
      <c r="R54" s="1">
        <v>0.22500000000000001</v>
      </c>
      <c r="S54" s="1">
        <f>0</f>
        <v>0</v>
      </c>
      <c r="T54" s="1">
        <v>0.41399999999999998</v>
      </c>
      <c r="U54" s="1">
        <v>0.501</v>
      </c>
      <c r="V54" s="1">
        <v>104.003</v>
      </c>
      <c r="W54">
        <v>4</v>
      </c>
    </row>
    <row r="55" spans="1:23" x14ac:dyDescent="0.25">
      <c r="A55" s="1" t="s">
        <v>11199</v>
      </c>
      <c r="B55" s="1" t="s">
        <v>11200</v>
      </c>
      <c r="C55" s="1" t="s">
        <v>457</v>
      </c>
      <c r="D55" s="1" t="s">
        <v>11201</v>
      </c>
      <c r="E55" s="1" t="s">
        <v>458</v>
      </c>
      <c r="F55" s="10">
        <v>43755</v>
      </c>
      <c r="G55">
        <v>209438</v>
      </c>
      <c r="H55">
        <v>79</v>
      </c>
      <c r="I55" s="1" t="s">
        <v>11063</v>
      </c>
      <c r="J55" s="11">
        <v>44021.021666666667</v>
      </c>
      <c r="K55" s="1" t="s">
        <v>459</v>
      </c>
      <c r="L55" s="1">
        <v>0.82399999999999995</v>
      </c>
      <c r="M55" s="1">
        <v>0.58799999999999997</v>
      </c>
      <c r="N55">
        <v>6</v>
      </c>
      <c r="O55" s="1">
        <v>-6.4</v>
      </c>
      <c r="P55">
        <f>0</f>
        <v>0</v>
      </c>
      <c r="Q55" s="1">
        <v>9.2399999999999996E-2</v>
      </c>
      <c r="R55" s="1">
        <v>0.69199999999999995</v>
      </c>
      <c r="S55" s="1">
        <v>1.0399999999999999E-4</v>
      </c>
      <c r="T55" s="1">
        <v>0.14899999999999999</v>
      </c>
      <c r="U55" s="1">
        <v>0.51300000000000001</v>
      </c>
      <c r="V55" s="1">
        <v>98.027000000000001</v>
      </c>
      <c r="W55">
        <v>4</v>
      </c>
    </row>
    <row r="56" spans="1:23" x14ac:dyDescent="0.25">
      <c r="A56" s="1" t="s">
        <v>11202</v>
      </c>
      <c r="B56" s="1" t="s">
        <v>11203</v>
      </c>
      <c r="C56" s="1" t="s">
        <v>8188</v>
      </c>
      <c r="D56" s="1" t="s">
        <v>8188</v>
      </c>
      <c r="E56" s="1" t="s">
        <v>8189</v>
      </c>
      <c r="F56" s="10">
        <v>41830</v>
      </c>
      <c r="G56">
        <v>443478</v>
      </c>
      <c r="H56">
        <v>0</v>
      </c>
      <c r="I56" s="1" t="s">
        <v>11063</v>
      </c>
      <c r="J56" s="11">
        <v>44043.058298611111</v>
      </c>
      <c r="K56" s="1" t="s">
        <v>8190</v>
      </c>
      <c r="L56" s="1">
        <v>0.52500000000000002</v>
      </c>
      <c r="M56" s="1">
        <v>0.69899999999999995</v>
      </c>
      <c r="N56">
        <v>9</v>
      </c>
      <c r="O56" s="1">
        <v>-4.5709999999999997</v>
      </c>
      <c r="P56">
        <v>1</v>
      </c>
      <c r="Q56" s="1">
        <v>3.5299999999999998E-2</v>
      </c>
      <c r="R56" s="1">
        <v>1.78E-2</v>
      </c>
      <c r="S56" s="1">
        <v>8.7999999999999998E-5</v>
      </c>
      <c r="T56" s="1">
        <v>8.8800000000000004E-2</v>
      </c>
      <c r="U56" s="1">
        <v>0.19900000000000001</v>
      </c>
      <c r="V56" s="1">
        <v>92.010999999999996</v>
      </c>
      <c r="W56">
        <v>4</v>
      </c>
    </row>
    <row r="57" spans="1:23" x14ac:dyDescent="0.25">
      <c r="A57" s="1" t="s">
        <v>11204</v>
      </c>
      <c r="B57" s="1" t="s">
        <v>11205</v>
      </c>
      <c r="C57" s="1" t="s">
        <v>5519</v>
      </c>
      <c r="D57" s="1" t="s">
        <v>3988</v>
      </c>
      <c r="E57" s="1" t="s">
        <v>5520</v>
      </c>
      <c r="F57" s="10">
        <v>43007</v>
      </c>
      <c r="G57">
        <v>268875</v>
      </c>
      <c r="H57">
        <v>30</v>
      </c>
      <c r="I57" s="1" t="s">
        <v>11063</v>
      </c>
      <c r="J57" s="11">
        <v>44043.058449074073</v>
      </c>
      <c r="K57" s="1" t="s">
        <v>4500</v>
      </c>
      <c r="L57" s="1">
        <v>0.68</v>
      </c>
      <c r="M57" s="1">
        <v>0.86499999999999999</v>
      </c>
      <c r="N57">
        <v>5</v>
      </c>
      <c r="O57" s="1">
        <v>-3.8559999999999999</v>
      </c>
      <c r="P57">
        <f>0</f>
        <v>0</v>
      </c>
      <c r="Q57" s="1">
        <v>0.187</v>
      </c>
      <c r="R57" s="1">
        <v>0.308</v>
      </c>
      <c r="S57" s="1">
        <v>3.9400000000000004E-6</v>
      </c>
      <c r="T57" s="1">
        <v>0.10299999999999999</v>
      </c>
      <c r="U57" s="1">
        <v>0.20799999999999999</v>
      </c>
      <c r="V57" s="1">
        <v>107.004</v>
      </c>
      <c r="W57">
        <v>4</v>
      </c>
    </row>
    <row r="58" spans="1:23" x14ac:dyDescent="0.25">
      <c r="A58" s="1" t="s">
        <v>11206</v>
      </c>
      <c r="B58" s="1" t="s">
        <v>11207</v>
      </c>
      <c r="C58" s="1" t="s">
        <v>6094</v>
      </c>
      <c r="D58" s="1" t="s">
        <v>6094</v>
      </c>
      <c r="E58" s="1" t="s">
        <v>6095</v>
      </c>
      <c r="F58" s="10">
        <v>43160</v>
      </c>
      <c r="G58">
        <v>184109</v>
      </c>
      <c r="H58">
        <v>12</v>
      </c>
      <c r="I58" s="1" t="s">
        <v>11063</v>
      </c>
      <c r="J58" s="11">
        <v>44057.458414351851</v>
      </c>
      <c r="K58" s="1" t="s">
        <v>50</v>
      </c>
      <c r="L58" s="1">
        <v>0.59</v>
      </c>
      <c r="M58" s="1">
        <v>0.81100000000000005</v>
      </c>
      <c r="N58">
        <v>1</v>
      </c>
      <c r="O58" s="1">
        <v>-6.8140000000000001</v>
      </c>
      <c r="P58">
        <f>0</f>
        <v>0</v>
      </c>
      <c r="Q58" s="1">
        <v>0.109</v>
      </c>
      <c r="R58" s="1">
        <v>0.13400000000000001</v>
      </c>
      <c r="S58" s="1">
        <v>4.1300000000000001E-5</v>
      </c>
      <c r="T58" s="1">
        <v>8.9899999999999994E-2</v>
      </c>
      <c r="U58" s="1">
        <v>0.26900000000000002</v>
      </c>
      <c r="V58" s="1">
        <v>72.948999999999998</v>
      </c>
      <c r="W58">
        <v>4</v>
      </c>
    </row>
    <row r="59" spans="1:23" x14ac:dyDescent="0.25">
      <c r="A59" s="1" t="s">
        <v>11208</v>
      </c>
      <c r="B59" s="1" t="s">
        <v>11209</v>
      </c>
      <c r="C59" s="1" t="s">
        <v>5427</v>
      </c>
      <c r="D59" s="1" t="s">
        <v>11210</v>
      </c>
      <c r="E59" s="1" t="s">
        <v>5428</v>
      </c>
      <c r="F59" s="10">
        <v>42958</v>
      </c>
      <c r="G59">
        <v>236619</v>
      </c>
      <c r="H59">
        <v>42</v>
      </c>
      <c r="I59" s="1" t="s">
        <v>11063</v>
      </c>
      <c r="J59" s="11">
        <v>44075.927337962959</v>
      </c>
      <c r="K59" s="1" t="s">
        <v>5429</v>
      </c>
      <c r="L59" s="1">
        <v>0.47</v>
      </c>
      <c r="M59" s="1">
        <v>0.88500000000000001</v>
      </c>
      <c r="N59">
        <v>7</v>
      </c>
      <c r="O59" s="1">
        <v>-2.6019999999999999</v>
      </c>
      <c r="P59">
        <f>0</f>
        <v>0</v>
      </c>
      <c r="Q59" s="1">
        <v>4.6300000000000001E-2</v>
      </c>
      <c r="R59" s="1">
        <v>2.4500000000000001E-2</v>
      </c>
      <c r="S59" s="1">
        <f>0</f>
        <v>0</v>
      </c>
      <c r="T59" s="1">
        <v>0.105</v>
      </c>
      <c r="U59" s="1">
        <v>0.39700000000000002</v>
      </c>
      <c r="V59" s="1">
        <v>141.95099999999999</v>
      </c>
      <c r="W59">
        <v>4</v>
      </c>
    </row>
    <row r="60" spans="1:23" x14ac:dyDescent="0.25">
      <c r="A60" s="1" t="s">
        <v>11211</v>
      </c>
      <c r="B60" s="1" t="s">
        <v>11212</v>
      </c>
      <c r="C60" s="1" t="s">
        <v>5491</v>
      </c>
      <c r="D60" s="1" t="s">
        <v>5491</v>
      </c>
      <c r="E60" s="1" t="s">
        <v>5492</v>
      </c>
      <c r="F60" s="10">
        <v>43756</v>
      </c>
      <c r="G60">
        <v>175304</v>
      </c>
      <c r="H60">
        <v>48</v>
      </c>
      <c r="I60" s="1" t="s">
        <v>11063</v>
      </c>
      <c r="J60" s="11">
        <v>44134.441458333335</v>
      </c>
      <c r="K60" s="1" t="s">
        <v>5493</v>
      </c>
      <c r="L60" s="1">
        <v>0.80300000000000005</v>
      </c>
      <c r="M60" s="1">
        <v>0.66200000000000003</v>
      </c>
      <c r="N60">
        <v>4</v>
      </c>
      <c r="O60" s="1">
        <v>-6.5869999999999997</v>
      </c>
      <c r="P60">
        <f>0</f>
        <v>0</v>
      </c>
      <c r="Q60" s="1">
        <v>0.222</v>
      </c>
      <c r="R60" s="1">
        <v>0.371</v>
      </c>
      <c r="S60" s="1">
        <v>5.5800000000000002E-2</v>
      </c>
      <c r="T60" s="1">
        <v>0.36899999999999999</v>
      </c>
      <c r="U60" s="1">
        <v>0.41899999999999998</v>
      </c>
      <c r="V60" s="1">
        <v>115.014</v>
      </c>
      <c r="W60">
        <v>4</v>
      </c>
    </row>
    <row r="61" spans="1:23" x14ac:dyDescent="0.25">
      <c r="A61" s="1" t="s">
        <v>11213</v>
      </c>
      <c r="B61" s="1" t="s">
        <v>11214</v>
      </c>
      <c r="C61" s="1" t="s">
        <v>318</v>
      </c>
      <c r="D61" s="1" t="s">
        <v>11215</v>
      </c>
      <c r="E61" s="1" t="s">
        <v>319</v>
      </c>
      <c r="F61" s="10">
        <v>42699</v>
      </c>
      <c r="G61">
        <v>218480</v>
      </c>
      <c r="H61">
        <v>63</v>
      </c>
      <c r="I61" s="1" t="s">
        <v>11063</v>
      </c>
      <c r="J61" s="11">
        <v>44163.056840277779</v>
      </c>
      <c r="K61" s="1" t="s">
        <v>320</v>
      </c>
      <c r="L61" s="1">
        <v>0.66100000000000003</v>
      </c>
      <c r="M61" s="1">
        <v>0.63500000000000001</v>
      </c>
      <c r="N61">
        <v>10</v>
      </c>
      <c r="O61" s="1">
        <v>-7.423</v>
      </c>
      <c r="P61">
        <f>0</f>
        <v>0</v>
      </c>
      <c r="Q61" s="1">
        <v>6.4500000000000002E-2</v>
      </c>
      <c r="R61" s="1">
        <v>0.20399999999999999</v>
      </c>
      <c r="S61" s="1">
        <v>1.14E-3</v>
      </c>
      <c r="T61" s="1">
        <v>0.186</v>
      </c>
      <c r="U61" s="1">
        <v>0.36499999999999999</v>
      </c>
      <c r="V61" s="1">
        <v>99.971999999999994</v>
      </c>
      <c r="W61">
        <v>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3DA36-2934-482D-9EBD-2807E9621B03}">
  <sheetPr codeName="Sheet26"/>
  <dimension ref="A1:W192"/>
  <sheetViews>
    <sheetView topLeftCell="J1" workbookViewId="0">
      <selection activeCell="L1" sqref="L1:W1048576"/>
    </sheetView>
  </sheetViews>
  <sheetFormatPr defaultRowHeight="15" x14ac:dyDescent="0.25"/>
  <cols>
    <col min="1" max="1" width="27.7109375" bestFit="1" customWidth="1"/>
    <col min="2" max="2" width="81.140625" bestFit="1" customWidth="1"/>
    <col min="3" max="4" width="63.42578125" bestFit="1" customWidth="1"/>
    <col min="5" max="5" width="51.85546875" bestFit="1" customWidth="1"/>
    <col min="6" max="6" width="14.85546875" bestFit="1" customWidth="1"/>
    <col min="7" max="7" width="15.5703125" bestFit="1" customWidth="1"/>
    <col min="8" max="8" width="12.42578125" bestFit="1" customWidth="1"/>
    <col min="9" max="9" width="39.42578125" bestFit="1" customWidth="1"/>
    <col min="10" max="10" width="15.85546875" bestFit="1" customWidth="1"/>
    <col min="11" max="11" width="81.140625" bestFit="1" customWidth="1"/>
    <col min="12" max="12" width="14.28515625" bestFit="1" customWidth="1"/>
    <col min="13" max="13" width="9.28515625" bestFit="1" customWidth="1"/>
    <col min="14" max="14" width="6.5703125" bestFit="1" customWidth="1"/>
    <col min="15" max="15" width="11.5703125" bestFit="1" customWidth="1"/>
    <col min="16" max="16" width="8.5703125" bestFit="1" customWidth="1"/>
    <col min="17" max="17" width="14.28515625" bestFit="1" customWidth="1"/>
    <col min="18" max="18" width="14.7109375" bestFit="1" customWidth="1"/>
    <col min="19" max="19" width="18.85546875" bestFit="1" customWidth="1"/>
    <col min="20" max="20" width="10.85546875" bestFit="1" customWidth="1"/>
    <col min="21" max="21" width="10.42578125" bestFit="1" customWidth="1"/>
    <col min="22" max="22" width="9.42578125" bestFit="1" customWidth="1"/>
    <col min="23" max="23" width="16.7109375" bestFit="1" customWidth="1"/>
  </cols>
  <sheetData>
    <row r="1" spans="1:23" x14ac:dyDescent="0.25">
      <c r="A1" t="s">
        <v>11055</v>
      </c>
      <c r="B1" t="s">
        <v>11056</v>
      </c>
      <c r="C1" t="s">
        <v>0</v>
      </c>
      <c r="D1" t="s">
        <v>11057</v>
      </c>
      <c r="E1" t="s">
        <v>1</v>
      </c>
      <c r="F1" t="s">
        <v>11058</v>
      </c>
      <c r="G1" t="s">
        <v>2</v>
      </c>
      <c r="H1" t="s">
        <v>3</v>
      </c>
      <c r="I1" t="s">
        <v>11059</v>
      </c>
      <c r="J1" t="s">
        <v>11060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</row>
    <row r="2" spans="1:23" x14ac:dyDescent="0.25">
      <c r="A2" s="1" t="s">
        <v>11217</v>
      </c>
      <c r="B2" s="1" t="s">
        <v>11218</v>
      </c>
      <c r="C2" s="1" t="s">
        <v>17</v>
      </c>
      <c r="D2" s="1" t="s">
        <v>17</v>
      </c>
      <c r="E2" s="1" t="s">
        <v>18</v>
      </c>
      <c r="F2" s="1" t="s">
        <v>11219</v>
      </c>
      <c r="G2">
        <v>162603</v>
      </c>
      <c r="H2">
        <v>83</v>
      </c>
      <c r="I2" s="1" t="s">
        <v>11063</v>
      </c>
      <c r="J2" s="11">
        <v>44697.929537037038</v>
      </c>
      <c r="K2" s="1" t="s">
        <v>19</v>
      </c>
      <c r="L2" s="1">
        <f>0.787</f>
        <v>0.78700000000000003</v>
      </c>
      <c r="M2" s="1">
        <f>0.833</f>
        <v>0.83299999999999996</v>
      </c>
      <c r="N2">
        <v>8</v>
      </c>
      <c r="O2" s="1" t="s">
        <v>11813</v>
      </c>
      <c r="P2">
        <v>1</v>
      </c>
      <c r="Q2" s="1" t="b">
        <f>0=478</f>
        <v>0</v>
      </c>
      <c r="R2" s="1" t="b">
        <f>0=18</f>
        <v>0</v>
      </c>
      <c r="S2" s="1" t="b">
        <f>0=0=747</f>
        <v>0</v>
      </c>
      <c r="T2" s="1" t="b">
        <f>0=374</f>
        <v>0</v>
      </c>
      <c r="U2" s="1">
        <f>0.796</f>
        <v>0.79600000000000004</v>
      </c>
      <c r="V2" s="1">
        <v>123.97</v>
      </c>
      <c r="W2">
        <v>4</v>
      </c>
    </row>
    <row r="3" spans="1:23" x14ac:dyDescent="0.25">
      <c r="A3" s="1" t="s">
        <v>11220</v>
      </c>
      <c r="B3" s="1" t="s">
        <v>11221</v>
      </c>
      <c r="C3" s="1" t="s">
        <v>20</v>
      </c>
      <c r="D3" s="1" t="s">
        <v>20</v>
      </c>
      <c r="E3" s="1" t="s">
        <v>21</v>
      </c>
      <c r="F3" s="1" t="s">
        <v>11222</v>
      </c>
      <c r="G3">
        <v>196899</v>
      </c>
      <c r="H3">
        <v>75</v>
      </c>
      <c r="I3" s="1" t="s">
        <v>11063</v>
      </c>
      <c r="J3" s="11">
        <v>44698.012372685182</v>
      </c>
      <c r="K3" s="1" t="s">
        <v>22</v>
      </c>
      <c r="L3" s="1">
        <f>0.685</f>
        <v>0.68500000000000005</v>
      </c>
      <c r="M3" s="1">
        <f>0.911</f>
        <v>0.91100000000000003</v>
      </c>
      <c r="N3">
        <v>9</v>
      </c>
      <c r="O3" s="1">
        <v>-4.9770000000000003</v>
      </c>
      <c r="P3">
        <v>1</v>
      </c>
      <c r="Q3" s="1">
        <f>0.144</f>
        <v>0.14399999999999999</v>
      </c>
      <c r="R3" s="1" t="b">
        <f>0=0=552</f>
        <v>0</v>
      </c>
      <c r="S3" s="1" t="b">
        <f>0=247</f>
        <v>0</v>
      </c>
      <c r="T3" s="1">
        <f>0.285</f>
        <v>0.28499999999999998</v>
      </c>
      <c r="U3" s="1">
        <f>0.351</f>
        <v>0.35099999999999998</v>
      </c>
      <c r="V3" s="1" t="s">
        <v>11814</v>
      </c>
      <c r="W3">
        <v>4</v>
      </c>
    </row>
    <row r="4" spans="1:23" x14ac:dyDescent="0.25">
      <c r="A4" s="1" t="s">
        <v>11223</v>
      </c>
      <c r="B4" s="1" t="s">
        <v>11224</v>
      </c>
      <c r="C4" s="1" t="s">
        <v>23</v>
      </c>
      <c r="D4" s="1" t="s">
        <v>23</v>
      </c>
      <c r="E4" s="1" t="s">
        <v>24</v>
      </c>
      <c r="F4" s="1" t="s">
        <v>11225</v>
      </c>
      <c r="G4">
        <v>171598</v>
      </c>
      <c r="H4">
        <v>69</v>
      </c>
      <c r="I4" s="1" t="s">
        <v>11063</v>
      </c>
      <c r="J4" s="11">
        <v>44698.012430555558</v>
      </c>
      <c r="K4" s="1" t="s">
        <v>25</v>
      </c>
      <c r="L4" s="1">
        <f>0.779</f>
        <v>0.77900000000000003</v>
      </c>
      <c r="M4" s="1">
        <f>0.727</f>
        <v>0.72699999999999998</v>
      </c>
      <c r="N4">
        <v>11</v>
      </c>
      <c r="O4" s="1">
        <v>-8.59</v>
      </c>
      <c r="P4">
        <f>0</f>
        <v>0</v>
      </c>
      <c r="Q4" s="1" t="b">
        <f>0=53</f>
        <v>0</v>
      </c>
      <c r="R4" s="1">
        <f>0.165</f>
        <v>0.16500000000000001</v>
      </c>
      <c r="S4" s="1" t="b">
        <f>0=194</f>
        <v>0</v>
      </c>
      <c r="T4" s="1">
        <f>0.32</f>
        <v>0.32</v>
      </c>
      <c r="U4" s="1">
        <f>0.455</f>
        <v>0.45500000000000002</v>
      </c>
      <c r="V4" s="1" t="s">
        <v>11815</v>
      </c>
      <c r="W4">
        <v>4</v>
      </c>
    </row>
    <row r="5" spans="1:23" x14ac:dyDescent="0.25">
      <c r="A5" s="1" t="s">
        <v>11226</v>
      </c>
      <c r="B5" s="1" t="s">
        <v>11227</v>
      </c>
      <c r="C5" s="1" t="s">
        <v>26</v>
      </c>
      <c r="D5" s="1" t="s">
        <v>26</v>
      </c>
      <c r="E5" s="1" t="s">
        <v>27</v>
      </c>
      <c r="F5" s="1" t="s">
        <v>11228</v>
      </c>
      <c r="G5">
        <v>202905</v>
      </c>
      <c r="H5">
        <v>65</v>
      </c>
      <c r="I5" s="1" t="s">
        <v>11063</v>
      </c>
      <c r="J5" s="11">
        <v>44698.013009259259</v>
      </c>
      <c r="K5" s="1" t="s">
        <v>28</v>
      </c>
      <c r="L5" s="1">
        <f>0.673</f>
        <v>0.67300000000000004</v>
      </c>
      <c r="M5" s="1">
        <f>0.625</f>
        <v>0.625</v>
      </c>
      <c r="N5">
        <v>9</v>
      </c>
      <c r="O5" s="1">
        <v>-6.8540000000000001</v>
      </c>
      <c r="P5">
        <f>0</f>
        <v>0</v>
      </c>
      <c r="Q5" s="1" t="b">
        <f>0=272</f>
        <v>0</v>
      </c>
      <c r="R5" s="1" t="b">
        <f>0=243</f>
        <v>0</v>
      </c>
      <c r="S5" s="1" t="b">
        <f>0=219</f>
        <v>0</v>
      </c>
      <c r="T5" s="1" t="b">
        <f>0=577</f>
        <v>0</v>
      </c>
      <c r="U5" s="1">
        <f>0.386</f>
        <v>0.38600000000000001</v>
      </c>
      <c r="V5" s="1" t="s">
        <v>11816</v>
      </c>
      <c r="W5">
        <v>4</v>
      </c>
    </row>
    <row r="6" spans="1:23" x14ac:dyDescent="0.25">
      <c r="A6" s="1" t="s">
        <v>11229</v>
      </c>
      <c r="B6" s="1" t="s">
        <v>11230</v>
      </c>
      <c r="C6" s="1" t="s">
        <v>29</v>
      </c>
      <c r="D6" s="1" t="s">
        <v>29</v>
      </c>
      <c r="E6" s="1" t="s">
        <v>30</v>
      </c>
      <c r="F6" s="1" t="s">
        <v>11231</v>
      </c>
      <c r="G6">
        <v>186666</v>
      </c>
      <c r="H6">
        <v>65</v>
      </c>
      <c r="I6" s="1" t="s">
        <v>11063</v>
      </c>
      <c r="J6" s="11">
        <v>44698.013090277775</v>
      </c>
      <c r="K6" s="1" t="s">
        <v>31</v>
      </c>
      <c r="L6" s="1">
        <f>0.643</f>
        <v>0.64300000000000002</v>
      </c>
      <c r="M6" s="1">
        <f>0.762</f>
        <v>0.76200000000000001</v>
      </c>
      <c r="N6">
        <v>7</v>
      </c>
      <c r="O6" s="1" t="s">
        <v>11817</v>
      </c>
      <c r="P6">
        <f>0</f>
        <v>0</v>
      </c>
      <c r="Q6" s="1" t="b">
        <f>0=373</f>
        <v>0</v>
      </c>
      <c r="R6" s="1" t="b">
        <f>0=525</f>
        <v>0</v>
      </c>
      <c r="S6" s="1">
        <f>0</f>
        <v>0</v>
      </c>
      <c r="T6" s="1">
        <f>0.345</f>
        <v>0.34499999999999997</v>
      </c>
      <c r="U6" s="1">
        <f>0.399</f>
        <v>0.39900000000000002</v>
      </c>
      <c r="V6" s="1">
        <v>125.947</v>
      </c>
      <c r="W6">
        <v>4</v>
      </c>
    </row>
    <row r="7" spans="1:23" x14ac:dyDescent="0.25">
      <c r="A7" s="1" t="s">
        <v>11232</v>
      </c>
      <c r="B7" s="1" t="s">
        <v>11233</v>
      </c>
      <c r="C7" s="1" t="s">
        <v>33</v>
      </c>
      <c r="D7" s="1" t="s">
        <v>33</v>
      </c>
      <c r="E7" s="1" t="s">
        <v>34</v>
      </c>
      <c r="F7" s="1" t="s">
        <v>11234</v>
      </c>
      <c r="G7">
        <v>200211</v>
      </c>
      <c r="H7">
        <v>72</v>
      </c>
      <c r="I7" s="1" t="s">
        <v>11063</v>
      </c>
      <c r="J7" s="11">
        <v>44698.01321759259</v>
      </c>
      <c r="K7" s="1" t="s">
        <v>35</v>
      </c>
      <c r="L7" s="1">
        <f>0.797</f>
        <v>0.79700000000000004</v>
      </c>
      <c r="M7" s="1">
        <f>0.649</f>
        <v>0.64900000000000002</v>
      </c>
      <c r="N7">
        <v>3</v>
      </c>
      <c r="O7" s="1" t="s">
        <v>11818</v>
      </c>
      <c r="P7">
        <f>0</f>
        <v>0</v>
      </c>
      <c r="Q7" s="1">
        <f>0.182</f>
        <v>0.182</v>
      </c>
      <c r="R7" s="1">
        <f>0.24</f>
        <v>0.24</v>
      </c>
      <c r="S7" s="1" t="b">
        <f>0=0=12</f>
        <v>0</v>
      </c>
      <c r="T7" s="1">
        <f>0.153</f>
        <v>0.153</v>
      </c>
      <c r="U7" s="1">
        <f>0.437</f>
        <v>0.437</v>
      </c>
      <c r="V7" s="1">
        <v>117.971</v>
      </c>
      <c r="W7">
        <v>4</v>
      </c>
    </row>
    <row r="8" spans="1:23" x14ac:dyDescent="0.25">
      <c r="A8" s="1" t="s">
        <v>11235</v>
      </c>
      <c r="B8" s="1" t="s">
        <v>11236</v>
      </c>
      <c r="C8" s="1" t="s">
        <v>36</v>
      </c>
      <c r="D8" s="1" t="s">
        <v>36</v>
      </c>
      <c r="E8" s="1" t="s">
        <v>37</v>
      </c>
      <c r="F8" s="1" t="s">
        <v>11237</v>
      </c>
      <c r="G8">
        <v>161266</v>
      </c>
      <c r="H8">
        <v>81</v>
      </c>
      <c r="I8" s="1" t="s">
        <v>11063</v>
      </c>
      <c r="J8" s="11">
        <v>44698.013854166667</v>
      </c>
      <c r="K8" s="1" t="s">
        <v>38</v>
      </c>
      <c r="L8" s="1">
        <f>0.685</f>
        <v>0.68500000000000005</v>
      </c>
      <c r="M8" s="1">
        <f>0.886</f>
        <v>0.88600000000000001</v>
      </c>
      <c r="N8">
        <f>0</f>
        <v>0</v>
      </c>
      <c r="O8" s="1">
        <v>-4.1790000000000003</v>
      </c>
      <c r="P8">
        <v>1</v>
      </c>
      <c r="Q8" s="1" t="b">
        <f>0=34</f>
        <v>0</v>
      </c>
      <c r="R8" s="1" t="b">
        <f>0=28</f>
        <v>0</v>
      </c>
      <c r="S8" s="1">
        <f>0</f>
        <v>0</v>
      </c>
      <c r="T8" s="1">
        <f>0.481</f>
        <v>0.48099999999999998</v>
      </c>
      <c r="U8" s="1">
        <f>0.615</f>
        <v>0.61499999999999999</v>
      </c>
      <c r="V8" s="1" t="s">
        <v>11819</v>
      </c>
      <c r="W8">
        <v>4</v>
      </c>
    </row>
    <row r="9" spans="1:23" x14ac:dyDescent="0.25">
      <c r="A9" s="1" t="s">
        <v>11238</v>
      </c>
      <c r="B9" s="1" t="s">
        <v>11239</v>
      </c>
      <c r="C9" s="1" t="s">
        <v>39</v>
      </c>
      <c r="D9" s="1" t="s">
        <v>39</v>
      </c>
      <c r="E9" s="1" t="s">
        <v>40</v>
      </c>
      <c r="F9" s="1" t="s">
        <v>11240</v>
      </c>
      <c r="G9">
        <v>159315</v>
      </c>
      <c r="H9">
        <v>68</v>
      </c>
      <c r="I9" s="1" t="s">
        <v>11063</v>
      </c>
      <c r="J9" s="11">
        <v>44698.013912037037</v>
      </c>
      <c r="K9" s="1" t="s">
        <v>41</v>
      </c>
      <c r="L9" s="1">
        <f>0.632</f>
        <v>0.63200000000000001</v>
      </c>
      <c r="M9" s="1">
        <f>0.691</f>
        <v>0.69099999999999995</v>
      </c>
      <c r="N9">
        <v>9</v>
      </c>
      <c r="O9" s="1">
        <v>-5.226</v>
      </c>
      <c r="P9">
        <f>0</f>
        <v>0</v>
      </c>
      <c r="Q9" s="1" t="b">
        <f>0=6=3</f>
        <v>0</v>
      </c>
      <c r="R9" s="1" t="b">
        <f>0=0=6=4</f>
        <v>0</v>
      </c>
      <c r="S9" s="1" t="b">
        <f>0=0=149</f>
        <v>0</v>
      </c>
      <c r="T9" s="1">
        <f>0.19</f>
        <v>0.19</v>
      </c>
      <c r="U9" s="1" t="b">
        <f>0=768</f>
        <v>0</v>
      </c>
      <c r="V9" s="1" t="s">
        <v>11820</v>
      </c>
      <c r="W9">
        <v>4</v>
      </c>
    </row>
    <row r="10" spans="1:23" x14ac:dyDescent="0.25">
      <c r="A10" s="1" t="s">
        <v>11241</v>
      </c>
      <c r="B10" s="1" t="s">
        <v>11242</v>
      </c>
      <c r="C10" s="1" t="s">
        <v>42</v>
      </c>
      <c r="D10" s="1" t="s">
        <v>42</v>
      </c>
      <c r="E10" s="1" t="s">
        <v>43</v>
      </c>
      <c r="F10" s="1" t="s">
        <v>11243</v>
      </c>
      <c r="G10">
        <v>216770</v>
      </c>
      <c r="H10">
        <v>37</v>
      </c>
      <c r="I10" s="1" t="s">
        <v>11063</v>
      </c>
      <c r="J10" s="11">
        <v>44698.013969907406</v>
      </c>
      <c r="K10" s="1" t="s">
        <v>44</v>
      </c>
      <c r="L10" s="1">
        <f>0.691</f>
        <v>0.69099999999999995</v>
      </c>
      <c r="M10" s="1" t="b">
        <f>0.8=5</f>
        <v>0</v>
      </c>
      <c r="N10">
        <v>11</v>
      </c>
      <c r="O10" s="1">
        <v>-5.3959999999999999</v>
      </c>
      <c r="P10">
        <f>0</f>
        <v>0</v>
      </c>
      <c r="Q10" s="1">
        <f>0.123</f>
        <v>0.123</v>
      </c>
      <c r="R10" s="1" t="b">
        <f>0=532</f>
        <v>0</v>
      </c>
      <c r="S10" s="1">
        <f>0</f>
        <v>0</v>
      </c>
      <c r="T10" s="1">
        <f>0.189</f>
        <v>0.189</v>
      </c>
      <c r="U10" s="1">
        <f>0.873</f>
        <v>0.873</v>
      </c>
      <c r="V10" s="1">
        <v>117.974</v>
      </c>
      <c r="W10">
        <v>4</v>
      </c>
    </row>
    <row r="11" spans="1:23" x14ac:dyDescent="0.25">
      <c r="A11" s="1" t="s">
        <v>11244</v>
      </c>
      <c r="B11" s="1" t="s">
        <v>11245</v>
      </c>
      <c r="C11" s="1" t="s">
        <v>45</v>
      </c>
      <c r="D11" s="1" t="s">
        <v>45</v>
      </c>
      <c r="E11" s="1" t="s">
        <v>46</v>
      </c>
      <c r="F11" s="1" t="s">
        <v>11246</v>
      </c>
      <c r="G11">
        <v>157890</v>
      </c>
      <c r="H11">
        <v>87</v>
      </c>
      <c r="I11" s="1" t="s">
        <v>11063</v>
      </c>
      <c r="J11" s="11">
        <v>44698.015347222223</v>
      </c>
      <c r="K11" s="1" t="s">
        <v>47</v>
      </c>
      <c r="L11" s="1">
        <f>0.854</f>
        <v>0.85399999999999998</v>
      </c>
      <c r="M11" s="1" t="b">
        <f>0.8=6</f>
        <v>0</v>
      </c>
      <c r="N11">
        <v>11</v>
      </c>
      <c r="O11" s="1">
        <v>-8.2620000000000005</v>
      </c>
      <c r="P11">
        <f>0</f>
        <v>0</v>
      </c>
      <c r="Q11" s="1" t="b">
        <f>0=886</f>
        <v>0</v>
      </c>
      <c r="R11" s="1" t="b">
        <f>0=2=9</f>
        <v>0</v>
      </c>
      <c r="S11" s="1" t="b">
        <f>0=542</f>
        <v>0</v>
      </c>
      <c r="T11" s="1" t="b">
        <f>0=7=3</f>
        <v>0</v>
      </c>
      <c r="U11" s="1">
        <f>0.637</f>
        <v>0.63700000000000001</v>
      </c>
      <c r="V11" s="1">
        <v>124.92700000000001</v>
      </c>
      <c r="W11">
        <v>4</v>
      </c>
    </row>
    <row r="12" spans="1:23" x14ac:dyDescent="0.25">
      <c r="A12" s="1" t="s">
        <v>11247</v>
      </c>
      <c r="B12" s="1" t="s">
        <v>11248</v>
      </c>
      <c r="C12" s="1" t="s">
        <v>48</v>
      </c>
      <c r="D12" s="1" t="s">
        <v>48</v>
      </c>
      <c r="E12" s="1" t="s">
        <v>49</v>
      </c>
      <c r="F12" s="1" t="s">
        <v>11249</v>
      </c>
      <c r="G12">
        <v>197472</v>
      </c>
      <c r="H12">
        <v>77</v>
      </c>
      <c r="I12" s="1" t="s">
        <v>11063</v>
      </c>
      <c r="J12" s="11">
        <v>44698.015555555554</v>
      </c>
      <c r="K12" s="1" t="s">
        <v>50</v>
      </c>
      <c r="L12" s="1">
        <f>0.773</f>
        <v>0.77300000000000002</v>
      </c>
      <c r="M12" s="1">
        <f>0.74</f>
        <v>0.74</v>
      </c>
      <c r="N12">
        <v>7</v>
      </c>
      <c r="O12" s="1">
        <v>-8.1690000000000005</v>
      </c>
      <c r="P12">
        <f>0</f>
        <v>0</v>
      </c>
      <c r="Q12" s="1" t="b">
        <f>0=386</f>
        <v>0</v>
      </c>
      <c r="R12" s="1" t="b">
        <f>0=627</f>
        <v>0</v>
      </c>
      <c r="S12" s="1" t="b">
        <f>0=0=183</f>
        <v>0</v>
      </c>
      <c r="T12" s="1" t="b">
        <f>0=829</f>
        <v>0</v>
      </c>
      <c r="U12" s="1" t="b">
        <f>0.5=4</f>
        <v>0</v>
      </c>
      <c r="V12" s="1" t="s">
        <v>11821</v>
      </c>
      <c r="W12">
        <v>4</v>
      </c>
    </row>
    <row r="13" spans="1:23" x14ac:dyDescent="0.25">
      <c r="A13" s="1" t="s">
        <v>11250</v>
      </c>
      <c r="B13" s="1" t="s">
        <v>11251</v>
      </c>
      <c r="C13" s="1" t="s">
        <v>51</v>
      </c>
      <c r="D13" s="1" t="s">
        <v>51</v>
      </c>
      <c r="E13" s="1" t="s">
        <v>52</v>
      </c>
      <c r="F13" s="1" t="s">
        <v>11252</v>
      </c>
      <c r="G13">
        <v>148960</v>
      </c>
      <c r="H13">
        <v>77</v>
      </c>
      <c r="I13" s="1" t="s">
        <v>11063</v>
      </c>
      <c r="J13" s="11">
        <v>44698.015590277777</v>
      </c>
      <c r="K13" s="1" t="s">
        <v>53</v>
      </c>
      <c r="L13" s="1">
        <f>0.695</f>
        <v>0.69499999999999995</v>
      </c>
      <c r="M13" s="1">
        <f>0.781</f>
        <v>0.78100000000000003</v>
      </c>
      <c r="N13">
        <v>7</v>
      </c>
      <c r="O13" s="1">
        <v>-5.5780000000000003</v>
      </c>
      <c r="P13">
        <f>0</f>
        <v>0</v>
      </c>
      <c r="Q13" s="1" t="b">
        <f>0=452</f>
        <v>0</v>
      </c>
      <c r="R13" s="1" t="b">
        <f>0=185</f>
        <v>0</v>
      </c>
      <c r="S13" s="1" t="b">
        <f>0=0=0=0=312</f>
        <v>0</v>
      </c>
      <c r="T13" s="1">
        <f>0.295</f>
        <v>0.29499999999999998</v>
      </c>
      <c r="U13" s="1">
        <f>0.456</f>
        <v>0.45600000000000002</v>
      </c>
      <c r="V13" s="1" t="s">
        <v>11822</v>
      </c>
      <c r="W13">
        <v>4</v>
      </c>
    </row>
    <row r="14" spans="1:23" x14ac:dyDescent="0.25">
      <c r="A14" s="1" t="s">
        <v>11253</v>
      </c>
      <c r="B14" s="1" t="s">
        <v>11254</v>
      </c>
      <c r="C14" s="1" t="s">
        <v>54</v>
      </c>
      <c r="D14" s="1" t="s">
        <v>54</v>
      </c>
      <c r="E14" s="1" t="s">
        <v>55</v>
      </c>
      <c r="F14" s="1" t="s">
        <v>11255</v>
      </c>
      <c r="G14">
        <v>189880</v>
      </c>
      <c r="H14">
        <v>79</v>
      </c>
      <c r="I14" s="1" t="s">
        <v>11063</v>
      </c>
      <c r="J14" s="11">
        <v>44698.015694444446</v>
      </c>
      <c r="K14" s="1" t="s">
        <v>56</v>
      </c>
      <c r="L14" s="1">
        <f>0.878</f>
        <v>0.878</v>
      </c>
      <c r="M14" s="1">
        <f>0.875</f>
        <v>0.875</v>
      </c>
      <c r="N14">
        <v>1</v>
      </c>
      <c r="O14" s="1">
        <v>-4.923</v>
      </c>
      <c r="P14">
        <v>1</v>
      </c>
      <c r="Q14" s="1" t="b">
        <f>0=658</f>
        <v>0</v>
      </c>
      <c r="R14" s="1" t="b">
        <f>0=5=7</f>
        <v>0</v>
      </c>
      <c r="S14" s="1" t="b">
        <f>0=0=0=0=342</f>
        <v>0</v>
      </c>
      <c r="T14" s="1">
        <f>0.356</f>
        <v>0.35599999999999998</v>
      </c>
      <c r="U14" s="1">
        <f>0.84</f>
        <v>0.84</v>
      </c>
      <c r="V14" s="1" t="s">
        <v>11823</v>
      </c>
      <c r="W14">
        <v>4</v>
      </c>
    </row>
    <row r="15" spans="1:23" x14ac:dyDescent="0.25">
      <c r="A15" s="1" t="s">
        <v>11256</v>
      </c>
      <c r="B15" s="1" t="s">
        <v>11257</v>
      </c>
      <c r="C15" s="1" t="s">
        <v>57</v>
      </c>
      <c r="D15" s="1" t="s">
        <v>57</v>
      </c>
      <c r="E15" s="1" t="s">
        <v>58</v>
      </c>
      <c r="F15" s="1" t="s">
        <v>11258</v>
      </c>
      <c r="G15">
        <v>164818</v>
      </c>
      <c r="H15">
        <v>90</v>
      </c>
      <c r="I15" s="1" t="s">
        <v>11063</v>
      </c>
      <c r="J15" s="11">
        <v>44698.015856481485</v>
      </c>
      <c r="K15" s="1" t="s">
        <v>59</v>
      </c>
      <c r="L15" s="1">
        <f>0.754</f>
        <v>0.754</v>
      </c>
      <c r="M15" s="1">
        <f>0.763</f>
        <v>0.76300000000000001</v>
      </c>
      <c r="N15">
        <v>7</v>
      </c>
      <c r="O15" s="1">
        <v>-4.6269999999999998</v>
      </c>
      <c r="P15">
        <f>0</f>
        <v>0</v>
      </c>
      <c r="Q15" s="1" t="b">
        <f>0=435</f>
        <v>0</v>
      </c>
      <c r="R15" s="1" t="b">
        <f>0=3=1</f>
        <v>0</v>
      </c>
      <c r="S15" s="1" t="b">
        <f>0=0=0=0=223</f>
        <v>0</v>
      </c>
      <c r="T15" s="1" t="b">
        <f>0=9=1</f>
        <v>0</v>
      </c>
      <c r="U15" s="1">
        <f>0.464</f>
        <v>0.46400000000000002</v>
      </c>
      <c r="V15" s="1">
        <v>117.953</v>
      </c>
      <c r="W15">
        <v>4</v>
      </c>
    </row>
    <row r="16" spans="1:23" x14ac:dyDescent="0.25">
      <c r="A16" s="1" t="s">
        <v>11259</v>
      </c>
      <c r="B16" s="1" t="s">
        <v>11260</v>
      </c>
      <c r="C16" s="1" t="s">
        <v>60</v>
      </c>
      <c r="D16" s="1" t="s">
        <v>60</v>
      </c>
      <c r="E16" s="1" t="s">
        <v>61</v>
      </c>
      <c r="F16" s="1" t="s">
        <v>11261</v>
      </c>
      <c r="G16">
        <v>215203</v>
      </c>
      <c r="H16">
        <v>82</v>
      </c>
      <c r="I16" s="1" t="s">
        <v>11063</v>
      </c>
      <c r="J16" s="11">
        <v>44698.015902777777</v>
      </c>
      <c r="K16" s="1" t="s">
        <v>62</v>
      </c>
      <c r="L16" s="1">
        <f>0.75</f>
        <v>0.75</v>
      </c>
      <c r="M16" s="1">
        <f>0.797</f>
        <v>0.79700000000000004</v>
      </c>
      <c r="N16">
        <f>0</f>
        <v>0</v>
      </c>
      <c r="O16" s="1">
        <v>-4.8259999999999996</v>
      </c>
      <c r="P16">
        <v>1</v>
      </c>
      <c r="Q16" s="1">
        <f>0.118</f>
        <v>0.11799999999999999</v>
      </c>
      <c r="R16" s="1">
        <f>0.293</f>
        <v>0.29299999999999998</v>
      </c>
      <c r="S16" s="1">
        <f>0</f>
        <v>0</v>
      </c>
      <c r="T16" s="1">
        <f>0.392</f>
        <v>0.39200000000000002</v>
      </c>
      <c r="U16" s="1">
        <f>0.523</f>
        <v>0.52300000000000002</v>
      </c>
      <c r="V16" s="1" t="s">
        <v>11824</v>
      </c>
      <c r="W16">
        <v>4</v>
      </c>
    </row>
    <row r="17" spans="1:23" x14ac:dyDescent="0.25">
      <c r="A17" s="1" t="s">
        <v>11262</v>
      </c>
      <c r="B17" s="1" t="s">
        <v>11263</v>
      </c>
      <c r="C17" s="1" t="s">
        <v>63</v>
      </c>
      <c r="D17" s="1" t="s">
        <v>63</v>
      </c>
      <c r="E17" s="1" t="s">
        <v>64</v>
      </c>
      <c r="F17" s="1" t="s">
        <v>11264</v>
      </c>
      <c r="G17">
        <v>167142</v>
      </c>
      <c r="H17">
        <v>79</v>
      </c>
      <c r="I17" s="1" t="s">
        <v>11063</v>
      </c>
      <c r="J17" s="11">
        <v>44698.016099537039</v>
      </c>
      <c r="K17" s="1" t="s">
        <v>65</v>
      </c>
      <c r="L17" s="1">
        <f>0.63</f>
        <v>0.63</v>
      </c>
      <c r="M17" s="1">
        <f>0.91</f>
        <v>0.91</v>
      </c>
      <c r="N17" t="s">
        <v>11825</v>
      </c>
      <c r="O17" s="1">
        <v>-2.681</v>
      </c>
      <c r="P17">
        <f>0</f>
        <v>0</v>
      </c>
      <c r="Q17" s="1" t="b">
        <f>0=58</f>
        <v>0</v>
      </c>
      <c r="R17" s="1" t="b">
        <f>0=231</f>
        <v>0</v>
      </c>
      <c r="S17" s="1" t="b">
        <f>0=0=0=0=0=191</f>
        <v>0</v>
      </c>
      <c r="T17" s="1">
        <f>0.125</f>
        <v>0.125</v>
      </c>
      <c r="U17" s="1">
        <f>0.525</f>
        <v>0.52500000000000002</v>
      </c>
      <c r="V17" s="1" t="s">
        <v>11826</v>
      </c>
      <c r="W17">
        <v>4</v>
      </c>
    </row>
    <row r="18" spans="1:23" x14ac:dyDescent="0.25">
      <c r="A18" s="1" t="s">
        <v>11265</v>
      </c>
      <c r="B18" s="1" t="s">
        <v>11266</v>
      </c>
      <c r="C18" s="1" t="s">
        <v>66</v>
      </c>
      <c r="D18" s="1" t="s">
        <v>66</v>
      </c>
      <c r="E18" s="1" t="s">
        <v>67</v>
      </c>
      <c r="F18" s="1" t="s">
        <v>11231</v>
      </c>
      <c r="G18">
        <v>148197</v>
      </c>
      <c r="H18">
        <v>91</v>
      </c>
      <c r="I18" s="1" t="s">
        <v>11063</v>
      </c>
      <c r="J18" s="11">
        <v>44698.016527777778</v>
      </c>
      <c r="K18" s="1" t="s">
        <v>68</v>
      </c>
      <c r="L18" s="1">
        <f>0.671</f>
        <v>0.67100000000000004</v>
      </c>
      <c r="M18" s="1">
        <f>0.636</f>
        <v>0.63600000000000001</v>
      </c>
      <c r="N18">
        <v>6</v>
      </c>
      <c r="O18" s="1">
        <v>-8.1170000000000009</v>
      </c>
      <c r="P18">
        <f>0</f>
        <v>0</v>
      </c>
      <c r="Q18" s="1" t="b">
        <f>0.1=3</f>
        <v>0</v>
      </c>
      <c r="R18" s="1">
        <f>0.515</f>
        <v>0.51500000000000001</v>
      </c>
      <c r="S18" s="1" t="b">
        <f>0=0=0=411</f>
        <v>0</v>
      </c>
      <c r="T18" s="1">
        <f>0.172</f>
        <v>0.17199999999999999</v>
      </c>
      <c r="U18" s="1">
        <f>0.262</f>
        <v>0.26200000000000001</v>
      </c>
      <c r="V18" s="1" t="s">
        <v>11827</v>
      </c>
      <c r="W18">
        <v>4</v>
      </c>
    </row>
    <row r="19" spans="1:23" x14ac:dyDescent="0.25">
      <c r="A19" s="1" t="s">
        <v>11267</v>
      </c>
      <c r="B19" s="1" t="s">
        <v>11268</v>
      </c>
      <c r="C19" s="1" t="s">
        <v>69</v>
      </c>
      <c r="D19" s="1" t="s">
        <v>69</v>
      </c>
      <c r="E19" s="1" t="s">
        <v>70</v>
      </c>
      <c r="F19" s="1" t="s">
        <v>11269</v>
      </c>
      <c r="G19">
        <v>168053</v>
      </c>
      <c r="H19">
        <v>73</v>
      </c>
      <c r="I19" s="1" t="s">
        <v>11063</v>
      </c>
      <c r="J19" s="11">
        <v>44698.017048611109</v>
      </c>
      <c r="K19" s="1" t="s">
        <v>71</v>
      </c>
      <c r="L19" s="1">
        <f>0.788</f>
        <v>0.78800000000000003</v>
      </c>
      <c r="M19" s="1">
        <f>0.945</f>
        <v>0.94499999999999995</v>
      </c>
      <c r="N19">
        <v>9</v>
      </c>
      <c r="O19" s="1" t="s">
        <v>11828</v>
      </c>
      <c r="P19">
        <v>1</v>
      </c>
      <c r="Q19" s="1" t="b">
        <f>0=599</f>
        <v>0</v>
      </c>
      <c r="R19" s="1">
        <f>0.223</f>
        <v>0.223</v>
      </c>
      <c r="S19" s="1" t="b">
        <f>0=0=0=0=0=297</f>
        <v>0</v>
      </c>
      <c r="T19" s="1">
        <f>0.115</f>
        <v>0.115</v>
      </c>
      <c r="U19" s="1">
        <f>0.466</f>
        <v>0.46600000000000003</v>
      </c>
      <c r="V19" s="1" t="s">
        <v>11829</v>
      </c>
      <c r="W19">
        <v>4</v>
      </c>
    </row>
    <row r="20" spans="1:23" x14ac:dyDescent="0.25">
      <c r="A20" s="1" t="s">
        <v>11270</v>
      </c>
      <c r="B20" s="1" t="s">
        <v>11271</v>
      </c>
      <c r="C20" s="1" t="s">
        <v>72</v>
      </c>
      <c r="D20" s="1" t="s">
        <v>2288</v>
      </c>
      <c r="E20" s="1" t="s">
        <v>73</v>
      </c>
      <c r="F20" s="1" t="s">
        <v>11272</v>
      </c>
      <c r="G20">
        <v>224876</v>
      </c>
      <c r="H20">
        <v>55</v>
      </c>
      <c r="I20" s="1" t="s">
        <v>11063</v>
      </c>
      <c r="J20" s="11">
        <v>44698.018553240741</v>
      </c>
      <c r="K20" s="1" t="s">
        <v>74</v>
      </c>
      <c r="L20" s="1">
        <f>0.719</f>
        <v>0.71899999999999997</v>
      </c>
      <c r="M20" s="1">
        <f>0.381</f>
        <v>0.38100000000000001</v>
      </c>
      <c r="N20">
        <v>1</v>
      </c>
      <c r="O20" s="1">
        <v>-9.1300000000000008</v>
      </c>
      <c r="P20">
        <v>1</v>
      </c>
      <c r="Q20" s="1" t="b">
        <f>0=63</f>
        <v>0</v>
      </c>
      <c r="R20" s="1">
        <f>0.313</f>
        <v>0.313</v>
      </c>
      <c r="S20" s="1">
        <f>0.873</f>
        <v>0.873</v>
      </c>
      <c r="T20" s="1" t="b">
        <f>0.1=1</f>
        <v>0</v>
      </c>
      <c r="U20" s="1">
        <f>0.364</f>
        <v>0.36399999999999999</v>
      </c>
      <c r="V20" s="1" t="s">
        <v>11830</v>
      </c>
      <c r="W20">
        <v>3</v>
      </c>
    </row>
    <row r="21" spans="1:23" x14ac:dyDescent="0.25">
      <c r="A21" s="1" t="s">
        <v>11273</v>
      </c>
      <c r="B21" s="1" t="s">
        <v>11271</v>
      </c>
      <c r="C21" s="1" t="s">
        <v>75</v>
      </c>
      <c r="D21" s="1" t="s">
        <v>2288</v>
      </c>
      <c r="E21" s="1" t="s">
        <v>73</v>
      </c>
      <c r="F21" s="1" t="s">
        <v>11272</v>
      </c>
      <c r="G21">
        <v>275828</v>
      </c>
      <c r="H21">
        <v>57</v>
      </c>
      <c r="I21" s="1" t="s">
        <v>11063</v>
      </c>
      <c r="J21" s="11">
        <v>44698.018599537034</v>
      </c>
      <c r="K21" s="1" t="s">
        <v>74</v>
      </c>
      <c r="L21" s="1">
        <f>0.45</f>
        <v>0.45</v>
      </c>
      <c r="M21" s="1">
        <f>0.817</f>
        <v>0.81699999999999995</v>
      </c>
      <c r="N21">
        <v>5</v>
      </c>
      <c r="O21" s="1">
        <v>-6.4880000000000004</v>
      </c>
      <c r="P21">
        <f>0</f>
        <v>0</v>
      </c>
      <c r="Q21" s="1">
        <f>0.212</f>
        <v>0.21199999999999999</v>
      </c>
      <c r="R21" s="1" t="b">
        <f>0=493</f>
        <v>0</v>
      </c>
      <c r="S21" s="1" t="b">
        <f>0=432</f>
        <v>0</v>
      </c>
      <c r="T21" s="1">
        <f>0.168</f>
        <v>0.16800000000000001</v>
      </c>
      <c r="U21" s="1" t="b">
        <f>0=958</f>
        <v>0</v>
      </c>
      <c r="V21" s="1">
        <v>123.934</v>
      </c>
      <c r="W21">
        <v>4</v>
      </c>
    </row>
    <row r="22" spans="1:23" x14ac:dyDescent="0.25">
      <c r="A22" s="1" t="s">
        <v>11274</v>
      </c>
      <c r="B22" s="1" t="s">
        <v>11275</v>
      </c>
      <c r="C22" s="1" t="s">
        <v>2287</v>
      </c>
      <c r="D22" s="1" t="s">
        <v>2288</v>
      </c>
      <c r="E22" s="1" t="s">
        <v>76</v>
      </c>
      <c r="F22" s="1" t="s">
        <v>11272</v>
      </c>
      <c r="G22">
        <v>186805</v>
      </c>
      <c r="H22">
        <v>69</v>
      </c>
      <c r="I22" s="1" t="s">
        <v>11063</v>
      </c>
      <c r="J22" s="11">
        <v>44698.01866898148</v>
      </c>
      <c r="K22" s="1" t="s">
        <v>77</v>
      </c>
      <c r="L22" s="1">
        <f>0.584</f>
        <v>0.58399999999999996</v>
      </c>
      <c r="M22" s="1">
        <f>0.718</f>
        <v>0.71799999999999997</v>
      </c>
      <c r="N22">
        <v>11</v>
      </c>
      <c r="O22" s="1">
        <v>-7.8239999999999998</v>
      </c>
      <c r="P22">
        <f>0</f>
        <v>0</v>
      </c>
      <c r="Q22" s="1">
        <f>0.126</f>
        <v>0.126</v>
      </c>
      <c r="R22" s="1" t="b">
        <f>0=2=5</f>
        <v>0</v>
      </c>
      <c r="S22" s="1" t="b">
        <f>0=0=0=0=0=299</f>
        <v>0</v>
      </c>
      <c r="T22" s="1" t="b">
        <f>0.9=6</f>
        <v>0</v>
      </c>
      <c r="U22" s="1">
        <f>0.155</f>
        <v>0.155</v>
      </c>
      <c r="V22" s="1">
        <v>99.840999999999994</v>
      </c>
      <c r="W22">
        <v>4</v>
      </c>
    </row>
    <row r="23" spans="1:23" x14ac:dyDescent="0.25">
      <c r="A23" s="1" t="s">
        <v>11276</v>
      </c>
      <c r="B23" s="1" t="s">
        <v>11277</v>
      </c>
      <c r="C23" s="1" t="s">
        <v>2289</v>
      </c>
      <c r="D23" s="1" t="s">
        <v>2288</v>
      </c>
      <c r="E23" s="1" t="s">
        <v>78</v>
      </c>
      <c r="F23" s="1" t="s">
        <v>11272</v>
      </c>
      <c r="G23">
        <v>264966</v>
      </c>
      <c r="H23">
        <v>59</v>
      </c>
      <c r="I23" s="1" t="s">
        <v>11063</v>
      </c>
      <c r="J23" s="11">
        <v>44698.019421296296</v>
      </c>
      <c r="K23" s="1" t="s">
        <v>79</v>
      </c>
      <c r="L23" s="1">
        <f>0.564</f>
        <v>0.56399999999999995</v>
      </c>
      <c r="M23" s="1" t="b">
        <f>0.7=1</f>
        <v>0</v>
      </c>
      <c r="N23">
        <v>7</v>
      </c>
      <c r="O23" s="1">
        <v>-7.3780000000000001</v>
      </c>
      <c r="P23">
        <v>1</v>
      </c>
      <c r="Q23" s="1">
        <f>0.252</f>
        <v>0.252</v>
      </c>
      <c r="R23" s="1" t="b">
        <f>0=119</f>
        <v>0</v>
      </c>
      <c r="S23" s="1">
        <f>0.334</f>
        <v>0.33400000000000002</v>
      </c>
      <c r="T23" s="1">
        <f>0.385</f>
        <v>0.38500000000000001</v>
      </c>
      <c r="U23" s="1">
        <f>0.212</f>
        <v>0.21199999999999999</v>
      </c>
      <c r="V23" s="1">
        <v>136.499</v>
      </c>
      <c r="W23">
        <v>4</v>
      </c>
    </row>
    <row r="24" spans="1:23" x14ac:dyDescent="0.25">
      <c r="A24" s="1" t="s">
        <v>11278</v>
      </c>
      <c r="B24" s="1" t="s">
        <v>11279</v>
      </c>
      <c r="C24" s="1" t="s">
        <v>2294</v>
      </c>
      <c r="D24" s="1" t="s">
        <v>2288</v>
      </c>
      <c r="E24" s="1" t="s">
        <v>80</v>
      </c>
      <c r="F24" s="1" t="s">
        <v>11272</v>
      </c>
      <c r="G24">
        <v>281210</v>
      </c>
      <c r="H24">
        <v>64</v>
      </c>
      <c r="I24" s="1" t="s">
        <v>11063</v>
      </c>
      <c r="J24" s="11">
        <v>44698.019687499997</v>
      </c>
      <c r="K24" s="1" t="s">
        <v>81</v>
      </c>
      <c r="L24" s="1">
        <f>0.777</f>
        <v>0.77700000000000002</v>
      </c>
      <c r="M24" s="1">
        <f>0.696</f>
        <v>0.69599999999999995</v>
      </c>
      <c r="N24" t="s">
        <v>11825</v>
      </c>
      <c r="O24" s="1" t="s">
        <v>11831</v>
      </c>
      <c r="P24">
        <f>0</f>
        <v>0</v>
      </c>
      <c r="Q24" s="1">
        <f>0.166</f>
        <v>0.16600000000000001</v>
      </c>
      <c r="R24" s="1" t="b">
        <f>0=2=9</f>
        <v>0</v>
      </c>
      <c r="S24" s="1">
        <f>0.598</f>
        <v>0.59799999999999998</v>
      </c>
      <c r="T24" s="1">
        <f>0.341</f>
        <v>0.34100000000000003</v>
      </c>
      <c r="U24" s="1">
        <f>0.529</f>
        <v>0.52900000000000003</v>
      </c>
      <c r="V24" s="1" t="s">
        <v>11832</v>
      </c>
      <c r="W24">
        <v>4</v>
      </c>
    </row>
    <row r="25" spans="1:23" x14ac:dyDescent="0.25">
      <c r="A25" s="1" t="s">
        <v>11280</v>
      </c>
      <c r="B25" s="1" t="s">
        <v>11281</v>
      </c>
      <c r="C25" s="1" t="s">
        <v>82</v>
      </c>
      <c r="D25" s="1" t="s">
        <v>82</v>
      </c>
      <c r="E25" s="1" t="s">
        <v>83</v>
      </c>
      <c r="F25" s="1" t="s">
        <v>11282</v>
      </c>
      <c r="G25">
        <v>157444</v>
      </c>
      <c r="H25">
        <v>84</v>
      </c>
      <c r="I25" s="1" t="s">
        <v>11063</v>
      </c>
      <c r="J25" s="11">
        <v>44698.020277777781</v>
      </c>
      <c r="K25" s="1" t="s">
        <v>84</v>
      </c>
      <c r="L25" s="1">
        <f>0.848</f>
        <v>0.84799999999999998</v>
      </c>
      <c r="M25" s="1">
        <f>0.821</f>
        <v>0.82099999999999995</v>
      </c>
      <c r="N25">
        <v>2</v>
      </c>
      <c r="O25" s="1" t="s">
        <v>11833</v>
      </c>
      <c r="P25">
        <f>0</f>
        <v>0</v>
      </c>
      <c r="Q25" s="1" t="b">
        <f>0=527</f>
        <v>0</v>
      </c>
      <c r="R25" s="1" t="b">
        <f>0=169</f>
        <v>0</v>
      </c>
      <c r="S25" s="1" t="b">
        <f>0=0=0=4=3</f>
        <v>0</v>
      </c>
      <c r="T25" s="1" t="b">
        <f>0=962</f>
        <v>0</v>
      </c>
      <c r="U25" s="1">
        <f>0.249</f>
        <v>0.249</v>
      </c>
      <c r="V25" s="1" t="s">
        <v>11834</v>
      </c>
      <c r="W25">
        <v>4</v>
      </c>
    </row>
    <row r="26" spans="1:23" x14ac:dyDescent="0.25">
      <c r="A26" s="1" t="s">
        <v>11283</v>
      </c>
      <c r="B26" s="1" t="s">
        <v>11284</v>
      </c>
      <c r="C26" s="1" t="s">
        <v>85</v>
      </c>
      <c r="D26" s="1" t="s">
        <v>85</v>
      </c>
      <c r="E26" s="1" t="s">
        <v>86</v>
      </c>
      <c r="F26" s="1" t="s">
        <v>11285</v>
      </c>
      <c r="G26">
        <v>192000</v>
      </c>
      <c r="H26">
        <v>66</v>
      </c>
      <c r="I26" s="1" t="s">
        <v>11063</v>
      </c>
      <c r="J26" s="11">
        <v>44698.020381944443</v>
      </c>
      <c r="K26" s="1" t="s">
        <v>87</v>
      </c>
      <c r="L26" s="1">
        <f>0.693</f>
        <v>0.69299999999999995</v>
      </c>
      <c r="M26" s="1">
        <f>0.729</f>
        <v>0.72899999999999998</v>
      </c>
      <c r="N26">
        <v>8</v>
      </c>
      <c r="O26" s="1">
        <v>-5.3170000000000002</v>
      </c>
      <c r="P26">
        <f>0</f>
        <v>0</v>
      </c>
      <c r="Q26" s="1" t="b">
        <f>0=477</f>
        <v>0</v>
      </c>
      <c r="R26" s="1" t="b">
        <f>0=159</f>
        <v>0</v>
      </c>
      <c r="S26" s="1">
        <f>0.217</f>
        <v>0.217</v>
      </c>
      <c r="T26" s="1">
        <f>0.145</f>
        <v>0.14499999999999999</v>
      </c>
      <c r="U26" s="1" t="b">
        <f>0.4=8</f>
        <v>0</v>
      </c>
      <c r="V26" s="1" t="s">
        <v>11835</v>
      </c>
      <c r="W26">
        <v>4</v>
      </c>
    </row>
    <row r="27" spans="1:23" x14ac:dyDescent="0.25">
      <c r="A27" s="1" t="s">
        <v>11286</v>
      </c>
      <c r="B27" s="1" t="s">
        <v>11287</v>
      </c>
      <c r="C27" s="1" t="s">
        <v>88</v>
      </c>
      <c r="D27" s="1" t="s">
        <v>11288</v>
      </c>
      <c r="E27" s="1" t="s">
        <v>89</v>
      </c>
      <c r="F27" s="1" t="s">
        <v>11225</v>
      </c>
      <c r="G27">
        <v>230945</v>
      </c>
      <c r="H27">
        <v>79</v>
      </c>
      <c r="I27" s="1" t="s">
        <v>11063</v>
      </c>
      <c r="J27" s="11">
        <v>44698.020405092589</v>
      </c>
      <c r="K27" s="1" t="s">
        <v>90</v>
      </c>
      <c r="L27" s="1">
        <f>0.656</f>
        <v>0.65600000000000003</v>
      </c>
      <c r="M27" s="1">
        <f>0.655</f>
        <v>0.65500000000000003</v>
      </c>
      <c r="N27">
        <v>7</v>
      </c>
      <c r="O27" s="1">
        <v>-6.766</v>
      </c>
      <c r="P27">
        <f>0</f>
        <v>0</v>
      </c>
      <c r="Q27" s="1" t="b">
        <f>0=24</f>
        <v>0</v>
      </c>
      <c r="R27" s="1" t="b">
        <f>0=2</f>
        <v>0</v>
      </c>
      <c r="S27" s="1" t="b">
        <f>0=0=816</f>
        <v>0</v>
      </c>
      <c r="T27" s="1" t="b">
        <f>0.1=3</f>
        <v>0</v>
      </c>
      <c r="U27" s="1">
        <f>0.555</f>
        <v>0.55500000000000005</v>
      </c>
      <c r="V27" s="1" t="s">
        <v>11836</v>
      </c>
      <c r="W27">
        <v>4</v>
      </c>
    </row>
    <row r="28" spans="1:23" x14ac:dyDescent="0.25">
      <c r="A28" s="1" t="s">
        <v>11289</v>
      </c>
      <c r="B28" s="1" t="s">
        <v>11290</v>
      </c>
      <c r="C28" s="1" t="s">
        <v>2325</v>
      </c>
      <c r="D28" s="1" t="s">
        <v>11291</v>
      </c>
      <c r="E28" s="1" t="s">
        <v>91</v>
      </c>
      <c r="F28" s="1" t="s">
        <v>11292</v>
      </c>
      <c r="G28">
        <v>280002</v>
      </c>
      <c r="H28">
        <v>58</v>
      </c>
      <c r="I28" s="1" t="s">
        <v>11063</v>
      </c>
      <c r="J28" s="11">
        <v>44698.020532407405</v>
      </c>
      <c r="K28" s="1" t="s">
        <v>92</v>
      </c>
      <c r="L28" s="1">
        <f>0.663</f>
        <v>0.66300000000000003</v>
      </c>
      <c r="M28" s="1">
        <f>0.782</f>
        <v>0.78200000000000003</v>
      </c>
      <c r="N28">
        <v>7</v>
      </c>
      <c r="O28" s="1">
        <v>-5.3570000000000002</v>
      </c>
      <c r="P28">
        <v>1</v>
      </c>
      <c r="Q28" s="1">
        <f>0.143</f>
        <v>0.14299999999999999</v>
      </c>
      <c r="R28" s="1" t="b">
        <f>0=0=321</f>
        <v>0</v>
      </c>
      <c r="S28" s="1" t="b">
        <f>0=0=0=173</f>
        <v>0</v>
      </c>
      <c r="T28" s="1">
        <f>0.236</f>
        <v>0.23599999999999999</v>
      </c>
      <c r="U28" s="1">
        <f>0.358</f>
        <v>0.35799999999999998</v>
      </c>
      <c r="V28" s="1">
        <v>125.94499999999999</v>
      </c>
      <c r="W28">
        <v>4</v>
      </c>
    </row>
    <row r="29" spans="1:23" x14ac:dyDescent="0.25">
      <c r="A29" s="1" t="s">
        <v>11293</v>
      </c>
      <c r="B29" s="1" t="s">
        <v>11294</v>
      </c>
      <c r="C29" s="1" t="s">
        <v>93</v>
      </c>
      <c r="D29" s="1" t="s">
        <v>93</v>
      </c>
      <c r="E29" s="1" t="s">
        <v>94</v>
      </c>
      <c r="F29" s="1" t="s">
        <v>11295</v>
      </c>
      <c r="G29">
        <v>169756</v>
      </c>
      <c r="H29">
        <v>85</v>
      </c>
      <c r="I29" s="1" t="s">
        <v>11063</v>
      </c>
      <c r="J29" s="11">
        <v>44698.021608796298</v>
      </c>
      <c r="K29" s="1" t="s">
        <v>95</v>
      </c>
      <c r="L29" s="1" t="b">
        <f>0.6=1</f>
        <v>0</v>
      </c>
      <c r="M29" s="1">
        <f>0.713</f>
        <v>0.71299999999999997</v>
      </c>
      <c r="N29">
        <v>4</v>
      </c>
      <c r="O29" s="1">
        <v>-3.758</v>
      </c>
      <c r="P29">
        <f>0</f>
        <v>0</v>
      </c>
      <c r="Q29" s="1" t="b">
        <f>0=449</f>
        <v>0</v>
      </c>
      <c r="R29" s="1" t="b">
        <f>0=282</f>
        <v>0</v>
      </c>
      <c r="S29" s="1">
        <f>0</f>
        <v>0</v>
      </c>
      <c r="T29" s="1">
        <f>0.158</f>
        <v>0.158</v>
      </c>
      <c r="U29" s="1">
        <f>0.464</f>
        <v>0.46400000000000002</v>
      </c>
      <c r="V29" s="1">
        <v>122.872</v>
      </c>
      <c r="W29">
        <v>4</v>
      </c>
    </row>
    <row r="30" spans="1:23" x14ac:dyDescent="0.25">
      <c r="A30" s="1" t="s">
        <v>11296</v>
      </c>
      <c r="B30" s="1" t="s">
        <v>11297</v>
      </c>
      <c r="C30" s="1" t="s">
        <v>96</v>
      </c>
      <c r="D30" s="1" t="s">
        <v>11298</v>
      </c>
      <c r="E30" s="1" t="s">
        <v>97</v>
      </c>
      <c r="F30" s="1" t="s">
        <v>11299</v>
      </c>
      <c r="G30">
        <v>281514</v>
      </c>
      <c r="H30">
        <v>34</v>
      </c>
      <c r="I30" s="1" t="s">
        <v>11063</v>
      </c>
      <c r="J30" s="11">
        <v>44698.021782407406</v>
      </c>
      <c r="K30" s="1" t="s">
        <v>50</v>
      </c>
      <c r="L30" s="1">
        <f>0.823</f>
        <v>0.82299999999999995</v>
      </c>
      <c r="M30" s="1">
        <f>0.59</f>
        <v>0.59</v>
      </c>
      <c r="N30">
        <v>11</v>
      </c>
      <c r="O30" s="1">
        <v>-9.8620000000000001</v>
      </c>
      <c r="P30">
        <f>0</f>
        <v>0</v>
      </c>
      <c r="Q30" s="1">
        <f>0.224</f>
        <v>0.224</v>
      </c>
      <c r="R30" s="1">
        <f>0.296</f>
        <v>0.29599999999999999</v>
      </c>
      <c r="S30" s="1" t="b">
        <f>0=849</f>
        <v>0</v>
      </c>
      <c r="T30" s="1" t="b">
        <f>0=686</f>
        <v>0</v>
      </c>
      <c r="U30" s="1">
        <f>0.344</f>
        <v>0.34399999999999997</v>
      </c>
      <c r="V30" s="1" t="s">
        <v>11837</v>
      </c>
      <c r="W30">
        <v>4</v>
      </c>
    </row>
    <row r="31" spans="1:23" x14ac:dyDescent="0.25">
      <c r="A31" s="1" t="s">
        <v>11300</v>
      </c>
      <c r="B31" s="1" t="s">
        <v>11301</v>
      </c>
      <c r="C31" s="1" t="s">
        <v>98</v>
      </c>
      <c r="D31" s="1" t="s">
        <v>98</v>
      </c>
      <c r="E31" s="1" t="s">
        <v>99</v>
      </c>
      <c r="F31" s="1" t="s">
        <v>11302</v>
      </c>
      <c r="G31">
        <v>205440</v>
      </c>
      <c r="H31">
        <v>57</v>
      </c>
      <c r="I31" s="1" t="s">
        <v>11063</v>
      </c>
      <c r="J31" s="11">
        <v>44698.023495370369</v>
      </c>
      <c r="K31" s="1" t="s">
        <v>100</v>
      </c>
      <c r="L31" s="1">
        <f>0.546</f>
        <v>0.54600000000000004</v>
      </c>
      <c r="M31" s="1">
        <f>0.894</f>
        <v>0.89400000000000002</v>
      </c>
      <c r="N31">
        <v>8</v>
      </c>
      <c r="O31" s="1">
        <v>-3.56</v>
      </c>
      <c r="P31">
        <v>1</v>
      </c>
      <c r="Q31" s="1" t="b">
        <f>0=898</f>
        <v>0</v>
      </c>
      <c r="R31" s="1">
        <f>0.459</f>
        <v>0.45900000000000002</v>
      </c>
      <c r="S31" s="1" t="b">
        <f>0=0=0=1=6</f>
        <v>0</v>
      </c>
      <c r="T31" s="1">
        <f>0.322</f>
        <v>0.32200000000000001</v>
      </c>
      <c r="U31" s="1">
        <f>0.387</f>
        <v>0.38700000000000001</v>
      </c>
      <c r="V31" s="1" t="s">
        <v>11838</v>
      </c>
      <c r="W31">
        <v>4</v>
      </c>
    </row>
    <row r="32" spans="1:23" x14ac:dyDescent="0.25">
      <c r="A32" s="1" t="s">
        <v>11303</v>
      </c>
      <c r="B32" s="1" t="s">
        <v>11304</v>
      </c>
      <c r="C32" s="1" t="s">
        <v>101</v>
      </c>
      <c r="D32" s="1" t="s">
        <v>2433</v>
      </c>
      <c r="E32" s="1" t="s">
        <v>102</v>
      </c>
      <c r="F32" s="1" t="s">
        <v>11305</v>
      </c>
      <c r="G32">
        <v>240053</v>
      </c>
      <c r="H32">
        <v>45</v>
      </c>
      <c r="I32" s="1" t="s">
        <v>11063</v>
      </c>
      <c r="J32" s="11">
        <v>44698.024131944447</v>
      </c>
      <c r="K32" s="1" t="s">
        <v>103</v>
      </c>
      <c r="L32" s="1">
        <f>0.535</f>
        <v>0.53500000000000003</v>
      </c>
      <c r="M32" s="1">
        <f>0.717</f>
        <v>0.71699999999999997</v>
      </c>
      <c r="N32">
        <v>8</v>
      </c>
      <c r="O32" s="1" t="s">
        <v>11839</v>
      </c>
      <c r="P32">
        <v>1</v>
      </c>
      <c r="Q32" s="1" t="b">
        <f>0=348</f>
        <v>0</v>
      </c>
      <c r="R32" s="1" t="b">
        <f>0=0=0=392</f>
        <v>0</v>
      </c>
      <c r="S32" s="1" t="b">
        <f>0=0=112</f>
        <v>0</v>
      </c>
      <c r="T32" s="1" t="b">
        <f>0=5=1</f>
        <v>0</v>
      </c>
      <c r="U32" s="1">
        <f>0.398</f>
        <v>0.39800000000000002</v>
      </c>
      <c r="V32" s="1">
        <v>144.97999999999999</v>
      </c>
      <c r="W32">
        <v>4</v>
      </c>
    </row>
    <row r="33" spans="1:23" x14ac:dyDescent="0.25">
      <c r="A33" s="1" t="s">
        <v>11306</v>
      </c>
      <c r="B33" s="1" t="s">
        <v>11307</v>
      </c>
      <c r="C33" s="1" t="s">
        <v>104</v>
      </c>
      <c r="D33" s="1" t="s">
        <v>2433</v>
      </c>
      <c r="E33" s="1" t="s">
        <v>105</v>
      </c>
      <c r="F33" s="1" t="s">
        <v>11305</v>
      </c>
      <c r="G33">
        <v>198760</v>
      </c>
      <c r="H33">
        <v>55</v>
      </c>
      <c r="I33" s="1" t="s">
        <v>11063</v>
      </c>
      <c r="J33" s="11">
        <v>44698.024421296293</v>
      </c>
      <c r="K33" s="1" t="s">
        <v>106</v>
      </c>
      <c r="L33" s="1">
        <f>0.61</f>
        <v>0.61</v>
      </c>
      <c r="M33" s="1">
        <f>0.538</f>
        <v>0.53800000000000003</v>
      </c>
      <c r="N33">
        <v>9</v>
      </c>
      <c r="O33" s="1">
        <v>-7.4279999999999999</v>
      </c>
      <c r="P33">
        <f>0</f>
        <v>0</v>
      </c>
      <c r="Q33" s="1" t="b">
        <f>0=319</f>
        <v>0</v>
      </c>
      <c r="R33" s="1" t="b">
        <f>0=385</f>
        <v>0</v>
      </c>
      <c r="S33" s="1">
        <f>0</f>
        <v>0</v>
      </c>
      <c r="T33" s="1" t="b">
        <f>0=791</f>
        <v>0</v>
      </c>
      <c r="U33" s="1">
        <f>0.556</f>
        <v>0.55600000000000005</v>
      </c>
      <c r="V33" s="1" t="s">
        <v>11840</v>
      </c>
      <c r="W33">
        <v>4</v>
      </c>
    </row>
    <row r="34" spans="1:23" x14ac:dyDescent="0.25">
      <c r="A34" s="1" t="s">
        <v>11308</v>
      </c>
      <c r="B34" s="1" t="s">
        <v>11309</v>
      </c>
      <c r="C34" s="1" t="s">
        <v>2439</v>
      </c>
      <c r="D34" s="1" t="s">
        <v>2439</v>
      </c>
      <c r="E34" s="1" t="s">
        <v>107</v>
      </c>
      <c r="F34" s="1" t="s">
        <v>11310</v>
      </c>
      <c r="G34">
        <v>208473</v>
      </c>
      <c r="H34">
        <v>73</v>
      </c>
      <c r="I34" s="1" t="s">
        <v>11063</v>
      </c>
      <c r="J34" s="11">
        <v>44698.024618055555</v>
      </c>
      <c r="K34" s="1" t="s">
        <v>108</v>
      </c>
      <c r="L34" s="1">
        <f>0.737</f>
        <v>0.73699999999999999</v>
      </c>
      <c r="M34" s="1">
        <f>0.828</f>
        <v>0.82799999999999996</v>
      </c>
      <c r="N34">
        <v>11</v>
      </c>
      <c r="O34" s="1">
        <v>-4.7110000000000003</v>
      </c>
      <c r="P34">
        <v>1</v>
      </c>
      <c r="Q34" s="1" t="b">
        <f>0=396</f>
        <v>0</v>
      </c>
      <c r="R34" s="1" t="b">
        <f>0=149</f>
        <v>0</v>
      </c>
      <c r="S34" s="1" t="b">
        <f>0=0=0=588</f>
        <v>0</v>
      </c>
      <c r="T34" s="1" t="b">
        <f>0=862</f>
        <v>0</v>
      </c>
      <c r="U34" s="1">
        <f>0.517</f>
        <v>0.51700000000000002</v>
      </c>
      <c r="V34" s="1" t="s">
        <v>11841</v>
      </c>
      <c r="W34">
        <v>4</v>
      </c>
    </row>
    <row r="35" spans="1:23" x14ac:dyDescent="0.25">
      <c r="A35" s="1" t="s">
        <v>11311</v>
      </c>
      <c r="B35" s="1" t="s">
        <v>11312</v>
      </c>
      <c r="C35" s="1" t="s">
        <v>2452</v>
      </c>
      <c r="D35" s="1" t="s">
        <v>2452</v>
      </c>
      <c r="E35" s="1" t="s">
        <v>109</v>
      </c>
      <c r="F35" s="1" t="s">
        <v>11313</v>
      </c>
      <c r="G35">
        <v>253121</v>
      </c>
      <c r="H35">
        <v>63</v>
      </c>
      <c r="I35" s="1" t="s">
        <v>11063</v>
      </c>
      <c r="J35" s="11">
        <v>44698.024953703702</v>
      </c>
      <c r="K35" s="1" t="s">
        <v>110</v>
      </c>
      <c r="L35" s="1">
        <f>0.635</f>
        <v>0.63500000000000001</v>
      </c>
      <c r="M35" s="1">
        <f>0.835</f>
        <v>0.83499999999999996</v>
      </c>
      <c r="N35">
        <v>8</v>
      </c>
      <c r="O35" s="1">
        <v>-2.8759999999999999</v>
      </c>
      <c r="P35">
        <v>1</v>
      </c>
      <c r="Q35" s="1" t="b">
        <f>0=589</f>
        <v>0</v>
      </c>
      <c r="R35" s="1" t="b">
        <f>0=948</f>
        <v>0</v>
      </c>
      <c r="S35" s="1" t="b">
        <f>0=119</f>
        <v>0</v>
      </c>
      <c r="T35" s="1">
        <f>0.285</f>
        <v>0.28499999999999998</v>
      </c>
      <c r="U35" s="1">
        <f>0.216</f>
        <v>0.216</v>
      </c>
      <c r="V35" s="1" t="s">
        <v>11842</v>
      </c>
      <c r="W35">
        <v>4</v>
      </c>
    </row>
    <row r="36" spans="1:23" x14ac:dyDescent="0.25">
      <c r="A36" s="1" t="s">
        <v>11314</v>
      </c>
      <c r="B36" s="1" t="s">
        <v>11315</v>
      </c>
      <c r="C36" s="1" t="s">
        <v>111</v>
      </c>
      <c r="D36" s="1" t="s">
        <v>111</v>
      </c>
      <c r="E36" s="1" t="s">
        <v>112</v>
      </c>
      <c r="F36" s="1" t="s">
        <v>11316</v>
      </c>
      <c r="G36">
        <v>165264</v>
      </c>
      <c r="H36">
        <v>88</v>
      </c>
      <c r="I36" s="1" t="s">
        <v>11063</v>
      </c>
      <c r="J36" s="11">
        <v>44698.025127314817</v>
      </c>
      <c r="K36" s="1" t="s">
        <v>113</v>
      </c>
      <c r="L36" s="1">
        <f>0.773</f>
        <v>0.77300000000000002</v>
      </c>
      <c r="M36" s="1">
        <f>0.742</f>
        <v>0.74199999999999999</v>
      </c>
      <c r="N36">
        <v>5</v>
      </c>
      <c r="O36" s="1">
        <v>-3.6779999999999999</v>
      </c>
      <c r="P36">
        <f>0</f>
        <v>0</v>
      </c>
      <c r="Q36" s="1" t="b">
        <f>0=46</f>
        <v>0</v>
      </c>
      <c r="R36" s="1" t="b">
        <f>0=2=6</f>
        <v>0</v>
      </c>
      <c r="S36" s="1">
        <f>0</f>
        <v>0</v>
      </c>
      <c r="T36" s="1" t="b">
        <f>0=754</f>
        <v>0</v>
      </c>
      <c r="U36" s="1">
        <f>0.571</f>
        <v>0.57099999999999995</v>
      </c>
      <c r="V36" s="1" t="s">
        <v>11843</v>
      </c>
      <c r="W36">
        <v>4</v>
      </c>
    </row>
    <row r="37" spans="1:23" x14ac:dyDescent="0.25">
      <c r="A37" s="1" t="s">
        <v>11317</v>
      </c>
      <c r="B37" s="1" t="s">
        <v>11318</v>
      </c>
      <c r="C37" s="1" t="s">
        <v>114</v>
      </c>
      <c r="D37" s="1" t="s">
        <v>5486</v>
      </c>
      <c r="E37" s="1" t="s">
        <v>115</v>
      </c>
      <c r="F37" s="1" t="s">
        <v>11319</v>
      </c>
      <c r="G37">
        <v>237720</v>
      </c>
      <c r="H37">
        <v>89</v>
      </c>
      <c r="I37" s="1" t="s">
        <v>11063</v>
      </c>
      <c r="J37" s="11">
        <v>44698.026134259257</v>
      </c>
      <c r="K37" s="1" t="s">
        <v>116</v>
      </c>
      <c r="L37" s="1">
        <f>0.671</f>
        <v>0.67100000000000004</v>
      </c>
      <c r="M37" s="1">
        <f>0.673</f>
        <v>0.67300000000000004</v>
      </c>
      <c r="N37">
        <v>11</v>
      </c>
      <c r="O37" s="1">
        <v>-6.9409999999999998</v>
      </c>
      <c r="P37">
        <f>0</f>
        <v>0</v>
      </c>
      <c r="Q37" s="1" t="b">
        <f>0=444</f>
        <v>0</v>
      </c>
      <c r="R37" s="1">
        <f>0.148</f>
        <v>0.14799999999999999</v>
      </c>
      <c r="S37" s="1" t="b">
        <f>0=0=0=0=529</f>
        <v>0</v>
      </c>
      <c r="T37" s="1" t="b">
        <f>0.3=4</f>
        <v>0</v>
      </c>
      <c r="U37" s="1">
        <f>0.494</f>
        <v>0.49399999999999999</v>
      </c>
      <c r="V37" s="1">
        <v>121.96299999999999</v>
      </c>
      <c r="W37">
        <v>4</v>
      </c>
    </row>
    <row r="38" spans="1:23" x14ac:dyDescent="0.25">
      <c r="A38" s="1" t="s">
        <v>11320</v>
      </c>
      <c r="B38" s="1" t="s">
        <v>11321</v>
      </c>
      <c r="C38" s="1" t="s">
        <v>117</v>
      </c>
      <c r="D38" s="1" t="s">
        <v>11322</v>
      </c>
      <c r="E38" s="1" t="s">
        <v>118</v>
      </c>
      <c r="F38" s="1" t="s">
        <v>11323</v>
      </c>
      <c r="G38">
        <v>231546</v>
      </c>
      <c r="H38">
        <v>77</v>
      </c>
      <c r="I38" s="1" t="s">
        <v>11063</v>
      </c>
      <c r="J38" s="11">
        <v>44698.026203703703</v>
      </c>
      <c r="K38" s="1" t="s">
        <v>119</v>
      </c>
      <c r="L38" s="1">
        <f>0.534</f>
        <v>0.53400000000000003</v>
      </c>
      <c r="M38" s="1">
        <f>0.583</f>
        <v>0.58299999999999996</v>
      </c>
      <c r="N38">
        <v>2</v>
      </c>
      <c r="O38" s="1">
        <v>-8.6720000000000006</v>
      </c>
      <c r="P38">
        <v>1</v>
      </c>
      <c r="Q38" s="1" t="b">
        <f>0=288</f>
        <v>0</v>
      </c>
      <c r="R38" s="1" t="b">
        <f>0=262</f>
        <v>0</v>
      </c>
      <c r="S38" s="1">
        <f>0</f>
        <v>0</v>
      </c>
      <c r="T38" s="1">
        <f>0.421</f>
        <v>0.42099999999999999</v>
      </c>
      <c r="U38" s="1">
        <f>0.145</f>
        <v>0.14499999999999999</v>
      </c>
      <c r="V38" s="1" t="s">
        <v>11844</v>
      </c>
      <c r="W38">
        <v>4</v>
      </c>
    </row>
    <row r="39" spans="1:23" x14ac:dyDescent="0.25">
      <c r="A39" s="1" t="s">
        <v>11324</v>
      </c>
      <c r="B39" s="1" t="s">
        <v>11325</v>
      </c>
      <c r="C39" s="1" t="s">
        <v>120</v>
      </c>
      <c r="D39" s="1" t="s">
        <v>11326</v>
      </c>
      <c r="E39" s="1" t="s">
        <v>121</v>
      </c>
      <c r="F39" s="1" t="s">
        <v>11327</v>
      </c>
      <c r="G39">
        <v>177028</v>
      </c>
      <c r="H39">
        <v>71</v>
      </c>
      <c r="I39" s="1" t="s">
        <v>11063</v>
      </c>
      <c r="J39" s="11">
        <v>44698.026979166665</v>
      </c>
      <c r="K39" s="1" t="s">
        <v>122</v>
      </c>
      <c r="L39" s="1">
        <f>0.439</f>
        <v>0.439</v>
      </c>
      <c r="M39" s="1">
        <f>0.447</f>
        <v>0.44700000000000001</v>
      </c>
      <c r="N39" t="s">
        <v>11825</v>
      </c>
      <c r="O39" s="1">
        <v>-8.3179999999999996</v>
      </c>
      <c r="P39">
        <f>0</f>
        <v>0</v>
      </c>
      <c r="Q39" s="1" t="b">
        <f>0=436</f>
        <v>0</v>
      </c>
      <c r="R39" s="1">
        <f>0.111</f>
        <v>0.111</v>
      </c>
      <c r="S39" s="1">
        <f>0</f>
        <v>0</v>
      </c>
      <c r="T39" s="1" t="b">
        <f>0.3=3</f>
        <v>0</v>
      </c>
      <c r="U39" s="1">
        <f>0.11</f>
        <v>0.11</v>
      </c>
      <c r="V39" s="1">
        <v>121.48</v>
      </c>
      <c r="W39">
        <v>4</v>
      </c>
    </row>
    <row r="40" spans="1:23" x14ac:dyDescent="0.25">
      <c r="A40" s="1" t="s">
        <v>11328</v>
      </c>
      <c r="B40" s="1" t="s">
        <v>11329</v>
      </c>
      <c r="C40" s="1" t="s">
        <v>123</v>
      </c>
      <c r="D40" s="1" t="s">
        <v>11330</v>
      </c>
      <c r="E40" s="1" t="s">
        <v>124</v>
      </c>
      <c r="F40" s="1" t="s">
        <v>11331</v>
      </c>
      <c r="G40">
        <v>238805</v>
      </c>
      <c r="H40">
        <v>90</v>
      </c>
      <c r="I40" s="1" t="s">
        <v>11063</v>
      </c>
      <c r="J40" s="11">
        <v>44698.027627314812</v>
      </c>
      <c r="K40" s="1" t="s">
        <v>125</v>
      </c>
      <c r="L40" s="1">
        <f>0.761</f>
        <v>0.76100000000000001</v>
      </c>
      <c r="M40" s="1">
        <f>0.525</f>
        <v>0.52500000000000002</v>
      </c>
      <c r="N40">
        <v>11</v>
      </c>
      <c r="O40" s="1">
        <v>-6.9</v>
      </c>
      <c r="P40">
        <v>1</v>
      </c>
      <c r="Q40" s="1" t="b">
        <f>0=944</f>
        <v>0</v>
      </c>
      <c r="R40" s="1">
        <f>0.44</f>
        <v>0.44</v>
      </c>
      <c r="S40" s="1" t="b">
        <f>0=0=0=0=0=67</f>
        <v>0</v>
      </c>
      <c r="T40" s="1" t="b">
        <f>0=921</f>
        <v>0</v>
      </c>
      <c r="U40" s="1">
        <f>0.531</f>
        <v>0.53100000000000003</v>
      </c>
      <c r="V40" s="1" t="s">
        <v>11845</v>
      </c>
      <c r="W40">
        <v>4</v>
      </c>
    </row>
    <row r="41" spans="1:23" x14ac:dyDescent="0.25">
      <c r="A41" s="1" t="s">
        <v>11332</v>
      </c>
      <c r="B41" s="1" t="s">
        <v>11333</v>
      </c>
      <c r="C41" s="1" t="s">
        <v>2100</v>
      </c>
      <c r="D41" s="1" t="s">
        <v>11334</v>
      </c>
      <c r="E41" s="1" t="s">
        <v>126</v>
      </c>
      <c r="F41" s="1" t="s">
        <v>11335</v>
      </c>
      <c r="G41">
        <v>208666</v>
      </c>
      <c r="H41">
        <v>84</v>
      </c>
      <c r="I41" s="1" t="s">
        <v>11063</v>
      </c>
      <c r="J41" s="11">
        <v>44698.027743055558</v>
      </c>
      <c r="K41" s="1" t="s">
        <v>127</v>
      </c>
      <c r="L41" s="1">
        <f>0.764</f>
        <v>0.76400000000000001</v>
      </c>
      <c r="M41" s="1" t="b">
        <f>0.7=5</f>
        <v>0</v>
      </c>
      <c r="N41">
        <v>8</v>
      </c>
      <c r="O41" s="1">
        <v>-3.4630000000000001</v>
      </c>
      <c r="P41">
        <v>1</v>
      </c>
      <c r="Q41" s="1" t="b">
        <f>0=284</f>
        <v>0</v>
      </c>
      <c r="R41" s="1">
        <f>0.259</f>
        <v>0.25900000000000001</v>
      </c>
      <c r="S41" s="1" t="b">
        <f>0=0=0=0=892</f>
        <v>0</v>
      </c>
      <c r="T41" s="1">
        <f>0.12</f>
        <v>0.12</v>
      </c>
      <c r="U41" s="1">
        <f>0.781</f>
        <v>0.78100000000000003</v>
      </c>
      <c r="V41" s="1" t="s">
        <v>11846</v>
      </c>
      <c r="W41">
        <v>4</v>
      </c>
    </row>
    <row r="42" spans="1:23" x14ac:dyDescent="0.25">
      <c r="A42" s="1" t="s">
        <v>11336</v>
      </c>
      <c r="B42" s="1" t="s">
        <v>11337</v>
      </c>
      <c r="C42" s="1" t="s">
        <v>128</v>
      </c>
      <c r="D42" s="1" t="s">
        <v>128</v>
      </c>
      <c r="E42" s="1" t="s">
        <v>129</v>
      </c>
      <c r="F42" s="1" t="s">
        <v>11261</v>
      </c>
      <c r="G42">
        <v>242904</v>
      </c>
      <c r="H42">
        <v>54</v>
      </c>
      <c r="I42" s="1" t="s">
        <v>11063</v>
      </c>
      <c r="J42" s="11">
        <v>44698.027777777781</v>
      </c>
      <c r="K42" s="1" t="s">
        <v>130</v>
      </c>
      <c r="L42" s="1">
        <f>0.716</f>
        <v>0.71599999999999997</v>
      </c>
      <c r="M42" s="1">
        <f>0.655</f>
        <v>0.65500000000000003</v>
      </c>
      <c r="N42">
        <v>2</v>
      </c>
      <c r="O42" s="1">
        <v>-5.9989999999999997</v>
      </c>
      <c r="P42">
        <v>1</v>
      </c>
      <c r="Q42" s="1" t="b">
        <f>0=444</f>
        <v>0</v>
      </c>
      <c r="R42" s="1" t="b">
        <f>0=0=857</f>
        <v>0</v>
      </c>
      <c r="S42" s="1">
        <f>0.162</f>
        <v>0.16200000000000001</v>
      </c>
      <c r="T42" s="1" t="b">
        <f>0=572</f>
        <v>0</v>
      </c>
      <c r="U42" s="1" t="b">
        <f>0.2=7</f>
        <v>0</v>
      </c>
      <c r="V42" s="1" t="s">
        <v>11847</v>
      </c>
      <c r="W42">
        <v>4</v>
      </c>
    </row>
    <row r="43" spans="1:23" x14ac:dyDescent="0.25">
      <c r="A43" s="1" t="s">
        <v>11338</v>
      </c>
      <c r="B43" s="1" t="s">
        <v>11339</v>
      </c>
      <c r="C43" s="1" t="s">
        <v>131</v>
      </c>
      <c r="D43" s="1" t="s">
        <v>131</v>
      </c>
      <c r="E43" s="1" t="s">
        <v>132</v>
      </c>
      <c r="F43" s="1" t="s">
        <v>11340</v>
      </c>
      <c r="G43">
        <v>165786</v>
      </c>
      <c r="H43">
        <v>24</v>
      </c>
      <c r="I43" s="1" t="s">
        <v>11063</v>
      </c>
      <c r="J43" s="11">
        <v>44698.028136574074</v>
      </c>
      <c r="K43" s="1" t="s">
        <v>133</v>
      </c>
      <c r="L43" s="1">
        <f>0.729</f>
        <v>0.72899999999999998</v>
      </c>
      <c r="M43" s="1" t="b">
        <f>0.7=2</f>
        <v>0</v>
      </c>
      <c r="N43" t="s">
        <v>11825</v>
      </c>
      <c r="O43" s="1" t="s">
        <v>11848</v>
      </c>
      <c r="P43">
        <v>1</v>
      </c>
      <c r="Q43" s="1">
        <f>0.141</f>
        <v>0.14099999999999999</v>
      </c>
      <c r="R43" s="1" t="b">
        <f>0=874</f>
        <v>0</v>
      </c>
      <c r="S43" s="1" t="b">
        <f>0=0=0=0=0=214</f>
        <v>0</v>
      </c>
      <c r="T43" s="1" t="b">
        <f>0=5=3</f>
        <v>0</v>
      </c>
      <c r="U43" s="1">
        <f>0.854</f>
        <v>0.85399999999999998</v>
      </c>
      <c r="V43" s="1">
        <v>91.998999999999995</v>
      </c>
      <c r="W43">
        <v>4</v>
      </c>
    </row>
    <row r="44" spans="1:23" x14ac:dyDescent="0.25">
      <c r="A44" s="1" t="s">
        <v>11341</v>
      </c>
      <c r="B44" s="1" t="s">
        <v>11342</v>
      </c>
      <c r="C44" s="1" t="s">
        <v>2529</v>
      </c>
      <c r="D44" s="1" t="s">
        <v>2529</v>
      </c>
      <c r="E44" s="1" t="s">
        <v>134</v>
      </c>
      <c r="F44" s="1" t="s">
        <v>11343</v>
      </c>
      <c r="G44">
        <v>193961</v>
      </c>
      <c r="H44">
        <v>68</v>
      </c>
      <c r="I44" s="1" t="s">
        <v>11063</v>
      </c>
      <c r="J44" s="11">
        <v>44698.028379629628</v>
      </c>
      <c r="K44" s="1" t="s">
        <v>135</v>
      </c>
      <c r="L44" s="1">
        <f>0.664</f>
        <v>0.66400000000000003</v>
      </c>
      <c r="M44" s="1">
        <f>0.738</f>
        <v>0.73799999999999999</v>
      </c>
      <c r="N44">
        <v>9</v>
      </c>
      <c r="O44" s="1" t="s">
        <v>11849</v>
      </c>
      <c r="P44">
        <f>0</f>
        <v>0</v>
      </c>
      <c r="Q44" s="1" t="b">
        <f>0=338</f>
        <v>0</v>
      </c>
      <c r="R44" s="1">
        <f>0.188</f>
        <v>0.188</v>
      </c>
      <c r="S44" s="1" t="b">
        <f>0=0=0=0=575</f>
        <v>0</v>
      </c>
      <c r="T44" s="1">
        <f>0.135</f>
        <v>0.13500000000000001</v>
      </c>
      <c r="U44" s="1" t="b">
        <f>0.2=3</f>
        <v>0</v>
      </c>
      <c r="V44" s="1">
        <v>119.973</v>
      </c>
      <c r="W44">
        <v>4</v>
      </c>
    </row>
    <row r="45" spans="1:23" x14ac:dyDescent="0.25">
      <c r="A45" s="1" t="s">
        <v>11344</v>
      </c>
      <c r="B45" s="1" t="s">
        <v>11345</v>
      </c>
      <c r="C45" s="1" t="s">
        <v>136</v>
      </c>
      <c r="D45" s="1" t="s">
        <v>136</v>
      </c>
      <c r="E45" s="1" t="s">
        <v>137</v>
      </c>
      <c r="F45" s="1" t="s">
        <v>11234</v>
      </c>
      <c r="G45">
        <v>181503</v>
      </c>
      <c r="H45">
        <v>38</v>
      </c>
      <c r="I45" s="1" t="s">
        <v>11063</v>
      </c>
      <c r="J45" s="11">
        <v>44698.029178240744</v>
      </c>
      <c r="K45" s="1" t="s">
        <v>138</v>
      </c>
      <c r="L45" s="1">
        <f>0.691</f>
        <v>0.69099999999999995</v>
      </c>
      <c r="M45" s="1" t="b">
        <f>0.6=3</f>
        <v>0</v>
      </c>
      <c r="N45">
        <v>1</v>
      </c>
      <c r="O45" s="1" t="s">
        <v>11850</v>
      </c>
      <c r="P45">
        <f>0</f>
        <v>0</v>
      </c>
      <c r="Q45" s="1" t="b">
        <f>0=346</f>
        <v>0</v>
      </c>
      <c r="R45" s="1">
        <f>0.358</f>
        <v>0.35799999999999998</v>
      </c>
      <c r="S45" s="1" t="b">
        <f>0=0=0=0=0=299</f>
        <v>0</v>
      </c>
      <c r="T45" s="1" t="b">
        <f>0.1=8</f>
        <v>0</v>
      </c>
      <c r="U45" s="1">
        <f>0.374</f>
        <v>0.374</v>
      </c>
      <c r="V45" s="1" t="s">
        <v>11851</v>
      </c>
      <c r="W45">
        <v>4</v>
      </c>
    </row>
    <row r="46" spans="1:23" x14ac:dyDescent="0.25">
      <c r="A46" s="1" t="s">
        <v>11346</v>
      </c>
      <c r="B46" s="1" t="s">
        <v>11347</v>
      </c>
      <c r="C46" s="1" t="s">
        <v>2175</v>
      </c>
      <c r="D46" s="1" t="s">
        <v>11348</v>
      </c>
      <c r="E46" s="1" t="s">
        <v>139</v>
      </c>
      <c r="F46" s="1" t="s">
        <v>11349</v>
      </c>
      <c r="G46">
        <v>210491</v>
      </c>
      <c r="H46">
        <v>54</v>
      </c>
      <c r="I46" s="1" t="s">
        <v>11063</v>
      </c>
      <c r="J46" s="11">
        <v>44698.02988425926</v>
      </c>
      <c r="K46" s="1" t="s">
        <v>140</v>
      </c>
      <c r="L46" s="1">
        <f>0.61</f>
        <v>0.61</v>
      </c>
      <c r="M46" s="1">
        <f>0.579</f>
        <v>0.57899999999999996</v>
      </c>
      <c r="N46">
        <v>9</v>
      </c>
      <c r="O46" s="1">
        <v>-8.1839999999999993</v>
      </c>
      <c r="P46">
        <v>1</v>
      </c>
      <c r="Q46" s="1" t="b">
        <f>0=662</f>
        <v>0</v>
      </c>
      <c r="R46" s="1" t="b">
        <f>0=524</f>
        <v>0</v>
      </c>
      <c r="S46" s="1" t="b">
        <f>0=0=0=0=0=23</f>
        <v>0</v>
      </c>
      <c r="T46" s="1" t="b">
        <f>0=829</f>
        <v>0</v>
      </c>
      <c r="U46" s="1" t="b">
        <f>0.2=3</f>
        <v>0</v>
      </c>
      <c r="V46" s="1" t="s">
        <v>11852</v>
      </c>
      <c r="W46">
        <v>4</v>
      </c>
    </row>
    <row r="47" spans="1:23" x14ac:dyDescent="0.25">
      <c r="A47" s="1" t="s">
        <v>11350</v>
      </c>
      <c r="B47" s="1" t="s">
        <v>11351</v>
      </c>
      <c r="C47" s="1" t="s">
        <v>72</v>
      </c>
      <c r="D47" s="1" t="s">
        <v>72</v>
      </c>
      <c r="E47" s="1" t="s">
        <v>141</v>
      </c>
      <c r="F47" s="1" t="s">
        <v>11352</v>
      </c>
      <c r="G47">
        <v>181016</v>
      </c>
      <c r="H47">
        <v>45</v>
      </c>
      <c r="I47" s="1" t="s">
        <v>11063</v>
      </c>
      <c r="J47" s="11">
        <v>44698.030648148146</v>
      </c>
      <c r="K47" s="1" t="s">
        <v>142</v>
      </c>
      <c r="L47" s="1">
        <f>0.542</f>
        <v>0.54200000000000004</v>
      </c>
      <c r="M47" s="1">
        <f>0.65</f>
        <v>0.65</v>
      </c>
      <c r="N47">
        <v>8</v>
      </c>
      <c r="O47" s="1">
        <v>-7.7779999999999996</v>
      </c>
      <c r="P47">
        <f>0</f>
        <v>0</v>
      </c>
      <c r="Q47" s="1" t="b">
        <f>0=534</f>
        <v>0</v>
      </c>
      <c r="R47" s="1">
        <f>0.243</f>
        <v>0.24299999999999999</v>
      </c>
      <c r="S47" s="1" t="b">
        <f>0=0=136</f>
        <v>0</v>
      </c>
      <c r="T47" s="1">
        <f>0.152</f>
        <v>0.152</v>
      </c>
      <c r="U47" s="1">
        <f>0.376</f>
        <v>0.376</v>
      </c>
      <c r="V47" s="1" t="s">
        <v>11853</v>
      </c>
      <c r="W47">
        <v>4</v>
      </c>
    </row>
    <row r="48" spans="1:23" x14ac:dyDescent="0.25">
      <c r="A48" s="1" t="s">
        <v>11353</v>
      </c>
      <c r="B48" s="1" t="s">
        <v>11354</v>
      </c>
      <c r="C48" s="1" t="s">
        <v>143</v>
      </c>
      <c r="D48" s="1" t="s">
        <v>11355</v>
      </c>
      <c r="E48" s="1" t="s">
        <v>144</v>
      </c>
      <c r="F48" s="1" t="s">
        <v>11356</v>
      </c>
      <c r="G48">
        <v>204465</v>
      </c>
      <c r="H48">
        <v>37</v>
      </c>
      <c r="I48" s="1" t="s">
        <v>11063</v>
      </c>
      <c r="J48" s="11">
        <v>44698.0315162037</v>
      </c>
      <c r="K48" s="1" t="s">
        <v>145</v>
      </c>
      <c r="L48" s="1" t="b">
        <f>0.3=9</f>
        <v>0</v>
      </c>
      <c r="M48" s="1">
        <f>0.776</f>
        <v>0.77600000000000002</v>
      </c>
      <c r="N48">
        <v>7</v>
      </c>
      <c r="O48" s="1">
        <v>-3.8239999999999998</v>
      </c>
      <c r="P48">
        <v>1</v>
      </c>
      <c r="Q48" s="1" t="b">
        <f>0=435</f>
        <v>0</v>
      </c>
      <c r="R48" s="1" t="b">
        <f>0=6=5</f>
        <v>0</v>
      </c>
      <c r="S48" s="1">
        <f>0</f>
        <v>0</v>
      </c>
      <c r="T48" s="1">
        <f>0.29</f>
        <v>0.28999999999999998</v>
      </c>
      <c r="U48" s="1">
        <f>0.242</f>
        <v>0.24199999999999999</v>
      </c>
      <c r="V48" s="1">
        <v>143.17099999999999</v>
      </c>
      <c r="W48">
        <v>4</v>
      </c>
    </row>
    <row r="49" spans="1:23" x14ac:dyDescent="0.25">
      <c r="A49" s="1" t="s">
        <v>11357</v>
      </c>
      <c r="B49" s="1" t="s">
        <v>11358</v>
      </c>
      <c r="C49" s="1" t="s">
        <v>146</v>
      </c>
      <c r="D49" s="1" t="s">
        <v>11355</v>
      </c>
      <c r="E49" s="1" t="s">
        <v>147</v>
      </c>
      <c r="F49" s="1" t="s">
        <v>11356</v>
      </c>
      <c r="G49">
        <v>231040</v>
      </c>
      <c r="H49">
        <v>52</v>
      </c>
      <c r="I49" s="1" t="s">
        <v>11063</v>
      </c>
      <c r="J49" s="11">
        <v>44698.031655092593</v>
      </c>
      <c r="K49" s="1" t="s">
        <v>148</v>
      </c>
      <c r="L49" s="1">
        <f>0.466</f>
        <v>0.46600000000000003</v>
      </c>
      <c r="M49" s="1">
        <f>0.841</f>
        <v>0.84099999999999997</v>
      </c>
      <c r="N49">
        <v>4</v>
      </c>
      <c r="O49" s="1">
        <v>-4.6829999999999998</v>
      </c>
      <c r="P49">
        <f>0</f>
        <v>0</v>
      </c>
      <c r="Q49" s="1" t="b">
        <f>0=873</f>
        <v>0</v>
      </c>
      <c r="R49" s="1">
        <f>0.219</f>
        <v>0.219</v>
      </c>
      <c r="S49" s="1" t="b">
        <f>0=0=0=286</f>
        <v>0</v>
      </c>
      <c r="T49" s="1">
        <f>0.14</f>
        <v>0.14000000000000001</v>
      </c>
      <c r="U49" s="1">
        <f>0.317</f>
        <v>0.317</v>
      </c>
      <c r="V49" s="1">
        <v>171.874</v>
      </c>
      <c r="W49">
        <v>4</v>
      </c>
    </row>
    <row r="50" spans="1:23" x14ac:dyDescent="0.25">
      <c r="A50" s="1" t="s">
        <v>11359</v>
      </c>
      <c r="B50" s="1" t="s">
        <v>11360</v>
      </c>
      <c r="C50" s="1" t="s">
        <v>2617</v>
      </c>
      <c r="D50" s="1" t="s">
        <v>11361</v>
      </c>
      <c r="E50" s="1" t="s">
        <v>149</v>
      </c>
      <c r="F50" s="1" t="s">
        <v>11362</v>
      </c>
      <c r="G50">
        <v>212560</v>
      </c>
      <c r="H50">
        <v>72</v>
      </c>
      <c r="I50" s="1" t="s">
        <v>11063</v>
      </c>
      <c r="J50" s="11">
        <v>44698.032037037039</v>
      </c>
      <c r="K50" s="1" t="s">
        <v>150</v>
      </c>
      <c r="L50" s="1">
        <f>0.573</f>
        <v>0.57299999999999995</v>
      </c>
      <c r="M50" s="1">
        <f>0.929</f>
        <v>0.92900000000000005</v>
      </c>
      <c r="N50">
        <v>8</v>
      </c>
      <c r="O50" s="1">
        <v>-3.9420000000000002</v>
      </c>
      <c r="P50">
        <f>0</f>
        <v>0</v>
      </c>
      <c r="Q50" s="1" t="b">
        <f>0.1=9</f>
        <v>0</v>
      </c>
      <c r="R50" s="1">
        <f>0.197</f>
        <v>0.19700000000000001</v>
      </c>
      <c r="S50" s="1" t="b">
        <f>0=0=0=112</f>
        <v>0</v>
      </c>
      <c r="T50" s="1" t="b">
        <f>0=567</f>
        <v>0</v>
      </c>
      <c r="U50" s="1">
        <f>0.582</f>
        <v>0.58199999999999996</v>
      </c>
      <c r="V50" s="1">
        <v>127.934</v>
      </c>
      <c r="W50">
        <v>4</v>
      </c>
    </row>
    <row r="51" spans="1:23" x14ac:dyDescent="0.25">
      <c r="A51" s="1" t="s">
        <v>11363</v>
      </c>
      <c r="B51" s="1" t="s">
        <v>11364</v>
      </c>
      <c r="C51" s="1" t="s">
        <v>2620</v>
      </c>
      <c r="D51" s="1" t="s">
        <v>2620</v>
      </c>
      <c r="E51" s="1" t="s">
        <v>151</v>
      </c>
      <c r="F51" s="1" t="s">
        <v>11365</v>
      </c>
      <c r="G51">
        <v>159836</v>
      </c>
      <c r="H51">
        <v>75</v>
      </c>
      <c r="I51" s="1" t="s">
        <v>11063</v>
      </c>
      <c r="J51" s="11">
        <v>44698.032280092593</v>
      </c>
      <c r="K51" s="1" t="s">
        <v>152</v>
      </c>
      <c r="L51" s="1">
        <f>0.671</f>
        <v>0.67100000000000004</v>
      </c>
      <c r="M51" s="1">
        <f>0.599</f>
        <v>0.59899999999999998</v>
      </c>
      <c r="N51">
        <v>4</v>
      </c>
      <c r="O51" s="1">
        <v>-6.18</v>
      </c>
      <c r="P51">
        <v>1</v>
      </c>
      <c r="Q51" s="1" t="b">
        <f>0=4=5</f>
        <v>0</v>
      </c>
      <c r="R51" s="1" t="b">
        <f>0=658</f>
        <v>0</v>
      </c>
      <c r="S51" s="1">
        <f>0</f>
        <v>0</v>
      </c>
      <c r="T51" s="1" t="b">
        <f>0.1=1</f>
        <v>0</v>
      </c>
      <c r="U51" s="1">
        <f>0.448</f>
        <v>0.44800000000000001</v>
      </c>
      <c r="V51" s="1">
        <v>121.849</v>
      </c>
      <c r="W51">
        <v>3</v>
      </c>
    </row>
    <row r="52" spans="1:23" x14ac:dyDescent="0.25">
      <c r="A52" s="1" t="s">
        <v>11366</v>
      </c>
      <c r="B52" s="1" t="s">
        <v>11367</v>
      </c>
      <c r="C52" s="1" t="s">
        <v>153</v>
      </c>
      <c r="D52" s="1" t="s">
        <v>11368</v>
      </c>
      <c r="E52" s="1" t="s">
        <v>154</v>
      </c>
      <c r="F52" s="1" t="s">
        <v>11369</v>
      </c>
      <c r="G52">
        <v>176459</v>
      </c>
      <c r="H52">
        <v>53</v>
      </c>
      <c r="I52" s="1" t="s">
        <v>11063</v>
      </c>
      <c r="J52" s="11">
        <v>44698.032326388886</v>
      </c>
      <c r="K52" s="1" t="s">
        <v>155</v>
      </c>
      <c r="L52" s="1">
        <f>0.522</f>
        <v>0.52200000000000002</v>
      </c>
      <c r="M52" s="1">
        <f>0.726</f>
        <v>0.72599999999999998</v>
      </c>
      <c r="N52">
        <v>9</v>
      </c>
      <c r="O52" s="1">
        <v>-7.23</v>
      </c>
      <c r="P52">
        <v>1</v>
      </c>
      <c r="Q52" s="1" t="b">
        <f>0=489</f>
        <v>0</v>
      </c>
      <c r="R52" s="1">
        <f>0.136</f>
        <v>0.13600000000000001</v>
      </c>
      <c r="S52" s="1">
        <f>0</f>
        <v>0</v>
      </c>
      <c r="T52" s="1">
        <f>0.285</f>
        <v>0.28499999999999998</v>
      </c>
      <c r="U52" s="1">
        <f>0.336</f>
        <v>0.33600000000000002</v>
      </c>
      <c r="V52" s="1">
        <v>119.858</v>
      </c>
      <c r="W52">
        <v>4</v>
      </c>
    </row>
    <row r="53" spans="1:23" x14ac:dyDescent="0.25">
      <c r="A53" s="1" t="s">
        <v>11370</v>
      </c>
      <c r="B53" s="1" t="s">
        <v>11371</v>
      </c>
      <c r="C53" s="1" t="s">
        <v>156</v>
      </c>
      <c r="D53" s="1" t="s">
        <v>156</v>
      </c>
      <c r="E53" s="1" t="s">
        <v>157</v>
      </c>
      <c r="F53" s="1" t="s">
        <v>11372</v>
      </c>
      <c r="G53">
        <v>190011</v>
      </c>
      <c r="H53">
        <v>68</v>
      </c>
      <c r="I53" s="1" t="s">
        <v>11063</v>
      </c>
      <c r="J53" s="11">
        <v>44698.032557870371</v>
      </c>
      <c r="K53" s="1" t="s">
        <v>158</v>
      </c>
      <c r="L53" s="1">
        <f>0.641</f>
        <v>0.64100000000000001</v>
      </c>
      <c r="M53" s="1">
        <f>0.681</f>
        <v>0.68100000000000005</v>
      </c>
      <c r="N53">
        <f>0</f>
        <v>0</v>
      </c>
      <c r="O53" s="1">
        <v>-6.4180000000000001</v>
      </c>
      <c r="P53">
        <v>1</v>
      </c>
      <c r="Q53" s="1">
        <f>0.354</f>
        <v>0.35399999999999998</v>
      </c>
      <c r="R53" s="1">
        <f>0.123</f>
        <v>0.123</v>
      </c>
      <c r="S53" s="1" t="b">
        <f>0=0=0=0=336</f>
        <v>0</v>
      </c>
      <c r="T53" s="1" t="b">
        <f>0=425</f>
        <v>0</v>
      </c>
      <c r="U53" s="1">
        <f>0.836</f>
        <v>0.83599999999999997</v>
      </c>
      <c r="V53" s="1" t="s">
        <v>11854</v>
      </c>
      <c r="W53">
        <v>3</v>
      </c>
    </row>
    <row r="54" spans="1:23" x14ac:dyDescent="0.25">
      <c r="A54" s="1" t="s">
        <v>11373</v>
      </c>
      <c r="B54" s="1" t="s">
        <v>11374</v>
      </c>
      <c r="C54" s="1" t="s">
        <v>159</v>
      </c>
      <c r="D54" s="1" t="s">
        <v>11375</v>
      </c>
      <c r="E54" s="1" t="s">
        <v>160</v>
      </c>
      <c r="F54" s="1" t="s">
        <v>11225</v>
      </c>
      <c r="G54">
        <v>195760</v>
      </c>
      <c r="H54">
        <v>56</v>
      </c>
      <c r="I54" s="1" t="s">
        <v>11063</v>
      </c>
      <c r="J54" s="11">
        <v>44698.032997685186</v>
      </c>
      <c r="K54" s="1" t="s">
        <v>161</v>
      </c>
      <c r="L54" s="1">
        <f>0.668</f>
        <v>0.66800000000000004</v>
      </c>
      <c r="M54" s="1">
        <f>0.739</f>
        <v>0.73899999999999999</v>
      </c>
      <c r="N54">
        <v>6</v>
      </c>
      <c r="O54" s="1">
        <v>-5.2309999999999999</v>
      </c>
      <c r="P54">
        <v>1</v>
      </c>
      <c r="Q54" s="1">
        <f>0.358</f>
        <v>0.35799999999999998</v>
      </c>
      <c r="R54" s="1">
        <f>0.333</f>
        <v>0.33300000000000002</v>
      </c>
      <c r="S54" s="1">
        <f>0</f>
        <v>0</v>
      </c>
      <c r="T54" s="1" t="b">
        <f>0.1=7</f>
        <v>0</v>
      </c>
      <c r="U54" s="1">
        <f>0.759</f>
        <v>0.75900000000000001</v>
      </c>
      <c r="V54" s="1" t="s">
        <v>11855</v>
      </c>
      <c r="W54">
        <v>4</v>
      </c>
    </row>
    <row r="55" spans="1:23" x14ac:dyDescent="0.25">
      <c r="A55" s="1" t="s">
        <v>11376</v>
      </c>
      <c r="B55" s="1" t="s">
        <v>11377</v>
      </c>
      <c r="C55" s="1" t="s">
        <v>2649</v>
      </c>
      <c r="D55" s="1" t="s">
        <v>11375</v>
      </c>
      <c r="E55" s="1" t="s">
        <v>162</v>
      </c>
      <c r="F55" s="1" t="s">
        <v>11225</v>
      </c>
      <c r="G55">
        <v>176613</v>
      </c>
      <c r="H55">
        <v>58</v>
      </c>
      <c r="I55" s="1" t="s">
        <v>11063</v>
      </c>
      <c r="J55" s="11">
        <v>44698.033101851855</v>
      </c>
      <c r="K55" s="1" t="s">
        <v>163</v>
      </c>
      <c r="L55" s="1">
        <f>0.7</f>
        <v>0.7</v>
      </c>
      <c r="M55" s="1">
        <f>0.675</f>
        <v>0.67500000000000004</v>
      </c>
      <c r="N55">
        <v>7</v>
      </c>
      <c r="O55" s="1">
        <v>-5.8170000000000002</v>
      </c>
      <c r="P55">
        <v>1</v>
      </c>
      <c r="Q55" s="1" t="b">
        <f>0=474</f>
        <v>0</v>
      </c>
      <c r="R55" s="1">
        <f>0.377</f>
        <v>0.377</v>
      </c>
      <c r="S55" s="1">
        <f>0</f>
        <v>0</v>
      </c>
      <c r="T55" s="1" t="b">
        <f>0=638</f>
        <v>0</v>
      </c>
      <c r="U55" s="1">
        <f>0.352</f>
        <v>0.35199999999999998</v>
      </c>
      <c r="V55" s="1">
        <v>85.938000000000002</v>
      </c>
      <c r="W55">
        <v>4</v>
      </c>
    </row>
    <row r="56" spans="1:23" x14ac:dyDescent="0.25">
      <c r="A56" s="1" t="s">
        <v>11378</v>
      </c>
      <c r="B56" s="1" t="s">
        <v>11379</v>
      </c>
      <c r="C56" s="1" t="s">
        <v>2652</v>
      </c>
      <c r="D56" s="1" t="s">
        <v>11375</v>
      </c>
      <c r="E56" s="1" t="s">
        <v>164</v>
      </c>
      <c r="F56" s="1" t="s">
        <v>11225</v>
      </c>
      <c r="G56">
        <v>227386</v>
      </c>
      <c r="H56">
        <v>64</v>
      </c>
      <c r="I56" s="1" t="s">
        <v>11063</v>
      </c>
      <c r="J56" s="11">
        <v>44698.033182870371</v>
      </c>
      <c r="K56" s="1" t="s">
        <v>165</v>
      </c>
      <c r="L56" s="1">
        <f>0.822</f>
        <v>0.82199999999999995</v>
      </c>
      <c r="M56" s="1">
        <f>0.695</f>
        <v>0.69499999999999995</v>
      </c>
      <c r="N56">
        <v>6</v>
      </c>
      <c r="O56" s="1">
        <v>-5.2309999999999999</v>
      </c>
      <c r="P56">
        <f>0</f>
        <v>0</v>
      </c>
      <c r="Q56" s="1">
        <f>0.192</f>
        <v>0.192</v>
      </c>
      <c r="R56" s="1">
        <f>0.141</f>
        <v>0.14099999999999999</v>
      </c>
      <c r="S56" s="1">
        <f>0</f>
        <v>0</v>
      </c>
      <c r="T56" s="1" t="b">
        <f>0=876</f>
        <v>0</v>
      </c>
      <c r="U56" s="1">
        <f>0.56</f>
        <v>0.56000000000000005</v>
      </c>
      <c r="V56" s="1" t="s">
        <v>166</v>
      </c>
      <c r="W56">
        <v>4</v>
      </c>
    </row>
    <row r="57" spans="1:23" x14ac:dyDescent="0.25">
      <c r="A57" s="1" t="s">
        <v>11380</v>
      </c>
      <c r="B57" s="1" t="s">
        <v>11381</v>
      </c>
      <c r="C57" s="1" t="s">
        <v>2663</v>
      </c>
      <c r="D57" s="1" t="s">
        <v>11382</v>
      </c>
      <c r="E57" s="1" t="s">
        <v>167</v>
      </c>
      <c r="F57" s="1" t="s">
        <v>11383</v>
      </c>
      <c r="G57">
        <v>209280</v>
      </c>
      <c r="H57">
        <v>44</v>
      </c>
      <c r="I57" s="1" t="s">
        <v>11063</v>
      </c>
      <c r="J57" s="11">
        <v>44698.033576388887</v>
      </c>
      <c r="K57" s="1" t="s">
        <v>168</v>
      </c>
      <c r="L57" s="1">
        <f>0.642</f>
        <v>0.64200000000000002</v>
      </c>
      <c r="M57" s="1">
        <f>0.864</f>
        <v>0.86399999999999999</v>
      </c>
      <c r="N57">
        <v>7</v>
      </c>
      <c r="O57" s="1">
        <v>-3.657</v>
      </c>
      <c r="P57">
        <v>1</v>
      </c>
      <c r="Q57" s="1" t="b">
        <f>0=379</f>
        <v>0</v>
      </c>
      <c r="R57" s="1" t="b">
        <f>0=455</f>
        <v>0</v>
      </c>
      <c r="S57" s="1" t="b">
        <f>0=0=0=0=0=198</f>
        <v>0</v>
      </c>
      <c r="T57" s="1" t="b">
        <f>0=81</f>
        <v>0</v>
      </c>
      <c r="U57" s="1">
        <f>0.564</f>
        <v>0.56399999999999995</v>
      </c>
      <c r="V57" s="1" t="s">
        <v>11856</v>
      </c>
      <c r="W57">
        <v>4</v>
      </c>
    </row>
    <row r="58" spans="1:23" x14ac:dyDescent="0.25">
      <c r="A58" s="1" t="s">
        <v>11384</v>
      </c>
      <c r="B58" s="1" t="s">
        <v>11385</v>
      </c>
      <c r="C58" s="1" t="s">
        <v>169</v>
      </c>
      <c r="D58" s="1" t="s">
        <v>11386</v>
      </c>
      <c r="E58" s="1" t="s">
        <v>170</v>
      </c>
      <c r="F58" s="1" t="s">
        <v>11387</v>
      </c>
      <c r="G58">
        <v>284373</v>
      </c>
      <c r="H58">
        <v>73</v>
      </c>
      <c r="I58" s="1" t="s">
        <v>11063</v>
      </c>
      <c r="J58" s="11">
        <v>44698.03365740741</v>
      </c>
      <c r="K58" s="1" t="s">
        <v>171</v>
      </c>
      <c r="L58" s="1">
        <f>0.798</f>
        <v>0.79800000000000004</v>
      </c>
      <c r="M58" s="1">
        <f>0.629</f>
        <v>0.629</v>
      </c>
      <c r="N58">
        <v>11</v>
      </c>
      <c r="O58" s="1">
        <v>-6.8570000000000002</v>
      </c>
      <c r="P58">
        <f>0</f>
        <v>0</v>
      </c>
      <c r="Q58" s="1" t="b">
        <f>0=735</f>
        <v>0</v>
      </c>
      <c r="R58" s="1" t="b">
        <f>0=0=474</f>
        <v>0</v>
      </c>
      <c r="S58" s="1" t="b">
        <f>0=0=0=0=217</f>
        <v>0</v>
      </c>
      <c r="T58" s="1">
        <f>0.324</f>
        <v>0.32400000000000001</v>
      </c>
      <c r="U58" s="1">
        <f>0.4</f>
        <v>0.4</v>
      </c>
      <c r="V58" s="1" t="s">
        <v>11857</v>
      </c>
      <c r="W58">
        <v>4</v>
      </c>
    </row>
    <row r="59" spans="1:23" x14ac:dyDescent="0.25">
      <c r="A59" s="1" t="s">
        <v>11388</v>
      </c>
      <c r="B59" s="1" t="s">
        <v>11389</v>
      </c>
      <c r="C59" s="1" t="s">
        <v>172</v>
      </c>
      <c r="D59" s="1" t="s">
        <v>11390</v>
      </c>
      <c r="E59" s="1" t="s">
        <v>173</v>
      </c>
      <c r="F59" s="1" t="s">
        <v>11391</v>
      </c>
      <c r="G59">
        <v>198973</v>
      </c>
      <c r="H59">
        <v>83</v>
      </c>
      <c r="I59" s="1" t="s">
        <v>11063</v>
      </c>
      <c r="J59" s="11">
        <v>44698.033773148149</v>
      </c>
      <c r="K59" s="1" t="s">
        <v>174</v>
      </c>
      <c r="L59" s="1">
        <f>0.754</f>
        <v>0.754</v>
      </c>
      <c r="M59" s="1">
        <f>0.449</f>
        <v>0.44900000000000001</v>
      </c>
      <c r="N59">
        <v>7</v>
      </c>
      <c r="O59" s="1">
        <v>-9.2110000000000003</v>
      </c>
      <c r="P59">
        <v>1</v>
      </c>
      <c r="Q59" s="1" t="b">
        <f>0.1=9</f>
        <v>0</v>
      </c>
      <c r="R59" s="1" t="b">
        <f>0=332</f>
        <v>0</v>
      </c>
      <c r="S59" s="1" t="b">
        <f>0=0=0=0=829</f>
        <v>0</v>
      </c>
      <c r="T59" s="1">
        <f>0.552</f>
        <v>0.55200000000000005</v>
      </c>
      <c r="U59" s="1">
        <f>0.357</f>
        <v>0.35699999999999998</v>
      </c>
      <c r="V59" s="1">
        <v>77.168999999999997</v>
      </c>
      <c r="W59">
        <v>4</v>
      </c>
    </row>
    <row r="60" spans="1:23" x14ac:dyDescent="0.25">
      <c r="A60" s="1" t="s">
        <v>11392</v>
      </c>
      <c r="B60" s="1" t="s">
        <v>11393</v>
      </c>
      <c r="C60" s="1" t="s">
        <v>2679</v>
      </c>
      <c r="D60" s="1" t="s">
        <v>11394</v>
      </c>
      <c r="E60" s="1" t="s">
        <v>175</v>
      </c>
      <c r="F60" s="1" t="s">
        <v>11395</v>
      </c>
      <c r="G60">
        <v>175680</v>
      </c>
      <c r="H60">
        <v>49</v>
      </c>
      <c r="I60" s="1" t="s">
        <v>11063</v>
      </c>
      <c r="J60" s="11">
        <v>44698.03396990741</v>
      </c>
      <c r="K60" s="1" t="s">
        <v>176</v>
      </c>
      <c r="L60" s="1">
        <f>0.899</f>
        <v>0.89900000000000002</v>
      </c>
      <c r="M60" s="1">
        <f>0.561</f>
        <v>0.56100000000000005</v>
      </c>
      <c r="N60">
        <v>6</v>
      </c>
      <c r="O60" s="1">
        <v>-7.7859999999999996</v>
      </c>
      <c r="P60">
        <v>1</v>
      </c>
      <c r="Q60" s="1">
        <f>0.325</f>
        <v>0.32500000000000001</v>
      </c>
      <c r="R60" s="1" t="b">
        <f>0.4=6</f>
        <v>0</v>
      </c>
      <c r="S60" s="1" t="b">
        <f>0=0=0=0=414</f>
        <v>0</v>
      </c>
      <c r="T60" s="1" t="b">
        <f>0.1=8</f>
        <v>0</v>
      </c>
      <c r="U60" s="1">
        <f>0.619</f>
        <v>0.61899999999999999</v>
      </c>
      <c r="V60" s="1" t="s">
        <v>11858</v>
      </c>
      <c r="W60">
        <v>4</v>
      </c>
    </row>
    <row r="61" spans="1:23" x14ac:dyDescent="0.25">
      <c r="A61" s="1" t="s">
        <v>11396</v>
      </c>
      <c r="B61" s="1" t="s">
        <v>11397</v>
      </c>
      <c r="C61" s="1" t="s">
        <v>2702</v>
      </c>
      <c r="D61" s="1" t="s">
        <v>11398</v>
      </c>
      <c r="E61" s="1" t="s">
        <v>177</v>
      </c>
      <c r="F61" s="1" t="s">
        <v>11399</v>
      </c>
      <c r="G61">
        <v>222720</v>
      </c>
      <c r="H61">
        <v>5</v>
      </c>
      <c r="I61" s="1" t="s">
        <v>11063</v>
      </c>
      <c r="J61" s="11">
        <v>44698.034791666665</v>
      </c>
      <c r="K61" s="1" t="s">
        <v>178</v>
      </c>
      <c r="L61" s="1">
        <f>0.458</f>
        <v>0.45800000000000002</v>
      </c>
      <c r="M61" s="1">
        <f>0.683</f>
        <v>0.68300000000000005</v>
      </c>
      <c r="N61">
        <v>11</v>
      </c>
      <c r="O61" s="1" t="s">
        <v>11859</v>
      </c>
      <c r="P61">
        <f>0</f>
        <v>0</v>
      </c>
      <c r="Q61" s="1" t="b">
        <f>0=834</f>
        <v>0</v>
      </c>
      <c r="R61" s="1" t="b">
        <f>0=578</f>
        <v>0</v>
      </c>
      <c r="S61" s="1" t="b">
        <f>0=0=0=0=0=812</f>
        <v>0</v>
      </c>
      <c r="T61" s="1">
        <f>0.493</f>
        <v>0.49299999999999999</v>
      </c>
      <c r="U61" s="1">
        <f>0.353</f>
        <v>0.35299999999999998</v>
      </c>
      <c r="V61" s="1" t="s">
        <v>11860</v>
      </c>
      <c r="W61">
        <v>4</v>
      </c>
    </row>
    <row r="62" spans="1:23" x14ac:dyDescent="0.25">
      <c r="A62" s="1" t="s">
        <v>11400</v>
      </c>
      <c r="B62" s="1" t="s">
        <v>11401</v>
      </c>
      <c r="C62" s="1" t="s">
        <v>2714</v>
      </c>
      <c r="D62" s="1" t="s">
        <v>2714</v>
      </c>
      <c r="E62" s="1" t="s">
        <v>179</v>
      </c>
      <c r="F62" s="1" t="s">
        <v>11264</v>
      </c>
      <c r="G62">
        <v>309066</v>
      </c>
      <c r="H62">
        <v>47</v>
      </c>
      <c r="I62" s="1" t="s">
        <v>11063</v>
      </c>
      <c r="J62" s="11">
        <v>44698.035000000003</v>
      </c>
      <c r="K62" s="1" t="s">
        <v>180</v>
      </c>
      <c r="L62" s="1">
        <f>0.368</f>
        <v>0.36799999999999999</v>
      </c>
      <c r="M62" s="1">
        <f>0.722</f>
        <v>0.72199999999999998</v>
      </c>
      <c r="N62">
        <f>0</f>
        <v>0</v>
      </c>
      <c r="O62" s="1">
        <v>-4.266</v>
      </c>
      <c r="P62">
        <v>1</v>
      </c>
      <c r="Q62" s="1" t="b">
        <f>0=377</f>
        <v>0</v>
      </c>
      <c r="R62" s="1">
        <f>0.754</f>
        <v>0.754</v>
      </c>
      <c r="S62" s="1" t="b">
        <f>0=168</f>
        <v>0</v>
      </c>
      <c r="T62" s="1" t="b">
        <f>0=934</f>
        <v>0</v>
      </c>
      <c r="U62" s="1">
        <f>0.242</f>
        <v>0.24199999999999999</v>
      </c>
      <c r="V62" s="1" t="s">
        <v>11861</v>
      </c>
      <c r="W62">
        <v>4</v>
      </c>
    </row>
    <row r="63" spans="1:23" x14ac:dyDescent="0.25">
      <c r="A63" s="1" t="s">
        <v>11402</v>
      </c>
      <c r="B63" s="1" t="s">
        <v>11403</v>
      </c>
      <c r="C63" s="1" t="s">
        <v>2746</v>
      </c>
      <c r="D63" s="1" t="s">
        <v>3152</v>
      </c>
      <c r="E63" s="1" t="s">
        <v>181</v>
      </c>
      <c r="F63" s="1" t="s">
        <v>11404</v>
      </c>
      <c r="G63">
        <v>234000</v>
      </c>
      <c r="H63">
        <v>60</v>
      </c>
      <c r="I63" s="1" t="s">
        <v>11063</v>
      </c>
      <c r="J63" s="11">
        <v>44698.035960648151</v>
      </c>
      <c r="K63" s="1" t="s">
        <v>182</v>
      </c>
      <c r="L63" s="1">
        <f>0.542</f>
        <v>0.54200000000000004</v>
      </c>
      <c r="M63" s="1">
        <f>0.659</f>
        <v>0.65900000000000003</v>
      </c>
      <c r="N63">
        <v>8</v>
      </c>
      <c r="O63" s="1">
        <v>-7.2889999999999997</v>
      </c>
      <c r="P63">
        <v>1</v>
      </c>
      <c r="Q63" s="1" t="b">
        <f>0=389</f>
        <v>0</v>
      </c>
      <c r="R63" s="1" t="b">
        <f>0=0=279</f>
        <v>0</v>
      </c>
      <c r="S63" s="1">
        <f>0</f>
        <v>0</v>
      </c>
      <c r="T63" s="1" t="b">
        <f>0.1=5</f>
        <v>0</v>
      </c>
      <c r="U63" s="1" t="b">
        <f>0.1=9</f>
        <v>0</v>
      </c>
      <c r="V63" s="1" t="s">
        <v>11862</v>
      </c>
      <c r="W63">
        <v>4</v>
      </c>
    </row>
    <row r="64" spans="1:23" x14ac:dyDescent="0.25">
      <c r="A64" s="1" t="s">
        <v>11405</v>
      </c>
      <c r="B64" s="1" t="s">
        <v>11406</v>
      </c>
      <c r="C64" s="1" t="s">
        <v>183</v>
      </c>
      <c r="D64" s="1" t="s">
        <v>11407</v>
      </c>
      <c r="E64" s="1" t="s">
        <v>184</v>
      </c>
      <c r="F64" s="1" t="s">
        <v>11408</v>
      </c>
      <c r="G64">
        <v>169153</v>
      </c>
      <c r="H64">
        <v>84</v>
      </c>
      <c r="I64" s="1" t="s">
        <v>11063</v>
      </c>
      <c r="J64" s="11">
        <v>44698.037268518521</v>
      </c>
      <c r="K64" s="1" t="s">
        <v>185</v>
      </c>
      <c r="L64" s="1">
        <f>0.824</f>
        <v>0.82399999999999995</v>
      </c>
      <c r="M64" s="1">
        <f>0.862</f>
        <v>0.86199999999999999</v>
      </c>
      <c r="N64">
        <v>2</v>
      </c>
      <c r="O64" s="1">
        <v>-3.4239999999999999</v>
      </c>
      <c r="P64">
        <v>1</v>
      </c>
      <c r="Q64" s="1">
        <f>0.126</f>
        <v>0.126</v>
      </c>
      <c r="R64" s="1" t="b">
        <f>0=0=76</f>
        <v>0</v>
      </c>
      <c r="S64" s="1" t="b">
        <f>0=0=0=132</f>
        <v>0</v>
      </c>
      <c r="T64" s="1" t="b">
        <f>0.3=3</f>
        <v>0</v>
      </c>
      <c r="U64" s="1" t="b">
        <f>0.8=1</f>
        <v>0</v>
      </c>
      <c r="V64" s="1">
        <v>122.98</v>
      </c>
      <c r="W64">
        <v>4</v>
      </c>
    </row>
    <row r="65" spans="1:23" x14ac:dyDescent="0.25">
      <c r="A65" s="1" t="s">
        <v>11409</v>
      </c>
      <c r="B65" s="1" t="s">
        <v>11410</v>
      </c>
      <c r="C65" s="1" t="s">
        <v>186</v>
      </c>
      <c r="D65" s="1" t="s">
        <v>186</v>
      </c>
      <c r="E65" s="1" t="s">
        <v>187</v>
      </c>
      <c r="F65" s="1" t="s">
        <v>11411</v>
      </c>
      <c r="G65">
        <v>205090</v>
      </c>
      <c r="H65">
        <v>82</v>
      </c>
      <c r="I65" s="1" t="s">
        <v>11063</v>
      </c>
      <c r="J65" s="11">
        <v>44698.037303240744</v>
      </c>
      <c r="K65" s="1" t="s">
        <v>188</v>
      </c>
      <c r="L65" s="1">
        <f>0.731</f>
        <v>0.73099999999999998</v>
      </c>
      <c r="M65" s="1">
        <f>0.573</f>
        <v>0.57299999999999995</v>
      </c>
      <c r="N65">
        <v>4</v>
      </c>
      <c r="O65" s="1" t="s">
        <v>11863</v>
      </c>
      <c r="P65">
        <f>0</f>
        <v>0</v>
      </c>
      <c r="Q65" s="1" t="b">
        <f>0=544</f>
        <v>0</v>
      </c>
      <c r="R65" s="1" t="b">
        <f>0.4=1</f>
        <v>0</v>
      </c>
      <c r="S65" s="1" t="b">
        <f>0=0=0=0=522</f>
        <v>0</v>
      </c>
      <c r="T65" s="1">
        <f>0.113</f>
        <v>0.113</v>
      </c>
      <c r="U65" s="1">
        <f>0.145</f>
        <v>0.14499999999999999</v>
      </c>
      <c r="V65" s="1" t="s">
        <v>11864</v>
      </c>
      <c r="W65">
        <v>4</v>
      </c>
    </row>
    <row r="66" spans="1:23" x14ac:dyDescent="0.25">
      <c r="A66" s="1" t="s">
        <v>11412</v>
      </c>
      <c r="B66" s="1" t="s">
        <v>11413</v>
      </c>
      <c r="C66" s="1" t="s">
        <v>189</v>
      </c>
      <c r="D66" s="1" t="s">
        <v>11414</v>
      </c>
      <c r="E66" s="1" t="s">
        <v>190</v>
      </c>
      <c r="F66" s="1" t="s">
        <v>11415</v>
      </c>
      <c r="G66">
        <v>195360</v>
      </c>
      <c r="H66">
        <v>46</v>
      </c>
      <c r="I66" s="1" t="s">
        <v>11063</v>
      </c>
      <c r="J66" s="11">
        <v>44698.037546296298</v>
      </c>
      <c r="K66" s="1" t="s">
        <v>191</v>
      </c>
      <c r="L66" s="1">
        <f>0.447</f>
        <v>0.44700000000000001</v>
      </c>
      <c r="M66" s="1">
        <f>0.427</f>
        <v>0.42699999999999999</v>
      </c>
      <c r="N66">
        <f>0</f>
        <v>0</v>
      </c>
      <c r="O66" s="1" t="s">
        <v>192</v>
      </c>
      <c r="P66">
        <f>0</f>
        <v>0</v>
      </c>
      <c r="Q66" s="1" t="b">
        <f>0=372</f>
        <v>0</v>
      </c>
      <c r="R66" s="1" t="b">
        <f>0=1=6</f>
        <v>0</v>
      </c>
      <c r="S66" s="1" t="b">
        <f>0=0=0=262</f>
        <v>0</v>
      </c>
      <c r="T66" s="1">
        <f>0.118</f>
        <v>0.11799999999999999</v>
      </c>
      <c r="U66" s="1" t="b">
        <f>0=866</f>
        <v>0</v>
      </c>
      <c r="V66" s="1" t="s">
        <v>11865</v>
      </c>
      <c r="W66">
        <v>4</v>
      </c>
    </row>
    <row r="67" spans="1:23" x14ac:dyDescent="0.25">
      <c r="A67" s="1" t="s">
        <v>11416</v>
      </c>
      <c r="B67" s="1" t="s">
        <v>11417</v>
      </c>
      <c r="C67" s="1" t="s">
        <v>2835</v>
      </c>
      <c r="D67" s="1" t="s">
        <v>11418</v>
      </c>
      <c r="E67" s="1" t="s">
        <v>193</v>
      </c>
      <c r="F67" s="1" t="s">
        <v>11419</v>
      </c>
      <c r="G67">
        <v>176840</v>
      </c>
      <c r="H67">
        <v>81</v>
      </c>
      <c r="I67" s="1" t="s">
        <v>11063</v>
      </c>
      <c r="J67" s="11">
        <v>44698.038402777776</v>
      </c>
      <c r="K67" s="1" t="s">
        <v>194</v>
      </c>
      <c r="L67" s="1">
        <f>0.77</f>
        <v>0.77</v>
      </c>
      <c r="M67" s="1">
        <f>0.724</f>
        <v>0.72399999999999998</v>
      </c>
      <c r="N67">
        <v>8</v>
      </c>
      <c r="O67" s="1">
        <v>-5.484</v>
      </c>
      <c r="P67">
        <v>1</v>
      </c>
      <c r="Q67" s="1" t="b">
        <f>0=495</f>
        <v>0</v>
      </c>
      <c r="R67" s="1" t="b">
        <f>0=167</f>
        <v>0</v>
      </c>
      <c r="S67" s="1" t="b">
        <f>0=1=7</f>
        <v>0</v>
      </c>
      <c r="T67" s="1">
        <f>0.353</f>
        <v>0.35299999999999998</v>
      </c>
      <c r="U67" s="1">
        <f>0.898</f>
        <v>0.89800000000000002</v>
      </c>
      <c r="V67" s="1">
        <v>121.97499999999999</v>
      </c>
      <c r="W67">
        <v>4</v>
      </c>
    </row>
    <row r="68" spans="1:23" x14ac:dyDescent="0.25">
      <c r="A68" s="1" t="s">
        <v>11420</v>
      </c>
      <c r="B68" s="1" t="s">
        <v>11421</v>
      </c>
      <c r="C68" s="1" t="s">
        <v>2838</v>
      </c>
      <c r="D68" s="1" t="s">
        <v>11422</v>
      </c>
      <c r="E68" s="1" t="s">
        <v>195</v>
      </c>
      <c r="F68" s="1" t="s">
        <v>11423</v>
      </c>
      <c r="G68">
        <v>221440</v>
      </c>
      <c r="H68">
        <v>78</v>
      </c>
      <c r="I68" s="1" t="s">
        <v>11063</v>
      </c>
      <c r="J68" s="11">
        <v>44698.450810185182</v>
      </c>
      <c r="K68" s="1" t="s">
        <v>196</v>
      </c>
      <c r="L68" s="1">
        <f>0.75</f>
        <v>0.75</v>
      </c>
      <c r="M68" s="1">
        <f>0.56</f>
        <v>0.56000000000000005</v>
      </c>
      <c r="N68">
        <v>8</v>
      </c>
      <c r="O68" s="1" t="s">
        <v>11866</v>
      </c>
      <c r="P68">
        <v>1</v>
      </c>
      <c r="Q68" s="1" t="b">
        <f>0.1=5</f>
        <v>0</v>
      </c>
      <c r="R68" s="1">
        <f>0.546</f>
        <v>0.54600000000000004</v>
      </c>
      <c r="S68" s="1">
        <f>0</f>
        <v>0</v>
      </c>
      <c r="T68" s="1">
        <f>0.111</f>
        <v>0.111</v>
      </c>
      <c r="U68" s="1">
        <f>0.459</f>
        <v>0.45900000000000002</v>
      </c>
      <c r="V68" s="1" t="s">
        <v>11867</v>
      </c>
      <c r="W68">
        <v>4</v>
      </c>
    </row>
    <row r="69" spans="1:23" x14ac:dyDescent="0.25">
      <c r="A69" s="1" t="s">
        <v>11424</v>
      </c>
      <c r="B69" s="1" t="s">
        <v>11425</v>
      </c>
      <c r="C69" s="1" t="s">
        <v>2842</v>
      </c>
      <c r="D69" s="1" t="s">
        <v>2842</v>
      </c>
      <c r="E69" s="1" t="s">
        <v>197</v>
      </c>
      <c r="F69" s="1" t="s">
        <v>11426</v>
      </c>
      <c r="G69">
        <v>229525</v>
      </c>
      <c r="H69">
        <v>82</v>
      </c>
      <c r="I69" s="1" t="s">
        <v>11063</v>
      </c>
      <c r="J69" s="11">
        <v>44698.465162037035</v>
      </c>
      <c r="K69" s="1" t="s">
        <v>198</v>
      </c>
      <c r="L69" s="1">
        <f>0.689</f>
        <v>0.68899999999999995</v>
      </c>
      <c r="M69" s="1">
        <f>0.481</f>
        <v>0.48099999999999998</v>
      </c>
      <c r="N69" t="s">
        <v>11825</v>
      </c>
      <c r="O69" s="1" t="s">
        <v>11868</v>
      </c>
      <c r="P69">
        <v>1</v>
      </c>
      <c r="Q69" s="1" t="b">
        <f>0=815</f>
        <v>0</v>
      </c>
      <c r="R69" s="1">
        <f>0.369</f>
        <v>0.36899999999999999</v>
      </c>
      <c r="S69" s="1" t="b">
        <f>0=0=0=0=0=1=3</f>
        <v>0</v>
      </c>
      <c r="T69" s="1" t="b">
        <f>0=649</f>
        <v>0</v>
      </c>
      <c r="U69" s="1">
        <f>0.283</f>
        <v>0.28299999999999997</v>
      </c>
      <c r="V69" s="1" t="s">
        <v>11869</v>
      </c>
      <c r="W69">
        <v>4</v>
      </c>
    </row>
    <row r="70" spans="1:23" x14ac:dyDescent="0.25">
      <c r="A70" s="1" t="s">
        <v>11427</v>
      </c>
      <c r="B70" s="1" t="s">
        <v>11428</v>
      </c>
      <c r="C70" s="1" t="s">
        <v>2843</v>
      </c>
      <c r="D70" s="1" t="s">
        <v>11429</v>
      </c>
      <c r="E70" s="1" t="s">
        <v>199</v>
      </c>
      <c r="F70" s="1" t="s">
        <v>11430</v>
      </c>
      <c r="G70">
        <v>250626</v>
      </c>
      <c r="H70">
        <v>77</v>
      </c>
      <c r="I70" s="1" t="s">
        <v>11063</v>
      </c>
      <c r="J70" s="11">
        <v>44698.515844907408</v>
      </c>
      <c r="K70" s="1" t="s">
        <v>200</v>
      </c>
      <c r="L70" s="1">
        <f>0.378</f>
        <v>0.378</v>
      </c>
      <c r="M70" s="1">
        <f>0.638</f>
        <v>0.63800000000000001</v>
      </c>
      <c r="N70" t="s">
        <v>11825</v>
      </c>
      <c r="O70" s="1">
        <v>-5.5759999999999996</v>
      </c>
      <c r="P70">
        <v>1</v>
      </c>
      <c r="Q70" s="1" t="b">
        <f>0=75</f>
        <v>0</v>
      </c>
      <c r="R70" s="1" t="b">
        <f>0=2</f>
        <v>0</v>
      </c>
      <c r="S70" s="1" t="b">
        <f>0=0=0=0=766</f>
        <v>0</v>
      </c>
      <c r="T70" s="1" t="b">
        <f>0=849</f>
        <v>0</v>
      </c>
      <c r="U70" s="1">
        <f>0.735</f>
        <v>0.73499999999999999</v>
      </c>
      <c r="V70" s="1" t="s">
        <v>11870</v>
      </c>
      <c r="W70">
        <v>4</v>
      </c>
    </row>
    <row r="71" spans="1:23" x14ac:dyDescent="0.25">
      <c r="A71" s="1" t="s">
        <v>11431</v>
      </c>
      <c r="B71" s="1" t="s">
        <v>11432</v>
      </c>
      <c r="C71" s="1" t="s">
        <v>201</v>
      </c>
      <c r="D71" s="1" t="s">
        <v>11433</v>
      </c>
      <c r="E71" s="1" t="s">
        <v>202</v>
      </c>
      <c r="F71" s="1" t="s">
        <v>11434</v>
      </c>
      <c r="G71">
        <v>200920</v>
      </c>
      <c r="H71">
        <v>51</v>
      </c>
      <c r="I71" s="1" t="s">
        <v>11063</v>
      </c>
      <c r="J71" s="11">
        <v>44698.619687500002</v>
      </c>
      <c r="K71" s="1" t="s">
        <v>203</v>
      </c>
      <c r="L71" s="1">
        <f>0.676</f>
        <v>0.67600000000000005</v>
      </c>
      <c r="M71" s="1">
        <f>0.691</f>
        <v>0.69099999999999995</v>
      </c>
      <c r="N71">
        <v>11</v>
      </c>
      <c r="O71" s="1">
        <v>-6.14</v>
      </c>
      <c r="P71">
        <f>0</f>
        <v>0</v>
      </c>
      <c r="Q71" s="1">
        <f>0.122</f>
        <v>0.122</v>
      </c>
      <c r="R71" s="1" t="b">
        <f>0=768</f>
        <v>0</v>
      </c>
      <c r="S71" s="1">
        <f>0</f>
        <v>0</v>
      </c>
      <c r="T71" s="1">
        <f>0.184</f>
        <v>0.184</v>
      </c>
      <c r="U71" s="1">
        <f>0.696</f>
        <v>0.69599999999999995</v>
      </c>
      <c r="V71" s="1" t="s">
        <v>11871</v>
      </c>
      <c r="W71">
        <v>4</v>
      </c>
    </row>
    <row r="72" spans="1:23" x14ac:dyDescent="0.25">
      <c r="A72" s="1" t="s">
        <v>11435</v>
      </c>
      <c r="B72" s="1" t="s">
        <v>11436</v>
      </c>
      <c r="C72" s="1" t="s">
        <v>204</v>
      </c>
      <c r="D72" s="1" t="s">
        <v>204</v>
      </c>
      <c r="E72" s="1" t="s">
        <v>205</v>
      </c>
      <c r="F72" s="1" t="s">
        <v>11437</v>
      </c>
      <c r="G72">
        <v>236960</v>
      </c>
      <c r="H72">
        <v>53</v>
      </c>
      <c r="I72" s="1" t="s">
        <v>11063</v>
      </c>
      <c r="J72" s="11">
        <v>44698.634247685186</v>
      </c>
      <c r="K72" s="1" t="s">
        <v>206</v>
      </c>
      <c r="L72" s="1">
        <f>0.441</f>
        <v>0.441</v>
      </c>
      <c r="M72" s="1">
        <f>0.625</f>
        <v>0.625</v>
      </c>
      <c r="N72">
        <v>5</v>
      </c>
      <c r="O72" s="1">
        <v>-8.1780000000000008</v>
      </c>
      <c r="P72">
        <v>1</v>
      </c>
      <c r="Q72" s="1">
        <f>0.269</f>
        <v>0.26900000000000002</v>
      </c>
      <c r="R72" s="1" t="b">
        <f>0.3=9</f>
        <v>0</v>
      </c>
      <c r="S72" s="1">
        <f>0</f>
        <v>0</v>
      </c>
      <c r="T72" s="1" t="b">
        <f>0=87</f>
        <v>0</v>
      </c>
      <c r="U72" s="1" t="b">
        <f>0.4=5</f>
        <v>0</v>
      </c>
      <c r="V72" s="1" t="s">
        <v>11872</v>
      </c>
      <c r="W72">
        <v>4</v>
      </c>
    </row>
    <row r="73" spans="1:23" x14ac:dyDescent="0.25">
      <c r="A73" s="1" t="s">
        <v>11438</v>
      </c>
      <c r="B73" s="1" t="s">
        <v>11439</v>
      </c>
      <c r="C73" s="1" t="s">
        <v>207</v>
      </c>
      <c r="D73" s="1" t="s">
        <v>11440</v>
      </c>
      <c r="E73" s="1" t="s">
        <v>208</v>
      </c>
      <c r="F73" s="1" t="s">
        <v>11441</v>
      </c>
      <c r="G73">
        <v>263576</v>
      </c>
      <c r="H73">
        <v>69</v>
      </c>
      <c r="I73" s="1" t="s">
        <v>11063</v>
      </c>
      <c r="J73" s="11">
        <v>44699.68173611111</v>
      </c>
      <c r="K73" s="1" t="s">
        <v>209</v>
      </c>
      <c r="L73" s="1">
        <f>0.721</f>
        <v>0.72099999999999997</v>
      </c>
      <c r="M73" s="1">
        <f>0.588</f>
        <v>0.58799999999999997</v>
      </c>
      <c r="N73">
        <v>4</v>
      </c>
      <c r="O73" s="1" t="s">
        <v>11873</v>
      </c>
      <c r="P73">
        <f>0</f>
        <v>0</v>
      </c>
      <c r="Q73" s="1" t="b">
        <f>0=5=1</f>
        <v>0</v>
      </c>
      <c r="R73" s="1">
        <f>0.37</f>
        <v>0.37</v>
      </c>
      <c r="S73" s="1" t="b">
        <f>0=0=2=8</f>
        <v>0</v>
      </c>
      <c r="T73" s="1">
        <f>0.1</f>
        <v>0.1</v>
      </c>
      <c r="U73" s="1">
        <f>0.276</f>
        <v>0.27600000000000002</v>
      </c>
      <c r="V73" s="1" t="s">
        <v>11874</v>
      </c>
      <c r="W73">
        <v>4</v>
      </c>
    </row>
    <row r="74" spans="1:23" x14ac:dyDescent="0.25">
      <c r="A74" s="1" t="s">
        <v>11442</v>
      </c>
      <c r="B74" s="1" t="s">
        <v>11443</v>
      </c>
      <c r="C74" s="1" t="s">
        <v>210</v>
      </c>
      <c r="D74" s="1" t="s">
        <v>11444</v>
      </c>
      <c r="E74" s="1" t="s">
        <v>211</v>
      </c>
      <c r="F74" s="1" t="s">
        <v>11445</v>
      </c>
      <c r="G74">
        <v>154280</v>
      </c>
      <c r="H74">
        <v>67</v>
      </c>
      <c r="I74" s="1" t="s">
        <v>11063</v>
      </c>
      <c r="J74" s="11">
        <v>44699.685763888891</v>
      </c>
      <c r="K74" s="1" t="s">
        <v>212</v>
      </c>
      <c r="L74" s="1">
        <f>0.882</f>
        <v>0.88200000000000001</v>
      </c>
      <c r="M74" s="1">
        <f>0.675</f>
        <v>0.67500000000000004</v>
      </c>
      <c r="N74">
        <v>3</v>
      </c>
      <c r="O74" s="1" t="s">
        <v>11875</v>
      </c>
      <c r="P74">
        <v>1</v>
      </c>
      <c r="Q74" s="1">
        <f>0.141</f>
        <v>0.14099999999999999</v>
      </c>
      <c r="R74" s="1" t="b">
        <f>0=474</f>
        <v>0</v>
      </c>
      <c r="S74" s="1" t="b">
        <f>0=0=0=598</f>
        <v>0</v>
      </c>
      <c r="T74" s="1">
        <f>0.124</f>
        <v>0.124</v>
      </c>
      <c r="U74" s="1">
        <f>0.758</f>
        <v>0.75800000000000001</v>
      </c>
      <c r="V74" s="1" t="s">
        <v>11876</v>
      </c>
      <c r="W74">
        <v>4</v>
      </c>
    </row>
    <row r="75" spans="1:23" x14ac:dyDescent="0.25">
      <c r="A75" s="1" t="s">
        <v>11446</v>
      </c>
      <c r="B75" s="1" t="s">
        <v>11447</v>
      </c>
      <c r="C75" s="1" t="s">
        <v>213</v>
      </c>
      <c r="D75" s="1" t="s">
        <v>11448</v>
      </c>
      <c r="E75" s="1" t="s">
        <v>214</v>
      </c>
      <c r="F75" s="1" t="s">
        <v>11449</v>
      </c>
      <c r="G75">
        <v>244000</v>
      </c>
      <c r="H75">
        <v>74</v>
      </c>
      <c r="I75" s="1" t="s">
        <v>11063</v>
      </c>
      <c r="J75" s="11">
        <v>44699.741331018522</v>
      </c>
      <c r="K75" s="1" t="s">
        <v>215</v>
      </c>
      <c r="L75" s="1">
        <f>0.832</f>
        <v>0.83199999999999996</v>
      </c>
      <c r="M75" s="1">
        <f>0.54</f>
        <v>0.54</v>
      </c>
      <c r="N75">
        <v>6</v>
      </c>
      <c r="O75" s="1">
        <v>-8.6669999999999998</v>
      </c>
      <c r="P75">
        <v>1</v>
      </c>
      <c r="Q75" s="1">
        <f>0.397</f>
        <v>0.39700000000000002</v>
      </c>
      <c r="R75" s="1">
        <f>0.36</f>
        <v>0.36</v>
      </c>
      <c r="S75" s="1">
        <f>0</f>
        <v>0</v>
      </c>
      <c r="T75" s="1" t="b">
        <f>0.1=1</f>
        <v>0</v>
      </c>
      <c r="U75" s="1">
        <f>0.84</f>
        <v>0.84</v>
      </c>
      <c r="V75" s="1" t="s">
        <v>11877</v>
      </c>
      <c r="W75">
        <v>4</v>
      </c>
    </row>
    <row r="76" spans="1:23" x14ac:dyDescent="0.25">
      <c r="A76" s="1" t="s">
        <v>11450</v>
      </c>
      <c r="B76" s="1" t="s">
        <v>11451</v>
      </c>
      <c r="C76" s="1" t="s">
        <v>216</v>
      </c>
      <c r="D76" s="1" t="s">
        <v>11452</v>
      </c>
      <c r="E76" s="1" t="s">
        <v>217</v>
      </c>
      <c r="F76" s="1" t="s">
        <v>11453</v>
      </c>
      <c r="G76">
        <v>216586</v>
      </c>
      <c r="H76">
        <v>53</v>
      </c>
      <c r="I76" s="1" t="s">
        <v>11063</v>
      </c>
      <c r="J76" s="11">
        <v>44699.756504629629</v>
      </c>
      <c r="K76" s="1" t="s">
        <v>218</v>
      </c>
      <c r="L76" s="1">
        <f>0.834</f>
        <v>0.83399999999999996</v>
      </c>
      <c r="M76" s="1">
        <f>0.964</f>
        <v>0.96399999999999997</v>
      </c>
      <c r="N76">
        <f>0</f>
        <v>0</v>
      </c>
      <c r="O76" s="1">
        <v>-3.8220000000000001</v>
      </c>
      <c r="P76">
        <v>1</v>
      </c>
      <c r="Q76" s="1">
        <f>0.232</f>
        <v>0.23200000000000001</v>
      </c>
      <c r="R76" s="1">
        <f>0.198</f>
        <v>0.19800000000000001</v>
      </c>
      <c r="S76" s="1">
        <f>0</f>
        <v>0</v>
      </c>
      <c r="T76" s="1">
        <f>0.176</f>
        <v>0.17599999999999999</v>
      </c>
      <c r="U76" s="1">
        <f>0.68</f>
        <v>0.68</v>
      </c>
      <c r="V76" s="1">
        <v>127.994</v>
      </c>
      <c r="W76">
        <v>4</v>
      </c>
    </row>
    <row r="77" spans="1:23" x14ac:dyDescent="0.25">
      <c r="A77" s="1" t="s">
        <v>11454</v>
      </c>
      <c r="B77" s="1" t="s">
        <v>11455</v>
      </c>
      <c r="C77" s="1" t="s">
        <v>219</v>
      </c>
      <c r="D77" s="1" t="s">
        <v>219</v>
      </c>
      <c r="E77" s="1" t="s">
        <v>220</v>
      </c>
      <c r="F77" s="1" t="s">
        <v>11456</v>
      </c>
      <c r="G77">
        <v>251670</v>
      </c>
      <c r="H77">
        <v>67</v>
      </c>
      <c r="I77" s="1" t="s">
        <v>11063</v>
      </c>
      <c r="J77" s="11">
        <v>44699.822905092595</v>
      </c>
      <c r="K77" s="1" t="s">
        <v>221</v>
      </c>
      <c r="L77" s="1">
        <f>0.657</f>
        <v>0.65700000000000003</v>
      </c>
      <c r="M77" s="1">
        <f>0.643</f>
        <v>0.64300000000000002</v>
      </c>
      <c r="N77">
        <v>8</v>
      </c>
      <c r="O77" s="1">
        <v>-6.6609999999999996</v>
      </c>
      <c r="P77">
        <f>0</f>
        <v>0</v>
      </c>
      <c r="Q77" s="1" t="b">
        <f>0=433</f>
        <v>0</v>
      </c>
      <c r="R77" s="1">
        <f>0.482</f>
        <v>0.48199999999999998</v>
      </c>
      <c r="S77" s="1" t="b">
        <f>0=0=0=0=0=2=8</f>
        <v>0</v>
      </c>
      <c r="T77" s="1">
        <f>0.189</f>
        <v>0.189</v>
      </c>
      <c r="U77" s="1">
        <f>0.394</f>
        <v>0.39400000000000002</v>
      </c>
      <c r="V77" s="1">
        <v>82.516000000000005</v>
      </c>
      <c r="W77">
        <v>4</v>
      </c>
    </row>
    <row r="78" spans="1:23" x14ac:dyDescent="0.25">
      <c r="A78" s="1" t="s">
        <v>11457</v>
      </c>
      <c r="B78" s="1" t="s">
        <v>11458</v>
      </c>
      <c r="C78" s="1" t="s">
        <v>3003</v>
      </c>
      <c r="D78" s="1" t="s">
        <v>11459</v>
      </c>
      <c r="E78" s="1" t="s">
        <v>222</v>
      </c>
      <c r="F78" s="1" t="s">
        <v>11460</v>
      </c>
      <c r="G78">
        <v>173381</v>
      </c>
      <c r="H78">
        <v>81</v>
      </c>
      <c r="I78" s="1" t="s">
        <v>11063</v>
      </c>
      <c r="J78" s="11">
        <v>44699.822962962964</v>
      </c>
      <c r="K78" s="1" t="s">
        <v>223</v>
      </c>
      <c r="L78" s="1">
        <f>0.722</f>
        <v>0.72199999999999998</v>
      </c>
      <c r="M78" s="1">
        <f>0.745</f>
        <v>0.745</v>
      </c>
      <c r="N78">
        <v>7</v>
      </c>
      <c r="O78" s="1">
        <v>-4.1639999999999997</v>
      </c>
      <c r="P78">
        <v>1</v>
      </c>
      <c r="Q78" s="1">
        <f>0.256</f>
        <v>0.25600000000000001</v>
      </c>
      <c r="R78" s="1">
        <f>0.247</f>
        <v>0.247</v>
      </c>
      <c r="S78" s="1">
        <f>0</f>
        <v>0</v>
      </c>
      <c r="T78" s="1">
        <f>0.419</f>
        <v>0.41899999999999998</v>
      </c>
      <c r="U78" s="1">
        <f>0.52</f>
        <v>0.52</v>
      </c>
      <c r="V78" s="1" t="s">
        <v>11878</v>
      </c>
      <c r="W78">
        <v>4</v>
      </c>
    </row>
    <row r="79" spans="1:23" x14ac:dyDescent="0.25">
      <c r="A79" s="1" t="s">
        <v>11461</v>
      </c>
      <c r="B79" s="1" t="s">
        <v>11462</v>
      </c>
      <c r="C79" s="1" t="s">
        <v>3115</v>
      </c>
      <c r="D79" s="1" t="s">
        <v>3115</v>
      </c>
      <c r="E79" s="1" t="s">
        <v>224</v>
      </c>
      <c r="F79" s="1" t="s">
        <v>11463</v>
      </c>
      <c r="G79">
        <v>260634</v>
      </c>
      <c r="H79">
        <v>38</v>
      </c>
      <c r="I79" s="1" t="s">
        <v>11063</v>
      </c>
      <c r="J79" s="11">
        <v>44699.925694444442</v>
      </c>
      <c r="K79" s="1" t="s">
        <v>50</v>
      </c>
      <c r="L79" s="1">
        <f>0.752</f>
        <v>0.752</v>
      </c>
      <c r="M79" s="1">
        <f>0.597</f>
        <v>0.59699999999999998</v>
      </c>
      <c r="N79">
        <v>3</v>
      </c>
      <c r="O79" s="1">
        <v>-6.4450000000000003</v>
      </c>
      <c r="P79">
        <f>0</f>
        <v>0</v>
      </c>
      <c r="Q79" s="1" t="b">
        <f>0=419</f>
        <v>0</v>
      </c>
      <c r="R79" s="1">
        <f>0.155</f>
        <v>0.155</v>
      </c>
      <c r="S79" s="1" t="b">
        <f>0=0=0=243</f>
        <v>0</v>
      </c>
      <c r="T79" s="1">
        <f>0.121</f>
        <v>0.121</v>
      </c>
      <c r="U79" s="1" t="b">
        <f>0.4=9</f>
        <v>0</v>
      </c>
      <c r="V79" s="1" t="s">
        <v>11879</v>
      </c>
      <c r="W79">
        <v>4</v>
      </c>
    </row>
    <row r="80" spans="1:23" x14ac:dyDescent="0.25">
      <c r="A80" s="1" t="s">
        <v>11464</v>
      </c>
      <c r="B80" s="1" t="s">
        <v>11465</v>
      </c>
      <c r="C80" s="1" t="s">
        <v>225</v>
      </c>
      <c r="D80" s="1" t="s">
        <v>11466</v>
      </c>
      <c r="E80" s="1" t="s">
        <v>226</v>
      </c>
      <c r="F80" s="1" t="s">
        <v>11467</v>
      </c>
      <c r="G80">
        <v>251428</v>
      </c>
      <c r="H80">
        <v>50</v>
      </c>
      <c r="I80" s="1" t="s">
        <v>11063</v>
      </c>
      <c r="J80" s="11">
        <v>44700.001168981478</v>
      </c>
      <c r="K80" s="1" t="s">
        <v>227</v>
      </c>
      <c r="L80" s="1">
        <f>0.88</f>
        <v>0.88</v>
      </c>
      <c r="M80" s="1">
        <f>0.626</f>
        <v>0.626</v>
      </c>
      <c r="N80">
        <v>2</v>
      </c>
      <c r="O80" s="1" t="s">
        <v>11880</v>
      </c>
      <c r="P80">
        <v>1</v>
      </c>
      <c r="Q80" s="1" t="b">
        <f>0=473</f>
        <v>0</v>
      </c>
      <c r="R80" s="1">
        <f>0.19</f>
        <v>0.19</v>
      </c>
      <c r="S80" s="1" t="b">
        <f>0=0=0=755</f>
        <v>0</v>
      </c>
      <c r="T80" s="1" t="b">
        <f>0=94</f>
        <v>0</v>
      </c>
      <c r="U80" s="1">
        <f>0.441</f>
        <v>0.441</v>
      </c>
      <c r="V80" s="1" t="s">
        <v>11881</v>
      </c>
      <c r="W80">
        <v>4</v>
      </c>
    </row>
    <row r="81" spans="1:23" x14ac:dyDescent="0.25">
      <c r="A81" s="1" t="s">
        <v>11468</v>
      </c>
      <c r="B81" s="1" t="s">
        <v>11469</v>
      </c>
      <c r="C81" s="1" t="s">
        <v>228</v>
      </c>
      <c r="D81" s="1" t="s">
        <v>11470</v>
      </c>
      <c r="E81" s="1" t="s">
        <v>229</v>
      </c>
      <c r="F81" s="1" t="s">
        <v>11471</v>
      </c>
      <c r="G81">
        <v>189720</v>
      </c>
      <c r="H81">
        <v>64</v>
      </c>
      <c r="I81" s="1" t="s">
        <v>11063</v>
      </c>
      <c r="J81" s="11">
        <v>44700.006585648145</v>
      </c>
      <c r="K81" s="1" t="s">
        <v>230</v>
      </c>
      <c r="L81" s="1">
        <f>0.441</f>
        <v>0.441</v>
      </c>
      <c r="M81" s="1">
        <f>0.921</f>
        <v>0.92100000000000004</v>
      </c>
      <c r="N81">
        <v>8</v>
      </c>
      <c r="O81" s="1">
        <v>-3.32</v>
      </c>
      <c r="P81">
        <v>1</v>
      </c>
      <c r="Q81" s="1" t="b">
        <f>0=436</f>
        <v>0</v>
      </c>
      <c r="R81" s="1" t="b">
        <f>0=0=0=526</f>
        <v>0</v>
      </c>
      <c r="S81" s="1" t="b">
        <f>0=0=0=0=0=634</f>
        <v>0</v>
      </c>
      <c r="T81" s="1">
        <f>0.177</f>
        <v>0.17699999999999999</v>
      </c>
      <c r="U81" s="1">
        <f>0.182</f>
        <v>0.182</v>
      </c>
      <c r="V81" s="1" t="s">
        <v>11882</v>
      </c>
      <c r="W81">
        <v>4</v>
      </c>
    </row>
    <row r="82" spans="1:23" x14ac:dyDescent="0.25">
      <c r="A82" s="1" t="s">
        <v>11472</v>
      </c>
      <c r="B82" s="1" t="s">
        <v>11473</v>
      </c>
      <c r="C82" s="1" t="s">
        <v>3187</v>
      </c>
      <c r="D82" s="1" t="s">
        <v>11474</v>
      </c>
      <c r="E82" s="1" t="s">
        <v>231</v>
      </c>
      <c r="F82" s="1" t="s">
        <v>11475</v>
      </c>
      <c r="G82">
        <v>227266</v>
      </c>
      <c r="H82">
        <v>79</v>
      </c>
      <c r="I82" s="1" t="s">
        <v>11063</v>
      </c>
      <c r="J82" s="11">
        <v>44700.008564814816</v>
      </c>
      <c r="K82" s="1" t="s">
        <v>232</v>
      </c>
      <c r="L82" s="1">
        <f>0.646</f>
        <v>0.64600000000000002</v>
      </c>
      <c r="M82" s="1">
        <f>0.823</f>
        <v>0.82299999999999995</v>
      </c>
      <c r="N82">
        <v>2</v>
      </c>
      <c r="O82" s="1">
        <v>-4.1230000000000002</v>
      </c>
      <c r="P82">
        <f>0</f>
        <v>0</v>
      </c>
      <c r="Q82" s="1" t="b">
        <f>0=394</f>
        <v>0</v>
      </c>
      <c r="R82" s="1">
        <f>0.213</f>
        <v>0.21299999999999999</v>
      </c>
      <c r="S82" s="1">
        <f>0</f>
        <v>0</v>
      </c>
      <c r="T82" s="1">
        <f>0.322</f>
        <v>0.32200000000000001</v>
      </c>
      <c r="U82" s="1">
        <f>0.418</f>
        <v>0.41799999999999998</v>
      </c>
      <c r="V82" s="1" t="s">
        <v>11883</v>
      </c>
      <c r="W82">
        <v>4</v>
      </c>
    </row>
    <row r="83" spans="1:23" x14ac:dyDescent="0.25">
      <c r="A83" s="1" t="s">
        <v>11476</v>
      </c>
      <c r="B83" s="1" t="s">
        <v>11477</v>
      </c>
      <c r="C83" s="1" t="s">
        <v>233</v>
      </c>
      <c r="D83" s="1" t="s">
        <v>11478</v>
      </c>
      <c r="E83" s="1" t="s">
        <v>234</v>
      </c>
      <c r="F83" s="1" t="s">
        <v>11479</v>
      </c>
      <c r="G83">
        <v>221360</v>
      </c>
      <c r="H83">
        <v>77</v>
      </c>
      <c r="I83" s="1" t="s">
        <v>11063</v>
      </c>
      <c r="J83" s="11">
        <v>44700.444212962961</v>
      </c>
      <c r="K83" s="1" t="s">
        <v>235</v>
      </c>
      <c r="L83" s="1">
        <f>0.53</f>
        <v>0.53</v>
      </c>
      <c r="M83" s="1">
        <f>0.422</f>
        <v>0.42199999999999999</v>
      </c>
      <c r="N83">
        <v>5</v>
      </c>
      <c r="O83" s="1">
        <v>-6.2619999999999996</v>
      </c>
      <c r="P83">
        <v>1</v>
      </c>
      <c r="Q83" s="1" t="b">
        <f>0=342</f>
        <v>0</v>
      </c>
      <c r="R83" s="1" t="b">
        <f>0.4=7</f>
        <v>0</v>
      </c>
      <c r="S83" s="1">
        <f>0</f>
        <v>0</v>
      </c>
      <c r="T83" s="1" t="b">
        <f>0.1=7</f>
        <v>0</v>
      </c>
      <c r="U83" s="1">
        <f>0.349</f>
        <v>0.34899999999999998</v>
      </c>
      <c r="V83" s="1">
        <v>119.964</v>
      </c>
      <c r="W83">
        <v>4</v>
      </c>
    </row>
    <row r="84" spans="1:23" x14ac:dyDescent="0.25">
      <c r="A84" s="1" t="s">
        <v>11480</v>
      </c>
      <c r="B84" s="1" t="s">
        <v>11315</v>
      </c>
      <c r="C84" s="1" t="s">
        <v>236</v>
      </c>
      <c r="D84" s="1" t="s">
        <v>11481</v>
      </c>
      <c r="E84" s="1" t="s">
        <v>112</v>
      </c>
      <c r="F84" s="1" t="s">
        <v>11482</v>
      </c>
      <c r="G84">
        <v>192706</v>
      </c>
      <c r="H84">
        <v>51</v>
      </c>
      <c r="I84" s="1" t="s">
        <v>11063</v>
      </c>
      <c r="J84" s="11">
        <v>44700.444652777776</v>
      </c>
      <c r="K84" s="1" t="s">
        <v>113</v>
      </c>
      <c r="L84" s="1">
        <f>0.545</f>
        <v>0.54500000000000004</v>
      </c>
      <c r="M84" s="1">
        <f>0.659</f>
        <v>0.65900000000000003</v>
      </c>
      <c r="N84">
        <v>1</v>
      </c>
      <c r="O84" s="1">
        <v>-8.18</v>
      </c>
      <c r="P84">
        <v>1</v>
      </c>
      <c r="Q84" s="1" t="b">
        <f>0=394</f>
        <v>0</v>
      </c>
      <c r="R84" s="1">
        <f>0.367</f>
        <v>0.36699999999999999</v>
      </c>
      <c r="S84" s="1" t="b">
        <f>0=0=111</f>
        <v>0</v>
      </c>
      <c r="T84" s="1">
        <f>0.415</f>
        <v>0.41499999999999998</v>
      </c>
      <c r="U84" s="1">
        <f>0.599</f>
        <v>0.59899999999999998</v>
      </c>
      <c r="V84" s="1" t="s">
        <v>11884</v>
      </c>
      <c r="W84">
        <v>4</v>
      </c>
    </row>
    <row r="85" spans="1:23" x14ac:dyDescent="0.25">
      <c r="A85" s="1" t="s">
        <v>11483</v>
      </c>
      <c r="B85" s="1" t="s">
        <v>11484</v>
      </c>
      <c r="C85" s="1" t="s">
        <v>237</v>
      </c>
      <c r="D85" s="1" t="s">
        <v>237</v>
      </c>
      <c r="E85" s="1" t="s">
        <v>238</v>
      </c>
      <c r="F85" s="1" t="s">
        <v>11485</v>
      </c>
      <c r="G85">
        <v>246371</v>
      </c>
      <c r="H85">
        <v>27</v>
      </c>
      <c r="I85" s="1" t="s">
        <v>11063</v>
      </c>
      <c r="J85" s="11">
        <v>44700.495069444441</v>
      </c>
      <c r="K85" s="1" t="s">
        <v>239</v>
      </c>
      <c r="L85" s="1">
        <f>0.76</f>
        <v>0.76</v>
      </c>
      <c r="M85" s="1">
        <f>0.545</f>
        <v>0.54500000000000004</v>
      </c>
      <c r="N85" t="s">
        <v>11825</v>
      </c>
      <c r="O85" s="1" t="s">
        <v>11885</v>
      </c>
      <c r="P85">
        <f>0</f>
        <v>0</v>
      </c>
      <c r="Q85" s="1" t="b">
        <f>0=915</f>
        <v>0</v>
      </c>
      <c r="R85" s="1">
        <f>0.226</f>
        <v>0.22600000000000001</v>
      </c>
      <c r="S85" s="1" t="b">
        <f>0=0=0=0=254</f>
        <v>0</v>
      </c>
      <c r="T85" s="1" t="b">
        <f>0.4=5</f>
        <v>0</v>
      </c>
      <c r="U85" s="1">
        <f>0.11</f>
        <v>0.11</v>
      </c>
      <c r="V85" s="1">
        <v>112.922</v>
      </c>
      <c r="W85">
        <v>4</v>
      </c>
    </row>
    <row r="86" spans="1:23" x14ac:dyDescent="0.25">
      <c r="A86" s="1" t="s">
        <v>11486</v>
      </c>
      <c r="B86" s="1" t="s">
        <v>11487</v>
      </c>
      <c r="C86" s="1" t="s">
        <v>3297</v>
      </c>
      <c r="D86" s="1" t="s">
        <v>11488</v>
      </c>
      <c r="E86" s="1" t="s">
        <v>240</v>
      </c>
      <c r="F86" s="1" t="s">
        <v>11489</v>
      </c>
      <c r="G86">
        <v>137704</v>
      </c>
      <c r="H86">
        <v>84</v>
      </c>
      <c r="I86" s="1" t="s">
        <v>11063</v>
      </c>
      <c r="J86" s="11">
        <v>44700.616805555554</v>
      </c>
      <c r="K86" s="1" t="s">
        <v>241</v>
      </c>
      <c r="L86" s="1">
        <f>0.593</f>
        <v>0.59299999999999997</v>
      </c>
      <c r="M86" s="1" t="b">
        <f>0.5=3</f>
        <v>0</v>
      </c>
      <c r="N86">
        <v>8</v>
      </c>
      <c r="O86" s="1">
        <v>-6.7249999999999996</v>
      </c>
      <c r="P86">
        <f>0</f>
        <v>0</v>
      </c>
      <c r="Q86" s="1">
        <f>0.22</f>
        <v>0.22</v>
      </c>
      <c r="R86" s="1">
        <f>0.293</f>
        <v>0.29299999999999998</v>
      </c>
      <c r="S86" s="1">
        <f>0</f>
        <v>0</v>
      </c>
      <c r="T86" s="1" t="b">
        <f>0.4=5</f>
        <v>0</v>
      </c>
      <c r="U86" s="1">
        <f>0.71</f>
        <v>0.71</v>
      </c>
      <c r="V86" s="1">
        <v>178.78100000000001</v>
      </c>
      <c r="W86">
        <v>4</v>
      </c>
    </row>
    <row r="87" spans="1:23" x14ac:dyDescent="0.25">
      <c r="A87" s="1" t="s">
        <v>11490</v>
      </c>
      <c r="B87" s="1" t="s">
        <v>11491</v>
      </c>
      <c r="C87" s="1" t="s">
        <v>242</v>
      </c>
      <c r="D87" s="1" t="s">
        <v>242</v>
      </c>
      <c r="E87" s="1" t="s">
        <v>243</v>
      </c>
      <c r="F87" s="1" t="s">
        <v>11492</v>
      </c>
      <c r="G87">
        <v>205068</v>
      </c>
      <c r="H87">
        <v>31</v>
      </c>
      <c r="I87" s="1" t="s">
        <v>11063</v>
      </c>
      <c r="J87" s="11">
        <v>44700.697083333333</v>
      </c>
      <c r="K87" s="1" t="s">
        <v>244</v>
      </c>
      <c r="L87" s="1">
        <f>0.634</f>
        <v>0.63400000000000001</v>
      </c>
      <c r="M87" s="1">
        <f>0.537</f>
        <v>0.53700000000000003</v>
      </c>
      <c r="N87">
        <f>0</f>
        <v>0</v>
      </c>
      <c r="O87" s="1">
        <v>-6.444</v>
      </c>
      <c r="P87">
        <f>0</f>
        <v>0</v>
      </c>
      <c r="Q87" s="1" t="b">
        <f>0=351</f>
        <v>0</v>
      </c>
      <c r="R87" s="1">
        <f>0.231</f>
        <v>0.23100000000000001</v>
      </c>
      <c r="S87" s="1">
        <f>0</f>
        <v>0</v>
      </c>
      <c r="T87" s="1">
        <f>0.184</f>
        <v>0.184</v>
      </c>
      <c r="U87" s="1">
        <f>0.232</f>
        <v>0.23200000000000001</v>
      </c>
      <c r="V87" s="1" t="s">
        <v>11886</v>
      </c>
      <c r="W87">
        <v>4</v>
      </c>
    </row>
    <row r="88" spans="1:23" x14ac:dyDescent="0.25">
      <c r="A88" s="1" t="s">
        <v>11493</v>
      </c>
      <c r="B88" s="1" t="s">
        <v>11385</v>
      </c>
      <c r="C88" s="1" t="s">
        <v>245</v>
      </c>
      <c r="D88" s="1" t="s">
        <v>11494</v>
      </c>
      <c r="E88" s="1" t="s">
        <v>170</v>
      </c>
      <c r="F88" s="1" t="s">
        <v>11495</v>
      </c>
      <c r="G88">
        <v>218993</v>
      </c>
      <c r="H88">
        <v>55</v>
      </c>
      <c r="I88" s="1" t="s">
        <v>11063</v>
      </c>
      <c r="J88" s="11">
        <v>44700.738923611112</v>
      </c>
      <c r="K88" s="1" t="s">
        <v>171</v>
      </c>
      <c r="L88" s="1">
        <f>0.726</f>
        <v>0.72599999999999998</v>
      </c>
      <c r="M88" s="1">
        <f>0.769</f>
        <v>0.76900000000000002</v>
      </c>
      <c r="N88">
        <v>2</v>
      </c>
      <c r="O88" s="1">
        <v>-3.4740000000000002</v>
      </c>
      <c r="P88">
        <v>1</v>
      </c>
      <c r="Q88" s="1">
        <f>0.188</f>
        <v>0.188</v>
      </c>
      <c r="R88" s="1">
        <f>0.114</f>
        <v>0.114</v>
      </c>
      <c r="S88" s="1">
        <f>0</f>
        <v>0</v>
      </c>
      <c r="T88" s="1">
        <f>0.238</f>
        <v>0.23799999999999999</v>
      </c>
      <c r="U88" s="1">
        <f>0.771</f>
        <v>0.77100000000000002</v>
      </c>
      <c r="V88" s="1" t="s">
        <v>11887</v>
      </c>
      <c r="W88">
        <v>4</v>
      </c>
    </row>
    <row r="89" spans="1:23" x14ac:dyDescent="0.25">
      <c r="A89" s="1" t="s">
        <v>11496</v>
      </c>
      <c r="B89" s="1" t="s">
        <v>11497</v>
      </c>
      <c r="C89" s="1" t="s">
        <v>246</v>
      </c>
      <c r="D89" s="1" t="s">
        <v>246</v>
      </c>
      <c r="E89" s="1" t="s">
        <v>247</v>
      </c>
      <c r="F89" s="1" t="s">
        <v>11498</v>
      </c>
      <c r="G89">
        <v>171355</v>
      </c>
      <c r="H89">
        <v>22</v>
      </c>
      <c r="I89" s="1" t="s">
        <v>11063</v>
      </c>
      <c r="J89" s="11">
        <v>44700.763842592591</v>
      </c>
      <c r="K89" s="1" t="s">
        <v>248</v>
      </c>
      <c r="L89" s="1">
        <f>0.618</f>
        <v>0.61799999999999999</v>
      </c>
      <c r="M89" s="1">
        <f>0.717</f>
        <v>0.71699999999999997</v>
      </c>
      <c r="N89">
        <v>7</v>
      </c>
      <c r="O89" s="1">
        <v>-3.7749999999999999</v>
      </c>
      <c r="P89">
        <f>0</f>
        <v>0</v>
      </c>
      <c r="Q89" s="1" t="b">
        <f>0=282</f>
        <v>0</v>
      </c>
      <c r="R89" s="1">
        <f>0.229</f>
        <v>0.22900000000000001</v>
      </c>
      <c r="S89" s="1" t="b">
        <f>0=0=0=0=4=4</f>
        <v>0</v>
      </c>
      <c r="T89" s="1">
        <f>0.2</f>
        <v>0.2</v>
      </c>
      <c r="U89" s="1">
        <f>0.678</f>
        <v>0.67800000000000005</v>
      </c>
      <c r="V89" s="1">
        <v>117.96299999999999</v>
      </c>
      <c r="W89">
        <v>4</v>
      </c>
    </row>
    <row r="90" spans="1:23" x14ac:dyDescent="0.25">
      <c r="A90" s="1" t="s">
        <v>11499</v>
      </c>
      <c r="B90" s="1" t="s">
        <v>11500</v>
      </c>
      <c r="C90" s="1" t="s">
        <v>72</v>
      </c>
      <c r="D90" s="1" t="s">
        <v>72</v>
      </c>
      <c r="E90" s="1" t="s">
        <v>249</v>
      </c>
      <c r="F90" s="1" t="s">
        <v>11372</v>
      </c>
      <c r="G90">
        <v>200975</v>
      </c>
      <c r="H90">
        <v>26</v>
      </c>
      <c r="I90" s="1" t="s">
        <v>11063</v>
      </c>
      <c r="J90" s="11">
        <v>44700.933993055558</v>
      </c>
      <c r="K90" s="1" t="s">
        <v>250</v>
      </c>
      <c r="L90" s="1">
        <f>0.656</f>
        <v>0.65600000000000003</v>
      </c>
      <c r="M90" s="1">
        <f>0.653</f>
        <v>0.65300000000000002</v>
      </c>
      <c r="N90">
        <v>7</v>
      </c>
      <c r="O90" s="1">
        <v>-5.4509999999999996</v>
      </c>
      <c r="P90">
        <f>0</f>
        <v>0</v>
      </c>
      <c r="Q90" s="1" t="b">
        <f>0=3=9</f>
        <v>0</v>
      </c>
      <c r="R90" s="1" t="b">
        <f>0=0=0=525</f>
        <v>0</v>
      </c>
      <c r="S90" s="1">
        <f>0.477</f>
        <v>0.47699999999999998</v>
      </c>
      <c r="T90" s="1">
        <f>0.323</f>
        <v>0.32300000000000001</v>
      </c>
      <c r="U90" s="1">
        <f>0.441</f>
        <v>0.441</v>
      </c>
      <c r="V90" s="1" t="s">
        <v>251</v>
      </c>
      <c r="W90">
        <v>4</v>
      </c>
    </row>
    <row r="91" spans="1:23" x14ac:dyDescent="0.25">
      <c r="A91" s="1" t="s">
        <v>11501</v>
      </c>
      <c r="B91" s="1" t="s">
        <v>11502</v>
      </c>
      <c r="C91" s="1" t="s">
        <v>3656</v>
      </c>
      <c r="D91" s="1" t="s">
        <v>11503</v>
      </c>
      <c r="E91" s="1" t="s">
        <v>252</v>
      </c>
      <c r="F91" s="1" t="s">
        <v>11504</v>
      </c>
      <c r="G91">
        <v>287920</v>
      </c>
      <c r="H91">
        <v>46</v>
      </c>
      <c r="I91" s="1" t="s">
        <v>11063</v>
      </c>
      <c r="J91" s="11">
        <v>44700.989351851851</v>
      </c>
      <c r="K91" s="1" t="s">
        <v>253</v>
      </c>
      <c r="L91" s="1">
        <f>0.686</f>
        <v>0.68600000000000005</v>
      </c>
      <c r="M91" s="1">
        <f>0.798</f>
        <v>0.79800000000000004</v>
      </c>
      <c r="N91">
        <v>6</v>
      </c>
      <c r="O91" s="1">
        <v>-6.3520000000000003</v>
      </c>
      <c r="P91">
        <v>1</v>
      </c>
      <c r="Q91" s="1" t="b">
        <f>0=328</f>
        <v>0</v>
      </c>
      <c r="R91" s="1" t="b">
        <f>0=669</f>
        <v>0</v>
      </c>
      <c r="S91" s="1" t="b">
        <f>0=991</f>
        <v>0</v>
      </c>
      <c r="T91" s="1">
        <f>0.12</f>
        <v>0.12</v>
      </c>
      <c r="U91" s="1" t="b">
        <f>0.8=1</f>
        <v>0</v>
      </c>
      <c r="V91" s="1" t="s">
        <v>11888</v>
      </c>
      <c r="W91">
        <v>4</v>
      </c>
    </row>
    <row r="92" spans="1:23" x14ac:dyDescent="0.25">
      <c r="A92" s="1" t="s">
        <v>11505</v>
      </c>
      <c r="B92" s="1" t="s">
        <v>11506</v>
      </c>
      <c r="C92" s="1" t="s">
        <v>254</v>
      </c>
      <c r="D92" s="1" t="s">
        <v>11507</v>
      </c>
      <c r="E92" s="1" t="s">
        <v>255</v>
      </c>
      <c r="F92" s="1" t="s">
        <v>11445</v>
      </c>
      <c r="G92">
        <v>221700</v>
      </c>
      <c r="H92">
        <v>51</v>
      </c>
      <c r="I92" s="1" t="s">
        <v>11063</v>
      </c>
      <c r="J92" s="11">
        <v>44701.009386574071</v>
      </c>
      <c r="K92" s="1" t="s">
        <v>256</v>
      </c>
      <c r="L92" s="1">
        <f>0.618</f>
        <v>0.61799999999999999</v>
      </c>
      <c r="M92" s="1">
        <f>0.654</f>
        <v>0.65400000000000003</v>
      </c>
      <c r="N92">
        <f>0</f>
        <v>0</v>
      </c>
      <c r="O92" s="1" t="s">
        <v>11889</v>
      </c>
      <c r="P92">
        <f>0</f>
        <v>0</v>
      </c>
      <c r="Q92" s="1" t="b">
        <f>0=321</f>
        <v>0</v>
      </c>
      <c r="R92" s="1" t="b">
        <f>0=0=453</f>
        <v>0</v>
      </c>
      <c r="S92" s="1" t="b">
        <f>0=0=0=0=0=191</f>
        <v>0</v>
      </c>
      <c r="T92" s="1">
        <f>0.119</f>
        <v>0.11899999999999999</v>
      </c>
      <c r="U92" s="1">
        <f>0.457</f>
        <v>0.45700000000000002</v>
      </c>
      <c r="V92" s="1" t="s">
        <v>11890</v>
      </c>
      <c r="W92">
        <v>4</v>
      </c>
    </row>
    <row r="93" spans="1:23" x14ac:dyDescent="0.25">
      <c r="A93" s="1" t="s">
        <v>11508</v>
      </c>
      <c r="B93" s="1" t="s">
        <v>11509</v>
      </c>
      <c r="C93" s="1" t="s">
        <v>3727</v>
      </c>
      <c r="D93" s="1" t="s">
        <v>11510</v>
      </c>
      <c r="E93" s="1" t="s">
        <v>257</v>
      </c>
      <c r="F93" s="1" t="s">
        <v>11365</v>
      </c>
      <c r="G93">
        <v>181927</v>
      </c>
      <c r="H93">
        <v>0</v>
      </c>
      <c r="I93" s="1" t="s">
        <v>11063</v>
      </c>
      <c r="J93" s="11">
        <v>44701.450532407405</v>
      </c>
      <c r="K93" s="1" t="s">
        <v>258</v>
      </c>
      <c r="L93" s="1">
        <f>0.48</f>
        <v>0.48</v>
      </c>
      <c r="M93" s="1">
        <f>0.884</f>
        <v>0.88400000000000001</v>
      </c>
      <c r="N93">
        <f>0</f>
        <v>0</v>
      </c>
      <c r="O93" s="1">
        <v>-4.6669999999999998</v>
      </c>
      <c r="P93">
        <v>1</v>
      </c>
      <c r="Q93" s="1" t="b">
        <f>0=897</f>
        <v>0</v>
      </c>
      <c r="R93" s="1">
        <f>0.199</f>
        <v>0.19900000000000001</v>
      </c>
      <c r="S93" s="1" t="b">
        <f>0=0=0=0=0=541</f>
        <v>0</v>
      </c>
      <c r="T93" s="1" t="b">
        <f>0=94</f>
        <v>0</v>
      </c>
      <c r="U93" s="1">
        <f>0.623</f>
        <v>0.623</v>
      </c>
      <c r="V93" s="1" t="s">
        <v>11891</v>
      </c>
      <c r="W93">
        <v>4</v>
      </c>
    </row>
    <row r="94" spans="1:23" x14ac:dyDescent="0.25">
      <c r="A94" s="1" t="s">
        <v>11511</v>
      </c>
      <c r="B94" s="1" t="s">
        <v>11512</v>
      </c>
      <c r="C94" s="1" t="s">
        <v>3757</v>
      </c>
      <c r="D94" s="1" t="s">
        <v>11513</v>
      </c>
      <c r="E94" s="1" t="s">
        <v>259</v>
      </c>
      <c r="F94" s="1" t="s">
        <v>11514</v>
      </c>
      <c r="G94">
        <v>216146</v>
      </c>
      <c r="H94">
        <v>71</v>
      </c>
      <c r="I94" s="1" t="s">
        <v>11063</v>
      </c>
      <c r="J94" s="11">
        <v>44701.452835648146</v>
      </c>
      <c r="K94" s="1" t="s">
        <v>260</v>
      </c>
      <c r="L94" s="1">
        <f>0.715</f>
        <v>0.71499999999999997</v>
      </c>
      <c r="M94" s="1">
        <f>0.8</f>
        <v>0.8</v>
      </c>
      <c r="N94">
        <v>4</v>
      </c>
      <c r="O94" s="1">
        <v>-5.1440000000000001</v>
      </c>
      <c r="P94">
        <f>0</f>
        <v>0</v>
      </c>
      <c r="Q94" s="1" t="b">
        <f>0=57</f>
        <v>0</v>
      </c>
      <c r="R94" s="1" t="b">
        <f>0=271</f>
        <v>0</v>
      </c>
      <c r="S94" s="1">
        <f>0</f>
        <v>0</v>
      </c>
      <c r="T94" s="1" t="b">
        <f>0=648</f>
        <v>0</v>
      </c>
      <c r="U94" s="1">
        <f>0.445</f>
        <v>0.44500000000000001</v>
      </c>
      <c r="V94" s="1" t="s">
        <v>11892</v>
      </c>
      <c r="W94">
        <v>4</v>
      </c>
    </row>
    <row r="95" spans="1:23" x14ac:dyDescent="0.25">
      <c r="A95" s="1" t="s">
        <v>11515</v>
      </c>
      <c r="B95" s="1" t="s">
        <v>11516</v>
      </c>
      <c r="C95" s="1" t="s">
        <v>3845</v>
      </c>
      <c r="D95" s="1" t="s">
        <v>11517</v>
      </c>
      <c r="E95" s="1" t="s">
        <v>261</v>
      </c>
      <c r="F95" s="1" t="s">
        <v>11518</v>
      </c>
      <c r="G95">
        <v>316212</v>
      </c>
      <c r="H95">
        <v>24</v>
      </c>
      <c r="I95" s="1" t="s">
        <v>11063</v>
      </c>
      <c r="J95" s="11">
        <v>44701.510289351849</v>
      </c>
      <c r="K95" s="1" t="s">
        <v>262</v>
      </c>
      <c r="L95" s="1">
        <f>0.845</f>
        <v>0.84499999999999997</v>
      </c>
      <c r="M95" s="1" t="b">
        <f>0.5=1</f>
        <v>0</v>
      </c>
      <c r="N95">
        <v>11</v>
      </c>
      <c r="O95" s="1">
        <v>-6.86</v>
      </c>
      <c r="P95">
        <f>0</f>
        <v>0</v>
      </c>
      <c r="Q95" s="1" t="b">
        <f>0=526</f>
        <v>0</v>
      </c>
      <c r="R95" s="1" t="b">
        <f>0=474</f>
        <v>0</v>
      </c>
      <c r="S95" s="1" t="b">
        <f>0=2=4</f>
        <v>0</v>
      </c>
      <c r="T95" s="1" t="b">
        <f>0=913</f>
        <v>0</v>
      </c>
      <c r="U95" s="1">
        <f>0.488</f>
        <v>0.48799999999999999</v>
      </c>
      <c r="V95" s="1" t="s">
        <v>11893</v>
      </c>
      <c r="W95">
        <v>4</v>
      </c>
    </row>
    <row r="96" spans="1:23" x14ac:dyDescent="0.25">
      <c r="A96" s="1" t="s">
        <v>11519</v>
      </c>
      <c r="B96" s="1" t="s">
        <v>11520</v>
      </c>
      <c r="C96" s="1" t="s">
        <v>3857</v>
      </c>
      <c r="D96" s="1" t="s">
        <v>2238</v>
      </c>
      <c r="E96" s="1" t="s">
        <v>263</v>
      </c>
      <c r="F96" s="1" t="s">
        <v>11521</v>
      </c>
      <c r="G96">
        <v>198081</v>
      </c>
      <c r="H96">
        <v>87</v>
      </c>
      <c r="I96" s="1" t="s">
        <v>11063</v>
      </c>
      <c r="J96" s="11">
        <v>44701.562511574077</v>
      </c>
      <c r="K96" s="1" t="s">
        <v>264</v>
      </c>
      <c r="L96" s="1">
        <f>0.677</f>
        <v>0.67700000000000005</v>
      </c>
      <c r="M96" s="1">
        <f>0.696</f>
        <v>0.69599999999999995</v>
      </c>
      <c r="N96">
        <f>0</f>
        <v>0</v>
      </c>
      <c r="O96" s="1">
        <v>-6.181</v>
      </c>
      <c r="P96">
        <v>1</v>
      </c>
      <c r="Q96" s="1">
        <f>0.119</f>
        <v>0.11899999999999999</v>
      </c>
      <c r="R96" s="1">
        <f>0.321</f>
        <v>0.32100000000000001</v>
      </c>
      <c r="S96" s="1">
        <f>0</f>
        <v>0</v>
      </c>
      <c r="T96" s="1">
        <f>0.42</f>
        <v>0.42</v>
      </c>
      <c r="U96" s="1">
        <f>0.464</f>
        <v>0.46400000000000002</v>
      </c>
      <c r="V96" s="1" t="s">
        <v>11894</v>
      </c>
      <c r="W96">
        <v>4</v>
      </c>
    </row>
    <row r="97" spans="1:23" x14ac:dyDescent="0.25">
      <c r="A97" s="1" t="s">
        <v>11522</v>
      </c>
      <c r="B97" s="1" t="s">
        <v>11523</v>
      </c>
      <c r="C97" s="1" t="s">
        <v>265</v>
      </c>
      <c r="D97" s="1" t="s">
        <v>265</v>
      </c>
      <c r="E97" s="1" t="s">
        <v>266</v>
      </c>
      <c r="F97" s="1" t="s">
        <v>11524</v>
      </c>
      <c r="G97">
        <v>204043</v>
      </c>
      <c r="H97">
        <v>72</v>
      </c>
      <c r="I97" s="1" t="s">
        <v>11063</v>
      </c>
      <c r="J97" s="11">
        <v>44701.562662037039</v>
      </c>
      <c r="K97" s="1" t="s">
        <v>267</v>
      </c>
      <c r="L97" s="1">
        <f>0.916</f>
        <v>0.91600000000000004</v>
      </c>
      <c r="M97" s="1">
        <f>0.552</f>
        <v>0.55200000000000005</v>
      </c>
      <c r="N97">
        <v>3</v>
      </c>
      <c r="O97" s="1" t="s">
        <v>11895</v>
      </c>
      <c r="P97">
        <f>0</f>
        <v>0</v>
      </c>
      <c r="Q97" s="1" t="b">
        <f>0=546</f>
        <v>0</v>
      </c>
      <c r="R97" s="1">
        <f>0.344</f>
        <v>0.34399999999999997</v>
      </c>
      <c r="S97" s="1" t="b">
        <f>0=0=0=722</f>
        <v>0</v>
      </c>
      <c r="T97" s="1" t="b">
        <f>0=566</f>
        <v>0</v>
      </c>
      <c r="U97" s="1">
        <f>0.349</f>
        <v>0.34899999999999998</v>
      </c>
      <c r="V97" s="1">
        <v>118.98099999999999</v>
      </c>
      <c r="W97">
        <v>4</v>
      </c>
    </row>
    <row r="98" spans="1:23" x14ac:dyDescent="0.25">
      <c r="A98" s="1" t="s">
        <v>11525</v>
      </c>
      <c r="B98" s="1" t="s">
        <v>11526</v>
      </c>
      <c r="C98" s="1" t="s">
        <v>268</v>
      </c>
      <c r="D98" s="1" t="s">
        <v>4791</v>
      </c>
      <c r="E98" s="1" t="s">
        <v>269</v>
      </c>
      <c r="F98" s="1" t="s">
        <v>11527</v>
      </c>
      <c r="G98">
        <v>248146</v>
      </c>
      <c r="H98">
        <v>49</v>
      </c>
      <c r="I98" s="1" t="s">
        <v>11063</v>
      </c>
      <c r="J98" s="11">
        <v>44701.624502314815</v>
      </c>
      <c r="K98" s="1" t="s">
        <v>270</v>
      </c>
      <c r="L98" s="1">
        <f>0.745</f>
        <v>0.745</v>
      </c>
      <c r="M98" s="1">
        <f>0.36</f>
        <v>0.36</v>
      </c>
      <c r="N98">
        <v>5</v>
      </c>
      <c r="O98" s="1">
        <v>-7.3140000000000001</v>
      </c>
      <c r="P98">
        <f>0</f>
        <v>0</v>
      </c>
      <c r="Q98" s="1" t="b">
        <f>0=712</f>
        <v>0</v>
      </c>
      <c r="R98" s="1">
        <f>0.439</f>
        <v>0.439</v>
      </c>
      <c r="S98" s="1">
        <f>0</f>
        <v>0</v>
      </c>
      <c r="T98" s="1">
        <f>0.149</f>
        <v>0.14899999999999999</v>
      </c>
      <c r="U98" s="1">
        <f>0.369</f>
        <v>0.36899999999999999</v>
      </c>
      <c r="V98" s="1">
        <v>124.996</v>
      </c>
      <c r="W98">
        <v>4</v>
      </c>
    </row>
    <row r="99" spans="1:23" x14ac:dyDescent="0.25">
      <c r="A99" s="1" t="s">
        <v>11528</v>
      </c>
      <c r="B99" s="1" t="s">
        <v>11529</v>
      </c>
      <c r="C99" s="1" t="s">
        <v>271</v>
      </c>
      <c r="D99" s="1" t="s">
        <v>6600</v>
      </c>
      <c r="E99" s="1" t="s">
        <v>272</v>
      </c>
      <c r="F99" s="1" t="s">
        <v>11530</v>
      </c>
      <c r="G99">
        <v>249080</v>
      </c>
      <c r="H99">
        <v>43</v>
      </c>
      <c r="I99" s="1" t="s">
        <v>11063</v>
      </c>
      <c r="J99" s="11">
        <v>44701.628761574073</v>
      </c>
      <c r="K99" s="1" t="s">
        <v>270</v>
      </c>
      <c r="L99" s="1">
        <f>0.614</f>
        <v>0.61399999999999999</v>
      </c>
      <c r="M99" s="1">
        <f>0.555</f>
        <v>0.55500000000000005</v>
      </c>
      <c r="N99">
        <v>1</v>
      </c>
      <c r="O99" s="1">
        <v>-7.7679999999999998</v>
      </c>
      <c r="P99">
        <v>1</v>
      </c>
      <c r="Q99" s="1" t="b">
        <f>0=646</f>
        <v>0</v>
      </c>
      <c r="R99" s="1">
        <f>0.614</f>
        <v>0.61399999999999999</v>
      </c>
      <c r="S99" s="1">
        <f>0</f>
        <v>0</v>
      </c>
      <c r="T99" s="1">
        <f>0.11</f>
        <v>0.11</v>
      </c>
      <c r="U99" s="1">
        <f>0.284</f>
        <v>0.28399999999999997</v>
      </c>
      <c r="V99" s="1" t="s">
        <v>11896</v>
      </c>
      <c r="W99">
        <v>4</v>
      </c>
    </row>
    <row r="100" spans="1:23" x14ac:dyDescent="0.25">
      <c r="A100" s="1" t="s">
        <v>11531</v>
      </c>
      <c r="B100" s="1" t="s">
        <v>11532</v>
      </c>
      <c r="C100" s="1" t="s">
        <v>273</v>
      </c>
      <c r="D100" s="1" t="s">
        <v>11533</v>
      </c>
      <c r="E100" s="1" t="s">
        <v>274</v>
      </c>
      <c r="F100" s="1" t="s">
        <v>11534</v>
      </c>
      <c r="G100">
        <v>211413</v>
      </c>
      <c r="H100">
        <v>66</v>
      </c>
      <c r="I100" s="1" t="s">
        <v>11063</v>
      </c>
      <c r="J100" s="11">
        <v>44701.665219907409</v>
      </c>
      <c r="K100" s="1" t="s">
        <v>161</v>
      </c>
      <c r="L100" s="1">
        <f>0.575</f>
        <v>0.57499999999999996</v>
      </c>
      <c r="M100" s="1">
        <f>0.58</f>
        <v>0.57999999999999996</v>
      </c>
      <c r="N100">
        <f>0</f>
        <v>0</v>
      </c>
      <c r="O100" s="1" t="s">
        <v>11897</v>
      </c>
      <c r="P100">
        <v>1</v>
      </c>
      <c r="Q100" s="1" t="b">
        <f>0=67</f>
        <v>0</v>
      </c>
      <c r="R100" s="1">
        <f>0.166</f>
        <v>0.16600000000000001</v>
      </c>
      <c r="S100" s="1">
        <f>0</f>
        <v>0</v>
      </c>
      <c r="T100" s="1" t="b">
        <f>0=781</f>
        <v>0</v>
      </c>
      <c r="U100" s="1">
        <f>0.324</f>
        <v>0.32400000000000001</v>
      </c>
      <c r="V100" s="1">
        <v>75.2</v>
      </c>
      <c r="W100">
        <v>4</v>
      </c>
    </row>
    <row r="101" spans="1:23" x14ac:dyDescent="0.25">
      <c r="A101" s="1" t="s">
        <v>11535</v>
      </c>
      <c r="B101" s="1" t="s">
        <v>11536</v>
      </c>
      <c r="C101" s="1" t="s">
        <v>3979</v>
      </c>
      <c r="D101" s="1" t="s">
        <v>11537</v>
      </c>
      <c r="E101" s="1" t="s">
        <v>275</v>
      </c>
      <c r="F101" s="1" t="s">
        <v>11538</v>
      </c>
      <c r="G101">
        <v>242753</v>
      </c>
      <c r="H101">
        <v>56</v>
      </c>
      <c r="I101" s="1" t="s">
        <v>11063</v>
      </c>
      <c r="J101" s="11">
        <v>44701.69734953704</v>
      </c>
      <c r="K101" s="1" t="s">
        <v>276</v>
      </c>
      <c r="L101" s="1">
        <f>0.724</f>
        <v>0.72399999999999998</v>
      </c>
      <c r="M101" s="1">
        <f>0.694</f>
        <v>0.69399999999999995</v>
      </c>
      <c r="N101">
        <v>9</v>
      </c>
      <c r="O101" s="1">
        <v>-8.141</v>
      </c>
      <c r="P101">
        <f>0</f>
        <v>0</v>
      </c>
      <c r="Q101" s="1" t="b">
        <f>0=598</f>
        <v>0</v>
      </c>
      <c r="R101" s="1">
        <f>0.35</f>
        <v>0.35</v>
      </c>
      <c r="S101" s="1">
        <f>0</f>
        <v>0</v>
      </c>
      <c r="T101" s="1" t="b">
        <f>0=838</f>
        <v>0</v>
      </c>
      <c r="U101" s="1">
        <f>0.797</f>
        <v>0.79700000000000004</v>
      </c>
      <c r="V101" s="1" t="s">
        <v>11898</v>
      </c>
      <c r="W101">
        <v>4</v>
      </c>
    </row>
    <row r="102" spans="1:23" x14ac:dyDescent="0.25">
      <c r="A102" s="1" t="s">
        <v>11539</v>
      </c>
      <c r="B102" s="1" t="s">
        <v>11540</v>
      </c>
      <c r="C102" s="1" t="s">
        <v>277</v>
      </c>
      <c r="D102" s="1" t="s">
        <v>11541</v>
      </c>
      <c r="E102" s="1" t="s">
        <v>278</v>
      </c>
      <c r="F102" s="1" t="s">
        <v>11542</v>
      </c>
      <c r="G102">
        <v>255631</v>
      </c>
      <c r="H102">
        <v>75</v>
      </c>
      <c r="I102" s="1" t="s">
        <v>11063</v>
      </c>
      <c r="J102" s="11">
        <v>44701.70789351852</v>
      </c>
      <c r="K102" s="1" t="s">
        <v>279</v>
      </c>
      <c r="L102" s="1" t="b">
        <f>0.5=3</f>
        <v>0</v>
      </c>
      <c r="M102" s="1">
        <f>0.727</f>
        <v>0.72699999999999998</v>
      </c>
      <c r="N102">
        <v>1</v>
      </c>
      <c r="O102" s="1">
        <v>-5.4560000000000004</v>
      </c>
      <c r="P102">
        <v>1</v>
      </c>
      <c r="Q102" s="1">
        <f>0.167</f>
        <v>0.16700000000000001</v>
      </c>
      <c r="R102" s="1" t="b">
        <f>0=159</f>
        <v>0</v>
      </c>
      <c r="S102" s="1" t="b">
        <f>0=0=0=0=945</f>
        <v>0</v>
      </c>
      <c r="T102" s="1" t="b">
        <f>0=895</f>
        <v>0</v>
      </c>
      <c r="U102" s="1">
        <f>0.521</f>
        <v>0.52100000000000002</v>
      </c>
      <c r="V102" s="1">
        <v>121.985</v>
      </c>
      <c r="W102">
        <v>4</v>
      </c>
    </row>
    <row r="103" spans="1:23" x14ac:dyDescent="0.25">
      <c r="A103" s="1" t="s">
        <v>11543</v>
      </c>
      <c r="B103" s="1" t="s">
        <v>11544</v>
      </c>
      <c r="C103" s="1" t="s">
        <v>3999</v>
      </c>
      <c r="D103" s="1" t="s">
        <v>3999</v>
      </c>
      <c r="E103" s="1" t="s">
        <v>280</v>
      </c>
      <c r="F103" s="1" t="s">
        <v>11545</v>
      </c>
      <c r="G103">
        <v>212860</v>
      </c>
      <c r="H103">
        <v>62</v>
      </c>
      <c r="I103" s="1" t="s">
        <v>11063</v>
      </c>
      <c r="J103" s="11">
        <v>44701.715324074074</v>
      </c>
      <c r="K103" s="1" t="s">
        <v>281</v>
      </c>
      <c r="L103" s="1">
        <f>0.247</f>
        <v>0.247</v>
      </c>
      <c r="M103" s="1">
        <f>0.442</f>
        <v>0.442</v>
      </c>
      <c r="N103">
        <v>6</v>
      </c>
      <c r="O103" s="1" t="s">
        <v>11899</v>
      </c>
      <c r="P103">
        <v>1</v>
      </c>
      <c r="Q103" s="1" t="b">
        <f>0=41</f>
        <v>0</v>
      </c>
      <c r="R103" s="1">
        <f>0.716</f>
        <v>0.71599999999999997</v>
      </c>
      <c r="S103" s="1">
        <f>0</f>
        <v>0</v>
      </c>
      <c r="T103" s="1" t="b">
        <f>0=655</f>
        <v>0</v>
      </c>
      <c r="U103" s="1">
        <f>0.261</f>
        <v>0.26100000000000001</v>
      </c>
      <c r="V103" s="1">
        <v>62.951999999999998</v>
      </c>
      <c r="W103">
        <v>4</v>
      </c>
    </row>
    <row r="104" spans="1:23" x14ac:dyDescent="0.25">
      <c r="A104" s="1" t="s">
        <v>11546</v>
      </c>
      <c r="B104" s="1" t="s">
        <v>11547</v>
      </c>
      <c r="C104" s="1" t="s">
        <v>282</v>
      </c>
      <c r="D104" s="1" t="s">
        <v>11548</v>
      </c>
      <c r="E104" s="1" t="s">
        <v>283</v>
      </c>
      <c r="F104" s="1" t="s">
        <v>11549</v>
      </c>
      <c r="G104">
        <v>242373</v>
      </c>
      <c r="H104">
        <v>81</v>
      </c>
      <c r="I104" s="1" t="s">
        <v>11063</v>
      </c>
      <c r="J104" s="11">
        <v>44701.753912037035</v>
      </c>
      <c r="K104" s="1" t="s">
        <v>284</v>
      </c>
      <c r="L104" s="1">
        <f>0.486</f>
        <v>0.48599999999999999</v>
      </c>
      <c r="M104" s="1">
        <f>0.617</f>
        <v>0.61699999999999999</v>
      </c>
      <c r="N104">
        <v>5</v>
      </c>
      <c r="O104" s="1">
        <v>-7.1150000000000002</v>
      </c>
      <c r="P104">
        <f>0</f>
        <v>0</v>
      </c>
      <c r="Q104" s="1" t="b">
        <f>0=287</f>
        <v>0</v>
      </c>
      <c r="R104" s="1" t="b">
        <f>0=954</f>
        <v>0</v>
      </c>
      <c r="S104" s="1" t="b">
        <f>0=0=0=0=0=323</f>
        <v>0</v>
      </c>
      <c r="T104" s="1" t="b">
        <f>0.1=9</f>
        <v>0</v>
      </c>
      <c r="U104" s="1">
        <f>0.417</f>
        <v>0.41699999999999998</v>
      </c>
      <c r="V104" s="1" t="s">
        <v>11900</v>
      </c>
      <c r="W104">
        <v>4</v>
      </c>
    </row>
    <row r="105" spans="1:23" x14ac:dyDescent="0.25">
      <c r="A105" s="1" t="s">
        <v>11550</v>
      </c>
      <c r="B105" s="1" t="s">
        <v>11551</v>
      </c>
      <c r="C105" s="1" t="s">
        <v>4042</v>
      </c>
      <c r="D105" s="1" t="s">
        <v>4042</v>
      </c>
      <c r="E105" s="1" t="s">
        <v>285</v>
      </c>
      <c r="F105" s="1" t="s">
        <v>11552</v>
      </c>
      <c r="G105">
        <v>169500</v>
      </c>
      <c r="H105">
        <v>60</v>
      </c>
      <c r="I105" s="1" t="s">
        <v>11063</v>
      </c>
      <c r="J105" s="11">
        <v>44701.759305555555</v>
      </c>
      <c r="K105" s="1" t="s">
        <v>286</v>
      </c>
      <c r="L105" s="1">
        <f>0.623</f>
        <v>0.623</v>
      </c>
      <c r="M105" s="1">
        <f>0.889</f>
        <v>0.88900000000000001</v>
      </c>
      <c r="N105">
        <v>7</v>
      </c>
      <c r="O105" s="1">
        <v>-2.169</v>
      </c>
      <c r="P105">
        <v>1</v>
      </c>
      <c r="Q105" s="1" t="b">
        <f>0=367</f>
        <v>0</v>
      </c>
      <c r="R105" s="1" t="b">
        <f>0=939</f>
        <v>0</v>
      </c>
      <c r="S105" s="1">
        <f>0</f>
        <v>0</v>
      </c>
      <c r="T105" s="1">
        <f>0.358</f>
        <v>0.35799999999999998</v>
      </c>
      <c r="U105" s="1">
        <f>0.466</f>
        <v>0.46600000000000003</v>
      </c>
      <c r="V105" s="1">
        <v>149.93100000000001</v>
      </c>
      <c r="W105">
        <v>4</v>
      </c>
    </row>
    <row r="106" spans="1:23" x14ac:dyDescent="0.25">
      <c r="A106" s="1" t="s">
        <v>11553</v>
      </c>
      <c r="B106" s="1" t="s">
        <v>11554</v>
      </c>
      <c r="C106" s="1" t="s">
        <v>4043</v>
      </c>
      <c r="D106" s="1" t="s">
        <v>11555</v>
      </c>
      <c r="E106" s="1" t="s">
        <v>287</v>
      </c>
      <c r="F106" s="1" t="s">
        <v>11408</v>
      </c>
      <c r="G106">
        <v>162802</v>
      </c>
      <c r="H106">
        <v>82</v>
      </c>
      <c r="I106" s="1" t="s">
        <v>11063</v>
      </c>
      <c r="J106" s="11">
        <v>44701.759351851855</v>
      </c>
      <c r="K106" s="1" t="s">
        <v>288</v>
      </c>
      <c r="L106" s="1">
        <f>0.841</f>
        <v>0.84099999999999997</v>
      </c>
      <c r="M106" s="1">
        <f>0.593</f>
        <v>0.59299999999999997</v>
      </c>
      <c r="N106">
        <v>1</v>
      </c>
      <c r="O106" s="1">
        <v>-7.8460000000000001</v>
      </c>
      <c r="P106">
        <v>1</v>
      </c>
      <c r="Q106" s="1" t="b">
        <f>0=379</f>
        <v>0</v>
      </c>
      <c r="R106" s="1">
        <f>0.418</f>
        <v>0.41799999999999998</v>
      </c>
      <c r="S106" s="1">
        <f>0</f>
        <v>0</v>
      </c>
      <c r="T106" s="1">
        <f>0.124</f>
        <v>0.124</v>
      </c>
      <c r="U106" s="1" t="b">
        <f>0.8=8</f>
        <v>0</v>
      </c>
      <c r="V106" s="1">
        <v>124.917</v>
      </c>
      <c r="W106">
        <v>4</v>
      </c>
    </row>
    <row r="107" spans="1:23" x14ac:dyDescent="0.25">
      <c r="A107" s="1" t="s">
        <v>11556</v>
      </c>
      <c r="B107" s="1" t="s">
        <v>11557</v>
      </c>
      <c r="C107" s="1" t="s">
        <v>4044</v>
      </c>
      <c r="D107" s="1" t="s">
        <v>4044</v>
      </c>
      <c r="E107" s="1" t="s">
        <v>289</v>
      </c>
      <c r="F107" s="1" t="s">
        <v>11552</v>
      </c>
      <c r="G107">
        <v>189671</v>
      </c>
      <c r="H107">
        <v>76</v>
      </c>
      <c r="I107" s="1" t="s">
        <v>11063</v>
      </c>
      <c r="J107" s="11">
        <v>44701.759421296294</v>
      </c>
      <c r="K107" s="1" t="s">
        <v>290</v>
      </c>
      <c r="L107" s="1">
        <f>0.733</f>
        <v>0.73299999999999998</v>
      </c>
      <c r="M107" s="1">
        <f>0.96</f>
        <v>0.96</v>
      </c>
      <c r="N107">
        <v>7</v>
      </c>
      <c r="O107" s="1">
        <v>-3.597</v>
      </c>
      <c r="P107">
        <v>1</v>
      </c>
      <c r="Q107" s="1" t="b">
        <f>0=295</f>
        <v>0</v>
      </c>
      <c r="R107" s="1" t="b">
        <f>0=514</f>
        <v>0</v>
      </c>
      <c r="S107" s="1" t="b">
        <f>0=0=199</f>
        <v>0</v>
      </c>
      <c r="T107" s="1">
        <f>0.287</f>
        <v>0.28699999999999998</v>
      </c>
      <c r="U107" s="1">
        <f>0.811</f>
        <v>0.81100000000000005</v>
      </c>
      <c r="V107" s="1" t="s">
        <v>11901</v>
      </c>
      <c r="W107">
        <v>4</v>
      </c>
    </row>
    <row r="108" spans="1:23" x14ac:dyDescent="0.25">
      <c r="A108" s="1" t="s">
        <v>11558</v>
      </c>
      <c r="B108" s="1" t="s">
        <v>11559</v>
      </c>
      <c r="C108" s="1" t="s">
        <v>291</v>
      </c>
      <c r="D108" s="1" t="s">
        <v>291</v>
      </c>
      <c r="E108" s="1" t="s">
        <v>292</v>
      </c>
      <c r="F108" s="1" t="s">
        <v>11560</v>
      </c>
      <c r="G108">
        <v>133000</v>
      </c>
      <c r="H108">
        <v>1</v>
      </c>
      <c r="I108" s="1" t="s">
        <v>11063</v>
      </c>
      <c r="J108" s="11">
        <v>44701.762997685182</v>
      </c>
      <c r="K108" s="1" t="s">
        <v>293</v>
      </c>
      <c r="L108" s="1">
        <f>0.784</f>
        <v>0.78400000000000003</v>
      </c>
      <c r="M108" s="1" t="b">
        <f>0.8=2</f>
        <v>0</v>
      </c>
      <c r="N108">
        <v>4</v>
      </c>
      <c r="O108" s="1">
        <v>-3.673</v>
      </c>
      <c r="P108">
        <f>0</f>
        <v>0</v>
      </c>
      <c r="Q108" s="1" t="b">
        <f>0=666</f>
        <v>0</v>
      </c>
      <c r="R108" s="1">
        <f>0.214</f>
        <v>0.214</v>
      </c>
      <c r="S108" s="1" t="b">
        <f>0=23</f>
        <v>0</v>
      </c>
      <c r="T108" s="1">
        <f>0.445</f>
        <v>0.44500000000000001</v>
      </c>
      <c r="U108" s="1">
        <f>0.522</f>
        <v>0.52200000000000002</v>
      </c>
      <c r="V108" s="1">
        <v>124.941</v>
      </c>
      <c r="W108">
        <v>4</v>
      </c>
    </row>
    <row r="109" spans="1:23" x14ac:dyDescent="0.25">
      <c r="A109" s="1" t="s">
        <v>11561</v>
      </c>
      <c r="B109" s="1" t="s">
        <v>11562</v>
      </c>
      <c r="C109" s="1" t="s">
        <v>294</v>
      </c>
      <c r="D109" s="1" t="s">
        <v>294</v>
      </c>
      <c r="E109" s="1" t="s">
        <v>295</v>
      </c>
      <c r="F109" s="1" t="s">
        <v>11563</v>
      </c>
      <c r="G109">
        <v>223200</v>
      </c>
      <c r="H109">
        <v>22</v>
      </c>
      <c r="I109" s="1" t="s">
        <v>11063</v>
      </c>
      <c r="J109" s="11">
        <v>44701.763229166667</v>
      </c>
      <c r="K109" s="1" t="s">
        <v>296</v>
      </c>
      <c r="L109" s="1">
        <f>0.514</f>
        <v>0.51400000000000001</v>
      </c>
      <c r="M109" s="1">
        <f>0.838</f>
        <v>0.83799999999999997</v>
      </c>
      <c r="N109">
        <v>8</v>
      </c>
      <c r="O109" s="1" t="s">
        <v>11902</v>
      </c>
      <c r="P109">
        <v>1</v>
      </c>
      <c r="Q109" s="1" t="b">
        <f>0=752</f>
        <v>0</v>
      </c>
      <c r="R109" s="1" t="b">
        <f>0=223</f>
        <v>0</v>
      </c>
      <c r="S109" s="1" t="b">
        <f>0=0=0=0=0=6=1</f>
        <v>0</v>
      </c>
      <c r="T109" s="1">
        <f>0.11</f>
        <v>0.11</v>
      </c>
      <c r="U109" s="1">
        <f>0.346</f>
        <v>0.34599999999999997</v>
      </c>
      <c r="V109" s="1" t="s">
        <v>11903</v>
      </c>
      <c r="W109">
        <v>4</v>
      </c>
    </row>
    <row r="110" spans="1:23" x14ac:dyDescent="0.25">
      <c r="A110" s="1" t="s">
        <v>11564</v>
      </c>
      <c r="B110" s="1" t="s">
        <v>11565</v>
      </c>
      <c r="C110" s="1" t="s">
        <v>4225</v>
      </c>
      <c r="D110" s="1" t="s">
        <v>4225</v>
      </c>
      <c r="E110" s="1" t="s">
        <v>297</v>
      </c>
      <c r="F110" s="1" t="s">
        <v>11566</v>
      </c>
      <c r="G110">
        <v>195011</v>
      </c>
      <c r="H110">
        <v>37</v>
      </c>
      <c r="I110" s="1" t="s">
        <v>11063</v>
      </c>
      <c r="J110" s="11">
        <v>44703.474456018521</v>
      </c>
      <c r="K110" s="1" t="s">
        <v>298</v>
      </c>
      <c r="L110" s="1">
        <f>0.624</f>
        <v>0.624</v>
      </c>
      <c r="M110" s="1">
        <f>0.883</f>
        <v>0.88300000000000001</v>
      </c>
      <c r="N110">
        <v>4</v>
      </c>
      <c r="O110" s="1" t="s">
        <v>11904</v>
      </c>
      <c r="P110">
        <f>0</f>
        <v>0</v>
      </c>
      <c r="Q110" s="1" t="b">
        <f>0=95</f>
        <v>0</v>
      </c>
      <c r="R110" s="1" t="b">
        <f>0=951</f>
        <v>0</v>
      </c>
      <c r="S110" s="1">
        <f>0</f>
        <v>0</v>
      </c>
      <c r="T110" s="1">
        <f>0.792</f>
        <v>0.79200000000000004</v>
      </c>
      <c r="U110" s="1">
        <f>0.634</f>
        <v>0.63400000000000001</v>
      </c>
      <c r="V110" s="1" t="s">
        <v>11905</v>
      </c>
      <c r="W110">
        <v>4</v>
      </c>
    </row>
    <row r="111" spans="1:23" x14ac:dyDescent="0.25">
      <c r="A111" s="1" t="s">
        <v>11567</v>
      </c>
      <c r="B111" s="1" t="s">
        <v>11315</v>
      </c>
      <c r="C111" s="1" t="s">
        <v>299</v>
      </c>
      <c r="D111" s="1" t="s">
        <v>11568</v>
      </c>
      <c r="E111" s="1" t="s">
        <v>112</v>
      </c>
      <c r="F111" s="1" t="s">
        <v>11569</v>
      </c>
      <c r="G111">
        <v>175643</v>
      </c>
      <c r="H111">
        <v>72</v>
      </c>
      <c r="I111" s="1" t="s">
        <v>11063</v>
      </c>
      <c r="J111" s="11">
        <v>44703.672013888892</v>
      </c>
      <c r="K111" s="1" t="s">
        <v>113</v>
      </c>
      <c r="L111" s="1">
        <f>0.542</f>
        <v>0.54200000000000004</v>
      </c>
      <c r="M111" s="1">
        <f>0.732</f>
        <v>0.73199999999999998</v>
      </c>
      <c r="N111">
        <v>9</v>
      </c>
      <c r="O111" s="1">
        <v>-5.9560000000000004</v>
      </c>
      <c r="P111">
        <v>1</v>
      </c>
      <c r="Q111" s="1" t="b">
        <f>0=521</f>
        <v>0</v>
      </c>
      <c r="R111" s="1" t="b">
        <f>0=0=2=9</f>
        <v>0</v>
      </c>
      <c r="S111" s="1" t="b">
        <f>0=0=0=0=792</f>
        <v>0</v>
      </c>
      <c r="T111" s="1">
        <f>0.496</f>
        <v>0.496</v>
      </c>
      <c r="U111" s="1">
        <f>0.489</f>
        <v>0.48899999999999999</v>
      </c>
      <c r="V111" s="1">
        <v>124.91200000000001</v>
      </c>
      <c r="W111">
        <v>4</v>
      </c>
    </row>
    <row r="112" spans="1:23" x14ac:dyDescent="0.25">
      <c r="A112" s="1" t="s">
        <v>11570</v>
      </c>
      <c r="B112" s="1" t="s">
        <v>11571</v>
      </c>
      <c r="C112" s="1" t="s">
        <v>300</v>
      </c>
      <c r="D112" s="1" t="s">
        <v>11572</v>
      </c>
      <c r="E112" s="1" t="s">
        <v>301</v>
      </c>
      <c r="F112" s="1" t="s">
        <v>11573</v>
      </c>
      <c r="G112">
        <v>260906</v>
      </c>
      <c r="H112">
        <v>67</v>
      </c>
      <c r="I112" s="1" t="s">
        <v>11063</v>
      </c>
      <c r="J112" s="11">
        <v>44703.673831018517</v>
      </c>
      <c r="K112" s="1" t="s">
        <v>50</v>
      </c>
      <c r="L112" s="1">
        <f>0.729</f>
        <v>0.72899999999999998</v>
      </c>
      <c r="M112" s="1">
        <f>0.662</f>
        <v>0.66200000000000003</v>
      </c>
      <c r="N112">
        <v>5</v>
      </c>
      <c r="O112" s="1">
        <v>-7.1909999999999998</v>
      </c>
      <c r="P112">
        <f>0</f>
        <v>0</v>
      </c>
      <c r="Q112" s="1">
        <f>0.337</f>
        <v>0.33700000000000002</v>
      </c>
      <c r="R112" s="1" t="b">
        <f>0=0=128</f>
        <v>0</v>
      </c>
      <c r="S112" s="1" t="b">
        <f>0.2=8</f>
        <v>0</v>
      </c>
      <c r="T112" s="1" t="b">
        <f>0.3=5</f>
        <v>0</v>
      </c>
      <c r="U112" s="1">
        <f>0.359</f>
        <v>0.35899999999999999</v>
      </c>
      <c r="V112" s="1">
        <v>124.149</v>
      </c>
      <c r="W112">
        <v>4</v>
      </c>
    </row>
    <row r="113" spans="1:23" x14ac:dyDescent="0.25">
      <c r="A113" s="1" t="s">
        <v>11574</v>
      </c>
      <c r="B113" s="1" t="s">
        <v>11575</v>
      </c>
      <c r="C113" s="1" t="s">
        <v>4357</v>
      </c>
      <c r="D113" s="1" t="s">
        <v>11576</v>
      </c>
      <c r="E113" s="1" t="s">
        <v>302</v>
      </c>
      <c r="F113" s="1" t="s">
        <v>11577</v>
      </c>
      <c r="G113">
        <v>215844</v>
      </c>
      <c r="H113">
        <v>26</v>
      </c>
      <c r="I113" s="1" t="s">
        <v>11063</v>
      </c>
      <c r="J113" s="11">
        <v>44703.714687500003</v>
      </c>
      <c r="K113" s="1" t="s">
        <v>50</v>
      </c>
      <c r="L113" s="1">
        <f>0.737</f>
        <v>0.73699999999999999</v>
      </c>
      <c r="M113" s="1">
        <f>0.489</f>
        <v>0.48899999999999999</v>
      </c>
      <c r="N113">
        <v>1</v>
      </c>
      <c r="O113" s="1">
        <v>-5.8209999999999997</v>
      </c>
      <c r="P113">
        <f>0</f>
        <v>0</v>
      </c>
      <c r="Q113" s="1" t="b">
        <f>0=287</f>
        <v>0</v>
      </c>
      <c r="R113" s="1">
        <f>0.422</f>
        <v>0.42199999999999999</v>
      </c>
      <c r="S113" s="1" t="b">
        <f>0=0=0=445</f>
        <v>0</v>
      </c>
      <c r="T113" s="1" t="b">
        <f>0=523</f>
        <v>0</v>
      </c>
      <c r="U113" s="1">
        <f>0.135</f>
        <v>0.13500000000000001</v>
      </c>
      <c r="V113" s="1" t="s">
        <v>11906</v>
      </c>
      <c r="W113">
        <v>4</v>
      </c>
    </row>
    <row r="114" spans="1:23" x14ac:dyDescent="0.25">
      <c r="A114" s="1" t="s">
        <v>11578</v>
      </c>
      <c r="B114" s="1" t="s">
        <v>11579</v>
      </c>
      <c r="C114" s="1" t="s">
        <v>4381</v>
      </c>
      <c r="D114" s="1" t="s">
        <v>4381</v>
      </c>
      <c r="E114" s="1" t="s">
        <v>303</v>
      </c>
      <c r="F114" s="1" t="s">
        <v>11580</v>
      </c>
      <c r="G114">
        <v>158464</v>
      </c>
      <c r="H114">
        <v>55</v>
      </c>
      <c r="I114" s="1" t="s">
        <v>11063</v>
      </c>
      <c r="J114" s="11">
        <v>44703.723229166666</v>
      </c>
      <c r="K114" s="1" t="s">
        <v>304</v>
      </c>
      <c r="L114" s="1">
        <f>0.666</f>
        <v>0.66600000000000004</v>
      </c>
      <c r="M114" s="1">
        <f>0.723</f>
        <v>0.72299999999999998</v>
      </c>
      <c r="N114">
        <v>6</v>
      </c>
      <c r="O114" s="1" t="s">
        <v>11907</v>
      </c>
      <c r="P114">
        <f>0</f>
        <v>0</v>
      </c>
      <c r="Q114" s="1" t="b">
        <f>0=449</f>
        <v>0</v>
      </c>
      <c r="R114" s="1" t="b">
        <f>0=151</f>
        <v>0</v>
      </c>
      <c r="S114" s="1" t="b">
        <f>0=0=0=592</f>
        <v>0</v>
      </c>
      <c r="T114" s="1" t="b">
        <f>0=57</f>
        <v>0</v>
      </c>
      <c r="U114" s="1">
        <f>0.546</f>
        <v>0.54600000000000004</v>
      </c>
      <c r="V114" s="1">
        <v>159.96199999999999</v>
      </c>
      <c r="W114">
        <v>4</v>
      </c>
    </row>
    <row r="115" spans="1:23" x14ac:dyDescent="0.25">
      <c r="A115" s="1" t="s">
        <v>11581</v>
      </c>
      <c r="B115" s="1" t="s">
        <v>11582</v>
      </c>
      <c r="C115" s="1" t="s">
        <v>305</v>
      </c>
      <c r="D115" s="1" t="s">
        <v>305</v>
      </c>
      <c r="E115" s="1" t="s">
        <v>306</v>
      </c>
      <c r="F115" s="1" t="s">
        <v>11583</v>
      </c>
      <c r="G115">
        <v>159077</v>
      </c>
      <c r="H115">
        <v>63</v>
      </c>
      <c r="I115" s="1" t="s">
        <v>11063</v>
      </c>
      <c r="J115" s="11">
        <v>44703.724560185183</v>
      </c>
      <c r="K115" s="1" t="s">
        <v>307</v>
      </c>
      <c r="L115" s="1">
        <f>0.649</f>
        <v>0.64900000000000002</v>
      </c>
      <c r="M115" s="1">
        <f>0.69</f>
        <v>0.69</v>
      </c>
      <c r="N115">
        <v>8</v>
      </c>
      <c r="O115" s="1">
        <v>-5.3840000000000003</v>
      </c>
      <c r="P115">
        <f>0</f>
        <v>0</v>
      </c>
      <c r="Q115" s="1" t="b">
        <f>0=296</f>
        <v>0</v>
      </c>
      <c r="R115" s="1" t="b">
        <f>0=247</f>
        <v>0</v>
      </c>
      <c r="S115" s="1">
        <f>0</f>
        <v>0</v>
      </c>
      <c r="T115" s="1">
        <f>0.161</f>
        <v>0.161</v>
      </c>
      <c r="U115" s="1">
        <f>0.593</f>
        <v>0.59299999999999997</v>
      </c>
      <c r="V115" s="1" t="s">
        <v>11908</v>
      </c>
      <c r="W115">
        <v>4</v>
      </c>
    </row>
    <row r="116" spans="1:23" x14ac:dyDescent="0.25">
      <c r="A116" s="1" t="s">
        <v>11584</v>
      </c>
      <c r="B116" s="1" t="s">
        <v>11585</v>
      </c>
      <c r="C116" s="1" t="s">
        <v>4586</v>
      </c>
      <c r="D116" s="1" t="s">
        <v>11586</v>
      </c>
      <c r="E116" s="1" t="s">
        <v>308</v>
      </c>
      <c r="F116" s="1" t="s">
        <v>11587</v>
      </c>
      <c r="G116">
        <v>373626</v>
      </c>
      <c r="H116">
        <v>76</v>
      </c>
      <c r="I116" s="1" t="s">
        <v>11063</v>
      </c>
      <c r="J116" s="11">
        <v>44704.395613425928</v>
      </c>
      <c r="K116" s="1" t="s">
        <v>309</v>
      </c>
      <c r="L116" s="1">
        <f>0.722</f>
        <v>0.72199999999999998</v>
      </c>
      <c r="M116" s="1">
        <f>0.687</f>
        <v>0.68700000000000006</v>
      </c>
      <c r="N116">
        <f>0</f>
        <v>0</v>
      </c>
      <c r="O116" s="1">
        <v>-5.1890000000000001</v>
      </c>
      <c r="P116">
        <v>1</v>
      </c>
      <c r="Q116" s="1" t="b">
        <f>0=556</f>
        <v>0</v>
      </c>
      <c r="R116" s="1" t="b">
        <f>0=0=949</f>
        <v>0</v>
      </c>
      <c r="S116" s="1" t="b">
        <f>0=0=413</f>
        <v>0</v>
      </c>
      <c r="T116" s="1" t="b">
        <f>0=462</f>
        <v>0</v>
      </c>
      <c r="U116" s="1">
        <f>0.619</f>
        <v>0.61899999999999999</v>
      </c>
      <c r="V116" s="1" t="s">
        <v>11909</v>
      </c>
      <c r="W116">
        <v>4</v>
      </c>
    </row>
    <row r="117" spans="1:23" x14ac:dyDescent="0.25">
      <c r="A117" s="1" t="s">
        <v>11588</v>
      </c>
      <c r="B117" s="1" t="s">
        <v>11589</v>
      </c>
      <c r="C117" s="1" t="s">
        <v>310</v>
      </c>
      <c r="D117" s="1" t="s">
        <v>310</v>
      </c>
      <c r="E117" s="1" t="s">
        <v>311</v>
      </c>
      <c r="F117" s="1" t="s">
        <v>11471</v>
      </c>
      <c r="G117">
        <v>285596</v>
      </c>
      <c r="H117">
        <v>69</v>
      </c>
      <c r="I117" s="1" t="s">
        <v>11063</v>
      </c>
      <c r="J117" s="11">
        <v>44704.500659722224</v>
      </c>
      <c r="K117" s="1" t="s">
        <v>312</v>
      </c>
      <c r="L117" s="1">
        <f>0.636</f>
        <v>0.63600000000000001</v>
      </c>
      <c r="M117" s="1">
        <f>0.761</f>
        <v>0.76100000000000001</v>
      </c>
      <c r="N117">
        <v>9</v>
      </c>
      <c r="O117" s="1">
        <v>-7.7519999999999998</v>
      </c>
      <c r="P117">
        <f>0</f>
        <v>0</v>
      </c>
      <c r="Q117" s="1" t="b">
        <f>0=35</f>
        <v>0</v>
      </c>
      <c r="R117" s="1" t="b">
        <f>0=0=377</f>
        <v>0</v>
      </c>
      <c r="S117" s="1" t="b">
        <f>0=0=784</f>
        <v>0</v>
      </c>
      <c r="T117" s="1" t="b">
        <f>0=851</f>
        <v>0</v>
      </c>
      <c r="U117" s="1">
        <f>0.463</f>
        <v>0.46300000000000002</v>
      </c>
      <c r="V117" s="1" t="s">
        <v>11910</v>
      </c>
      <c r="W117">
        <v>4</v>
      </c>
    </row>
    <row r="118" spans="1:23" x14ac:dyDescent="0.25">
      <c r="A118" s="1" t="s">
        <v>11590</v>
      </c>
      <c r="B118" s="1" t="s">
        <v>11591</v>
      </c>
      <c r="C118" s="1" t="s">
        <v>313</v>
      </c>
      <c r="D118" s="1" t="s">
        <v>11592</v>
      </c>
      <c r="E118" s="1" t="s">
        <v>314</v>
      </c>
      <c r="F118" s="1" t="s">
        <v>11593</v>
      </c>
      <c r="G118">
        <v>229640</v>
      </c>
      <c r="H118">
        <v>77</v>
      </c>
      <c r="I118" s="1" t="s">
        <v>11063</v>
      </c>
      <c r="J118" s="11">
        <v>44704.577719907407</v>
      </c>
      <c r="K118" s="1" t="s">
        <v>315</v>
      </c>
      <c r="L118" s="1">
        <f>0.763</f>
        <v>0.76300000000000001</v>
      </c>
      <c r="M118" s="1" t="b">
        <f>0.8=3</f>
        <v>0</v>
      </c>
      <c r="N118">
        <v>1</v>
      </c>
      <c r="O118" s="1">
        <v>-3.7130000000000001</v>
      </c>
      <c r="P118">
        <v>1</v>
      </c>
      <c r="Q118" s="1" t="b">
        <f>0=351</f>
        <v>0</v>
      </c>
      <c r="R118" s="1" t="b">
        <f>0=7=9</f>
        <v>0</v>
      </c>
      <c r="S118" s="1">
        <f>0.285</f>
        <v>0.28499999999999998</v>
      </c>
      <c r="T118" s="1">
        <f>0.348</f>
        <v>0.34799999999999998</v>
      </c>
      <c r="U118" s="1">
        <f>0.561</f>
        <v>0.56100000000000005</v>
      </c>
      <c r="V118" s="1" t="s">
        <v>11911</v>
      </c>
      <c r="W118">
        <v>3</v>
      </c>
    </row>
    <row r="119" spans="1:23" x14ac:dyDescent="0.25">
      <c r="A119" s="1" t="s">
        <v>11594</v>
      </c>
      <c r="B119" s="1" t="s">
        <v>11595</v>
      </c>
      <c r="C119" s="1" t="s">
        <v>4904</v>
      </c>
      <c r="D119" s="1" t="s">
        <v>11596</v>
      </c>
      <c r="E119" s="1" t="s">
        <v>316</v>
      </c>
      <c r="F119" s="1" t="s">
        <v>11597</v>
      </c>
      <c r="G119">
        <v>211263</v>
      </c>
      <c r="H119">
        <v>32</v>
      </c>
      <c r="I119" s="1" t="s">
        <v>11063</v>
      </c>
      <c r="J119" s="11">
        <v>44704.685162037036</v>
      </c>
      <c r="K119" s="1" t="s">
        <v>317</v>
      </c>
      <c r="L119" s="1">
        <f>0.59</f>
        <v>0.59</v>
      </c>
      <c r="M119" s="1">
        <f>0.867</f>
        <v>0.86699999999999999</v>
      </c>
      <c r="N119">
        <v>8</v>
      </c>
      <c r="O119" s="1">
        <v>-6.4619999999999997</v>
      </c>
      <c r="P119">
        <f>0</f>
        <v>0</v>
      </c>
      <c r="Q119" s="1" t="b">
        <f>0=827</f>
        <v>0</v>
      </c>
      <c r="R119" s="1">
        <f>0.158</f>
        <v>0.158</v>
      </c>
      <c r="S119" s="1">
        <f>0</f>
        <v>0</v>
      </c>
      <c r="T119" s="1" t="b">
        <f>0=968</f>
        <v>0</v>
      </c>
      <c r="U119" s="1">
        <f>0.476</f>
        <v>0.47599999999999998</v>
      </c>
      <c r="V119" s="1">
        <v>94.914000000000001</v>
      </c>
      <c r="W119">
        <v>4</v>
      </c>
    </row>
    <row r="120" spans="1:23" x14ac:dyDescent="0.25">
      <c r="A120" s="1" t="s">
        <v>11213</v>
      </c>
      <c r="B120" s="1" t="s">
        <v>11214</v>
      </c>
      <c r="C120" s="1" t="s">
        <v>318</v>
      </c>
      <c r="D120" s="1" t="s">
        <v>11215</v>
      </c>
      <c r="E120" s="1" t="s">
        <v>319</v>
      </c>
      <c r="F120" s="1" t="s">
        <v>11598</v>
      </c>
      <c r="G120">
        <v>218480</v>
      </c>
      <c r="H120">
        <v>62</v>
      </c>
      <c r="I120" s="1" t="s">
        <v>11063</v>
      </c>
      <c r="J120" s="11">
        <v>44704.955196759256</v>
      </c>
      <c r="K120" s="1" t="s">
        <v>320</v>
      </c>
      <c r="L120" s="1">
        <f>0.661</f>
        <v>0.66100000000000003</v>
      </c>
      <c r="M120" s="1">
        <f>0.635</f>
        <v>0.63500000000000001</v>
      </c>
      <c r="N120" t="s">
        <v>11825</v>
      </c>
      <c r="O120" s="1">
        <v>-7.423</v>
      </c>
      <c r="P120">
        <f>0</f>
        <v>0</v>
      </c>
      <c r="Q120" s="1" t="b">
        <f>0=645</f>
        <v>0</v>
      </c>
      <c r="R120" s="1" t="b">
        <f>0.2=4</f>
        <v>0</v>
      </c>
      <c r="S120" s="1" t="b">
        <f>0=0=114</f>
        <v>0</v>
      </c>
      <c r="T120" s="1">
        <f>0.186</f>
        <v>0.186</v>
      </c>
      <c r="U120" s="1">
        <f>0.365</f>
        <v>0.36499999999999999</v>
      </c>
      <c r="V120" s="1">
        <v>99.971999999999994</v>
      </c>
      <c r="W120">
        <v>4</v>
      </c>
    </row>
    <row r="121" spans="1:23" x14ac:dyDescent="0.25">
      <c r="A121" s="1" t="s">
        <v>11599</v>
      </c>
      <c r="B121" s="1" t="s">
        <v>11600</v>
      </c>
      <c r="C121" s="1" t="s">
        <v>5195</v>
      </c>
      <c r="D121" s="1" t="s">
        <v>11601</v>
      </c>
      <c r="E121" s="1" t="s">
        <v>321</v>
      </c>
      <c r="F121" s="1" t="s">
        <v>11602</v>
      </c>
      <c r="G121">
        <v>256000</v>
      </c>
      <c r="H121">
        <v>76</v>
      </c>
      <c r="I121" s="1" t="s">
        <v>11063</v>
      </c>
      <c r="J121" s="11">
        <v>44704.95521990741</v>
      </c>
      <c r="K121" s="1" t="s">
        <v>322</v>
      </c>
      <c r="L121" s="1">
        <f>0.751</f>
        <v>0.751</v>
      </c>
      <c r="M121" s="1">
        <f>0.727</f>
        <v>0.72699999999999998</v>
      </c>
      <c r="N121" t="s">
        <v>11825</v>
      </c>
      <c r="O121" s="1">
        <v>-9.7889999999999997</v>
      </c>
      <c r="P121">
        <f>0</f>
        <v>0</v>
      </c>
      <c r="Q121" s="1" t="b">
        <f>0=3=4</f>
        <v>0</v>
      </c>
      <c r="R121" s="1" t="b">
        <f>0=442</f>
        <v>0</v>
      </c>
      <c r="S121" s="1" t="b">
        <f>0=338</f>
        <v>0</v>
      </c>
      <c r="T121" s="1">
        <f>0.1</f>
        <v>0.1</v>
      </c>
      <c r="U121" s="1">
        <f>0.28</f>
        <v>0.28000000000000003</v>
      </c>
      <c r="V121" s="1">
        <v>119.982</v>
      </c>
      <c r="W121">
        <v>4</v>
      </c>
    </row>
    <row r="122" spans="1:23" x14ac:dyDescent="0.25">
      <c r="A122" s="1" t="s">
        <v>11603</v>
      </c>
      <c r="B122" s="1" t="s">
        <v>11604</v>
      </c>
      <c r="C122" s="1" t="s">
        <v>323</v>
      </c>
      <c r="D122" s="1" t="s">
        <v>323</v>
      </c>
      <c r="E122" s="1" t="s">
        <v>324</v>
      </c>
      <c r="F122" s="1" t="s">
        <v>11605</v>
      </c>
      <c r="G122">
        <v>168387</v>
      </c>
      <c r="H122">
        <v>78</v>
      </c>
      <c r="I122" s="1" t="s">
        <v>11063</v>
      </c>
      <c r="J122" s="11">
        <v>44705.481747685182</v>
      </c>
      <c r="K122" s="1" t="s">
        <v>325</v>
      </c>
      <c r="L122" s="1">
        <f>0.598</f>
        <v>0.59799999999999998</v>
      </c>
      <c r="M122" s="1">
        <f>0.526</f>
        <v>0.52600000000000002</v>
      </c>
      <c r="N122" t="s">
        <v>11825</v>
      </c>
      <c r="O122" s="1">
        <v>-8.6590000000000007</v>
      </c>
      <c r="P122">
        <f>0</f>
        <v>0</v>
      </c>
      <c r="Q122" s="1" t="b">
        <f>0=415</f>
        <v>0</v>
      </c>
      <c r="R122" s="1">
        <f>0.129</f>
        <v>0.129</v>
      </c>
      <c r="S122" s="1">
        <f>0</f>
        <v>0</v>
      </c>
      <c r="T122" s="1">
        <f>0.14</f>
        <v>0.14000000000000001</v>
      </c>
      <c r="U122" s="1">
        <f>0.529</f>
        <v>0.52900000000000003</v>
      </c>
      <c r="V122" s="1">
        <v>123.935</v>
      </c>
      <c r="W122">
        <v>4</v>
      </c>
    </row>
    <row r="123" spans="1:23" x14ac:dyDescent="0.25">
      <c r="A123" s="1" t="s">
        <v>11606</v>
      </c>
      <c r="B123" s="1" t="s">
        <v>11607</v>
      </c>
      <c r="C123" s="1" t="s">
        <v>326</v>
      </c>
      <c r="D123" s="1" t="s">
        <v>326</v>
      </c>
      <c r="E123" s="1" t="s">
        <v>327</v>
      </c>
      <c r="F123" s="1" t="s">
        <v>11608</v>
      </c>
      <c r="G123">
        <v>163208</v>
      </c>
      <c r="H123">
        <v>76</v>
      </c>
      <c r="I123" s="1" t="s">
        <v>11063</v>
      </c>
      <c r="J123" s="11">
        <v>44705.482048611113</v>
      </c>
      <c r="K123" s="1" t="s">
        <v>328</v>
      </c>
      <c r="L123" s="1">
        <f>0.767</f>
        <v>0.76700000000000002</v>
      </c>
      <c r="M123" s="1">
        <f>0.659</f>
        <v>0.65900000000000003</v>
      </c>
      <c r="N123">
        <v>1</v>
      </c>
      <c r="O123" s="1">
        <v>-7.4290000000000003</v>
      </c>
      <c r="P123">
        <v>1</v>
      </c>
      <c r="Q123" s="1" t="b">
        <f>0=444</f>
        <v>0</v>
      </c>
      <c r="R123" s="1">
        <f>0.325</f>
        <v>0.32500000000000001</v>
      </c>
      <c r="S123" s="1">
        <f>0</f>
        <v>0</v>
      </c>
      <c r="T123" s="1">
        <f>0.13</f>
        <v>0.13</v>
      </c>
      <c r="U123" s="1">
        <f>0.439</f>
        <v>0.439</v>
      </c>
      <c r="V123" s="1">
        <v>124.946</v>
      </c>
      <c r="W123">
        <v>4</v>
      </c>
    </row>
    <row r="124" spans="1:23" x14ac:dyDescent="0.25">
      <c r="A124" s="1" t="s">
        <v>11609</v>
      </c>
      <c r="B124" s="1" t="s">
        <v>11610</v>
      </c>
      <c r="C124" s="1" t="s">
        <v>5432</v>
      </c>
      <c r="D124" s="1" t="s">
        <v>11611</v>
      </c>
      <c r="E124" s="1" t="s">
        <v>329</v>
      </c>
      <c r="F124" s="1" t="s">
        <v>11612</v>
      </c>
      <c r="G124">
        <v>186402</v>
      </c>
      <c r="H124">
        <v>58</v>
      </c>
      <c r="I124" s="1" t="s">
        <v>11063</v>
      </c>
      <c r="J124" s="11">
        <v>44705.619201388887</v>
      </c>
      <c r="K124" s="1" t="s">
        <v>330</v>
      </c>
      <c r="L124" s="1">
        <f>0.764</f>
        <v>0.76400000000000001</v>
      </c>
      <c r="M124" s="1">
        <f>0.784</f>
        <v>0.78400000000000003</v>
      </c>
      <c r="N124" t="s">
        <v>11825</v>
      </c>
      <c r="O124" s="1" t="s">
        <v>11817</v>
      </c>
      <c r="P124">
        <f>0</f>
        <v>0</v>
      </c>
      <c r="Q124" s="1" t="b">
        <f>0=833</f>
        <v>0</v>
      </c>
      <c r="R124" s="1">
        <f>0.469</f>
        <v>0.46899999999999997</v>
      </c>
      <c r="S124" s="1">
        <f>0</f>
        <v>0</v>
      </c>
      <c r="T124" s="1">
        <f>0.123</f>
        <v>0.123</v>
      </c>
      <c r="U124" s="1">
        <f>0.51</f>
        <v>0.51</v>
      </c>
      <c r="V124" s="1">
        <v>144.98099999999999</v>
      </c>
      <c r="W124">
        <v>4</v>
      </c>
    </row>
    <row r="125" spans="1:23" x14ac:dyDescent="0.25">
      <c r="A125" s="1" t="s">
        <v>11174</v>
      </c>
      <c r="B125" s="1" t="s">
        <v>11175</v>
      </c>
      <c r="C125" s="1" t="s">
        <v>5707</v>
      </c>
      <c r="D125" s="1" t="s">
        <v>5707</v>
      </c>
      <c r="E125" s="1" t="s">
        <v>331</v>
      </c>
      <c r="F125" s="1" t="s">
        <v>11613</v>
      </c>
      <c r="G125">
        <v>150720</v>
      </c>
      <c r="H125">
        <v>37</v>
      </c>
      <c r="I125" s="1" t="s">
        <v>11063</v>
      </c>
      <c r="J125" s="11">
        <v>44706.747164351851</v>
      </c>
      <c r="K125" s="1" t="s">
        <v>332</v>
      </c>
      <c r="L125" s="1">
        <f>0.681</f>
        <v>0.68100000000000005</v>
      </c>
      <c r="M125" s="1">
        <f>0.762</f>
        <v>0.76200000000000001</v>
      </c>
      <c r="N125">
        <f>0</f>
        <v>0</v>
      </c>
      <c r="O125" s="1">
        <v>-6.7670000000000003</v>
      </c>
      <c r="P125">
        <v>1</v>
      </c>
      <c r="Q125" s="1">
        <f>0.27</f>
        <v>0.27</v>
      </c>
      <c r="R125" s="1">
        <f>0.12</f>
        <v>0.12</v>
      </c>
      <c r="S125" s="1" t="b">
        <f>0=0=0=14</f>
        <v>0</v>
      </c>
      <c r="T125" s="1">
        <f>0.178</f>
        <v>0.17799999999999999</v>
      </c>
      <c r="U125" s="1">
        <f>0.591</f>
        <v>0.59099999999999997</v>
      </c>
      <c r="V125" s="1">
        <v>124.958</v>
      </c>
      <c r="W125">
        <v>4</v>
      </c>
    </row>
    <row r="126" spans="1:23" x14ac:dyDescent="0.25">
      <c r="A126" s="1" t="s">
        <v>11614</v>
      </c>
      <c r="B126" s="1" t="s">
        <v>11615</v>
      </c>
      <c r="C126" s="1" t="s">
        <v>333</v>
      </c>
      <c r="D126" s="1" t="s">
        <v>333</v>
      </c>
      <c r="E126" s="1" t="s">
        <v>334</v>
      </c>
      <c r="F126" s="1" t="s">
        <v>11616</v>
      </c>
      <c r="G126">
        <v>179760</v>
      </c>
      <c r="H126">
        <v>72</v>
      </c>
      <c r="I126" s="1" t="s">
        <v>11063</v>
      </c>
      <c r="J126" s="11">
        <v>44706.754432870373</v>
      </c>
      <c r="K126" s="1" t="s">
        <v>335</v>
      </c>
      <c r="L126" s="1">
        <f>0.889</f>
        <v>0.88900000000000001</v>
      </c>
      <c r="M126" s="1">
        <f>0.716</f>
        <v>0.71599999999999997</v>
      </c>
      <c r="N126">
        <v>7</v>
      </c>
      <c r="O126" s="1">
        <v>-6.1459999999999999</v>
      </c>
      <c r="P126">
        <v>1</v>
      </c>
      <c r="Q126" s="1" t="b">
        <f>0=7=8</f>
        <v>0</v>
      </c>
      <c r="R126" s="1" t="b">
        <f>0=595</f>
        <v>0</v>
      </c>
      <c r="S126" s="1" t="b">
        <f>0=4=9</f>
        <v>0</v>
      </c>
      <c r="T126" s="1">
        <f>0.168</f>
        <v>0.16800000000000001</v>
      </c>
      <c r="U126" s="1">
        <f>0.296</f>
        <v>0.29599999999999999</v>
      </c>
      <c r="V126" s="1" t="s">
        <v>11912</v>
      </c>
      <c r="W126">
        <v>4</v>
      </c>
    </row>
    <row r="127" spans="1:23" x14ac:dyDescent="0.25">
      <c r="A127" s="1" t="s">
        <v>11617</v>
      </c>
      <c r="B127" s="1" t="s">
        <v>11618</v>
      </c>
      <c r="C127" s="1" t="s">
        <v>5721</v>
      </c>
      <c r="D127" s="1" t="s">
        <v>5721</v>
      </c>
      <c r="E127" s="1" t="s">
        <v>336</v>
      </c>
      <c r="F127" s="1" t="s">
        <v>11619</v>
      </c>
      <c r="G127">
        <v>163804</v>
      </c>
      <c r="H127">
        <v>75</v>
      </c>
      <c r="I127" s="1" t="s">
        <v>11063</v>
      </c>
      <c r="J127" s="11">
        <v>44706.75613425926</v>
      </c>
      <c r="K127" s="1" t="s">
        <v>337</v>
      </c>
      <c r="L127" s="1">
        <f>0.661</f>
        <v>0.66100000000000003</v>
      </c>
      <c r="M127" s="1">
        <f>0.723</f>
        <v>0.72299999999999998</v>
      </c>
      <c r="N127">
        <v>5</v>
      </c>
      <c r="O127" s="1">
        <v>-6.976</v>
      </c>
      <c r="P127">
        <f>0</f>
        <v>0</v>
      </c>
      <c r="Q127" s="1" t="b">
        <f>0=566</f>
        <v>0</v>
      </c>
      <c r="R127" s="1">
        <f>0.179</f>
        <v>0.17899999999999999</v>
      </c>
      <c r="S127" s="1" t="b">
        <f>0=0=0=0=123</f>
        <v>0</v>
      </c>
      <c r="T127" s="1">
        <f>0.14</f>
        <v>0.14000000000000001</v>
      </c>
      <c r="U127" s="1">
        <f>0.316</f>
        <v>0.316</v>
      </c>
      <c r="V127" s="1">
        <v>113.77800000000001</v>
      </c>
      <c r="W127">
        <v>4</v>
      </c>
    </row>
    <row r="128" spans="1:23" x14ac:dyDescent="0.25">
      <c r="A128" s="1" t="s">
        <v>11189</v>
      </c>
      <c r="B128" s="1" t="s">
        <v>11190</v>
      </c>
      <c r="C128" s="1" t="s">
        <v>5855</v>
      </c>
      <c r="D128" s="1" t="s">
        <v>11191</v>
      </c>
      <c r="E128" s="1" t="s">
        <v>338</v>
      </c>
      <c r="F128" s="1" t="s">
        <v>11620</v>
      </c>
      <c r="G128">
        <v>242068</v>
      </c>
      <c r="H128">
        <v>62</v>
      </c>
      <c r="I128" s="1" t="s">
        <v>11063</v>
      </c>
      <c r="J128" s="11">
        <v>44706.772824074076</v>
      </c>
      <c r="K128" s="1" t="s">
        <v>339</v>
      </c>
      <c r="L128" s="1" t="b">
        <f>0.5=2</f>
        <v>0</v>
      </c>
      <c r="M128" s="1">
        <f>0.777</f>
        <v>0.77700000000000002</v>
      </c>
      <c r="N128">
        <v>1</v>
      </c>
      <c r="O128" s="1">
        <v>-4.6269999999999998</v>
      </c>
      <c r="P128">
        <v>1</v>
      </c>
      <c r="Q128" s="1" t="b">
        <f>0=934</f>
        <v>0</v>
      </c>
      <c r="R128" s="1">
        <f>0.117</f>
        <v>0.11700000000000001</v>
      </c>
      <c r="S128" s="1" t="b">
        <f>0=0=0=0=0=291</f>
        <v>0</v>
      </c>
      <c r="T128" s="1" t="b">
        <f>0=957</f>
        <v>0</v>
      </c>
      <c r="U128" s="1">
        <f>0.356</f>
        <v>0.35599999999999998</v>
      </c>
      <c r="V128" s="1">
        <v>174.15299999999999</v>
      </c>
      <c r="W128">
        <v>4</v>
      </c>
    </row>
    <row r="129" spans="1:23" x14ac:dyDescent="0.25">
      <c r="A129" s="1" t="s">
        <v>11104</v>
      </c>
      <c r="B129" s="1" t="s">
        <v>11105</v>
      </c>
      <c r="C129" s="1" t="s">
        <v>5958</v>
      </c>
      <c r="D129" s="1" t="s">
        <v>11071</v>
      </c>
      <c r="E129" s="1" t="s">
        <v>340</v>
      </c>
      <c r="F129" s="1" t="s">
        <v>11621</v>
      </c>
      <c r="G129">
        <v>337560</v>
      </c>
      <c r="H129">
        <v>76</v>
      </c>
      <c r="I129" s="1" t="s">
        <v>11063</v>
      </c>
      <c r="J129" s="11">
        <v>44706.83693287037</v>
      </c>
      <c r="K129" s="1" t="s">
        <v>341</v>
      </c>
      <c r="L129" s="1">
        <f>0.775</f>
        <v>0.77500000000000002</v>
      </c>
      <c r="M129" s="1">
        <f>0.585</f>
        <v>0.58499999999999996</v>
      </c>
      <c r="N129" t="s">
        <v>11825</v>
      </c>
      <c r="O129" s="1">
        <v>-9.516</v>
      </c>
      <c r="P129">
        <f>0</f>
        <v>0</v>
      </c>
      <c r="Q129" s="1" t="b">
        <f>0=271</f>
        <v>0</v>
      </c>
      <c r="R129" s="1" t="b">
        <f>0=422</f>
        <v>0</v>
      </c>
      <c r="S129" s="1">
        <f>0.619</f>
        <v>0.61899999999999999</v>
      </c>
      <c r="T129" s="1" t="b">
        <f>0=77</f>
        <v>0</v>
      </c>
      <c r="U129" s="1">
        <f>0.518</f>
        <v>0.51800000000000002</v>
      </c>
      <c r="V129" s="1" t="s">
        <v>11913</v>
      </c>
      <c r="W129">
        <v>4</v>
      </c>
    </row>
    <row r="130" spans="1:23" x14ac:dyDescent="0.25">
      <c r="A130" s="1" t="s">
        <v>11118</v>
      </c>
      <c r="B130" s="1" t="s">
        <v>11119</v>
      </c>
      <c r="C130" s="1" t="s">
        <v>342</v>
      </c>
      <c r="D130" s="1" t="s">
        <v>342</v>
      </c>
      <c r="E130" s="1" t="s">
        <v>343</v>
      </c>
      <c r="F130" s="1" t="s">
        <v>11622</v>
      </c>
      <c r="G130">
        <v>291526</v>
      </c>
      <c r="H130">
        <v>5</v>
      </c>
      <c r="I130" s="1" t="s">
        <v>11063</v>
      </c>
      <c r="J130" s="11">
        <v>44706.838229166664</v>
      </c>
      <c r="K130" s="1" t="s">
        <v>50</v>
      </c>
      <c r="L130" s="1">
        <f>0.452</f>
        <v>0.45200000000000001</v>
      </c>
      <c r="M130" s="1">
        <f>0.55</f>
        <v>0.55000000000000004</v>
      </c>
      <c r="N130">
        <v>1</v>
      </c>
      <c r="O130" s="1">
        <v>-6.2640000000000002</v>
      </c>
      <c r="P130">
        <v>1</v>
      </c>
      <c r="Q130" s="1" t="b">
        <f>0=332</f>
        <v>0</v>
      </c>
      <c r="R130" s="1">
        <f>0.326</f>
        <v>0.32600000000000001</v>
      </c>
      <c r="S130" s="1" t="b">
        <f>0=351</f>
        <v>0</v>
      </c>
      <c r="T130" s="1">
        <f>0.11</f>
        <v>0.11</v>
      </c>
      <c r="U130" s="1" t="b">
        <f>0=83</f>
        <v>0</v>
      </c>
      <c r="V130" s="1" t="s">
        <v>11914</v>
      </c>
      <c r="W130">
        <v>4</v>
      </c>
    </row>
    <row r="131" spans="1:23" x14ac:dyDescent="0.25">
      <c r="A131" s="1" t="s">
        <v>11623</v>
      </c>
      <c r="B131" s="1" t="s">
        <v>11624</v>
      </c>
      <c r="C131" s="1" t="s">
        <v>344</v>
      </c>
      <c r="D131" s="1" t="s">
        <v>11625</v>
      </c>
      <c r="E131" s="1" t="s">
        <v>345</v>
      </c>
      <c r="F131" s="1" t="s">
        <v>11587</v>
      </c>
      <c r="G131">
        <v>210626</v>
      </c>
      <c r="H131">
        <v>77</v>
      </c>
      <c r="I131" s="1" t="s">
        <v>11063</v>
      </c>
      <c r="J131" s="11">
        <v>44706.838414351849</v>
      </c>
      <c r="K131" s="1" t="s">
        <v>346</v>
      </c>
      <c r="L131" s="1">
        <f>0.747</f>
        <v>0.747</v>
      </c>
      <c r="M131" s="1">
        <f>0.716</f>
        <v>0.71599999999999997</v>
      </c>
      <c r="N131">
        <v>11</v>
      </c>
      <c r="O131" s="1">
        <v>-2.4569999999999999</v>
      </c>
      <c r="P131">
        <f>0</f>
        <v>0</v>
      </c>
      <c r="Q131" s="1" t="b">
        <f>0=75</f>
        <v>0</v>
      </c>
      <c r="R131" s="1">
        <f>0.135</f>
        <v>0.13500000000000001</v>
      </c>
      <c r="S131" s="1">
        <f>0</f>
        <v>0</v>
      </c>
      <c r="T131" s="1">
        <f>0.251</f>
        <v>0.251</v>
      </c>
      <c r="U131" s="1">
        <f>0.751</f>
        <v>0.751</v>
      </c>
      <c r="V131" s="1" t="s">
        <v>11915</v>
      </c>
      <c r="W131">
        <v>4</v>
      </c>
    </row>
    <row r="132" spans="1:23" x14ac:dyDescent="0.25">
      <c r="A132" s="1" t="s">
        <v>11112</v>
      </c>
      <c r="B132" s="1" t="s">
        <v>11113</v>
      </c>
      <c r="C132" s="1" t="s">
        <v>347</v>
      </c>
      <c r="D132" s="1" t="s">
        <v>347</v>
      </c>
      <c r="E132" s="1" t="s">
        <v>348</v>
      </c>
      <c r="F132" s="1" t="s">
        <v>11626</v>
      </c>
      <c r="G132">
        <v>222266</v>
      </c>
      <c r="H132">
        <v>0</v>
      </c>
      <c r="I132" s="1" t="s">
        <v>11063</v>
      </c>
      <c r="J132" s="11">
        <v>44706.839363425926</v>
      </c>
      <c r="K132" s="1" t="s">
        <v>349</v>
      </c>
      <c r="L132" s="1">
        <f>0.616</f>
        <v>0.61599999999999999</v>
      </c>
      <c r="M132" s="1">
        <f>0.934</f>
        <v>0.93400000000000005</v>
      </c>
      <c r="N132">
        <v>5</v>
      </c>
      <c r="O132" s="1">
        <v>-4.992</v>
      </c>
      <c r="P132">
        <f>0</f>
        <v>0</v>
      </c>
      <c r="Q132" s="1" t="b">
        <f>0=654</f>
        <v>0</v>
      </c>
      <c r="R132" s="1" t="b">
        <f>0=156</f>
        <v>0</v>
      </c>
      <c r="S132" s="1">
        <f>0.318</f>
        <v>0.318</v>
      </c>
      <c r="T132" s="1">
        <f>0.36</f>
        <v>0.36</v>
      </c>
      <c r="U132" s="1">
        <f>0.552</f>
        <v>0.55200000000000005</v>
      </c>
      <c r="V132" s="1" t="s">
        <v>11916</v>
      </c>
      <c r="W132">
        <v>4</v>
      </c>
    </row>
    <row r="133" spans="1:23" x14ac:dyDescent="0.25">
      <c r="A133" s="1" t="s">
        <v>11061</v>
      </c>
      <c r="B133" s="1" t="s">
        <v>11062</v>
      </c>
      <c r="C133" s="1" t="s">
        <v>350</v>
      </c>
      <c r="D133" s="1" t="s">
        <v>350</v>
      </c>
      <c r="E133" s="1" t="s">
        <v>351</v>
      </c>
      <c r="F133" s="1" t="s">
        <v>11627</v>
      </c>
      <c r="G133">
        <v>188689</v>
      </c>
      <c r="H133">
        <v>30</v>
      </c>
      <c r="I133" s="1" t="s">
        <v>11063</v>
      </c>
      <c r="J133" s="11">
        <v>44706.841608796298</v>
      </c>
      <c r="K133" s="1" t="s">
        <v>50</v>
      </c>
      <c r="L133" s="1">
        <f>0.548</f>
        <v>0.54800000000000004</v>
      </c>
      <c r="M133" s="1" t="b">
        <f>0.8=5</f>
        <v>0</v>
      </c>
      <c r="N133">
        <f>0</f>
        <v>0</v>
      </c>
      <c r="O133" s="1">
        <v>-6.5430000000000001</v>
      </c>
      <c r="P133">
        <v>1</v>
      </c>
      <c r="Q133" s="1" t="b">
        <f>0=36</f>
        <v>0</v>
      </c>
      <c r="R133" s="1" t="b">
        <f>0=141</f>
        <v>0</v>
      </c>
      <c r="S133" s="1" t="b">
        <f>0=0=233</f>
        <v>0</v>
      </c>
      <c r="T133" s="1">
        <f>0.111</f>
        <v>0.111</v>
      </c>
      <c r="U133" s="1">
        <f>0.379</f>
        <v>0.379</v>
      </c>
      <c r="V133" s="1">
        <v>144.952</v>
      </c>
      <c r="W133">
        <v>4</v>
      </c>
    </row>
    <row r="134" spans="1:23" x14ac:dyDescent="0.25">
      <c r="A134" s="1" t="s">
        <v>11628</v>
      </c>
      <c r="B134" s="1" t="s">
        <v>11629</v>
      </c>
      <c r="C134" s="1" t="s">
        <v>352</v>
      </c>
      <c r="D134" s="1" t="s">
        <v>352</v>
      </c>
      <c r="E134" s="1" t="s">
        <v>353</v>
      </c>
      <c r="F134" s="1" t="s">
        <v>11630</v>
      </c>
      <c r="G134">
        <v>196375</v>
      </c>
      <c r="H134">
        <v>69</v>
      </c>
      <c r="I134" s="1" t="s">
        <v>11063</v>
      </c>
      <c r="J134" s="11">
        <v>44706.869479166664</v>
      </c>
      <c r="K134" s="1" t="s">
        <v>25</v>
      </c>
      <c r="L134" s="1">
        <f>0.789</f>
        <v>0.78900000000000003</v>
      </c>
      <c r="M134" s="1">
        <f>0.435</f>
        <v>0.435</v>
      </c>
      <c r="N134">
        <v>2</v>
      </c>
      <c r="O134" s="1" t="s">
        <v>11917</v>
      </c>
      <c r="P134">
        <f>0</f>
        <v>0</v>
      </c>
      <c r="Q134" s="1">
        <f>0.149</f>
        <v>0.14899999999999999</v>
      </c>
      <c r="R134" s="1">
        <f>0.691</f>
        <v>0.69099999999999995</v>
      </c>
      <c r="S134" s="1" t="b">
        <f>0=395</f>
        <v>0</v>
      </c>
      <c r="T134" s="1" t="b">
        <f>0.1=7</f>
        <v>0</v>
      </c>
      <c r="U134" s="1">
        <f>0.166</f>
        <v>0.16600000000000001</v>
      </c>
      <c r="V134" s="1">
        <v>122.997</v>
      </c>
      <c r="W134">
        <v>4</v>
      </c>
    </row>
    <row r="135" spans="1:23" x14ac:dyDescent="0.25">
      <c r="A135" s="1" t="s">
        <v>11631</v>
      </c>
      <c r="B135" s="1" t="s">
        <v>11632</v>
      </c>
      <c r="C135" s="1" t="s">
        <v>2101</v>
      </c>
      <c r="D135" s="1" t="s">
        <v>11633</v>
      </c>
      <c r="E135" s="1" t="s">
        <v>354</v>
      </c>
      <c r="F135" s="1" t="s">
        <v>11285</v>
      </c>
      <c r="G135">
        <v>141805</v>
      </c>
      <c r="H135">
        <v>88</v>
      </c>
      <c r="I135" s="1" t="s">
        <v>11063</v>
      </c>
      <c r="J135" s="11">
        <v>44706.869768518518</v>
      </c>
      <c r="K135" s="1" t="s">
        <v>355</v>
      </c>
      <c r="L135" s="1">
        <f>0.591</f>
        <v>0.59099999999999997</v>
      </c>
      <c r="M135" s="1">
        <f>0.764</f>
        <v>0.76400000000000001</v>
      </c>
      <c r="N135">
        <v>1</v>
      </c>
      <c r="O135" s="1">
        <v>-5.484</v>
      </c>
      <c r="P135">
        <v>1</v>
      </c>
      <c r="Q135" s="1" t="b">
        <f>0=483</f>
        <v>0</v>
      </c>
      <c r="R135" s="1" t="b">
        <f>0=383</f>
        <v>0</v>
      </c>
      <c r="S135" s="1">
        <f>0</f>
        <v>0</v>
      </c>
      <c r="T135" s="1" t="b">
        <f>0.1=3</f>
        <v>0</v>
      </c>
      <c r="U135" s="1">
        <f>0.478</f>
        <v>0.47799999999999998</v>
      </c>
      <c r="V135" s="1">
        <v>169.928</v>
      </c>
      <c r="W135">
        <v>4</v>
      </c>
    </row>
    <row r="136" spans="1:23" x14ac:dyDescent="0.25">
      <c r="A136" s="1" t="s">
        <v>11634</v>
      </c>
      <c r="B136" s="1" t="s">
        <v>11635</v>
      </c>
      <c r="C136" s="1" t="s">
        <v>356</v>
      </c>
      <c r="D136" s="1" t="s">
        <v>356</v>
      </c>
      <c r="E136" s="1" t="s">
        <v>357</v>
      </c>
      <c r="F136" s="1" t="s">
        <v>11636</v>
      </c>
      <c r="G136">
        <v>159535</v>
      </c>
      <c r="H136">
        <v>71</v>
      </c>
      <c r="I136" s="1" t="s">
        <v>11063</v>
      </c>
      <c r="J136" s="11">
        <v>44706.870833333334</v>
      </c>
      <c r="K136" s="1" t="s">
        <v>358</v>
      </c>
      <c r="L136" s="1">
        <f>0.729</f>
        <v>0.72899999999999998</v>
      </c>
      <c r="M136" s="1">
        <f>0.788</f>
        <v>0.78800000000000003</v>
      </c>
      <c r="N136" t="s">
        <v>11825</v>
      </c>
      <c r="O136" s="1">
        <v>-4.8319999999999999</v>
      </c>
      <c r="P136">
        <f>0</f>
        <v>0</v>
      </c>
      <c r="Q136" s="1" t="b">
        <f>0=9=8</f>
        <v>0</v>
      </c>
      <c r="R136" s="1" t="b">
        <f>0=7=3</f>
        <v>0</v>
      </c>
      <c r="S136" s="1">
        <f>0</f>
        <v>0</v>
      </c>
      <c r="T136" s="1">
        <f>0.115</f>
        <v>0.115</v>
      </c>
      <c r="U136" s="1">
        <f>0.857</f>
        <v>0.85699999999999998</v>
      </c>
      <c r="V136" s="1" t="s">
        <v>11918</v>
      </c>
      <c r="W136">
        <v>4</v>
      </c>
    </row>
    <row r="137" spans="1:23" x14ac:dyDescent="0.25">
      <c r="A137" s="1" t="s">
        <v>11637</v>
      </c>
      <c r="B137" s="1" t="s">
        <v>11638</v>
      </c>
      <c r="C137" s="1" t="s">
        <v>359</v>
      </c>
      <c r="D137" s="1" t="s">
        <v>11639</v>
      </c>
      <c r="E137" s="1" t="s">
        <v>360</v>
      </c>
      <c r="F137" s="1" t="s">
        <v>11640</v>
      </c>
      <c r="G137">
        <v>212000</v>
      </c>
      <c r="H137">
        <v>61</v>
      </c>
      <c r="I137" s="1" t="s">
        <v>11063</v>
      </c>
      <c r="J137" s="11">
        <v>44706.871041666665</v>
      </c>
      <c r="K137" s="1" t="s">
        <v>361</v>
      </c>
      <c r="L137" s="1">
        <f>0.736</f>
        <v>0.73599999999999999</v>
      </c>
      <c r="M137" s="1" t="b">
        <f>0.7=4</f>
        <v>0</v>
      </c>
      <c r="N137">
        <v>3</v>
      </c>
      <c r="O137" s="1" t="s">
        <v>11919</v>
      </c>
      <c r="P137">
        <f>0</f>
        <v>0</v>
      </c>
      <c r="Q137" s="1" t="b">
        <f>0=615</f>
        <v>0</v>
      </c>
      <c r="R137" s="1" t="b">
        <f>0=2=3</f>
        <v>0</v>
      </c>
      <c r="S137" s="1">
        <f>0</f>
        <v>0</v>
      </c>
      <c r="T137" s="1" t="b">
        <f>0=5=1</f>
        <v>0</v>
      </c>
      <c r="U137" s="1">
        <f>0.894</f>
        <v>0.89400000000000002</v>
      </c>
      <c r="V137" s="1">
        <v>149.995</v>
      </c>
      <c r="W137">
        <v>4</v>
      </c>
    </row>
    <row r="138" spans="1:23" x14ac:dyDescent="0.25">
      <c r="A138" s="1" t="s">
        <v>11641</v>
      </c>
      <c r="B138" s="1" t="s">
        <v>11642</v>
      </c>
      <c r="C138" s="1" t="s">
        <v>362</v>
      </c>
      <c r="D138" s="1" t="s">
        <v>362</v>
      </c>
      <c r="E138" s="1" t="s">
        <v>363</v>
      </c>
      <c r="F138" s="1" t="s">
        <v>11643</v>
      </c>
      <c r="G138">
        <v>287120</v>
      </c>
      <c r="H138">
        <v>88</v>
      </c>
      <c r="I138" s="1" t="s">
        <v>11063</v>
      </c>
      <c r="J138" s="11">
        <v>44706.929328703707</v>
      </c>
      <c r="K138" s="1" t="s">
        <v>364</v>
      </c>
      <c r="L138" s="1">
        <f>0.762</f>
        <v>0.76200000000000001</v>
      </c>
      <c r="M138" s="1">
        <f>0.766</f>
        <v>0.76600000000000001</v>
      </c>
      <c r="N138">
        <v>7</v>
      </c>
      <c r="O138" s="1">
        <v>-3.9550000000000001</v>
      </c>
      <c r="P138">
        <v>1</v>
      </c>
      <c r="Q138" s="1" t="b">
        <f>0=343</f>
        <v>0</v>
      </c>
      <c r="R138" s="1" t="b">
        <f>0=0=776</f>
        <v>0</v>
      </c>
      <c r="S138" s="1" t="b">
        <f>0=0=0=0=698</f>
        <v>0</v>
      </c>
      <c r="T138" s="1">
        <f>0.128</f>
        <v>0.128</v>
      </c>
      <c r="U138" s="1">
        <f>0.442</f>
        <v>0.442</v>
      </c>
      <c r="V138" s="1" t="s">
        <v>11920</v>
      </c>
      <c r="W138">
        <v>4</v>
      </c>
    </row>
    <row r="139" spans="1:23" x14ac:dyDescent="0.25">
      <c r="A139" s="1" t="s">
        <v>11644</v>
      </c>
      <c r="B139" s="1" t="s">
        <v>11645</v>
      </c>
      <c r="C139" s="1" t="s">
        <v>365</v>
      </c>
      <c r="D139" s="1" t="s">
        <v>11646</v>
      </c>
      <c r="E139" s="1" t="s">
        <v>366</v>
      </c>
      <c r="F139" s="1" t="s">
        <v>11647</v>
      </c>
      <c r="G139">
        <v>169813</v>
      </c>
      <c r="H139">
        <v>0</v>
      </c>
      <c r="I139" s="1" t="s">
        <v>11063</v>
      </c>
      <c r="J139" s="11">
        <v>44707.482638888891</v>
      </c>
      <c r="K139" s="1" t="s">
        <v>367</v>
      </c>
      <c r="L139" s="1">
        <f>0.622</f>
        <v>0.622</v>
      </c>
      <c r="M139" s="1">
        <f>0.796</f>
        <v>0.79600000000000004</v>
      </c>
      <c r="N139">
        <f>0</f>
        <v>0</v>
      </c>
      <c r="O139" s="1">
        <v>-2.9990000000000001</v>
      </c>
      <c r="P139">
        <f>0</f>
        <v>0</v>
      </c>
      <c r="Q139" s="1">
        <f>0.172</f>
        <v>0.17199999999999999</v>
      </c>
      <c r="R139" s="1">
        <f>0.667</f>
        <v>0.66700000000000004</v>
      </c>
      <c r="S139" s="1">
        <f>0</f>
        <v>0</v>
      </c>
      <c r="T139" s="1" t="b">
        <f>0.1=6</f>
        <v>0</v>
      </c>
      <c r="U139" s="1">
        <f>0.62</f>
        <v>0.62</v>
      </c>
      <c r="V139" s="1" t="s">
        <v>11921</v>
      </c>
      <c r="W139">
        <v>4</v>
      </c>
    </row>
    <row r="140" spans="1:23" x14ac:dyDescent="0.25">
      <c r="A140" s="1" t="s">
        <v>11648</v>
      </c>
      <c r="B140" s="1" t="s">
        <v>11649</v>
      </c>
      <c r="C140" s="1" t="s">
        <v>368</v>
      </c>
      <c r="D140" s="1" t="s">
        <v>11650</v>
      </c>
      <c r="E140" s="1" t="s">
        <v>369</v>
      </c>
      <c r="F140" s="1" t="s">
        <v>11651</v>
      </c>
      <c r="G140">
        <v>237706</v>
      </c>
      <c r="H140">
        <v>67</v>
      </c>
      <c r="I140" s="1" t="s">
        <v>11063</v>
      </c>
      <c r="J140" s="11">
        <v>44707.482766203706</v>
      </c>
      <c r="K140" s="1" t="s">
        <v>370</v>
      </c>
      <c r="L140" s="1">
        <f>0.683</f>
        <v>0.68300000000000005</v>
      </c>
      <c r="M140" s="1" t="b">
        <f>0.7=8</f>
        <v>0</v>
      </c>
      <c r="N140">
        <v>5</v>
      </c>
      <c r="O140" s="1">
        <v>-6.2439999999999998</v>
      </c>
      <c r="P140">
        <f>0</f>
        <v>0</v>
      </c>
      <c r="Q140" s="1" t="b">
        <f>0=3=5</f>
        <v>0</v>
      </c>
      <c r="R140" s="1" t="b">
        <f>0=398</f>
        <v>0</v>
      </c>
      <c r="S140" s="1">
        <f>0.155</f>
        <v>0.155</v>
      </c>
      <c r="T140" s="1">
        <f>0.686</f>
        <v>0.68600000000000005</v>
      </c>
      <c r="U140" s="1">
        <f>0.355</f>
        <v>0.35499999999999998</v>
      </c>
      <c r="V140" s="1">
        <v>92.991</v>
      </c>
      <c r="W140">
        <v>4</v>
      </c>
    </row>
    <row r="141" spans="1:23" x14ac:dyDescent="0.25">
      <c r="A141" s="1" t="s">
        <v>11652</v>
      </c>
      <c r="B141" s="1" t="s">
        <v>11653</v>
      </c>
      <c r="C141" s="1" t="s">
        <v>371</v>
      </c>
      <c r="D141" s="1" t="s">
        <v>371</v>
      </c>
      <c r="E141" s="1" t="s">
        <v>372</v>
      </c>
      <c r="F141" s="1" t="s">
        <v>11654</v>
      </c>
      <c r="G141">
        <v>170322</v>
      </c>
      <c r="H141">
        <v>62</v>
      </c>
      <c r="I141" s="1" t="s">
        <v>11063</v>
      </c>
      <c r="J141" s="11">
        <v>44707.497881944444</v>
      </c>
      <c r="K141" s="1" t="s">
        <v>373</v>
      </c>
      <c r="L141" s="1">
        <f>0.775</f>
        <v>0.77500000000000002</v>
      </c>
      <c r="M141" s="1">
        <f>0.723</f>
        <v>0.72299999999999998</v>
      </c>
      <c r="N141" t="s">
        <v>11825</v>
      </c>
      <c r="O141" s="1">
        <v>-3.4790000000000001</v>
      </c>
      <c r="P141">
        <f>0</f>
        <v>0</v>
      </c>
      <c r="Q141" s="1" t="b">
        <f>0=486</f>
        <v>0</v>
      </c>
      <c r="R141" s="1">
        <f>0.17</f>
        <v>0.17</v>
      </c>
      <c r="S141" s="1" t="b">
        <f>0=0=0=672</f>
        <v>0</v>
      </c>
      <c r="T141" s="1" t="b">
        <f>0=579</f>
        <v>0</v>
      </c>
      <c r="U141" s="1" t="b">
        <f>0.6=4</f>
        <v>0</v>
      </c>
      <c r="V141" s="1" t="s">
        <v>11922</v>
      </c>
      <c r="W141">
        <v>4</v>
      </c>
    </row>
    <row r="142" spans="1:23" x14ac:dyDescent="0.25">
      <c r="A142" s="1" t="s">
        <v>11655</v>
      </c>
      <c r="B142" s="1" t="s">
        <v>11656</v>
      </c>
      <c r="C142" s="1" t="s">
        <v>374</v>
      </c>
      <c r="D142" s="1" t="s">
        <v>374</v>
      </c>
      <c r="E142" s="1" t="s">
        <v>375</v>
      </c>
      <c r="F142" s="1" t="s">
        <v>11657</v>
      </c>
      <c r="G142">
        <v>214459</v>
      </c>
      <c r="H142">
        <v>88</v>
      </c>
      <c r="I142" s="1" t="s">
        <v>11063</v>
      </c>
      <c r="J142" s="11">
        <v>44709.834097222221</v>
      </c>
      <c r="K142" s="1" t="s">
        <v>376</v>
      </c>
      <c r="L142" s="1">
        <f>0.824</f>
        <v>0.82399999999999995</v>
      </c>
      <c r="M142" s="1">
        <f>0.697</f>
        <v>0.69699999999999995</v>
      </c>
      <c r="N142">
        <v>11</v>
      </c>
      <c r="O142" s="1">
        <v>-4.8689999999999998</v>
      </c>
      <c r="P142">
        <f>0</f>
        <v>0</v>
      </c>
      <c r="Q142" s="1" t="b">
        <f>0=473</f>
        <v>0</v>
      </c>
      <c r="R142" s="1">
        <f>0.158</f>
        <v>0.158</v>
      </c>
      <c r="S142" s="1" t="b">
        <f>0=0=0=0=411</f>
        <v>0</v>
      </c>
      <c r="T142" s="1" t="b">
        <f>0=77</f>
        <v>0</v>
      </c>
      <c r="U142" s="1">
        <f>0.757</f>
        <v>0.75700000000000001</v>
      </c>
      <c r="V142" s="1">
        <v>99.988</v>
      </c>
      <c r="W142">
        <v>4</v>
      </c>
    </row>
    <row r="143" spans="1:23" x14ac:dyDescent="0.25">
      <c r="A143" s="1" t="s">
        <v>11658</v>
      </c>
      <c r="B143" s="1" t="s">
        <v>11659</v>
      </c>
      <c r="C143" s="1" t="s">
        <v>2119</v>
      </c>
      <c r="D143" s="1" t="s">
        <v>5458</v>
      </c>
      <c r="E143" s="1" t="s">
        <v>377</v>
      </c>
      <c r="F143" s="1" t="s">
        <v>11660</v>
      </c>
      <c r="G143">
        <v>221129</v>
      </c>
      <c r="H143">
        <v>53</v>
      </c>
      <c r="I143" s="1" t="s">
        <v>11063</v>
      </c>
      <c r="J143" s="11">
        <v>44710.817349537036</v>
      </c>
      <c r="K143" s="1" t="s">
        <v>378</v>
      </c>
      <c r="L143" s="1">
        <f>0.619</f>
        <v>0.61899999999999999</v>
      </c>
      <c r="M143" s="1" t="b">
        <f>0.9=2</f>
        <v>0</v>
      </c>
      <c r="N143">
        <v>11</v>
      </c>
      <c r="O143" s="1">
        <v>-4.157</v>
      </c>
      <c r="P143">
        <f>0</f>
        <v>0</v>
      </c>
      <c r="Q143" s="1" t="b">
        <f>0=562</f>
        <v>0</v>
      </c>
      <c r="R143" s="1" t="b">
        <f>0=953</f>
        <v>0</v>
      </c>
      <c r="S143" s="1" t="b">
        <f>0=4=5</f>
        <v>0</v>
      </c>
      <c r="T143" s="1">
        <f>0.216</f>
        <v>0.216</v>
      </c>
      <c r="U143" s="1" t="b">
        <f>0.5=4</f>
        <v>0</v>
      </c>
      <c r="V143" s="1" t="s">
        <v>11923</v>
      </c>
      <c r="W143">
        <v>4</v>
      </c>
    </row>
    <row r="144" spans="1:23" x14ac:dyDescent="0.25">
      <c r="A144" s="1" t="s">
        <v>11661</v>
      </c>
      <c r="B144" s="1" t="s">
        <v>11662</v>
      </c>
      <c r="C144" s="1" t="s">
        <v>379</v>
      </c>
      <c r="D144" s="1" t="s">
        <v>379</v>
      </c>
      <c r="E144" s="1" t="s">
        <v>380</v>
      </c>
      <c r="F144" s="1" t="s">
        <v>11295</v>
      </c>
      <c r="G144">
        <v>212935</v>
      </c>
      <c r="H144">
        <v>43</v>
      </c>
      <c r="I144" s="1" t="s">
        <v>11063</v>
      </c>
      <c r="J144" s="11">
        <v>44712.429675925923</v>
      </c>
      <c r="K144" s="1" t="s">
        <v>381</v>
      </c>
      <c r="L144" s="1">
        <f>0.455</f>
        <v>0.45500000000000002</v>
      </c>
      <c r="M144" s="1">
        <f>0.755</f>
        <v>0.755</v>
      </c>
      <c r="N144">
        <v>7</v>
      </c>
      <c r="O144" s="1">
        <v>-6.8879999999999999</v>
      </c>
      <c r="P144">
        <v>1</v>
      </c>
      <c r="Q144" s="1">
        <f>0.25</f>
        <v>0.25</v>
      </c>
      <c r="R144" s="1" t="b">
        <f>0=439</f>
        <v>0</v>
      </c>
      <c r="S144" s="1" t="b">
        <f>0=178</f>
        <v>0</v>
      </c>
      <c r="T144" s="1">
        <f>0.245</f>
        <v>0.245</v>
      </c>
      <c r="U144" s="1">
        <f>0.352</f>
        <v>0.35199999999999998</v>
      </c>
      <c r="V144" s="1" t="s">
        <v>11924</v>
      </c>
      <c r="W144">
        <v>4</v>
      </c>
    </row>
    <row r="145" spans="1:23" x14ac:dyDescent="0.25">
      <c r="A145" s="1" t="s">
        <v>11663</v>
      </c>
      <c r="B145" s="1" t="s">
        <v>11439</v>
      </c>
      <c r="C145" s="1" t="s">
        <v>382</v>
      </c>
      <c r="D145" s="1" t="s">
        <v>11664</v>
      </c>
      <c r="E145" s="1" t="s">
        <v>208</v>
      </c>
      <c r="F145" s="1" t="s">
        <v>11665</v>
      </c>
      <c r="G145">
        <v>206840</v>
      </c>
      <c r="H145">
        <v>71</v>
      </c>
      <c r="I145" s="1" t="s">
        <v>11063</v>
      </c>
      <c r="J145" s="11">
        <v>44712.792048611111</v>
      </c>
      <c r="K145" s="1" t="s">
        <v>209</v>
      </c>
      <c r="L145" s="1">
        <f>0.777</f>
        <v>0.77700000000000002</v>
      </c>
      <c r="M145" s="1">
        <f>0.554</f>
        <v>0.55400000000000005</v>
      </c>
      <c r="N145">
        <v>2</v>
      </c>
      <c r="O145" s="1">
        <v>-8.1790000000000003</v>
      </c>
      <c r="P145">
        <v>1</v>
      </c>
      <c r="Q145" s="1" t="b">
        <f>0=572</f>
        <v>0</v>
      </c>
      <c r="R145" s="1">
        <f>0.182</f>
        <v>0.182</v>
      </c>
      <c r="S145" s="1" t="b">
        <f>0=0=0=0=0=17</f>
        <v>0</v>
      </c>
      <c r="T145" s="1" t="b">
        <f>0=477</f>
        <v>0</v>
      </c>
      <c r="U145" s="1">
        <f>0.27</f>
        <v>0.27</v>
      </c>
      <c r="V145" s="1">
        <v>129.93299999999999</v>
      </c>
      <c r="W145">
        <v>4</v>
      </c>
    </row>
    <row r="146" spans="1:23" x14ac:dyDescent="0.25">
      <c r="A146" s="1" t="s">
        <v>11666</v>
      </c>
      <c r="B146" s="1" t="s">
        <v>11667</v>
      </c>
      <c r="C146" s="1" t="s">
        <v>383</v>
      </c>
      <c r="D146" s="1" t="s">
        <v>11668</v>
      </c>
      <c r="E146" s="1" t="s">
        <v>384</v>
      </c>
      <c r="F146" s="1" t="s">
        <v>11669</v>
      </c>
      <c r="G146">
        <v>158053</v>
      </c>
      <c r="H146">
        <v>0</v>
      </c>
      <c r="I146" s="1" t="s">
        <v>11063</v>
      </c>
      <c r="J146" s="11">
        <v>44712.792175925926</v>
      </c>
      <c r="K146" s="1" t="s">
        <v>385</v>
      </c>
      <c r="L146" s="1">
        <f>0.753</f>
        <v>0.753</v>
      </c>
      <c r="M146" s="1">
        <f>0.498</f>
        <v>0.498</v>
      </c>
      <c r="N146">
        <v>2</v>
      </c>
      <c r="O146" s="1">
        <v>-5.61</v>
      </c>
      <c r="P146">
        <v>1</v>
      </c>
      <c r="Q146" s="1" t="b">
        <f>0=5=4</f>
        <v>0</v>
      </c>
      <c r="R146" s="1">
        <f>0.551</f>
        <v>0.55100000000000005</v>
      </c>
      <c r="S146" s="1">
        <f>0</f>
        <v>0</v>
      </c>
      <c r="T146" s="1" t="b">
        <f>0=7=6</f>
        <v>0</v>
      </c>
      <c r="U146" s="1">
        <f>0.927</f>
        <v>0.92700000000000005</v>
      </c>
      <c r="V146" s="1">
        <v>89.95</v>
      </c>
      <c r="W146">
        <v>4</v>
      </c>
    </row>
    <row r="147" spans="1:23" x14ac:dyDescent="0.25">
      <c r="A147" s="1" t="s">
        <v>11670</v>
      </c>
      <c r="B147" s="1" t="s">
        <v>11671</v>
      </c>
      <c r="C147" s="1" t="s">
        <v>386</v>
      </c>
      <c r="D147" s="1" t="s">
        <v>11672</v>
      </c>
      <c r="E147" s="1" t="s">
        <v>387</v>
      </c>
      <c r="F147" s="1" t="s">
        <v>11673</v>
      </c>
      <c r="G147">
        <v>202333</v>
      </c>
      <c r="H147">
        <v>84</v>
      </c>
      <c r="I147" s="1" t="s">
        <v>11063</v>
      </c>
      <c r="J147" s="11">
        <v>44712.793807870374</v>
      </c>
      <c r="K147" s="1" t="s">
        <v>113</v>
      </c>
      <c r="L147" s="1">
        <f>0.734</f>
        <v>0.73399999999999999</v>
      </c>
      <c r="M147" s="1">
        <f>0.637</f>
        <v>0.63700000000000001</v>
      </c>
      <c r="N147">
        <v>4</v>
      </c>
      <c r="O147" s="1">
        <v>-5.6769999999999996</v>
      </c>
      <c r="P147">
        <f>0</f>
        <v>0</v>
      </c>
      <c r="Q147" s="1">
        <f>0.141</f>
        <v>0.14099999999999999</v>
      </c>
      <c r="R147" s="1" t="b">
        <f>0=462</f>
        <v>0</v>
      </c>
      <c r="S147" s="1" t="b">
        <f>0=0=0=0=229</f>
        <v>0</v>
      </c>
      <c r="T147" s="1" t="b">
        <f>0=6=2</f>
        <v>0</v>
      </c>
      <c r="U147" s="1">
        <f>0.648</f>
        <v>0.64800000000000002</v>
      </c>
      <c r="V147" s="1">
        <v>169.977</v>
      </c>
      <c r="W147">
        <v>4</v>
      </c>
    </row>
    <row r="148" spans="1:23" x14ac:dyDescent="0.25">
      <c r="A148" s="1" t="s">
        <v>11674</v>
      </c>
      <c r="B148" s="1" t="s">
        <v>11675</v>
      </c>
      <c r="C148" s="1" t="s">
        <v>388</v>
      </c>
      <c r="D148" s="1" t="s">
        <v>11676</v>
      </c>
      <c r="E148" s="1" t="s">
        <v>389</v>
      </c>
      <c r="F148" s="1" t="s">
        <v>11677</v>
      </c>
      <c r="G148">
        <v>241426</v>
      </c>
      <c r="H148">
        <v>43</v>
      </c>
      <c r="I148" s="1" t="s">
        <v>11063</v>
      </c>
      <c r="J148" s="11">
        <v>44712.796296296299</v>
      </c>
      <c r="K148" s="1" t="s">
        <v>390</v>
      </c>
      <c r="L148" s="1">
        <f>0.748</f>
        <v>0.748</v>
      </c>
      <c r="M148" s="1">
        <f>0.492</f>
        <v>0.49199999999999999</v>
      </c>
      <c r="N148">
        <v>4</v>
      </c>
      <c r="O148" s="1" t="s">
        <v>11925</v>
      </c>
      <c r="P148">
        <f>0</f>
        <v>0</v>
      </c>
      <c r="Q148" s="1" t="b">
        <f>0=35</f>
        <v>0</v>
      </c>
      <c r="R148" s="1" t="b">
        <f>0=947</f>
        <v>0</v>
      </c>
      <c r="S148" s="1" t="b">
        <f>0=0=0=0=479</f>
        <v>0</v>
      </c>
      <c r="T148" s="1" t="b">
        <f>0=731</f>
        <v>0</v>
      </c>
      <c r="U148" s="1">
        <f>0.44</f>
        <v>0.44</v>
      </c>
      <c r="V148" s="1" t="s">
        <v>11926</v>
      </c>
      <c r="W148">
        <v>4</v>
      </c>
    </row>
    <row r="149" spans="1:23" x14ac:dyDescent="0.25">
      <c r="A149" s="1" t="s">
        <v>11678</v>
      </c>
      <c r="B149" s="1" t="s">
        <v>11679</v>
      </c>
      <c r="C149" s="1" t="s">
        <v>391</v>
      </c>
      <c r="D149" s="1" t="s">
        <v>6312</v>
      </c>
      <c r="E149" s="1" t="s">
        <v>392</v>
      </c>
      <c r="F149" s="1" t="s">
        <v>11471</v>
      </c>
      <c r="G149">
        <v>280120</v>
      </c>
      <c r="H149">
        <v>53</v>
      </c>
      <c r="I149" s="1" t="s">
        <v>11063</v>
      </c>
      <c r="J149" s="11">
        <v>44712.796527777777</v>
      </c>
      <c r="K149" s="1" t="s">
        <v>390</v>
      </c>
      <c r="L149" s="1">
        <f>0.762</f>
        <v>0.76200000000000001</v>
      </c>
      <c r="M149" s="1">
        <f>0.574</f>
        <v>0.57399999999999995</v>
      </c>
      <c r="N149">
        <f>0</f>
        <v>0</v>
      </c>
      <c r="O149" s="1">
        <v>-11.474</v>
      </c>
      <c r="P149">
        <v>1</v>
      </c>
      <c r="Q149" s="1" t="b">
        <f>0=477</f>
        <v>0</v>
      </c>
      <c r="R149" s="1">
        <f>0.658</f>
        <v>0.65800000000000003</v>
      </c>
      <c r="S149" s="1">
        <f>0.193</f>
        <v>0.193</v>
      </c>
      <c r="T149" s="1" t="b">
        <f>0=876</f>
        <v>0</v>
      </c>
      <c r="U149" s="1">
        <f>0.645</f>
        <v>0.64500000000000002</v>
      </c>
      <c r="V149" s="1" t="s">
        <v>11927</v>
      </c>
      <c r="W149">
        <v>4</v>
      </c>
    </row>
    <row r="150" spans="1:23" x14ac:dyDescent="0.25">
      <c r="A150" s="1" t="s">
        <v>11680</v>
      </c>
      <c r="B150" s="1" t="s">
        <v>11681</v>
      </c>
      <c r="C150" s="1" t="s">
        <v>6342</v>
      </c>
      <c r="D150" s="1" t="s">
        <v>11474</v>
      </c>
      <c r="E150" s="1" t="s">
        <v>393</v>
      </c>
      <c r="F150" s="1" t="s">
        <v>11475</v>
      </c>
      <c r="G150">
        <v>212960</v>
      </c>
      <c r="H150">
        <v>77</v>
      </c>
      <c r="I150" s="1" t="s">
        <v>11063</v>
      </c>
      <c r="J150" s="11">
        <v>44713.432268518518</v>
      </c>
      <c r="K150" s="1" t="s">
        <v>394</v>
      </c>
      <c r="L150" s="1">
        <f>0.414</f>
        <v>0.41399999999999998</v>
      </c>
      <c r="M150" s="1">
        <f>0.857</f>
        <v>0.85699999999999998</v>
      </c>
      <c r="N150">
        <f>0</f>
        <v>0</v>
      </c>
      <c r="O150" s="1" t="s">
        <v>11928</v>
      </c>
      <c r="P150">
        <f>0</f>
        <v>0</v>
      </c>
      <c r="Q150" s="1" t="b">
        <f>0=8=8</f>
        <v>0</v>
      </c>
      <c r="R150" s="1" t="b">
        <f>0=287</f>
        <v>0</v>
      </c>
      <c r="S150" s="1" t="b">
        <f>0=0=574</f>
        <v>0</v>
      </c>
      <c r="T150" s="1">
        <f>0.343</f>
        <v>0.34300000000000003</v>
      </c>
      <c r="U150" s="1">
        <f>0.348</f>
        <v>0.34799999999999998</v>
      </c>
      <c r="V150" s="1" t="s">
        <v>11929</v>
      </c>
      <c r="W150">
        <v>4</v>
      </c>
    </row>
    <row r="151" spans="1:23" x14ac:dyDescent="0.25">
      <c r="A151" s="1" t="s">
        <v>11682</v>
      </c>
      <c r="B151" s="1" t="s">
        <v>11683</v>
      </c>
      <c r="C151" s="1" t="s">
        <v>395</v>
      </c>
      <c r="D151" s="1" t="s">
        <v>11684</v>
      </c>
      <c r="E151" s="1" t="s">
        <v>396</v>
      </c>
      <c r="F151" s="1" t="s">
        <v>11685</v>
      </c>
      <c r="G151">
        <v>191518</v>
      </c>
      <c r="H151">
        <v>48</v>
      </c>
      <c r="I151" s="1" t="s">
        <v>11063</v>
      </c>
      <c r="J151" s="11">
        <v>44713.578541666669</v>
      </c>
      <c r="K151" s="1" t="s">
        <v>397</v>
      </c>
      <c r="L151" s="1">
        <f>0.511</f>
        <v>0.51100000000000001</v>
      </c>
      <c r="M151" s="1">
        <f>0.665</f>
        <v>0.66500000000000004</v>
      </c>
      <c r="N151">
        <v>4</v>
      </c>
      <c r="O151" s="1">
        <v>-6.9980000000000002</v>
      </c>
      <c r="P151">
        <f>0</f>
        <v>0</v>
      </c>
      <c r="Q151" s="1">
        <f>0.323</f>
        <v>0.32300000000000001</v>
      </c>
      <c r="R151" s="1">
        <f>0.371</f>
        <v>0.371</v>
      </c>
      <c r="S151" s="1">
        <f>0</f>
        <v>0</v>
      </c>
      <c r="T151" s="1" t="b">
        <f>0=86</f>
        <v>0</v>
      </c>
      <c r="U151" s="1">
        <f>0.359</f>
        <v>0.35899999999999999</v>
      </c>
      <c r="V151" s="1" t="s">
        <v>11930</v>
      </c>
      <c r="W151">
        <v>4</v>
      </c>
    </row>
    <row r="152" spans="1:23" x14ac:dyDescent="0.25">
      <c r="A152" s="1" t="s">
        <v>11686</v>
      </c>
      <c r="B152" s="1" t="s">
        <v>11687</v>
      </c>
      <c r="C152" s="1" t="s">
        <v>6536</v>
      </c>
      <c r="D152" s="1" t="s">
        <v>11688</v>
      </c>
      <c r="E152" s="1" t="s">
        <v>398</v>
      </c>
      <c r="F152" s="1" t="s">
        <v>11689</v>
      </c>
      <c r="G152">
        <v>184400</v>
      </c>
      <c r="H152">
        <v>64</v>
      </c>
      <c r="I152" s="1" t="s">
        <v>11063</v>
      </c>
      <c r="J152" s="11">
        <v>44713.66333333333</v>
      </c>
      <c r="K152" s="1" t="s">
        <v>399</v>
      </c>
      <c r="L152" s="1">
        <f>0.573</f>
        <v>0.57299999999999995</v>
      </c>
      <c r="M152" s="1">
        <f>0.784</f>
        <v>0.78400000000000003</v>
      </c>
      <c r="N152">
        <v>9</v>
      </c>
      <c r="O152" s="1">
        <v>-5.2240000000000002</v>
      </c>
      <c r="P152">
        <v>1</v>
      </c>
      <c r="Q152" s="1" t="b">
        <f>0=591</f>
        <v>0</v>
      </c>
      <c r="R152" s="1">
        <f>0.141</f>
        <v>0.14099999999999999</v>
      </c>
      <c r="S152" s="1">
        <f>0</f>
        <v>0</v>
      </c>
      <c r="T152" s="1" t="b">
        <f>0=844</f>
        <v>0</v>
      </c>
      <c r="U152" s="1">
        <f>0.69</f>
        <v>0.69</v>
      </c>
      <c r="V152" s="1" t="s">
        <v>11931</v>
      </c>
      <c r="W152">
        <v>4</v>
      </c>
    </row>
    <row r="153" spans="1:23" x14ac:dyDescent="0.25">
      <c r="A153" s="1" t="s">
        <v>11690</v>
      </c>
      <c r="B153" s="1" t="s">
        <v>11691</v>
      </c>
      <c r="C153" s="1" t="s">
        <v>400</v>
      </c>
      <c r="D153" s="1" t="s">
        <v>11692</v>
      </c>
      <c r="E153" s="1" t="s">
        <v>401</v>
      </c>
      <c r="F153" s="1" t="s">
        <v>11693</v>
      </c>
      <c r="G153">
        <v>157432</v>
      </c>
      <c r="H153">
        <v>67</v>
      </c>
      <c r="I153" s="1" t="s">
        <v>11063</v>
      </c>
      <c r="J153" s="11">
        <v>44713.712592592594</v>
      </c>
      <c r="K153" s="1" t="s">
        <v>402</v>
      </c>
      <c r="L153" s="1" t="b">
        <f>0.6=5</f>
        <v>0</v>
      </c>
      <c r="M153" s="1">
        <f>0.874</f>
        <v>0.874</v>
      </c>
      <c r="N153">
        <v>7</v>
      </c>
      <c r="O153" s="1">
        <v>-4.9489999999999998</v>
      </c>
      <c r="P153">
        <f>0</f>
        <v>0</v>
      </c>
      <c r="Q153" s="1" t="b">
        <f>0=295</f>
        <v>0</v>
      </c>
      <c r="R153" s="1" t="b">
        <f>0=0=0=563</f>
        <v>0</v>
      </c>
      <c r="S153" s="1">
        <f>0.812</f>
        <v>0.81200000000000006</v>
      </c>
      <c r="T153" s="1">
        <f>0.112</f>
        <v>0.112</v>
      </c>
      <c r="U153" s="1">
        <f>0.836</f>
        <v>0.83599999999999997</v>
      </c>
      <c r="V153" s="1">
        <v>125.99</v>
      </c>
      <c r="W153">
        <v>4</v>
      </c>
    </row>
    <row r="154" spans="1:23" x14ac:dyDescent="0.25">
      <c r="A154" s="1" t="s">
        <v>11694</v>
      </c>
      <c r="B154" s="1" t="s">
        <v>11695</v>
      </c>
      <c r="C154" s="1" t="s">
        <v>403</v>
      </c>
      <c r="D154" s="1" t="s">
        <v>403</v>
      </c>
      <c r="E154" s="1" t="s">
        <v>404</v>
      </c>
      <c r="F154" s="1" t="s">
        <v>11696</v>
      </c>
      <c r="G154">
        <v>183518</v>
      </c>
      <c r="H154">
        <v>45</v>
      </c>
      <c r="I154" s="1" t="s">
        <v>11063</v>
      </c>
      <c r="J154" s="11">
        <v>44713.755254629628</v>
      </c>
      <c r="K154" s="1" t="s">
        <v>405</v>
      </c>
      <c r="L154" s="1">
        <f>0.612</f>
        <v>0.61199999999999999</v>
      </c>
      <c r="M154" s="1">
        <f>0.963</f>
        <v>0.96299999999999997</v>
      </c>
      <c r="N154">
        <v>5</v>
      </c>
      <c r="O154" s="1">
        <v>-3.9119999999999999</v>
      </c>
      <c r="P154">
        <f>0</f>
        <v>0</v>
      </c>
      <c r="Q154" s="1" t="b">
        <f>0=531</f>
        <v>0</v>
      </c>
      <c r="R154" s="1" t="b">
        <f>0=0=897</f>
        <v>0</v>
      </c>
      <c r="S154" s="1" t="b">
        <f>0=0=378</f>
        <v>0</v>
      </c>
      <c r="T154" s="1">
        <f>0.294</f>
        <v>0.29399999999999998</v>
      </c>
      <c r="U154" s="1">
        <f>0.179</f>
        <v>0.17899999999999999</v>
      </c>
      <c r="V154" s="1" t="s">
        <v>11932</v>
      </c>
      <c r="W154">
        <v>4</v>
      </c>
    </row>
    <row r="155" spans="1:23" x14ac:dyDescent="0.25">
      <c r="A155" s="1" t="s">
        <v>11697</v>
      </c>
      <c r="B155" s="1" t="s">
        <v>11698</v>
      </c>
      <c r="C155" s="1" t="s">
        <v>6718</v>
      </c>
      <c r="D155" s="1" t="s">
        <v>11699</v>
      </c>
      <c r="E155" s="1" t="s">
        <v>406</v>
      </c>
      <c r="F155" s="1" t="s">
        <v>11700</v>
      </c>
      <c r="G155">
        <v>179573</v>
      </c>
      <c r="H155">
        <v>42</v>
      </c>
      <c r="I155" s="1" t="s">
        <v>11063</v>
      </c>
      <c r="J155" s="11">
        <v>44713.942256944443</v>
      </c>
      <c r="K155" s="1" t="s">
        <v>407</v>
      </c>
      <c r="L155" s="1">
        <f>0.697</f>
        <v>0.69699999999999995</v>
      </c>
      <c r="M155" s="1">
        <f>0.657</f>
        <v>0.65700000000000003</v>
      </c>
      <c r="N155">
        <v>7</v>
      </c>
      <c r="O155" s="1">
        <v>-5.7789999999999999</v>
      </c>
      <c r="P155">
        <f>0</f>
        <v>0</v>
      </c>
      <c r="Q155" s="1" t="b">
        <f>0=418</f>
        <v>0</v>
      </c>
      <c r="R155" s="1">
        <f>0.187</f>
        <v>0.187</v>
      </c>
      <c r="S155" s="1" t="b">
        <f>0=0=0=153</f>
        <v>0</v>
      </c>
      <c r="T155" s="1">
        <f>0.162</f>
        <v>0.16200000000000001</v>
      </c>
      <c r="U155" s="1">
        <f>0.418</f>
        <v>0.41799999999999998</v>
      </c>
      <c r="V155" s="1" t="s">
        <v>11933</v>
      </c>
      <c r="W155">
        <v>4</v>
      </c>
    </row>
    <row r="156" spans="1:23" x14ac:dyDescent="0.25">
      <c r="A156" s="1" t="s">
        <v>11701</v>
      </c>
      <c r="B156" s="1" t="s">
        <v>11702</v>
      </c>
      <c r="C156" s="1" t="s">
        <v>6722</v>
      </c>
      <c r="D156" s="1" t="s">
        <v>11703</v>
      </c>
      <c r="E156" s="1" t="s">
        <v>408</v>
      </c>
      <c r="F156" s="1" t="s">
        <v>11704</v>
      </c>
      <c r="G156">
        <v>194706</v>
      </c>
      <c r="H156">
        <v>59</v>
      </c>
      <c r="I156" s="1" t="s">
        <v>11063</v>
      </c>
      <c r="J156" s="11">
        <v>44713.946018518516</v>
      </c>
      <c r="K156" s="1" t="s">
        <v>409</v>
      </c>
      <c r="L156" s="1">
        <f>0.79</f>
        <v>0.79</v>
      </c>
      <c r="M156" s="1">
        <f>0.647</f>
        <v>0.64700000000000002</v>
      </c>
      <c r="N156">
        <v>8</v>
      </c>
      <c r="O156" s="1">
        <v>-6.7320000000000002</v>
      </c>
      <c r="P156">
        <f>0</f>
        <v>0</v>
      </c>
      <c r="Q156" s="1" t="b">
        <f>0=375</f>
        <v>0</v>
      </c>
      <c r="R156" s="1">
        <f>0.2</f>
        <v>0.2</v>
      </c>
      <c r="S156" s="1" t="b">
        <f>0.1=9</f>
        <v>0</v>
      </c>
      <c r="T156" s="1" t="b">
        <f>0=766</f>
        <v>0</v>
      </c>
      <c r="U156" s="1">
        <f>0.749</f>
        <v>0.749</v>
      </c>
      <c r="V156" s="1" t="s">
        <v>11934</v>
      </c>
      <c r="W156">
        <v>4</v>
      </c>
    </row>
    <row r="157" spans="1:23" x14ac:dyDescent="0.25">
      <c r="A157" s="1" t="s">
        <v>11705</v>
      </c>
      <c r="B157" s="1" t="s">
        <v>11706</v>
      </c>
      <c r="C157" s="1" t="s">
        <v>410</v>
      </c>
      <c r="D157" s="1" t="s">
        <v>11707</v>
      </c>
      <c r="E157" s="1" t="s">
        <v>411</v>
      </c>
      <c r="F157" s="1" t="s">
        <v>11708</v>
      </c>
      <c r="G157">
        <v>216320</v>
      </c>
      <c r="H157">
        <v>84</v>
      </c>
      <c r="I157" s="1" t="s">
        <v>11063</v>
      </c>
      <c r="J157" s="11">
        <v>44713.991840277777</v>
      </c>
      <c r="K157" s="1" t="s">
        <v>412</v>
      </c>
      <c r="L157" s="1">
        <f>0.64</f>
        <v>0.64</v>
      </c>
      <c r="M157" s="1">
        <f>0.74</f>
        <v>0.74</v>
      </c>
      <c r="N157">
        <v>4</v>
      </c>
      <c r="O157" s="1" t="s">
        <v>11935</v>
      </c>
      <c r="P157">
        <v>1</v>
      </c>
      <c r="Q157" s="1" t="b">
        <f>0=284</f>
        <v>0</v>
      </c>
      <c r="R157" s="1" t="b">
        <f>0=115</f>
        <v>0</v>
      </c>
      <c r="S157" s="1" t="b">
        <f>0=0=678</f>
        <v>0</v>
      </c>
      <c r="T157" s="1">
        <f>0.167</f>
        <v>0.16700000000000001</v>
      </c>
      <c r="U157" s="1">
        <f>0.785</f>
        <v>0.78500000000000003</v>
      </c>
      <c r="V157" s="1">
        <v>116.879</v>
      </c>
      <c r="W157">
        <v>4</v>
      </c>
    </row>
    <row r="158" spans="1:23" x14ac:dyDescent="0.25">
      <c r="A158" s="1" t="s">
        <v>11709</v>
      </c>
      <c r="B158" s="1" t="s">
        <v>11710</v>
      </c>
      <c r="C158" s="1" t="s">
        <v>413</v>
      </c>
      <c r="D158" s="1" t="s">
        <v>413</v>
      </c>
      <c r="E158" s="1" t="s">
        <v>414</v>
      </c>
      <c r="F158" s="1" t="s">
        <v>11240</v>
      </c>
      <c r="G158">
        <v>177689</v>
      </c>
      <c r="H158">
        <v>9</v>
      </c>
      <c r="I158" s="1" t="s">
        <v>11063</v>
      </c>
      <c r="J158" s="11">
        <v>44714.421643518515</v>
      </c>
      <c r="K158" s="1" t="s">
        <v>415</v>
      </c>
      <c r="L158" s="1">
        <f>0.774</f>
        <v>0.77400000000000002</v>
      </c>
      <c r="M158" s="1">
        <f>0.784</f>
        <v>0.78400000000000003</v>
      </c>
      <c r="N158" t="s">
        <v>11825</v>
      </c>
      <c r="O158" s="1">
        <v>-4.5490000000000004</v>
      </c>
      <c r="P158">
        <v>1</v>
      </c>
      <c r="Q158" s="1" t="b">
        <f>0=351</f>
        <v>0</v>
      </c>
      <c r="R158" s="1">
        <f>0.194</f>
        <v>0.19400000000000001</v>
      </c>
      <c r="S158" s="1" t="b">
        <f>0=0=0=0=1=7</f>
        <v>0</v>
      </c>
      <c r="T158" s="1">
        <f>0.293</f>
        <v>0.29299999999999998</v>
      </c>
      <c r="U158" s="1">
        <f>0.533</f>
        <v>0.53300000000000003</v>
      </c>
      <c r="V158" s="1" t="s">
        <v>11936</v>
      </c>
      <c r="W158">
        <v>4</v>
      </c>
    </row>
    <row r="159" spans="1:23" x14ac:dyDescent="0.25">
      <c r="A159" s="1" t="s">
        <v>11114</v>
      </c>
      <c r="B159" s="1" t="s">
        <v>11115</v>
      </c>
      <c r="C159" s="1" t="s">
        <v>416</v>
      </c>
      <c r="D159" s="1" t="s">
        <v>11116</v>
      </c>
      <c r="E159" s="1" t="s">
        <v>417</v>
      </c>
      <c r="F159" s="1" t="s">
        <v>11711</v>
      </c>
      <c r="G159">
        <v>233986</v>
      </c>
      <c r="H159">
        <v>49</v>
      </c>
      <c r="I159" s="1" t="s">
        <v>11063</v>
      </c>
      <c r="J159" s="11">
        <v>44714.562303240738</v>
      </c>
      <c r="K159" s="1" t="s">
        <v>418</v>
      </c>
      <c r="L159" s="1">
        <f>0.52</f>
        <v>0.52</v>
      </c>
      <c r="M159" s="1">
        <f>0.825</f>
        <v>0.82499999999999996</v>
      </c>
      <c r="N159">
        <v>7</v>
      </c>
      <c r="O159" s="1">
        <v>-2.1709999999999998</v>
      </c>
      <c r="P159">
        <f>0</f>
        <v>0</v>
      </c>
      <c r="Q159" s="1" t="b">
        <f>0=46</f>
        <v>0</v>
      </c>
      <c r="R159" s="1" t="b">
        <f>0=0=162</f>
        <v>0</v>
      </c>
      <c r="S159" s="1">
        <f>0</f>
        <v>0</v>
      </c>
      <c r="T159" s="1">
        <f>0.711</f>
        <v>0.71099999999999997</v>
      </c>
      <c r="U159" s="1">
        <f>0.264</f>
        <v>0.26400000000000001</v>
      </c>
      <c r="V159" s="1" t="s">
        <v>11937</v>
      </c>
      <c r="W159">
        <v>4</v>
      </c>
    </row>
    <row r="160" spans="1:23" x14ac:dyDescent="0.25">
      <c r="A160" s="1" t="s">
        <v>11712</v>
      </c>
      <c r="B160" s="1" t="s">
        <v>11713</v>
      </c>
      <c r="C160" s="1" t="s">
        <v>419</v>
      </c>
      <c r="D160" s="1" t="s">
        <v>11714</v>
      </c>
      <c r="E160" s="1" t="s">
        <v>420</v>
      </c>
      <c r="F160" s="1" t="s">
        <v>11715</v>
      </c>
      <c r="G160">
        <v>169466</v>
      </c>
      <c r="H160">
        <v>65</v>
      </c>
      <c r="I160" s="1" t="s">
        <v>11063</v>
      </c>
      <c r="J160" s="11">
        <v>44714.59516203704</v>
      </c>
      <c r="K160" s="1" t="s">
        <v>421</v>
      </c>
      <c r="L160" s="1">
        <f>0.567</f>
        <v>0.56699999999999995</v>
      </c>
      <c r="M160" s="1">
        <f>0.765</f>
        <v>0.76500000000000001</v>
      </c>
      <c r="N160">
        <v>1</v>
      </c>
      <c r="O160" s="1" t="s">
        <v>11938</v>
      </c>
      <c r="P160">
        <f>0</f>
        <v>0</v>
      </c>
      <c r="Q160" s="1" t="b">
        <f>0.1=8</f>
        <v>0</v>
      </c>
      <c r="R160" s="1">
        <f>0.317</f>
        <v>0.317</v>
      </c>
      <c r="S160" s="1">
        <f>0</f>
        <v>0</v>
      </c>
      <c r="T160" s="1">
        <f>0.14</f>
        <v>0.14000000000000001</v>
      </c>
      <c r="U160" s="1">
        <f>0.541</f>
        <v>0.54100000000000004</v>
      </c>
      <c r="V160" s="1">
        <v>121.92400000000001</v>
      </c>
      <c r="W160">
        <v>4</v>
      </c>
    </row>
    <row r="161" spans="1:23" x14ac:dyDescent="0.25">
      <c r="A161" s="1" t="s">
        <v>11716</v>
      </c>
      <c r="B161" s="1" t="s">
        <v>11717</v>
      </c>
      <c r="C161" s="1" t="s">
        <v>422</v>
      </c>
      <c r="D161" s="1" t="s">
        <v>422</v>
      </c>
      <c r="E161" s="1" t="s">
        <v>423</v>
      </c>
      <c r="F161" s="1" t="s">
        <v>11718</v>
      </c>
      <c r="G161">
        <v>219159</v>
      </c>
      <c r="H161">
        <v>75</v>
      </c>
      <c r="I161" s="1" t="s">
        <v>11063</v>
      </c>
      <c r="J161" s="11">
        <v>44714.623645833337</v>
      </c>
      <c r="K161" s="1" t="s">
        <v>394</v>
      </c>
      <c r="L161" s="1">
        <f>0.818</f>
        <v>0.81799999999999995</v>
      </c>
      <c r="M161" s="1">
        <f>0.913</f>
        <v>0.91300000000000003</v>
      </c>
      <c r="N161">
        <v>4</v>
      </c>
      <c r="O161" s="1" t="s">
        <v>11939</v>
      </c>
      <c r="P161">
        <f>0</f>
        <v>0</v>
      </c>
      <c r="Q161" s="1" t="b">
        <f>0=426</f>
        <v>0</v>
      </c>
      <c r="R161" s="1" t="b">
        <f>0=93</f>
        <v>0</v>
      </c>
      <c r="S161" s="1" t="b">
        <f>0=0=0=0=369</f>
        <v>0</v>
      </c>
      <c r="T161" s="1">
        <f>0.161</f>
        <v>0.161</v>
      </c>
      <c r="U161" s="1">
        <f>0.536</f>
        <v>0.53600000000000003</v>
      </c>
      <c r="V161" s="1">
        <v>119.986</v>
      </c>
      <c r="W161">
        <v>4</v>
      </c>
    </row>
    <row r="162" spans="1:23" x14ac:dyDescent="0.25">
      <c r="A162" s="1" t="s">
        <v>11719</v>
      </c>
      <c r="B162" s="1" t="s">
        <v>11720</v>
      </c>
      <c r="C162" s="1" t="s">
        <v>7005</v>
      </c>
      <c r="D162" s="1" t="s">
        <v>11721</v>
      </c>
      <c r="E162" s="1" t="s">
        <v>424</v>
      </c>
      <c r="F162" s="1" t="s">
        <v>11722</v>
      </c>
      <c r="G162">
        <v>220730</v>
      </c>
      <c r="H162">
        <v>63</v>
      </c>
      <c r="I162" s="1" t="s">
        <v>11063</v>
      </c>
      <c r="J162" s="11">
        <v>44714.720405092594</v>
      </c>
      <c r="K162" s="1" t="s">
        <v>425</v>
      </c>
      <c r="L162" s="1" t="b">
        <f>0.4=4</f>
        <v>0</v>
      </c>
      <c r="M162" s="1" t="b">
        <f>0.8=6</f>
        <v>0</v>
      </c>
      <c r="N162">
        <v>2</v>
      </c>
      <c r="O162" s="1">
        <v>-4.75</v>
      </c>
      <c r="P162">
        <v>1</v>
      </c>
      <c r="Q162" s="1" t="b">
        <f>0=496</f>
        <v>0</v>
      </c>
      <c r="R162" s="1">
        <f>0.198</f>
        <v>0.19800000000000001</v>
      </c>
      <c r="S162" s="1">
        <f>0</f>
        <v>0</v>
      </c>
      <c r="T162" s="1">
        <f>0.114</f>
        <v>0.114</v>
      </c>
      <c r="U162" s="1">
        <f>0.112</f>
        <v>0.112</v>
      </c>
      <c r="V162" s="1" t="s">
        <v>11940</v>
      </c>
      <c r="W162">
        <v>4</v>
      </c>
    </row>
    <row r="163" spans="1:23" x14ac:dyDescent="0.25">
      <c r="A163" s="1" t="s">
        <v>11723</v>
      </c>
      <c r="B163" s="1" t="s">
        <v>11724</v>
      </c>
      <c r="C163" s="1" t="s">
        <v>7025</v>
      </c>
      <c r="D163" s="1" t="s">
        <v>11721</v>
      </c>
      <c r="E163" s="1" t="s">
        <v>426</v>
      </c>
      <c r="F163" s="1" t="s">
        <v>11722</v>
      </c>
      <c r="G163">
        <v>216668</v>
      </c>
      <c r="H163">
        <v>63</v>
      </c>
      <c r="I163" s="1" t="s">
        <v>11063</v>
      </c>
      <c r="J163" s="11">
        <v>44714.720856481479</v>
      </c>
      <c r="K163" s="1" t="s">
        <v>427</v>
      </c>
      <c r="L163" s="1">
        <f>0.643</f>
        <v>0.64300000000000002</v>
      </c>
      <c r="M163" s="1" t="b">
        <f>0.6=3</f>
        <v>0</v>
      </c>
      <c r="N163">
        <v>2</v>
      </c>
      <c r="O163" s="1">
        <v>-5.4160000000000004</v>
      </c>
      <c r="P163">
        <v>1</v>
      </c>
      <c r="Q163" s="1" t="b">
        <f>0=311</f>
        <v>0</v>
      </c>
      <c r="R163" s="1" t="b">
        <f>0=12</f>
        <v>0</v>
      </c>
      <c r="S163" s="1">
        <f>0</f>
        <v>0</v>
      </c>
      <c r="T163" s="1">
        <f>0.118</f>
        <v>0.11799999999999999</v>
      </c>
      <c r="U163" s="1">
        <f>0.42</f>
        <v>0.42</v>
      </c>
      <c r="V163" s="1" t="s">
        <v>11941</v>
      </c>
      <c r="W163">
        <v>4</v>
      </c>
    </row>
    <row r="164" spans="1:23" x14ac:dyDescent="0.25">
      <c r="A164" s="1" t="s">
        <v>11725</v>
      </c>
      <c r="B164" s="1" t="s">
        <v>11726</v>
      </c>
      <c r="C164" s="1" t="s">
        <v>7026</v>
      </c>
      <c r="D164" s="1" t="s">
        <v>11721</v>
      </c>
      <c r="E164" s="1" t="s">
        <v>428</v>
      </c>
      <c r="F164" s="1" t="s">
        <v>11722</v>
      </c>
      <c r="G164">
        <v>252912</v>
      </c>
      <c r="H164">
        <v>50</v>
      </c>
      <c r="I164" s="1" t="s">
        <v>11063</v>
      </c>
      <c r="J164" s="11">
        <v>44714.721030092594</v>
      </c>
      <c r="K164" s="1" t="s">
        <v>429</v>
      </c>
      <c r="L164" s="1">
        <f>0.487</f>
        <v>0.48699999999999999</v>
      </c>
      <c r="M164" s="1">
        <f>0.621</f>
        <v>0.621</v>
      </c>
      <c r="N164">
        <v>2</v>
      </c>
      <c r="O164" s="1">
        <v>-4.6760000000000002</v>
      </c>
      <c r="P164">
        <v>1</v>
      </c>
      <c r="Q164" s="1" t="b">
        <f>0=333</f>
        <v>0</v>
      </c>
      <c r="R164" s="1" t="b">
        <f>0=91</f>
        <v>0</v>
      </c>
      <c r="S164" s="1">
        <f>0</f>
        <v>0</v>
      </c>
      <c r="T164" s="1">
        <f>0.132</f>
        <v>0.13200000000000001</v>
      </c>
      <c r="U164" s="1">
        <f>0.178</f>
        <v>0.17799999999999999</v>
      </c>
      <c r="V164" s="1" t="s">
        <v>11942</v>
      </c>
      <c r="W164">
        <v>4</v>
      </c>
    </row>
    <row r="165" spans="1:23" x14ac:dyDescent="0.25">
      <c r="A165" s="1" t="s">
        <v>11727</v>
      </c>
      <c r="B165" s="1" t="s">
        <v>11728</v>
      </c>
      <c r="C165" s="1" t="s">
        <v>430</v>
      </c>
      <c r="D165" s="1" t="s">
        <v>11729</v>
      </c>
      <c r="E165" s="1" t="s">
        <v>431</v>
      </c>
      <c r="F165" s="1" t="s">
        <v>11730</v>
      </c>
      <c r="G165">
        <v>260422</v>
      </c>
      <c r="H165">
        <v>39</v>
      </c>
      <c r="I165" s="1" t="s">
        <v>11063</v>
      </c>
      <c r="J165" s="11">
        <v>44715.566412037035</v>
      </c>
      <c r="K165" s="1" t="s">
        <v>432</v>
      </c>
      <c r="L165" s="1">
        <f>0.72</f>
        <v>0.72</v>
      </c>
      <c r="M165" s="1">
        <f>0.727</f>
        <v>0.72699999999999998</v>
      </c>
      <c r="N165">
        <f>0</f>
        <v>0</v>
      </c>
      <c r="O165" s="1">
        <v>-3.7389999999999999</v>
      </c>
      <c r="P165">
        <v>1</v>
      </c>
      <c r="Q165" s="1" t="b">
        <f>0.1=3</f>
        <v>0</v>
      </c>
      <c r="R165" s="1" t="b">
        <f>0=0=616</f>
        <v>0</v>
      </c>
      <c r="S165" s="1" t="b">
        <f>0=0=0=0=0=11</f>
        <v>0</v>
      </c>
      <c r="T165" s="1">
        <f>0.283</f>
        <v>0.28299999999999997</v>
      </c>
      <c r="U165" s="1">
        <f>0.856</f>
        <v>0.85599999999999998</v>
      </c>
      <c r="V165" s="1" t="s">
        <v>11943</v>
      </c>
      <c r="W165">
        <v>4</v>
      </c>
    </row>
    <row r="166" spans="1:23" x14ac:dyDescent="0.25">
      <c r="A166" s="1" t="s">
        <v>11731</v>
      </c>
      <c r="B166" s="1" t="s">
        <v>11732</v>
      </c>
      <c r="C166" s="1" t="s">
        <v>433</v>
      </c>
      <c r="D166" s="1" t="s">
        <v>433</v>
      </c>
      <c r="E166" s="1" t="s">
        <v>434</v>
      </c>
      <c r="F166" s="1" t="s">
        <v>11733</v>
      </c>
      <c r="G166">
        <v>169608</v>
      </c>
      <c r="H166">
        <v>54</v>
      </c>
      <c r="I166" s="1" t="s">
        <v>11063</v>
      </c>
      <c r="J166" s="11">
        <v>44716.675046296295</v>
      </c>
      <c r="K166" s="1" t="s">
        <v>435</v>
      </c>
      <c r="L166" s="1">
        <f>0.441</f>
        <v>0.441</v>
      </c>
      <c r="M166" s="1">
        <f>0.766</f>
        <v>0.76600000000000001</v>
      </c>
      <c r="N166">
        <v>6</v>
      </c>
      <c r="O166" s="1">
        <v>-5.9210000000000003</v>
      </c>
      <c r="P166">
        <f>0</f>
        <v>0</v>
      </c>
      <c r="Q166" s="1" t="b">
        <f>0=533</f>
        <v>0</v>
      </c>
      <c r="R166" s="1" t="b">
        <f>0=181</f>
        <v>0</v>
      </c>
      <c r="S166" s="1" t="b">
        <f>0=0=0=0=0=16</f>
        <v>0</v>
      </c>
      <c r="T166" s="1" t="b">
        <f>0.5=9</f>
        <v>0</v>
      </c>
      <c r="U166" s="1">
        <f>0.52</f>
        <v>0.52</v>
      </c>
      <c r="V166" s="1" t="s">
        <v>11944</v>
      </c>
      <c r="W166">
        <v>4</v>
      </c>
    </row>
    <row r="167" spans="1:23" x14ac:dyDescent="0.25">
      <c r="A167" s="1" t="s">
        <v>11734</v>
      </c>
      <c r="B167" s="1" t="s">
        <v>11735</v>
      </c>
      <c r="C167" s="1" t="s">
        <v>2027</v>
      </c>
      <c r="D167" s="1" t="s">
        <v>11736</v>
      </c>
      <c r="E167" s="1" t="s">
        <v>436</v>
      </c>
      <c r="F167" s="1" t="s">
        <v>11737</v>
      </c>
      <c r="G167">
        <v>368316</v>
      </c>
      <c r="H167">
        <v>65</v>
      </c>
      <c r="I167" s="1" t="s">
        <v>11063</v>
      </c>
      <c r="J167" s="11">
        <v>44717.875972222224</v>
      </c>
      <c r="K167" s="1" t="s">
        <v>437</v>
      </c>
      <c r="L167" s="1">
        <f>0.689</f>
        <v>0.68899999999999995</v>
      </c>
      <c r="M167" s="1">
        <f>0.68</f>
        <v>0.68</v>
      </c>
      <c r="N167">
        <f>0</f>
        <v>0</v>
      </c>
      <c r="O167" s="1">
        <v>-7.1959999999999997</v>
      </c>
      <c r="P167">
        <f>0</f>
        <v>0</v>
      </c>
      <c r="Q167" s="1" t="b">
        <f>0=427</f>
        <v>0</v>
      </c>
      <c r="R167" s="1">
        <f>0.321</f>
        <v>0.32100000000000001</v>
      </c>
      <c r="S167" s="1" t="b">
        <f>0=211</f>
        <v>0</v>
      </c>
      <c r="T167" s="1" t="b">
        <f>0=431</f>
        <v>0</v>
      </c>
      <c r="U167" s="1">
        <f>0.646</f>
        <v>0.64600000000000002</v>
      </c>
      <c r="V167" s="1" t="s">
        <v>11945</v>
      </c>
      <c r="W167">
        <v>4</v>
      </c>
    </row>
    <row r="168" spans="1:23" x14ac:dyDescent="0.25">
      <c r="A168" s="1" t="s">
        <v>11738</v>
      </c>
      <c r="B168" s="1" t="s">
        <v>11739</v>
      </c>
      <c r="C168" s="1" t="s">
        <v>438</v>
      </c>
      <c r="D168" s="1" t="s">
        <v>438</v>
      </c>
      <c r="E168" s="1" t="s">
        <v>439</v>
      </c>
      <c r="F168" s="1" t="s">
        <v>11471</v>
      </c>
      <c r="G168">
        <v>262000</v>
      </c>
      <c r="H168">
        <v>0</v>
      </c>
      <c r="I168" s="1" t="s">
        <v>11063</v>
      </c>
      <c r="J168" s="11">
        <v>44717.877974537034</v>
      </c>
      <c r="K168" s="1" t="s">
        <v>440</v>
      </c>
      <c r="L168" s="1">
        <f>0.818</f>
        <v>0.81799999999999995</v>
      </c>
      <c r="M168" s="1">
        <f>0.595</f>
        <v>0.59499999999999997</v>
      </c>
      <c r="N168">
        <v>8</v>
      </c>
      <c r="O168" s="1">
        <v>-7.6440000000000001</v>
      </c>
      <c r="P168">
        <v>1</v>
      </c>
      <c r="Q168" s="1" t="b">
        <f>0=515</f>
        <v>0</v>
      </c>
      <c r="R168" s="1" t="b">
        <f>0=0=0=14</f>
        <v>0</v>
      </c>
      <c r="S168" s="1">
        <f>0.575</f>
        <v>0.57499999999999996</v>
      </c>
      <c r="T168" s="1" t="b">
        <f>0=612</f>
        <v>0</v>
      </c>
      <c r="U168" s="1">
        <f>0.729</f>
        <v>0.72899999999999998</v>
      </c>
      <c r="V168" s="1">
        <v>119.99</v>
      </c>
      <c r="W168">
        <v>4</v>
      </c>
    </row>
    <row r="169" spans="1:23" x14ac:dyDescent="0.25">
      <c r="A169" s="1" t="s">
        <v>11740</v>
      </c>
      <c r="B169" s="1" t="s">
        <v>11741</v>
      </c>
      <c r="C169" s="1" t="s">
        <v>441</v>
      </c>
      <c r="D169" s="1" t="s">
        <v>11742</v>
      </c>
      <c r="E169" s="1" t="s">
        <v>442</v>
      </c>
      <c r="F169" s="1" t="s">
        <v>11743</v>
      </c>
      <c r="G169">
        <v>238626</v>
      </c>
      <c r="H169">
        <v>77</v>
      </c>
      <c r="I169" s="1" t="s">
        <v>11063</v>
      </c>
      <c r="J169" s="11">
        <v>44717.882337962961</v>
      </c>
      <c r="K169" s="1" t="s">
        <v>443</v>
      </c>
      <c r="L169" s="1" t="b">
        <f>0.7=7</f>
        <v>0</v>
      </c>
      <c r="M169" s="1">
        <f>0.813</f>
        <v>0.81299999999999994</v>
      </c>
      <c r="N169">
        <v>11</v>
      </c>
      <c r="O169" s="1">
        <v>-4.5149999999999997</v>
      </c>
      <c r="P169">
        <f>0</f>
        <v>0</v>
      </c>
      <c r="Q169" s="1" t="b">
        <f>0=571</f>
        <v>0</v>
      </c>
      <c r="R169" s="1" t="b">
        <f>0=863</f>
        <v>0</v>
      </c>
      <c r="S169" s="1">
        <f>0</f>
        <v>0</v>
      </c>
      <c r="T169" s="1">
        <f>0.168</f>
        <v>0.16800000000000001</v>
      </c>
      <c r="U169" s="1">
        <f>0.722</f>
        <v>0.72199999999999998</v>
      </c>
      <c r="V169" s="1">
        <v>124.92100000000001</v>
      </c>
      <c r="W169">
        <v>4</v>
      </c>
    </row>
    <row r="170" spans="1:23" x14ac:dyDescent="0.25">
      <c r="A170" s="1" t="s">
        <v>11744</v>
      </c>
      <c r="B170" s="1" t="s">
        <v>11745</v>
      </c>
      <c r="C170" s="1" t="s">
        <v>444</v>
      </c>
      <c r="D170" s="1" t="s">
        <v>444</v>
      </c>
      <c r="E170" s="1" t="s">
        <v>445</v>
      </c>
      <c r="F170" s="1" t="s">
        <v>11746</v>
      </c>
      <c r="G170">
        <v>168750</v>
      </c>
      <c r="H170">
        <v>41</v>
      </c>
      <c r="I170" s="1" t="s">
        <v>11063</v>
      </c>
      <c r="J170" s="11">
        <v>44717.884675925925</v>
      </c>
      <c r="K170" s="1" t="s">
        <v>142</v>
      </c>
      <c r="L170" s="1">
        <f>0.565</f>
        <v>0.56499999999999995</v>
      </c>
      <c r="M170" s="1">
        <f>0.673</f>
        <v>0.67300000000000004</v>
      </c>
      <c r="N170">
        <v>11</v>
      </c>
      <c r="O170" s="1">
        <v>-7.1580000000000004</v>
      </c>
      <c r="P170">
        <f>0</f>
        <v>0</v>
      </c>
      <c r="Q170" s="1">
        <f>0.137</f>
        <v>0.13700000000000001</v>
      </c>
      <c r="R170" s="1" t="b">
        <f>0.3=5</f>
        <v>0</v>
      </c>
      <c r="S170" s="1" t="b">
        <f>0=13</f>
        <v>0</v>
      </c>
      <c r="T170" s="1">
        <f>0.131</f>
        <v>0.13100000000000001</v>
      </c>
      <c r="U170" s="1">
        <f>0.43</f>
        <v>0.43</v>
      </c>
      <c r="V170" s="1">
        <v>128.113</v>
      </c>
      <c r="W170">
        <v>4</v>
      </c>
    </row>
    <row r="171" spans="1:23" x14ac:dyDescent="0.25">
      <c r="A171" s="1" t="s">
        <v>11747</v>
      </c>
      <c r="B171" s="1" t="s">
        <v>11748</v>
      </c>
      <c r="C171" s="1" t="s">
        <v>6942</v>
      </c>
      <c r="D171" s="1" t="s">
        <v>11749</v>
      </c>
      <c r="E171" s="1" t="s">
        <v>446</v>
      </c>
      <c r="F171" s="1" t="s">
        <v>11750</v>
      </c>
      <c r="G171">
        <v>215786</v>
      </c>
      <c r="H171">
        <v>0</v>
      </c>
      <c r="I171" s="1" t="s">
        <v>11063</v>
      </c>
      <c r="J171" s="11">
        <v>44717.886666666665</v>
      </c>
      <c r="K171" s="1" t="s">
        <v>447</v>
      </c>
      <c r="L171" s="1">
        <f>0.831</f>
        <v>0.83099999999999996</v>
      </c>
      <c r="M171" s="1">
        <f>0.794</f>
        <v>0.79400000000000004</v>
      </c>
      <c r="N171">
        <v>2</v>
      </c>
      <c r="O171" s="1" t="s">
        <v>11946</v>
      </c>
      <c r="P171">
        <f>0</f>
        <v>0</v>
      </c>
      <c r="Q171" s="1" t="b">
        <f>0=752</f>
        <v>0</v>
      </c>
      <c r="R171" s="1" t="b">
        <f>0.7=5</f>
        <v>0</v>
      </c>
      <c r="S171" s="1" t="b">
        <f>0=0=0=0=34</f>
        <v>0</v>
      </c>
      <c r="T171" s="1" t="b">
        <f>0=978</f>
        <v>0</v>
      </c>
      <c r="U171" s="1">
        <f>0.735</f>
        <v>0.73499999999999999</v>
      </c>
      <c r="V171" s="1" t="s">
        <v>11947</v>
      </c>
      <c r="W171">
        <v>4</v>
      </c>
    </row>
    <row r="172" spans="1:23" x14ac:dyDescent="0.25">
      <c r="A172" s="1" t="s">
        <v>11751</v>
      </c>
      <c r="B172" s="1" t="s">
        <v>11752</v>
      </c>
      <c r="C172" s="1" t="s">
        <v>448</v>
      </c>
      <c r="D172" s="1" t="s">
        <v>11753</v>
      </c>
      <c r="E172" s="1" t="s">
        <v>449</v>
      </c>
      <c r="F172" s="1" t="s">
        <v>11754</v>
      </c>
      <c r="G172">
        <v>224745</v>
      </c>
      <c r="H172">
        <v>0</v>
      </c>
      <c r="I172" s="1" t="s">
        <v>11063</v>
      </c>
      <c r="J172" s="11">
        <v>44718.548020833332</v>
      </c>
      <c r="K172" s="1" t="s">
        <v>450</v>
      </c>
      <c r="L172" s="1">
        <f>0.779</f>
        <v>0.77900000000000003</v>
      </c>
      <c r="M172" s="1">
        <f>0.429</f>
        <v>0.42899999999999999</v>
      </c>
      <c r="N172">
        <v>6</v>
      </c>
      <c r="O172" s="1">
        <v>-11.644</v>
      </c>
      <c r="P172">
        <f>0</f>
        <v>0</v>
      </c>
      <c r="Q172" s="1" t="b">
        <f>0=394</f>
        <v>0</v>
      </c>
      <c r="R172" s="1">
        <f>0.242</f>
        <v>0.24199999999999999</v>
      </c>
      <c r="S172" s="1" t="b">
        <f>0=0=285</f>
        <v>0</v>
      </c>
      <c r="T172" s="1">
        <f>0.183</f>
        <v>0.183</v>
      </c>
      <c r="U172" s="1">
        <f>0.577</f>
        <v>0.57699999999999996</v>
      </c>
      <c r="V172" s="1" t="s">
        <v>11948</v>
      </c>
      <c r="W172">
        <v>4</v>
      </c>
    </row>
    <row r="173" spans="1:23" x14ac:dyDescent="0.25">
      <c r="A173" s="1" t="s">
        <v>11755</v>
      </c>
      <c r="B173" s="1" t="s">
        <v>11756</v>
      </c>
      <c r="C173" s="1" t="s">
        <v>451</v>
      </c>
      <c r="D173" s="1" t="s">
        <v>11757</v>
      </c>
      <c r="E173" s="1" t="s">
        <v>452</v>
      </c>
      <c r="F173" s="1" t="s">
        <v>11758</v>
      </c>
      <c r="G173">
        <v>192866</v>
      </c>
      <c r="H173">
        <v>56</v>
      </c>
      <c r="I173" s="1" t="s">
        <v>11063</v>
      </c>
      <c r="J173" s="11">
        <v>44718.594039351854</v>
      </c>
      <c r="K173" s="1" t="s">
        <v>453</v>
      </c>
      <c r="L173" s="1">
        <f>0.582</f>
        <v>0.58199999999999996</v>
      </c>
      <c r="M173" s="1">
        <f>0.897</f>
        <v>0.89700000000000002</v>
      </c>
      <c r="N173">
        <v>8</v>
      </c>
      <c r="O173" s="1">
        <v>-6.298</v>
      </c>
      <c r="P173">
        <v>1</v>
      </c>
      <c r="Q173" s="1" t="b">
        <f>0=415</f>
        <v>0</v>
      </c>
      <c r="R173" s="1" t="b">
        <f>0=0=223</f>
        <v>0</v>
      </c>
      <c r="S173" s="1" t="b">
        <f>0=196</f>
        <v>0</v>
      </c>
      <c r="T173" s="1" t="b">
        <f>0=664</f>
        <v>0</v>
      </c>
      <c r="U173" s="1" t="b">
        <f>0=775</f>
        <v>0</v>
      </c>
      <c r="V173" s="1">
        <v>125.94799999999999</v>
      </c>
      <c r="W173">
        <v>4</v>
      </c>
    </row>
    <row r="174" spans="1:23" x14ac:dyDescent="0.25">
      <c r="A174" s="1" t="s">
        <v>11759</v>
      </c>
      <c r="B174" s="1" t="s">
        <v>11374</v>
      </c>
      <c r="C174" s="1" t="s">
        <v>454</v>
      </c>
      <c r="D174" s="1" t="s">
        <v>11375</v>
      </c>
      <c r="E174" s="1" t="s">
        <v>160</v>
      </c>
      <c r="F174" s="1" t="s">
        <v>11225</v>
      </c>
      <c r="G174">
        <v>164946</v>
      </c>
      <c r="H174">
        <v>53</v>
      </c>
      <c r="I174" s="1" t="s">
        <v>11063</v>
      </c>
      <c r="J174" s="11">
        <v>44718.938414351855</v>
      </c>
      <c r="K174" s="1" t="s">
        <v>161</v>
      </c>
      <c r="L174" s="1">
        <f>0.67</f>
        <v>0.67</v>
      </c>
      <c r="M174" s="1">
        <f>0.728</f>
        <v>0.72799999999999998</v>
      </c>
      <c r="N174" t="s">
        <v>11825</v>
      </c>
      <c r="O174" s="1">
        <v>-4.7300000000000004</v>
      </c>
      <c r="P174">
        <v>1</v>
      </c>
      <c r="Q174" s="1">
        <f>0.358</f>
        <v>0.35799999999999998</v>
      </c>
      <c r="R174" s="1">
        <f>0.294</f>
        <v>0.29399999999999998</v>
      </c>
      <c r="S174" s="1">
        <f>0</f>
        <v>0</v>
      </c>
      <c r="T174" s="1">
        <f>0.143</f>
        <v>0.14299999999999999</v>
      </c>
      <c r="U174" s="1">
        <f>0.348</f>
        <v>0.34799999999999998</v>
      </c>
      <c r="V174" s="1">
        <v>92.251000000000005</v>
      </c>
      <c r="W174">
        <v>4</v>
      </c>
    </row>
    <row r="175" spans="1:23" x14ac:dyDescent="0.25">
      <c r="A175" s="1" t="s">
        <v>11760</v>
      </c>
      <c r="B175" s="1" t="s">
        <v>11761</v>
      </c>
      <c r="C175" s="1" t="s">
        <v>1980</v>
      </c>
      <c r="D175" s="1" t="s">
        <v>11762</v>
      </c>
      <c r="E175" s="1" t="s">
        <v>455</v>
      </c>
      <c r="F175" s="1" t="s">
        <v>11763</v>
      </c>
      <c r="G175">
        <v>186878</v>
      </c>
      <c r="H175">
        <v>74</v>
      </c>
      <c r="I175" s="1" t="s">
        <v>11063</v>
      </c>
      <c r="J175" s="11">
        <v>44718.997141203705</v>
      </c>
      <c r="K175" s="1" t="s">
        <v>456</v>
      </c>
      <c r="L175" s="1">
        <f>0.682</f>
        <v>0.68200000000000005</v>
      </c>
      <c r="M175" s="1">
        <f>0.7</f>
        <v>0.7</v>
      </c>
      <c r="N175">
        <v>6</v>
      </c>
      <c r="O175" s="1">
        <v>-5.5910000000000002</v>
      </c>
      <c r="P175">
        <v>1</v>
      </c>
      <c r="Q175" s="1" t="b">
        <f>0=397</f>
        <v>0</v>
      </c>
      <c r="R175" s="1" t="b">
        <f>0.4=6</f>
        <v>0</v>
      </c>
      <c r="S175" s="1">
        <f>0</f>
        <v>0</v>
      </c>
      <c r="T175" s="1">
        <f>0.174</f>
        <v>0.17399999999999999</v>
      </c>
      <c r="U175" s="1">
        <f>0.637</f>
        <v>0.63700000000000001</v>
      </c>
      <c r="V175" s="1" t="s">
        <v>11949</v>
      </c>
      <c r="W175">
        <v>4</v>
      </c>
    </row>
    <row r="176" spans="1:23" x14ac:dyDescent="0.25">
      <c r="A176" s="1" t="s">
        <v>11764</v>
      </c>
      <c r="B176" s="1" t="s">
        <v>11200</v>
      </c>
      <c r="C176" s="1" t="s">
        <v>457</v>
      </c>
      <c r="D176" s="1" t="s">
        <v>457</v>
      </c>
      <c r="E176" s="1" t="s">
        <v>458</v>
      </c>
      <c r="F176" s="1" t="s">
        <v>11765</v>
      </c>
      <c r="G176">
        <v>209438</v>
      </c>
      <c r="H176">
        <v>0</v>
      </c>
      <c r="I176" s="1" t="s">
        <v>11063</v>
      </c>
      <c r="J176" s="11">
        <v>44718.997337962966</v>
      </c>
      <c r="K176" s="1" t="s">
        <v>459</v>
      </c>
      <c r="L176" s="1">
        <f>0.824</f>
        <v>0.82399999999999995</v>
      </c>
      <c r="M176" s="1">
        <f>0.588</f>
        <v>0.58799999999999997</v>
      </c>
      <c r="N176">
        <v>6</v>
      </c>
      <c r="O176" s="1">
        <v>-6.4</v>
      </c>
      <c r="P176">
        <f>0</f>
        <v>0</v>
      </c>
      <c r="Q176" s="1" t="b">
        <f>0=924</f>
        <v>0</v>
      </c>
      <c r="R176" s="1">
        <f>0.692</f>
        <v>0.69199999999999995</v>
      </c>
      <c r="S176" s="1" t="b">
        <f>0=0=0=1=4</f>
        <v>0</v>
      </c>
      <c r="T176" s="1">
        <f>0.149</f>
        <v>0.14899999999999999</v>
      </c>
      <c r="U176" s="1">
        <f>0.513</f>
        <v>0.51300000000000001</v>
      </c>
      <c r="V176" s="1" t="s">
        <v>11950</v>
      </c>
      <c r="W176">
        <v>4</v>
      </c>
    </row>
    <row r="177" spans="1:23" x14ac:dyDescent="0.25">
      <c r="A177" s="1" t="s">
        <v>11766</v>
      </c>
      <c r="B177" s="1" t="s">
        <v>11767</v>
      </c>
      <c r="C177" s="1" t="s">
        <v>1996</v>
      </c>
      <c r="D177" s="1" t="s">
        <v>1996</v>
      </c>
      <c r="E177" s="1" t="s">
        <v>460</v>
      </c>
      <c r="F177" s="1" t="s">
        <v>11643</v>
      </c>
      <c r="G177">
        <v>140631</v>
      </c>
      <c r="H177">
        <v>56</v>
      </c>
      <c r="I177" s="1" t="s">
        <v>11063</v>
      </c>
      <c r="J177" s="11">
        <v>44719.00439814815</v>
      </c>
      <c r="K177" s="1" t="s">
        <v>461</v>
      </c>
      <c r="L177" s="1">
        <f>0.868</f>
        <v>0.86799999999999999</v>
      </c>
      <c r="M177" s="1">
        <f>0.634</f>
        <v>0.63400000000000001</v>
      </c>
      <c r="N177">
        <v>4</v>
      </c>
      <c r="O177" s="1">
        <v>-6.1219999999999999</v>
      </c>
      <c r="P177">
        <f>0</f>
        <v>0</v>
      </c>
      <c r="Q177" s="1">
        <f>0.212</f>
        <v>0.21199999999999999</v>
      </c>
      <c r="R177" s="1" t="b">
        <f>0=493</f>
        <v>0</v>
      </c>
      <c r="S177" s="1" t="b">
        <f>0=0=0=383</f>
        <v>0</v>
      </c>
      <c r="T177" s="1" t="b">
        <f>0=85</f>
        <v>0</v>
      </c>
      <c r="U177" s="1">
        <f>0.352</f>
        <v>0.35199999999999998</v>
      </c>
      <c r="V177" s="1" t="s">
        <v>11951</v>
      </c>
      <c r="W177">
        <v>4</v>
      </c>
    </row>
    <row r="178" spans="1:23" x14ac:dyDescent="0.25">
      <c r="A178" s="1" t="s">
        <v>11768</v>
      </c>
      <c r="B178" s="1" t="s">
        <v>11769</v>
      </c>
      <c r="C178" s="1" t="s">
        <v>1995</v>
      </c>
      <c r="D178" s="1" t="s">
        <v>11770</v>
      </c>
      <c r="E178" s="1" t="s">
        <v>462</v>
      </c>
      <c r="F178" s="1" t="s">
        <v>11771</v>
      </c>
      <c r="G178">
        <v>185173</v>
      </c>
      <c r="H178">
        <v>61</v>
      </c>
      <c r="I178" s="1" t="s">
        <v>11063</v>
      </c>
      <c r="J178" s="11">
        <v>44719.004652777781</v>
      </c>
      <c r="K178" s="1" t="s">
        <v>463</v>
      </c>
      <c r="L178" s="1">
        <f>0.764</f>
        <v>0.76400000000000001</v>
      </c>
      <c r="M178" s="1">
        <f>0.683</f>
        <v>0.68300000000000005</v>
      </c>
      <c r="N178">
        <v>1</v>
      </c>
      <c r="O178" s="1">
        <v>-5.6580000000000004</v>
      </c>
      <c r="P178">
        <f>0</f>
        <v>0</v>
      </c>
      <c r="Q178" s="1" t="b">
        <f>0=715</f>
        <v>0</v>
      </c>
      <c r="R178" s="1">
        <f>0.173</f>
        <v>0.17299999999999999</v>
      </c>
      <c r="S178" s="1">
        <f>0.842</f>
        <v>0.84199999999999997</v>
      </c>
      <c r="T178" s="1">
        <f>0.117</f>
        <v>0.11700000000000001</v>
      </c>
      <c r="U178" s="1">
        <f>0.141</f>
        <v>0.14099999999999999</v>
      </c>
      <c r="V178" s="1">
        <v>92.653999999999996</v>
      </c>
      <c r="W178">
        <v>4</v>
      </c>
    </row>
    <row r="179" spans="1:23" x14ac:dyDescent="0.25">
      <c r="A179" s="1" t="s">
        <v>11772</v>
      </c>
      <c r="B179" s="1" t="s">
        <v>11773</v>
      </c>
      <c r="C179" s="1" t="s">
        <v>2745</v>
      </c>
      <c r="D179" s="1" t="s">
        <v>11774</v>
      </c>
      <c r="E179" s="1" t="s">
        <v>464</v>
      </c>
      <c r="F179" s="1" t="s">
        <v>11775</v>
      </c>
      <c r="G179">
        <v>254760</v>
      </c>
      <c r="H179">
        <v>32</v>
      </c>
      <c r="I179" s="1" t="s">
        <v>11063</v>
      </c>
      <c r="J179" s="11">
        <v>44719.009409722225</v>
      </c>
      <c r="K179" s="1" t="s">
        <v>465</v>
      </c>
      <c r="L179" s="1">
        <f>0.661</f>
        <v>0.66100000000000003</v>
      </c>
      <c r="M179" s="1">
        <f>0.754</f>
        <v>0.754</v>
      </c>
      <c r="N179">
        <v>5</v>
      </c>
      <c r="O179" s="1">
        <v>-7.9630000000000001</v>
      </c>
      <c r="P179">
        <f>0</f>
        <v>0</v>
      </c>
      <c r="Q179" s="1" t="b">
        <f>0=336</f>
        <v>0</v>
      </c>
      <c r="R179" s="1" t="b">
        <f>0=0=0=269</f>
        <v>0</v>
      </c>
      <c r="S179" s="1">
        <f>0.342</f>
        <v>0.34200000000000003</v>
      </c>
      <c r="T179" s="1">
        <f>0.196</f>
        <v>0.19600000000000001</v>
      </c>
      <c r="U179" s="1" t="b">
        <f>0=584</f>
        <v>0</v>
      </c>
      <c r="V179" s="1" t="s">
        <v>11952</v>
      </c>
      <c r="W179">
        <v>4</v>
      </c>
    </row>
    <row r="180" spans="1:23" x14ac:dyDescent="0.25">
      <c r="A180" s="1" t="s">
        <v>11776</v>
      </c>
      <c r="B180" s="1" t="s">
        <v>11777</v>
      </c>
      <c r="C180" s="1" t="s">
        <v>466</v>
      </c>
      <c r="D180" s="1" t="s">
        <v>11778</v>
      </c>
      <c r="E180" s="1" t="s">
        <v>467</v>
      </c>
      <c r="F180" s="1" t="s">
        <v>11779</v>
      </c>
      <c r="G180">
        <v>191428</v>
      </c>
      <c r="H180">
        <v>30</v>
      </c>
      <c r="I180" s="1" t="s">
        <v>11063</v>
      </c>
      <c r="J180" s="11">
        <v>44719.637175925927</v>
      </c>
      <c r="K180" s="1" t="s">
        <v>50</v>
      </c>
      <c r="L180" s="1" t="b">
        <f>0.6=9</f>
        <v>0</v>
      </c>
      <c r="M180" s="1">
        <f>0.585</f>
        <v>0.58499999999999996</v>
      </c>
      <c r="N180" t="s">
        <v>11825</v>
      </c>
      <c r="O180" s="1">
        <v>-6.673</v>
      </c>
      <c r="P180">
        <f>0</f>
        <v>0</v>
      </c>
      <c r="Q180" s="1">
        <f>0.18</f>
        <v>0.18</v>
      </c>
      <c r="R180" s="1" t="b">
        <f>0=141</f>
        <v>0</v>
      </c>
      <c r="S180" s="1" t="b">
        <f>0=28</f>
        <v>0</v>
      </c>
      <c r="T180" s="1" t="b">
        <f>0=929</f>
        <v>0</v>
      </c>
      <c r="U180" s="1">
        <f>0.3</f>
        <v>0.3</v>
      </c>
      <c r="V180" s="1" t="s">
        <v>11953</v>
      </c>
      <c r="W180">
        <v>4</v>
      </c>
    </row>
    <row r="181" spans="1:23" x14ac:dyDescent="0.25">
      <c r="A181" s="1" t="s">
        <v>11780</v>
      </c>
      <c r="B181" s="1" t="s">
        <v>11781</v>
      </c>
      <c r="C181" s="1" t="s">
        <v>468</v>
      </c>
      <c r="D181" s="1" t="s">
        <v>11782</v>
      </c>
      <c r="E181" s="1" t="s">
        <v>469</v>
      </c>
      <c r="F181" s="1" t="s">
        <v>11704</v>
      </c>
      <c r="G181">
        <v>212596</v>
      </c>
      <c r="H181">
        <v>44</v>
      </c>
      <c r="I181" s="1" t="s">
        <v>11063</v>
      </c>
      <c r="J181" s="11">
        <v>44719.751597222225</v>
      </c>
      <c r="K181" s="1" t="s">
        <v>470</v>
      </c>
      <c r="L181" s="1">
        <f>0.554</f>
        <v>0.55400000000000005</v>
      </c>
      <c r="M181" s="1">
        <f>0.848</f>
        <v>0.84799999999999998</v>
      </c>
      <c r="N181">
        <v>1</v>
      </c>
      <c r="O181" s="1">
        <v>-4.8570000000000002</v>
      </c>
      <c r="P181">
        <v>1</v>
      </c>
      <c r="Q181" s="1" t="b">
        <f>0=815</f>
        <v>0</v>
      </c>
      <c r="R181" s="1" t="b">
        <f>0=0=0=867</f>
        <v>0</v>
      </c>
      <c r="S181" s="1" t="b">
        <f>0=298</f>
        <v>0</v>
      </c>
      <c r="T181" s="1">
        <f>0.42</f>
        <v>0.42</v>
      </c>
      <c r="U181" s="1">
        <f>0.561</f>
        <v>0.56100000000000005</v>
      </c>
      <c r="V181" s="1">
        <v>89.998999999999995</v>
      </c>
      <c r="W181">
        <v>4</v>
      </c>
    </row>
    <row r="182" spans="1:23" x14ac:dyDescent="0.25">
      <c r="A182" s="1" t="s">
        <v>11783</v>
      </c>
      <c r="B182" s="1" t="s">
        <v>11784</v>
      </c>
      <c r="C182" s="1" t="s">
        <v>471</v>
      </c>
      <c r="D182" s="1" t="s">
        <v>11785</v>
      </c>
      <c r="E182" s="1" t="s">
        <v>472</v>
      </c>
      <c r="F182" s="1" t="s">
        <v>11786</v>
      </c>
      <c r="G182">
        <v>138181</v>
      </c>
      <c r="H182">
        <v>32</v>
      </c>
      <c r="I182" s="1" t="s">
        <v>11063</v>
      </c>
      <c r="J182" s="11">
        <v>44720.862581018519</v>
      </c>
      <c r="K182" s="1" t="s">
        <v>50</v>
      </c>
      <c r="L182" s="1">
        <f>0.795</f>
        <v>0.79500000000000004</v>
      </c>
      <c r="M182" s="1">
        <f>0.683</f>
        <v>0.68300000000000005</v>
      </c>
      <c r="N182">
        <v>9</v>
      </c>
      <c r="O182" s="1" t="s">
        <v>11954</v>
      </c>
      <c r="P182">
        <f>0</f>
        <v>0</v>
      </c>
      <c r="Q182" s="1" t="b">
        <f>0=35</f>
        <v>0</v>
      </c>
      <c r="R182" s="1">
        <f>0.257</f>
        <v>0.25700000000000001</v>
      </c>
      <c r="S182" s="1" t="b">
        <f>0=0=0=0=688</f>
        <v>0</v>
      </c>
      <c r="T182" s="1" t="b">
        <f>0=812</f>
        <v>0</v>
      </c>
      <c r="U182" s="1">
        <f>0.886</f>
        <v>0.88600000000000001</v>
      </c>
      <c r="V182" s="1">
        <v>131.97399999999999</v>
      </c>
      <c r="W182">
        <v>4</v>
      </c>
    </row>
    <row r="183" spans="1:23" x14ac:dyDescent="0.25">
      <c r="A183" s="1" t="s">
        <v>11787</v>
      </c>
      <c r="B183" s="1" t="s">
        <v>11788</v>
      </c>
      <c r="C183" s="1" t="s">
        <v>473</v>
      </c>
      <c r="D183" s="1" t="s">
        <v>473</v>
      </c>
      <c r="E183" s="1" t="s">
        <v>474</v>
      </c>
      <c r="F183" s="1" t="s">
        <v>11789</v>
      </c>
      <c r="G183">
        <v>184000</v>
      </c>
      <c r="H183">
        <v>51</v>
      </c>
      <c r="I183" s="1" t="s">
        <v>11063</v>
      </c>
      <c r="J183" s="11">
        <v>44720.982465277775</v>
      </c>
      <c r="K183" s="1" t="s">
        <v>475</v>
      </c>
      <c r="L183" s="1">
        <f>0.59</f>
        <v>0.59</v>
      </c>
      <c r="M183" s="1">
        <f>0.469</f>
        <v>0.46899999999999997</v>
      </c>
      <c r="N183" t="s">
        <v>11825</v>
      </c>
      <c r="O183" s="1">
        <v>-7.3869999999999996</v>
      </c>
      <c r="P183">
        <f>0</f>
        <v>0</v>
      </c>
      <c r="Q183" s="1" t="b">
        <f>0=525</f>
        <v>0</v>
      </c>
      <c r="R183" s="1" t="b">
        <f>0.2=6</f>
        <v>0</v>
      </c>
      <c r="S183" s="1">
        <f>0</f>
        <v>0</v>
      </c>
      <c r="T183" s="1" t="b">
        <f>0.1=9</f>
        <v>0</v>
      </c>
      <c r="U183" s="1">
        <f>0.37</f>
        <v>0.37</v>
      </c>
      <c r="V183" s="1">
        <v>149.86000000000001</v>
      </c>
      <c r="W183">
        <v>4</v>
      </c>
    </row>
    <row r="184" spans="1:23" x14ac:dyDescent="0.25">
      <c r="A184" s="1" t="s">
        <v>11790</v>
      </c>
      <c r="B184" s="1" t="s">
        <v>11791</v>
      </c>
      <c r="C184" s="1" t="s">
        <v>476</v>
      </c>
      <c r="D184" s="1" t="s">
        <v>476</v>
      </c>
      <c r="E184" s="1" t="s">
        <v>477</v>
      </c>
      <c r="F184" s="1" t="s">
        <v>11255</v>
      </c>
      <c r="G184">
        <v>151475</v>
      </c>
      <c r="H184">
        <v>86</v>
      </c>
      <c r="I184" s="1" t="s">
        <v>11063</v>
      </c>
      <c r="J184" s="11">
        <v>44724.638784722221</v>
      </c>
      <c r="K184" s="1" t="s">
        <v>478</v>
      </c>
      <c r="L184" s="1">
        <f>0.845</f>
        <v>0.84499999999999997</v>
      </c>
      <c r="M184" s="1">
        <f>0.797</f>
        <v>0.79700000000000004</v>
      </c>
      <c r="N184">
        <v>1</v>
      </c>
      <c r="O184" s="1">
        <v>-4.984</v>
      </c>
      <c r="P184">
        <v>1</v>
      </c>
      <c r="Q184" s="1">
        <f>0.139</f>
        <v>0.13900000000000001</v>
      </c>
      <c r="R184" s="1" t="b">
        <f>0=582</f>
        <v>0</v>
      </c>
      <c r="S184" s="1" t="b">
        <f>0=0=0=0=0=557</f>
        <v>0</v>
      </c>
      <c r="T184" s="1">
        <f>0.167</f>
        <v>0.16700000000000001</v>
      </c>
      <c r="U184" s="1">
        <f>0.422</f>
        <v>0.42199999999999999</v>
      </c>
      <c r="V184" s="1">
        <v>121.985</v>
      </c>
      <c r="W184">
        <v>4</v>
      </c>
    </row>
    <row r="185" spans="1:23" x14ac:dyDescent="0.25">
      <c r="A185" s="1" t="s">
        <v>11792</v>
      </c>
      <c r="B185" s="1" t="s">
        <v>11793</v>
      </c>
      <c r="C185" s="1" t="s">
        <v>1935</v>
      </c>
      <c r="D185" s="1" t="s">
        <v>11794</v>
      </c>
      <c r="E185" s="1" t="s">
        <v>479</v>
      </c>
      <c r="F185" s="1" t="s">
        <v>11795</v>
      </c>
      <c r="G185">
        <v>128371</v>
      </c>
      <c r="H185">
        <v>71</v>
      </c>
      <c r="I185" s="1" t="s">
        <v>11063</v>
      </c>
      <c r="J185" s="11">
        <v>44725.051817129628</v>
      </c>
      <c r="K185" s="1" t="s">
        <v>480</v>
      </c>
      <c r="L185" s="1">
        <f>0.53</f>
        <v>0.53</v>
      </c>
      <c r="M185" s="1">
        <f>0.82</f>
        <v>0.82</v>
      </c>
      <c r="N185">
        <v>4</v>
      </c>
      <c r="O185" s="1">
        <v>-4.9359999999999999</v>
      </c>
      <c r="P185">
        <f>0</f>
        <v>0</v>
      </c>
      <c r="Q185" s="1" t="b">
        <f>0=438</f>
        <v>0</v>
      </c>
      <c r="R185" s="1">
        <f>0.154</f>
        <v>0.154</v>
      </c>
      <c r="S185" s="1" t="b">
        <f>0=0=0=0=0=271</f>
        <v>0</v>
      </c>
      <c r="T185" s="1">
        <f>0.14</f>
        <v>0.14000000000000001</v>
      </c>
      <c r="U185" s="1">
        <f>0.355</f>
        <v>0.35499999999999998</v>
      </c>
      <c r="V185" s="1">
        <v>171.93299999999999</v>
      </c>
      <c r="W185">
        <v>4</v>
      </c>
    </row>
    <row r="186" spans="1:23" x14ac:dyDescent="0.25">
      <c r="A186" s="1" t="s">
        <v>11796</v>
      </c>
      <c r="B186" s="1" t="s">
        <v>11797</v>
      </c>
      <c r="C186" s="1" t="s">
        <v>481</v>
      </c>
      <c r="D186" s="1" t="s">
        <v>482</v>
      </c>
      <c r="E186" s="1" t="s">
        <v>482</v>
      </c>
      <c r="F186" s="1" t="s">
        <v>11798</v>
      </c>
      <c r="G186">
        <v>219146</v>
      </c>
      <c r="H186">
        <v>81</v>
      </c>
      <c r="I186" s="1" t="s">
        <v>11063</v>
      </c>
      <c r="J186" s="11">
        <v>44725.052106481482</v>
      </c>
      <c r="K186" s="1" t="s">
        <v>235</v>
      </c>
      <c r="L186" s="1">
        <f>0.774</f>
        <v>0.77400000000000002</v>
      </c>
      <c r="M186" s="1">
        <f>0.753</f>
        <v>0.753</v>
      </c>
      <c r="N186">
        <v>4</v>
      </c>
      <c r="O186" s="1">
        <v>-5.4459999999999997</v>
      </c>
      <c r="P186">
        <f>0</f>
        <v>0</v>
      </c>
      <c r="Q186" s="1" t="b">
        <f>0=517</f>
        <v>0</v>
      </c>
      <c r="R186" s="1">
        <f>0.152</f>
        <v>0.152</v>
      </c>
      <c r="S186" s="1">
        <f>0</f>
        <v>0</v>
      </c>
      <c r="T186" s="1" t="b">
        <f>0=371</f>
        <v>0</v>
      </c>
      <c r="U186" s="1">
        <f>0.896</f>
        <v>0.89600000000000002</v>
      </c>
      <c r="V186" s="1" t="s">
        <v>11955</v>
      </c>
      <c r="W186">
        <v>4</v>
      </c>
    </row>
    <row r="187" spans="1:23" x14ac:dyDescent="0.25">
      <c r="A187" s="1" t="s">
        <v>11799</v>
      </c>
      <c r="B187" s="1" t="s">
        <v>11800</v>
      </c>
      <c r="C187" s="1" t="s">
        <v>483</v>
      </c>
      <c r="D187" s="1" t="s">
        <v>483</v>
      </c>
      <c r="E187" s="1" t="s">
        <v>484</v>
      </c>
      <c r="F187" s="1" t="s">
        <v>11369</v>
      </c>
      <c r="G187">
        <v>176971</v>
      </c>
      <c r="H187">
        <v>65</v>
      </c>
      <c r="I187" s="1" t="s">
        <v>11063</v>
      </c>
      <c r="J187" s="11">
        <v>44725.596724537034</v>
      </c>
      <c r="K187" s="1" t="s">
        <v>463</v>
      </c>
      <c r="L187" s="1">
        <f>0.59</f>
        <v>0.59</v>
      </c>
      <c r="M187" s="1">
        <f>0.786</f>
        <v>0.78600000000000003</v>
      </c>
      <c r="N187">
        <v>7</v>
      </c>
      <c r="O187" s="1">
        <v>-7.3860000000000001</v>
      </c>
      <c r="P187">
        <v>1</v>
      </c>
      <c r="Q187" s="1">
        <f>0.199</f>
        <v>0.19900000000000001</v>
      </c>
      <c r="R187" s="1" t="b">
        <f>0=3=6</f>
        <v>0</v>
      </c>
      <c r="S187" s="1">
        <f>0</f>
        <v>0</v>
      </c>
      <c r="T187" s="1">
        <f>0.152</f>
        <v>0.152</v>
      </c>
      <c r="U187" s="1">
        <f>0.485</f>
        <v>0.48499999999999999</v>
      </c>
      <c r="V187" s="1">
        <v>144.98699999999999</v>
      </c>
      <c r="W187">
        <v>4</v>
      </c>
    </row>
    <row r="188" spans="1:23" x14ac:dyDescent="0.25">
      <c r="A188" s="1" t="s">
        <v>11801</v>
      </c>
      <c r="B188" s="1" t="s">
        <v>11802</v>
      </c>
      <c r="C188" s="1" t="s">
        <v>7982</v>
      </c>
      <c r="D188" s="1" t="s">
        <v>11215</v>
      </c>
      <c r="E188" s="1" t="s">
        <v>485</v>
      </c>
      <c r="F188" s="1" t="s">
        <v>11598</v>
      </c>
      <c r="G188">
        <v>289760</v>
      </c>
      <c r="H188">
        <v>45</v>
      </c>
      <c r="I188" s="1" t="s">
        <v>11063</v>
      </c>
      <c r="J188" s="11">
        <v>44726.704780092594</v>
      </c>
      <c r="K188" s="1" t="s">
        <v>320</v>
      </c>
      <c r="L188" s="1">
        <f>0.565</f>
        <v>0.56499999999999995</v>
      </c>
      <c r="M188" s="1">
        <f>0.625</f>
        <v>0.625</v>
      </c>
      <c r="N188" t="s">
        <v>11825</v>
      </c>
      <c r="O188" s="1">
        <v>-5.617</v>
      </c>
      <c r="P188">
        <f>0</f>
        <v>0</v>
      </c>
      <c r="Q188" s="1" t="b">
        <f>0=979</f>
        <v>0</v>
      </c>
      <c r="R188" s="1">
        <f>0.214</f>
        <v>0.214</v>
      </c>
      <c r="S188" s="1" t="b">
        <f>0=0=286</f>
        <v>0</v>
      </c>
      <c r="T188" s="1" t="b">
        <f>0=884</f>
        <v>0</v>
      </c>
      <c r="U188" s="1">
        <f>0.631</f>
        <v>0.63100000000000001</v>
      </c>
      <c r="V188" s="1">
        <v>114.821</v>
      </c>
      <c r="W188">
        <v>4</v>
      </c>
    </row>
    <row r="189" spans="1:23" x14ac:dyDescent="0.25">
      <c r="A189" s="1" t="s">
        <v>11803</v>
      </c>
      <c r="B189" s="1" t="s">
        <v>11804</v>
      </c>
      <c r="C189" s="1" t="s">
        <v>486</v>
      </c>
      <c r="D189" s="1" t="s">
        <v>486</v>
      </c>
      <c r="E189" s="1" t="s">
        <v>487</v>
      </c>
      <c r="F189" s="1" t="s">
        <v>11449</v>
      </c>
      <c r="G189">
        <v>130412</v>
      </c>
      <c r="H189">
        <v>48</v>
      </c>
      <c r="I189" s="1" t="s">
        <v>11063</v>
      </c>
      <c r="J189" s="11">
        <v>44726.924409722225</v>
      </c>
      <c r="K189" s="1" t="s">
        <v>405</v>
      </c>
      <c r="L189" s="1">
        <f>0.731</f>
        <v>0.73099999999999998</v>
      </c>
      <c r="M189" s="1" t="b">
        <f>0.9=4</f>
        <v>0</v>
      </c>
      <c r="N189" t="s">
        <v>11825</v>
      </c>
      <c r="O189" s="1">
        <v>-4.774</v>
      </c>
      <c r="P189">
        <f>0</f>
        <v>0</v>
      </c>
      <c r="Q189" s="1" t="b">
        <f>0=349</f>
        <v>0</v>
      </c>
      <c r="R189" s="1" t="b">
        <f>0=0=861</f>
        <v>0</v>
      </c>
      <c r="S189" s="1" t="b">
        <f>0=0=0=164</f>
        <v>0</v>
      </c>
      <c r="T189" s="1" t="b">
        <f>0=916</f>
        <v>0</v>
      </c>
      <c r="U189" s="1">
        <f>0.328</f>
        <v>0.32800000000000001</v>
      </c>
      <c r="V189" s="1" t="s">
        <v>11956</v>
      </c>
      <c r="W189">
        <v>4</v>
      </c>
    </row>
    <row r="190" spans="1:23" x14ac:dyDescent="0.25">
      <c r="A190" s="1" t="s">
        <v>11805</v>
      </c>
      <c r="B190" s="1" t="s">
        <v>11806</v>
      </c>
      <c r="C190" s="1" t="s">
        <v>488</v>
      </c>
      <c r="D190" s="1" t="s">
        <v>488</v>
      </c>
      <c r="E190" s="1" t="s">
        <v>489</v>
      </c>
      <c r="F190" s="1" t="s">
        <v>11807</v>
      </c>
      <c r="G190">
        <v>155588</v>
      </c>
      <c r="H190">
        <v>77</v>
      </c>
      <c r="I190" s="1" t="s">
        <v>11063</v>
      </c>
      <c r="J190" s="11">
        <v>44727.92763888889</v>
      </c>
      <c r="K190" s="1" t="s">
        <v>490</v>
      </c>
      <c r="L190" s="1">
        <f>0.912</f>
        <v>0.91200000000000003</v>
      </c>
      <c r="M190" s="1">
        <f>0.774</f>
        <v>0.77400000000000002</v>
      </c>
      <c r="N190">
        <f>0</f>
        <v>0</v>
      </c>
      <c r="O190" s="1">
        <v>-4.673</v>
      </c>
      <c r="P190">
        <f>0</f>
        <v>0</v>
      </c>
      <c r="Q190" s="1" t="b">
        <f>0=455</f>
        <v>0</v>
      </c>
      <c r="R190" s="1">
        <f>0.121</f>
        <v>0.121</v>
      </c>
      <c r="S190" s="1" t="b">
        <f>0=127</f>
        <v>0</v>
      </c>
      <c r="T190" s="1" t="b">
        <f>0.1=1</f>
        <v>0</v>
      </c>
      <c r="U190" s="1">
        <f>0.632</f>
        <v>0.63200000000000001</v>
      </c>
      <c r="V190" s="1">
        <v>119.96599999999999</v>
      </c>
      <c r="W190">
        <v>4</v>
      </c>
    </row>
    <row r="191" spans="1:23" x14ac:dyDescent="0.25">
      <c r="A191" s="1" t="s">
        <v>11808</v>
      </c>
      <c r="B191" s="1" t="s">
        <v>11809</v>
      </c>
      <c r="C191" s="1" t="s">
        <v>491</v>
      </c>
      <c r="D191" s="1" t="s">
        <v>491</v>
      </c>
      <c r="E191" s="1" t="s">
        <v>492</v>
      </c>
      <c r="F191" s="1" t="s">
        <v>11795</v>
      </c>
      <c r="G191">
        <v>171840</v>
      </c>
      <c r="H191">
        <v>67</v>
      </c>
      <c r="I191" s="1" t="s">
        <v>11063</v>
      </c>
      <c r="J191" s="11">
        <v>44728.567314814813</v>
      </c>
      <c r="K191" s="1" t="s">
        <v>493</v>
      </c>
      <c r="L191" s="1">
        <f>0.713</f>
        <v>0.71299999999999997</v>
      </c>
      <c r="M191" s="1">
        <f>0.772</f>
        <v>0.77200000000000002</v>
      </c>
      <c r="N191">
        <v>2</v>
      </c>
      <c r="O191" s="1" t="s">
        <v>11957</v>
      </c>
      <c r="P191">
        <v>1</v>
      </c>
      <c r="Q191" s="1" t="b">
        <f>0=313</f>
        <v>0</v>
      </c>
      <c r="R191" s="1">
        <f>0.157</f>
        <v>0.157</v>
      </c>
      <c r="S191" s="1">
        <f>0</f>
        <v>0</v>
      </c>
      <c r="T191" s="1">
        <f>0.153</f>
        <v>0.153</v>
      </c>
      <c r="U191" s="1">
        <f>0.523</f>
        <v>0.52300000000000002</v>
      </c>
      <c r="V191" s="1" t="s">
        <v>11958</v>
      </c>
      <c r="W191">
        <v>4</v>
      </c>
    </row>
    <row r="192" spans="1:23" x14ac:dyDescent="0.25">
      <c r="A192" s="1" t="s">
        <v>11810</v>
      </c>
      <c r="B192" s="1" t="s">
        <v>11811</v>
      </c>
      <c r="C192" s="1" t="s">
        <v>494</v>
      </c>
      <c r="D192" s="1" t="s">
        <v>494</v>
      </c>
      <c r="E192" s="1" t="s">
        <v>495</v>
      </c>
      <c r="F192" s="1" t="s">
        <v>11812</v>
      </c>
      <c r="G192">
        <v>185661</v>
      </c>
      <c r="H192">
        <v>54</v>
      </c>
      <c r="I192" s="1" t="s">
        <v>11063</v>
      </c>
      <c r="J192" s="11">
        <v>44729.539988425924</v>
      </c>
      <c r="K192" s="1" t="s">
        <v>496</v>
      </c>
      <c r="L192" s="1">
        <f>0.844</f>
        <v>0.84399999999999997</v>
      </c>
      <c r="M192" s="1">
        <f>0.688</f>
        <v>0.68799999999999994</v>
      </c>
      <c r="N192">
        <v>1</v>
      </c>
      <c r="O192" s="1">
        <v>-7.8789999999999996</v>
      </c>
      <c r="P192">
        <f>0</f>
        <v>0</v>
      </c>
      <c r="Q192" s="1" t="b">
        <f>0=49</f>
        <v>0</v>
      </c>
      <c r="R192" s="1" t="b">
        <f>0=129</f>
        <v>0</v>
      </c>
      <c r="S192" s="1" t="b">
        <f>0=0=0=0=539</f>
        <v>0</v>
      </c>
      <c r="T192" s="1" t="b">
        <f>0=492</f>
        <v>0</v>
      </c>
      <c r="U192" s="1">
        <f>0.695</f>
        <v>0.69499999999999995</v>
      </c>
      <c r="V192" s="1">
        <v>124.992</v>
      </c>
      <c r="W192">
        <v>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AB3B6-C382-4A33-89E5-6C37B7266FAA}">
  <sheetPr codeName="Sheet28"/>
  <dimension ref="A1:W198"/>
  <sheetViews>
    <sheetView topLeftCell="J1" workbookViewId="0">
      <selection activeCell="L1" sqref="L1:W1048576"/>
    </sheetView>
  </sheetViews>
  <sheetFormatPr defaultRowHeight="15" x14ac:dyDescent="0.25"/>
  <cols>
    <col min="1" max="1" width="28.140625" bestFit="1" customWidth="1"/>
    <col min="2" max="2" width="81.140625" bestFit="1" customWidth="1"/>
    <col min="3" max="3" width="59.7109375" bestFit="1" customWidth="1"/>
    <col min="4" max="4" width="54.5703125" bestFit="1" customWidth="1"/>
    <col min="5" max="5" width="51.140625" bestFit="1" customWidth="1"/>
    <col min="6" max="6" width="14.85546875" bestFit="1" customWidth="1"/>
    <col min="7" max="7" width="15.5703125" bestFit="1" customWidth="1"/>
    <col min="8" max="8" width="12.42578125" bestFit="1" customWidth="1"/>
    <col min="9" max="9" width="36.85546875" bestFit="1" customWidth="1"/>
    <col min="10" max="10" width="15.85546875" bestFit="1" customWidth="1"/>
    <col min="11" max="11" width="81.140625" bestFit="1" customWidth="1"/>
    <col min="12" max="12" width="14.28515625" bestFit="1" customWidth="1"/>
    <col min="13" max="13" width="9.28515625" bestFit="1" customWidth="1"/>
    <col min="14" max="14" width="6.5703125" bestFit="1" customWidth="1"/>
    <col min="15" max="15" width="11.5703125" bestFit="1" customWidth="1"/>
    <col min="16" max="16" width="8.5703125" bestFit="1" customWidth="1"/>
    <col min="17" max="17" width="14.28515625" bestFit="1" customWidth="1"/>
    <col min="18" max="18" width="14.7109375" bestFit="1" customWidth="1"/>
    <col min="19" max="19" width="18.85546875" bestFit="1" customWidth="1"/>
    <col min="20" max="20" width="10.85546875" bestFit="1" customWidth="1"/>
    <col min="21" max="21" width="10.42578125" bestFit="1" customWidth="1"/>
    <col min="22" max="22" width="9.42578125" bestFit="1" customWidth="1"/>
    <col min="23" max="23" width="16.7109375" bestFit="1" customWidth="1"/>
  </cols>
  <sheetData>
    <row r="1" spans="1:23" x14ac:dyDescent="0.25">
      <c r="A1" t="s">
        <v>11055</v>
      </c>
      <c r="B1" t="s">
        <v>11056</v>
      </c>
      <c r="C1" t="s">
        <v>0</v>
      </c>
      <c r="D1" t="s">
        <v>11057</v>
      </c>
      <c r="E1" t="s">
        <v>1</v>
      </c>
      <c r="F1" t="s">
        <v>11058</v>
      </c>
      <c r="G1" t="s">
        <v>2</v>
      </c>
      <c r="H1" t="s">
        <v>3</v>
      </c>
      <c r="I1" t="s">
        <v>11059</v>
      </c>
      <c r="J1" t="s">
        <v>11060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</row>
    <row r="2" spans="1:23" x14ac:dyDescent="0.25">
      <c r="A2" s="1" t="s">
        <v>11959</v>
      </c>
      <c r="B2" s="1" t="s">
        <v>11960</v>
      </c>
      <c r="C2" s="1" t="s">
        <v>498</v>
      </c>
      <c r="D2" s="1" t="s">
        <v>498</v>
      </c>
      <c r="E2" s="1" t="s">
        <v>499</v>
      </c>
      <c r="F2" s="10">
        <v>43266</v>
      </c>
      <c r="G2">
        <v>251245</v>
      </c>
      <c r="H2">
        <v>25</v>
      </c>
      <c r="I2" s="1" t="s">
        <v>11961</v>
      </c>
      <c r="J2" s="11">
        <v>43445.775925925926</v>
      </c>
      <c r="K2" s="1" t="s">
        <v>500</v>
      </c>
      <c r="L2" s="1">
        <f>0.597</f>
        <v>0.59699999999999998</v>
      </c>
      <c r="M2" s="1">
        <f>0.947</f>
        <v>0.94699999999999995</v>
      </c>
      <c r="N2">
        <v>1</v>
      </c>
      <c r="O2" s="1">
        <v>-7.68</v>
      </c>
      <c r="P2">
        <v>1</v>
      </c>
      <c r="Q2" s="1" t="b">
        <f>0=4=8</f>
        <v>0</v>
      </c>
      <c r="R2" s="1" t="b">
        <f>0=36</f>
        <v>0</v>
      </c>
      <c r="S2" s="1">
        <f>0.826</f>
        <v>0.82599999999999996</v>
      </c>
      <c r="T2" s="1" t="b">
        <f>0=921</f>
        <v>0</v>
      </c>
      <c r="U2" s="1">
        <f>0.33</f>
        <v>0.33</v>
      </c>
      <c r="V2" s="1" t="s">
        <v>12423</v>
      </c>
      <c r="W2">
        <v>4</v>
      </c>
    </row>
    <row r="3" spans="1:23" x14ac:dyDescent="0.25">
      <c r="A3" s="1" t="s">
        <v>11962</v>
      </c>
      <c r="B3" s="1" t="s">
        <v>11963</v>
      </c>
      <c r="C3" s="1" t="s">
        <v>501</v>
      </c>
      <c r="D3" s="1" t="s">
        <v>501</v>
      </c>
      <c r="E3" s="1" t="s">
        <v>502</v>
      </c>
      <c r="F3" s="10">
        <v>43358</v>
      </c>
      <c r="G3">
        <v>236571</v>
      </c>
      <c r="H3">
        <v>32</v>
      </c>
      <c r="I3" s="1" t="s">
        <v>11961</v>
      </c>
      <c r="J3" s="11">
        <v>43446.705671296295</v>
      </c>
      <c r="K3" s="1" t="s">
        <v>503</v>
      </c>
      <c r="L3" s="1">
        <f>0.616</f>
        <v>0.61599999999999999</v>
      </c>
      <c r="M3" s="1" t="b">
        <f>0.9=1</f>
        <v>0</v>
      </c>
      <c r="N3">
        <v>11</v>
      </c>
      <c r="O3" s="1">
        <v>-4.125</v>
      </c>
      <c r="P3">
        <f>0</f>
        <v>0</v>
      </c>
      <c r="Q3" s="1" t="b">
        <f>0=81</f>
        <v>0</v>
      </c>
      <c r="R3" s="1" t="b">
        <f>0=119</f>
        <v>0</v>
      </c>
      <c r="S3" s="1">
        <f>0.577</f>
        <v>0.57699999999999996</v>
      </c>
      <c r="T3" s="1">
        <f>0.133</f>
        <v>0.13300000000000001</v>
      </c>
      <c r="U3" s="1">
        <f>0.248</f>
        <v>0.248</v>
      </c>
      <c r="V3" s="1" t="s">
        <v>12424</v>
      </c>
      <c r="W3">
        <v>4</v>
      </c>
    </row>
    <row r="4" spans="1:23" x14ac:dyDescent="0.25">
      <c r="A4" s="1" t="s">
        <v>11694</v>
      </c>
      <c r="B4" s="1" t="s">
        <v>11695</v>
      </c>
      <c r="C4" s="1" t="s">
        <v>403</v>
      </c>
      <c r="D4" s="1" t="s">
        <v>403</v>
      </c>
      <c r="E4" s="1" t="s">
        <v>404</v>
      </c>
      <c r="F4" s="10">
        <v>43238</v>
      </c>
      <c r="G4">
        <v>183518</v>
      </c>
      <c r="H4">
        <v>45</v>
      </c>
      <c r="I4" s="1" t="s">
        <v>11961</v>
      </c>
      <c r="J4" s="11">
        <v>43469.562743055554</v>
      </c>
      <c r="K4" s="1" t="s">
        <v>405</v>
      </c>
      <c r="L4" s="1">
        <f>0.612</f>
        <v>0.61199999999999999</v>
      </c>
      <c r="M4" s="1">
        <f>0.963</f>
        <v>0.96299999999999997</v>
      </c>
      <c r="N4">
        <v>5</v>
      </c>
      <c r="O4" s="1">
        <v>-3.9119999999999999</v>
      </c>
      <c r="P4">
        <f>0</f>
        <v>0</v>
      </c>
      <c r="Q4" s="1" t="b">
        <f>0=531</f>
        <v>0</v>
      </c>
      <c r="R4" s="1" t="b">
        <f>0=0=897</f>
        <v>0</v>
      </c>
      <c r="S4" s="1" t="b">
        <f>0=0=378</f>
        <v>0</v>
      </c>
      <c r="T4" s="1">
        <f>0.294</f>
        <v>0.29399999999999998</v>
      </c>
      <c r="U4" s="1">
        <f>0.179</f>
        <v>0.17899999999999999</v>
      </c>
      <c r="V4" s="1" t="s">
        <v>11932</v>
      </c>
      <c r="W4">
        <v>4</v>
      </c>
    </row>
    <row r="5" spans="1:23" x14ac:dyDescent="0.25">
      <c r="A5" s="1" t="s">
        <v>11964</v>
      </c>
      <c r="B5" s="1" t="s">
        <v>11965</v>
      </c>
      <c r="C5" s="1" t="s">
        <v>504</v>
      </c>
      <c r="D5" s="1" t="s">
        <v>504</v>
      </c>
      <c r="E5" s="1" t="s">
        <v>505</v>
      </c>
      <c r="F5" s="10">
        <v>43399</v>
      </c>
      <c r="G5">
        <v>213985</v>
      </c>
      <c r="H5">
        <v>44</v>
      </c>
      <c r="I5" s="1" t="s">
        <v>11961</v>
      </c>
      <c r="J5" s="11">
        <v>43471.74359953704</v>
      </c>
      <c r="K5" s="1" t="s">
        <v>506</v>
      </c>
      <c r="L5" s="1">
        <f>0.475</f>
        <v>0.47499999999999998</v>
      </c>
      <c r="M5" s="1">
        <f>0.914</f>
        <v>0.91400000000000003</v>
      </c>
      <c r="N5">
        <f>0</f>
        <v>0</v>
      </c>
      <c r="O5" s="1">
        <v>-4.2549999999999999</v>
      </c>
      <c r="P5">
        <f>0</f>
        <v>0</v>
      </c>
      <c r="Q5" s="1" t="b">
        <f>0=555</f>
        <v>0</v>
      </c>
      <c r="R5" s="1" t="b">
        <f>0=34</f>
        <v>0</v>
      </c>
      <c r="S5" s="1" t="b">
        <f>0=0=0=2=2</f>
        <v>0</v>
      </c>
      <c r="T5" s="1">
        <f>0.277</f>
        <v>0.27700000000000002</v>
      </c>
      <c r="U5" s="1">
        <f>0.156</f>
        <v>0.156</v>
      </c>
      <c r="V5" s="1" t="s">
        <v>12425</v>
      </c>
      <c r="W5">
        <v>4</v>
      </c>
    </row>
    <row r="6" spans="1:23" x14ac:dyDescent="0.25">
      <c r="A6" s="1" t="s">
        <v>11966</v>
      </c>
      <c r="B6" s="1" t="s">
        <v>11967</v>
      </c>
      <c r="C6" s="1" t="s">
        <v>507</v>
      </c>
      <c r="D6" s="1" t="s">
        <v>11968</v>
      </c>
      <c r="E6" s="1" t="s">
        <v>508</v>
      </c>
      <c r="F6" s="10">
        <v>42579</v>
      </c>
      <c r="G6">
        <v>402306</v>
      </c>
      <c r="H6">
        <v>0</v>
      </c>
      <c r="I6" s="1" t="s">
        <v>11961</v>
      </c>
      <c r="J6" s="11">
        <v>43471.745868055557</v>
      </c>
      <c r="K6" s="1" t="s">
        <v>509</v>
      </c>
      <c r="L6" s="1">
        <f>0.475</f>
        <v>0.47499999999999998</v>
      </c>
      <c r="M6" s="1">
        <f>0.756</f>
        <v>0.75600000000000001</v>
      </c>
      <c r="N6" t="s">
        <v>11825</v>
      </c>
      <c r="O6" s="1">
        <v>-6.9160000000000004</v>
      </c>
      <c r="P6">
        <f>0</f>
        <v>0</v>
      </c>
      <c r="Q6" s="1" t="b">
        <f>0=681</f>
        <v>0</v>
      </c>
      <c r="R6" s="1" t="b">
        <f>0=285</f>
        <v>0</v>
      </c>
      <c r="S6" s="1">
        <f>0.786</f>
        <v>0.78600000000000003</v>
      </c>
      <c r="T6" s="1">
        <f>0.137</f>
        <v>0.13700000000000001</v>
      </c>
      <c r="U6" s="1" t="b">
        <f>0=382</f>
        <v>0</v>
      </c>
      <c r="V6" s="1">
        <v>138.99</v>
      </c>
      <c r="W6">
        <v>4</v>
      </c>
    </row>
    <row r="7" spans="1:23" x14ac:dyDescent="0.25">
      <c r="A7" s="1" t="s">
        <v>11969</v>
      </c>
      <c r="B7" s="1" t="s">
        <v>11970</v>
      </c>
      <c r="C7" s="1" t="s">
        <v>510</v>
      </c>
      <c r="D7" s="1" t="s">
        <v>11971</v>
      </c>
      <c r="E7" s="1" t="s">
        <v>511</v>
      </c>
      <c r="F7" s="10">
        <v>42107</v>
      </c>
      <c r="G7">
        <v>475652</v>
      </c>
      <c r="H7">
        <v>0</v>
      </c>
      <c r="I7" s="1" t="s">
        <v>11961</v>
      </c>
      <c r="J7" s="11">
        <v>43558.639965277776</v>
      </c>
      <c r="K7" s="1" t="s">
        <v>512</v>
      </c>
      <c r="L7" s="1" t="b">
        <f>0.6=4</f>
        <v>0</v>
      </c>
      <c r="M7" s="1">
        <f>0.956</f>
        <v>0.95599999999999996</v>
      </c>
      <c r="N7">
        <v>6</v>
      </c>
      <c r="O7" s="1">
        <v>-6.5129999999999999</v>
      </c>
      <c r="P7">
        <f>0</f>
        <v>0</v>
      </c>
      <c r="Q7" s="1">
        <f>0.12</f>
        <v>0.12</v>
      </c>
      <c r="R7" s="1" t="b">
        <f>0=0=728</f>
        <v>0</v>
      </c>
      <c r="S7" s="1">
        <f>0.49</f>
        <v>0.49</v>
      </c>
      <c r="T7" s="1">
        <f>0.919</f>
        <v>0.91900000000000004</v>
      </c>
      <c r="U7" s="1">
        <f>0.181</f>
        <v>0.18099999999999999</v>
      </c>
      <c r="V7" s="1" t="s">
        <v>12426</v>
      </c>
      <c r="W7">
        <v>4</v>
      </c>
    </row>
    <row r="8" spans="1:23" x14ac:dyDescent="0.25">
      <c r="A8" s="1" t="s">
        <v>11972</v>
      </c>
      <c r="B8" s="1" t="s">
        <v>11973</v>
      </c>
      <c r="C8" s="1" t="s">
        <v>513</v>
      </c>
      <c r="D8" s="1" t="s">
        <v>513</v>
      </c>
      <c r="E8" s="1" t="s">
        <v>514</v>
      </c>
      <c r="F8" s="10">
        <v>43493</v>
      </c>
      <c r="G8">
        <v>342348</v>
      </c>
      <c r="H8">
        <v>48</v>
      </c>
      <c r="I8" s="1" t="s">
        <v>11961</v>
      </c>
      <c r="J8" s="11">
        <v>43652.987175925926</v>
      </c>
      <c r="K8" s="1" t="s">
        <v>515</v>
      </c>
      <c r="L8" s="1">
        <f>0.377</f>
        <v>0.377</v>
      </c>
      <c r="M8" s="1">
        <f>0.976</f>
        <v>0.97599999999999998</v>
      </c>
      <c r="N8">
        <v>9</v>
      </c>
      <c r="O8" s="1">
        <v>-2.4449999999999998</v>
      </c>
      <c r="P8">
        <v>1</v>
      </c>
      <c r="Q8" s="1">
        <f>0.142</f>
        <v>0.14199999999999999</v>
      </c>
      <c r="R8" s="1" t="b">
        <f>0=462</f>
        <v>0</v>
      </c>
      <c r="S8" s="1">
        <f>0.781</f>
        <v>0.78100000000000003</v>
      </c>
      <c r="T8" s="1" t="b">
        <f>0=874</f>
        <v>0</v>
      </c>
      <c r="U8" s="1">
        <f>0.225</f>
        <v>0.22500000000000001</v>
      </c>
      <c r="V8" s="1" t="s">
        <v>12427</v>
      </c>
      <c r="W8">
        <v>4</v>
      </c>
    </row>
    <row r="9" spans="1:23" x14ac:dyDescent="0.25">
      <c r="A9" s="1" t="s">
        <v>11974</v>
      </c>
      <c r="B9" s="1" t="s">
        <v>11975</v>
      </c>
      <c r="C9" s="1" t="s">
        <v>11976</v>
      </c>
      <c r="D9" s="1" t="s">
        <v>11977</v>
      </c>
      <c r="E9" s="1" t="s">
        <v>516</v>
      </c>
      <c r="F9" s="10">
        <v>42401</v>
      </c>
      <c r="G9">
        <v>474782</v>
      </c>
      <c r="H9">
        <v>0</v>
      </c>
      <c r="I9" s="1" t="s">
        <v>11961</v>
      </c>
      <c r="J9" s="11">
        <v>43747.405138888891</v>
      </c>
      <c r="K9" s="1" t="s">
        <v>517</v>
      </c>
      <c r="L9" s="1">
        <f>0.383</f>
        <v>0.38300000000000001</v>
      </c>
      <c r="M9" s="1">
        <f>0.947</f>
        <v>0.94699999999999995</v>
      </c>
      <c r="N9">
        <v>1</v>
      </c>
      <c r="O9" s="1">
        <v>-5.93</v>
      </c>
      <c r="P9">
        <v>1</v>
      </c>
      <c r="Q9" s="1" t="b">
        <f>0=654</f>
        <v>0</v>
      </c>
      <c r="R9" s="1" t="b">
        <f>0=131</f>
        <v>0</v>
      </c>
      <c r="S9" s="1">
        <f>0.697</f>
        <v>0.69699999999999995</v>
      </c>
      <c r="T9" s="1">
        <f>0.143</f>
        <v>0.14299999999999999</v>
      </c>
      <c r="U9" s="1" t="b">
        <f>0=741</f>
        <v>0</v>
      </c>
      <c r="V9" s="1" t="s">
        <v>12428</v>
      </c>
      <c r="W9">
        <v>3</v>
      </c>
    </row>
    <row r="10" spans="1:23" x14ac:dyDescent="0.25">
      <c r="A10" s="1" t="s">
        <v>11978</v>
      </c>
      <c r="B10" s="1" t="s">
        <v>11979</v>
      </c>
      <c r="C10" s="1" t="s">
        <v>518</v>
      </c>
      <c r="D10" s="1" t="s">
        <v>11980</v>
      </c>
      <c r="E10" s="1" t="s">
        <v>519</v>
      </c>
      <c r="F10" s="10">
        <v>42429</v>
      </c>
      <c r="G10">
        <v>555704</v>
      </c>
      <c r="H10">
        <v>57</v>
      </c>
      <c r="I10" s="1" t="s">
        <v>11961</v>
      </c>
      <c r="J10" s="11">
        <v>43747.405150462961</v>
      </c>
      <c r="K10" s="1" t="s">
        <v>520</v>
      </c>
      <c r="L10" s="1">
        <f>0.618</f>
        <v>0.61799999999999999</v>
      </c>
      <c r="M10" s="1">
        <f>0.885</f>
        <v>0.88500000000000001</v>
      </c>
      <c r="N10">
        <v>6</v>
      </c>
      <c r="O10" s="1">
        <v>-8.3469999999999995</v>
      </c>
      <c r="P10">
        <f>0</f>
        <v>0</v>
      </c>
      <c r="Q10" s="1" t="b">
        <f>0=454</f>
        <v>0</v>
      </c>
      <c r="R10" s="1" t="b">
        <f>0=0=0=658</f>
        <v>0</v>
      </c>
      <c r="S10" s="1" t="b">
        <f>0.5=2</f>
        <v>0</v>
      </c>
      <c r="T10" s="1">
        <f>0.37</f>
        <v>0.37</v>
      </c>
      <c r="U10" s="1" t="b">
        <f>0.1=5</f>
        <v>0</v>
      </c>
      <c r="V10" s="1" t="s">
        <v>12426</v>
      </c>
      <c r="W10">
        <v>4</v>
      </c>
    </row>
    <row r="11" spans="1:23" x14ac:dyDescent="0.25">
      <c r="A11" s="1" t="s">
        <v>11981</v>
      </c>
      <c r="B11" s="1" t="s">
        <v>11982</v>
      </c>
      <c r="C11" s="1" t="s">
        <v>521</v>
      </c>
      <c r="D11" s="1" t="s">
        <v>11983</v>
      </c>
      <c r="E11" s="1" t="s">
        <v>522</v>
      </c>
      <c r="F11" s="10">
        <v>43339</v>
      </c>
      <c r="G11">
        <v>313224</v>
      </c>
      <c r="H11">
        <v>0</v>
      </c>
      <c r="I11" s="1" t="s">
        <v>11961</v>
      </c>
      <c r="J11" s="11">
        <v>43753.973182870373</v>
      </c>
      <c r="K11" s="1" t="s">
        <v>515</v>
      </c>
      <c r="L11" s="1">
        <f>0.484</f>
        <v>0.48399999999999999</v>
      </c>
      <c r="M11" s="1">
        <f>0.992</f>
        <v>0.99199999999999999</v>
      </c>
      <c r="N11">
        <v>11</v>
      </c>
      <c r="O11" s="1">
        <v>-1.6419999999999999</v>
      </c>
      <c r="P11">
        <v>1</v>
      </c>
      <c r="Q11" s="1" t="b">
        <f>0.2=9</f>
        <v>0</v>
      </c>
      <c r="R11" s="1" t="b">
        <f>0=156</f>
        <v>0</v>
      </c>
      <c r="S11" s="1" t="b">
        <f>0=0=485</f>
        <v>0</v>
      </c>
      <c r="T11" s="1">
        <f>0.229</f>
        <v>0.22900000000000001</v>
      </c>
      <c r="U11" s="1" t="b">
        <f>0=55</f>
        <v>0</v>
      </c>
      <c r="V11" s="1" t="s">
        <v>12429</v>
      </c>
      <c r="W11">
        <v>4</v>
      </c>
    </row>
    <row r="12" spans="1:23" x14ac:dyDescent="0.25">
      <c r="A12" s="1" t="s">
        <v>11984</v>
      </c>
      <c r="B12" s="1" t="s">
        <v>11985</v>
      </c>
      <c r="C12" s="1" t="s">
        <v>523</v>
      </c>
      <c r="D12" s="1" t="s">
        <v>523</v>
      </c>
      <c r="E12" s="1" t="s">
        <v>524</v>
      </c>
      <c r="F12" s="10">
        <v>43798</v>
      </c>
      <c r="G12">
        <v>243115</v>
      </c>
      <c r="H12">
        <v>37</v>
      </c>
      <c r="I12" s="1" t="s">
        <v>11961</v>
      </c>
      <c r="J12" s="11">
        <v>43835.606076388889</v>
      </c>
      <c r="K12" s="1" t="s">
        <v>515</v>
      </c>
      <c r="L12" s="1">
        <f>0.286</f>
        <v>0.28599999999999998</v>
      </c>
      <c r="M12" s="1">
        <f>0.943</f>
        <v>0.94299999999999995</v>
      </c>
      <c r="N12">
        <v>6</v>
      </c>
      <c r="O12" s="1">
        <v>-4.6319999999999997</v>
      </c>
      <c r="P12">
        <f>0</f>
        <v>0</v>
      </c>
      <c r="Q12" s="1">
        <f>0.211</f>
        <v>0.21099999999999999</v>
      </c>
      <c r="R12" s="1" t="b">
        <f>0=0=0=761</f>
        <v>0</v>
      </c>
      <c r="S12" s="1" t="b">
        <f>0=181</f>
        <v>0</v>
      </c>
      <c r="T12" s="1">
        <f>0.131</f>
        <v>0.13100000000000001</v>
      </c>
      <c r="U12" s="1">
        <f>0.158</f>
        <v>0.158</v>
      </c>
      <c r="V12" s="1">
        <v>199.78399999999999</v>
      </c>
      <c r="W12">
        <v>4</v>
      </c>
    </row>
    <row r="13" spans="1:23" x14ac:dyDescent="0.25">
      <c r="A13" s="1" t="s">
        <v>11986</v>
      </c>
      <c r="B13" s="1" t="s">
        <v>11987</v>
      </c>
      <c r="C13" s="1" t="s">
        <v>525</v>
      </c>
      <c r="D13" s="1" t="s">
        <v>11988</v>
      </c>
      <c r="E13" s="1" t="s">
        <v>526</v>
      </c>
      <c r="F13" s="10">
        <v>43268</v>
      </c>
      <c r="G13">
        <v>203337</v>
      </c>
      <c r="H13">
        <v>27</v>
      </c>
      <c r="I13" s="1" t="s">
        <v>11961</v>
      </c>
      <c r="J13" s="11">
        <v>43842.737986111111</v>
      </c>
      <c r="K13" s="1" t="s">
        <v>527</v>
      </c>
      <c r="L13" s="1">
        <f>0.614</f>
        <v>0.61399999999999999</v>
      </c>
      <c r="M13" s="1">
        <f>0.954</f>
        <v>0.95399999999999996</v>
      </c>
      <c r="N13">
        <v>5</v>
      </c>
      <c r="O13" s="1">
        <v>-2.17</v>
      </c>
      <c r="P13">
        <f>0</f>
        <v>0</v>
      </c>
      <c r="Q13" s="1">
        <f>0.133</f>
        <v>0.13300000000000001</v>
      </c>
      <c r="R13" s="1" t="b">
        <f>0=3=6</f>
        <v>0</v>
      </c>
      <c r="S13" s="1" t="b">
        <f>0=0=0=667</f>
        <v>0</v>
      </c>
      <c r="T13" s="1">
        <f>0.172</f>
        <v>0.17199999999999999</v>
      </c>
      <c r="U13" s="1" t="b">
        <f>0=464</f>
        <v>0</v>
      </c>
      <c r="V13" s="1">
        <v>92.513999999999996</v>
      </c>
      <c r="W13">
        <v>4</v>
      </c>
    </row>
    <row r="14" spans="1:23" x14ac:dyDescent="0.25">
      <c r="A14" s="1" t="s">
        <v>11989</v>
      </c>
      <c r="B14" s="1" t="s">
        <v>11990</v>
      </c>
      <c r="C14" s="1" t="s">
        <v>528</v>
      </c>
      <c r="D14" s="1" t="s">
        <v>528</v>
      </c>
      <c r="E14" s="1" t="s">
        <v>529</v>
      </c>
      <c r="F14" s="10">
        <v>43767</v>
      </c>
      <c r="G14">
        <v>249600</v>
      </c>
      <c r="H14">
        <v>38</v>
      </c>
      <c r="I14" s="1" t="s">
        <v>11961</v>
      </c>
      <c r="J14" s="11">
        <v>43854.524386574078</v>
      </c>
      <c r="K14" s="1" t="s">
        <v>530</v>
      </c>
      <c r="L14" s="1">
        <f>0.573</f>
        <v>0.57299999999999995</v>
      </c>
      <c r="M14" s="1">
        <f>0.997</f>
        <v>0.997</v>
      </c>
      <c r="N14">
        <v>1</v>
      </c>
      <c r="O14" s="1">
        <v>-1.919</v>
      </c>
      <c r="P14">
        <v>1</v>
      </c>
      <c r="Q14" s="1">
        <f>0.214</f>
        <v>0.214</v>
      </c>
      <c r="R14" s="1" t="b">
        <f>0=0=0=841</f>
        <v>0</v>
      </c>
      <c r="S14" s="1">
        <f>0.853</f>
        <v>0.85299999999999998</v>
      </c>
      <c r="T14" s="1">
        <f>0.192</f>
        <v>0.192</v>
      </c>
      <c r="U14" s="1" t="b">
        <f>0=891</f>
        <v>0</v>
      </c>
      <c r="V14" s="1">
        <v>99.986000000000004</v>
      </c>
      <c r="W14">
        <v>4</v>
      </c>
    </row>
    <row r="15" spans="1:23" x14ac:dyDescent="0.25">
      <c r="A15" s="1" t="s">
        <v>11991</v>
      </c>
      <c r="B15" s="1" t="s">
        <v>11992</v>
      </c>
      <c r="C15" s="1" t="s">
        <v>531</v>
      </c>
      <c r="D15" s="1" t="s">
        <v>531</v>
      </c>
      <c r="E15" s="1" t="s">
        <v>532</v>
      </c>
      <c r="F15" s="10">
        <v>43585</v>
      </c>
      <c r="G15">
        <v>402692</v>
      </c>
      <c r="H15">
        <v>39</v>
      </c>
      <c r="I15" s="1" t="s">
        <v>11961</v>
      </c>
      <c r="J15" s="11">
        <v>43860.826967592591</v>
      </c>
      <c r="K15" s="1" t="s">
        <v>533</v>
      </c>
      <c r="L15" s="1" t="b">
        <f>0.6=6</f>
        <v>0</v>
      </c>
      <c r="M15" s="1">
        <f>0.885</f>
        <v>0.88500000000000001</v>
      </c>
      <c r="N15">
        <v>8</v>
      </c>
      <c r="O15" s="1">
        <v>-6.548</v>
      </c>
      <c r="P15">
        <v>1</v>
      </c>
      <c r="Q15" s="1" t="b">
        <f>0=656</f>
        <v>0</v>
      </c>
      <c r="R15" s="1" t="b">
        <f>0=197</f>
        <v>0</v>
      </c>
      <c r="S15" s="1">
        <f>0.648</f>
        <v>0.64800000000000002</v>
      </c>
      <c r="T15" s="1" t="b">
        <f>0=8=1</f>
        <v>0</v>
      </c>
      <c r="U15" s="1">
        <f>0.172</f>
        <v>0.17199999999999999</v>
      </c>
      <c r="V15" s="1" t="s">
        <v>12430</v>
      </c>
      <c r="W15">
        <v>3</v>
      </c>
    </row>
    <row r="16" spans="1:23" x14ac:dyDescent="0.25">
      <c r="A16" s="1" t="s">
        <v>11993</v>
      </c>
      <c r="B16" s="1" t="s">
        <v>11970</v>
      </c>
      <c r="C16" s="1" t="s">
        <v>534</v>
      </c>
      <c r="D16" s="1" t="s">
        <v>11971</v>
      </c>
      <c r="E16" s="1" t="s">
        <v>511</v>
      </c>
      <c r="F16" s="10">
        <v>42107</v>
      </c>
      <c r="G16">
        <v>462608</v>
      </c>
      <c r="H16">
        <v>0</v>
      </c>
      <c r="I16" s="1" t="s">
        <v>11961</v>
      </c>
      <c r="J16" s="11">
        <v>43873.935289351852</v>
      </c>
      <c r="K16" s="1" t="s">
        <v>512</v>
      </c>
      <c r="L16" s="1">
        <f>0.656</f>
        <v>0.65600000000000003</v>
      </c>
      <c r="M16" s="1">
        <f>0.981</f>
        <v>0.98099999999999998</v>
      </c>
      <c r="N16">
        <v>11</v>
      </c>
      <c r="O16" s="1">
        <v>-6.26</v>
      </c>
      <c r="P16">
        <f>0</f>
        <v>0</v>
      </c>
      <c r="Q16" s="1" t="b">
        <f>0=512</f>
        <v>0</v>
      </c>
      <c r="R16" s="1" t="b">
        <f>0=0=0=6=4</f>
        <v>0</v>
      </c>
      <c r="S16" s="1">
        <f>0.643</f>
        <v>0.64300000000000002</v>
      </c>
      <c r="T16" s="1">
        <f>0.354</f>
        <v>0.35399999999999998</v>
      </c>
      <c r="U16" s="1">
        <f>0.156</f>
        <v>0.156</v>
      </c>
      <c r="V16" s="1" t="s">
        <v>12431</v>
      </c>
      <c r="W16">
        <v>4</v>
      </c>
    </row>
    <row r="17" spans="1:23" x14ac:dyDescent="0.25">
      <c r="A17" s="1" t="s">
        <v>11994</v>
      </c>
      <c r="B17" s="1" t="s">
        <v>11995</v>
      </c>
      <c r="C17" s="1" t="s">
        <v>535</v>
      </c>
      <c r="D17" s="1" t="s">
        <v>11996</v>
      </c>
      <c r="E17" s="1" t="s">
        <v>536</v>
      </c>
      <c r="F17" s="10">
        <v>43284</v>
      </c>
      <c r="G17">
        <v>276044</v>
      </c>
      <c r="H17">
        <v>56</v>
      </c>
      <c r="I17" s="1" t="s">
        <v>11961</v>
      </c>
      <c r="J17" s="11">
        <v>43889.574560185189</v>
      </c>
      <c r="K17" s="1" t="s">
        <v>537</v>
      </c>
      <c r="L17" s="1">
        <f>0.242</f>
        <v>0.24199999999999999</v>
      </c>
      <c r="M17" s="1">
        <f>0.756</f>
        <v>0.75600000000000001</v>
      </c>
      <c r="N17">
        <v>7</v>
      </c>
      <c r="O17" s="1">
        <v>-3.1619999999999999</v>
      </c>
      <c r="P17">
        <v>1</v>
      </c>
      <c r="Q17" s="1" t="b">
        <f>0=635</f>
        <v>0</v>
      </c>
      <c r="R17" s="1">
        <f>0.15</f>
        <v>0.15</v>
      </c>
      <c r="S17" s="1">
        <f>0.282</f>
        <v>0.28199999999999997</v>
      </c>
      <c r="T17" s="1" t="b">
        <f>0=889</f>
        <v>0</v>
      </c>
      <c r="U17" s="1" t="b">
        <f>0=393</f>
        <v>0</v>
      </c>
      <c r="V17" s="1">
        <v>92.820999999999998</v>
      </c>
      <c r="W17">
        <v>4</v>
      </c>
    </row>
    <row r="18" spans="1:23" x14ac:dyDescent="0.25">
      <c r="A18" s="1" t="s">
        <v>11997</v>
      </c>
      <c r="B18" s="1" t="s">
        <v>11998</v>
      </c>
      <c r="C18" s="1" t="s">
        <v>538</v>
      </c>
      <c r="D18" s="1" t="s">
        <v>538</v>
      </c>
      <c r="E18" s="1" t="s">
        <v>539</v>
      </c>
      <c r="F18" s="10">
        <v>43909</v>
      </c>
      <c r="G18">
        <v>189428</v>
      </c>
      <c r="H18">
        <v>9</v>
      </c>
      <c r="I18" s="1" t="s">
        <v>11961</v>
      </c>
      <c r="J18" s="11">
        <v>43915.582604166666</v>
      </c>
      <c r="K18" s="1" t="s">
        <v>50</v>
      </c>
      <c r="L18" s="1">
        <f>0.631</f>
        <v>0.63100000000000001</v>
      </c>
      <c r="M18" s="1">
        <f>0.863</f>
        <v>0.86299999999999999</v>
      </c>
      <c r="N18">
        <f>0</f>
        <v>0</v>
      </c>
      <c r="O18" s="1">
        <v>-4.8319999999999999</v>
      </c>
      <c r="P18">
        <f>0</f>
        <v>0</v>
      </c>
      <c r="Q18" s="1">
        <f>0.324</f>
        <v>0.32400000000000001</v>
      </c>
      <c r="R18" s="1" t="b">
        <f>0=0=365</f>
        <v>0</v>
      </c>
      <c r="S18" s="1">
        <f>0.46</f>
        <v>0.46</v>
      </c>
      <c r="T18" s="1">
        <f>0.187</f>
        <v>0.187</v>
      </c>
      <c r="U18" s="1">
        <f>0.233</f>
        <v>0.23300000000000001</v>
      </c>
      <c r="V18" s="1" t="s">
        <v>12432</v>
      </c>
      <c r="W18">
        <v>4</v>
      </c>
    </row>
    <row r="19" spans="1:23" x14ac:dyDescent="0.25">
      <c r="A19" s="1" t="s">
        <v>11999</v>
      </c>
      <c r="B19" s="1" t="s">
        <v>12000</v>
      </c>
      <c r="C19" s="1" t="s">
        <v>540</v>
      </c>
      <c r="D19" s="1" t="s">
        <v>540</v>
      </c>
      <c r="E19" s="1" t="s">
        <v>541</v>
      </c>
      <c r="F19" s="10">
        <v>43924</v>
      </c>
      <c r="G19">
        <v>215383</v>
      </c>
      <c r="H19">
        <v>56</v>
      </c>
      <c r="I19" s="1" t="s">
        <v>12001</v>
      </c>
      <c r="J19" s="11">
        <v>44218.934178240743</v>
      </c>
      <c r="K19" s="1" t="s">
        <v>542</v>
      </c>
      <c r="L19" s="1" t="b">
        <f>0.5=4</f>
        <v>0</v>
      </c>
      <c r="M19" s="1">
        <f>0.949</f>
        <v>0.94899999999999995</v>
      </c>
      <c r="N19">
        <v>5</v>
      </c>
      <c r="O19" s="1" t="s">
        <v>12433</v>
      </c>
      <c r="P19">
        <f>0</f>
        <v>0</v>
      </c>
      <c r="Q19" s="1" t="b">
        <f>0=498</f>
        <v>0</v>
      </c>
      <c r="R19" s="1" t="b">
        <f>0=0=221</f>
        <v>0</v>
      </c>
      <c r="S19" s="1" t="b">
        <f>0=0=352</f>
        <v>0</v>
      </c>
      <c r="T19" s="1">
        <f>0.153</f>
        <v>0.153</v>
      </c>
      <c r="U19" s="1">
        <f>0.49</f>
        <v>0.49</v>
      </c>
      <c r="V19" s="1" t="s">
        <v>12434</v>
      </c>
      <c r="W19">
        <v>4</v>
      </c>
    </row>
    <row r="20" spans="1:23" x14ac:dyDescent="0.25">
      <c r="A20" s="1" t="s">
        <v>12002</v>
      </c>
      <c r="B20" s="1" t="s">
        <v>12003</v>
      </c>
      <c r="C20" s="1" t="s">
        <v>12004</v>
      </c>
      <c r="D20" s="1" t="s">
        <v>12005</v>
      </c>
      <c r="E20" s="1" t="s">
        <v>543</v>
      </c>
      <c r="F20" s="10">
        <v>40879</v>
      </c>
      <c r="G20">
        <v>384000</v>
      </c>
      <c r="H20">
        <v>23</v>
      </c>
      <c r="I20" s="1" t="s">
        <v>11961</v>
      </c>
      <c r="J20" s="11">
        <v>44218.934849537036</v>
      </c>
      <c r="K20" s="1" t="s">
        <v>515</v>
      </c>
      <c r="L20" s="1">
        <f>0.578</f>
        <v>0.57799999999999996</v>
      </c>
      <c r="M20" s="1">
        <f>0.977</f>
        <v>0.97699999999999998</v>
      </c>
      <c r="N20">
        <v>9</v>
      </c>
      <c r="O20" s="1">
        <v>-5.133</v>
      </c>
      <c r="P20">
        <v>1</v>
      </c>
      <c r="Q20" s="1" t="b">
        <f>0=753</f>
        <v>0</v>
      </c>
      <c r="R20" s="1" t="b">
        <f>0=0=0=678</f>
        <v>0</v>
      </c>
      <c r="S20" s="1">
        <f>0.31</f>
        <v>0.31</v>
      </c>
      <c r="T20" s="1">
        <f>0.543</f>
        <v>0.54300000000000004</v>
      </c>
      <c r="U20" s="1">
        <f>0.124</f>
        <v>0.124</v>
      </c>
      <c r="V20" s="1">
        <v>94.935000000000002</v>
      </c>
      <c r="W20">
        <v>4</v>
      </c>
    </row>
    <row r="21" spans="1:23" x14ac:dyDescent="0.25">
      <c r="A21" s="1" t="s">
        <v>12006</v>
      </c>
      <c r="B21" s="1" t="s">
        <v>11982</v>
      </c>
      <c r="C21" s="1" t="s">
        <v>544</v>
      </c>
      <c r="D21" s="1" t="s">
        <v>569</v>
      </c>
      <c r="E21" s="1" t="s">
        <v>522</v>
      </c>
      <c r="F21" s="10">
        <v>42615</v>
      </c>
      <c r="G21">
        <v>288000</v>
      </c>
      <c r="H21">
        <v>38</v>
      </c>
      <c r="I21" s="1" t="s">
        <v>11961</v>
      </c>
      <c r="J21" s="11">
        <v>44218.934918981482</v>
      </c>
      <c r="K21" s="1" t="s">
        <v>515</v>
      </c>
      <c r="L21" s="1">
        <f>0.543</f>
        <v>0.54300000000000004</v>
      </c>
      <c r="M21" s="1">
        <f>0.952</f>
        <v>0.95199999999999996</v>
      </c>
      <c r="N21">
        <v>2</v>
      </c>
      <c r="O21" s="1">
        <v>-2.9729999999999999</v>
      </c>
      <c r="P21">
        <v>1</v>
      </c>
      <c r="Q21" s="1">
        <f>0.116</f>
        <v>0.11600000000000001</v>
      </c>
      <c r="R21" s="1" t="b">
        <f>0=0=0=0=828</f>
        <v>0</v>
      </c>
      <c r="S21" s="1">
        <f>0.81</f>
        <v>0.81</v>
      </c>
      <c r="T21" s="1">
        <f>0.153</f>
        <v>0.153</v>
      </c>
      <c r="U21" s="1" t="b">
        <f>0=291</f>
        <v>0</v>
      </c>
      <c r="V21" s="1">
        <v>189.99700000000001</v>
      </c>
      <c r="W21">
        <v>4</v>
      </c>
    </row>
    <row r="22" spans="1:23" x14ac:dyDescent="0.25">
      <c r="A22" s="1" t="s">
        <v>12007</v>
      </c>
      <c r="B22" s="1" t="s">
        <v>12008</v>
      </c>
      <c r="C22" s="1" t="s">
        <v>545</v>
      </c>
      <c r="D22" s="1" t="s">
        <v>545</v>
      </c>
      <c r="E22" s="1" t="s">
        <v>546</v>
      </c>
      <c r="F22" s="10">
        <v>43812</v>
      </c>
      <c r="G22">
        <v>200620</v>
      </c>
      <c r="H22">
        <v>0</v>
      </c>
      <c r="I22" s="1" t="s">
        <v>12001</v>
      </c>
      <c r="J22" s="11">
        <v>44218.935266203705</v>
      </c>
      <c r="K22" s="1" t="s">
        <v>547</v>
      </c>
      <c r="L22" s="1">
        <f>0.545</f>
        <v>0.54500000000000004</v>
      </c>
      <c r="M22" s="1">
        <f>0.883</f>
        <v>0.88300000000000001</v>
      </c>
      <c r="N22">
        <v>1</v>
      </c>
      <c r="O22" s="1">
        <v>-3.1389999999999998</v>
      </c>
      <c r="P22">
        <v>1</v>
      </c>
      <c r="Q22" s="1" t="b">
        <f>0=727</f>
        <v>0</v>
      </c>
      <c r="R22" s="1" t="b">
        <f>0=26</f>
        <v>0</v>
      </c>
      <c r="S22" s="1" t="b">
        <f>0=0=0=0=117</f>
        <v>0</v>
      </c>
      <c r="T22" s="1">
        <f>0.252</f>
        <v>0.252</v>
      </c>
      <c r="U22" s="1">
        <f>0.188</f>
        <v>0.188</v>
      </c>
      <c r="V22" s="1" t="s">
        <v>12435</v>
      </c>
      <c r="W22">
        <v>4</v>
      </c>
    </row>
    <row r="23" spans="1:23" x14ac:dyDescent="0.25">
      <c r="A23" s="1" t="s">
        <v>12009</v>
      </c>
      <c r="B23" s="1" t="s">
        <v>12010</v>
      </c>
      <c r="C23" s="1" t="s">
        <v>548</v>
      </c>
      <c r="D23" s="1" t="s">
        <v>548</v>
      </c>
      <c r="E23" s="1" t="s">
        <v>549</v>
      </c>
      <c r="F23" s="10">
        <v>43367</v>
      </c>
      <c r="G23">
        <v>271020</v>
      </c>
      <c r="H23">
        <v>0</v>
      </c>
      <c r="I23" s="1" t="s">
        <v>11961</v>
      </c>
      <c r="J23" s="11">
        <v>44218.935277777775</v>
      </c>
      <c r="K23" s="1" t="s">
        <v>550</v>
      </c>
      <c r="L23" s="1">
        <f>0.571</f>
        <v>0.57099999999999995</v>
      </c>
      <c r="M23" s="1">
        <f>0.911</f>
        <v>0.91100000000000003</v>
      </c>
      <c r="N23">
        <v>7</v>
      </c>
      <c r="O23" s="1" t="s">
        <v>12436</v>
      </c>
      <c r="P23">
        <v>1</v>
      </c>
      <c r="Q23" s="1">
        <f>0.321</f>
        <v>0.32100000000000001</v>
      </c>
      <c r="R23" s="1">
        <f>0.218</f>
        <v>0.218</v>
      </c>
      <c r="S23" s="1" t="b">
        <f>0=861</f>
        <v>0</v>
      </c>
      <c r="T23" s="1" t="b">
        <f>0.1=6</f>
        <v>0</v>
      </c>
      <c r="U23" s="1">
        <f>0.515</f>
        <v>0.51500000000000001</v>
      </c>
      <c r="V23" s="1">
        <v>181.98500000000001</v>
      </c>
      <c r="W23">
        <v>4</v>
      </c>
    </row>
    <row r="24" spans="1:23" x14ac:dyDescent="0.25">
      <c r="A24" s="1" t="s">
        <v>12011</v>
      </c>
      <c r="B24" s="1" t="s">
        <v>12012</v>
      </c>
      <c r="C24" s="1" t="s">
        <v>551</v>
      </c>
      <c r="D24" s="1" t="s">
        <v>12013</v>
      </c>
      <c r="E24" s="1" t="s">
        <v>552</v>
      </c>
      <c r="F24" s="10">
        <v>43259</v>
      </c>
      <c r="G24">
        <v>348800</v>
      </c>
      <c r="H24">
        <v>33</v>
      </c>
      <c r="I24" s="1" t="s">
        <v>11961</v>
      </c>
      <c r="J24" s="11">
        <v>44218.935347222221</v>
      </c>
      <c r="K24" s="1" t="s">
        <v>50</v>
      </c>
      <c r="L24" s="1">
        <f>0.52</f>
        <v>0.52</v>
      </c>
      <c r="M24" s="1">
        <f>0.998</f>
        <v>0.998</v>
      </c>
      <c r="N24">
        <v>7</v>
      </c>
      <c r="O24" s="1">
        <v>-4.851</v>
      </c>
      <c r="P24">
        <v>1</v>
      </c>
      <c r="Q24" s="1" t="b">
        <f>0=846</f>
        <v>0</v>
      </c>
      <c r="R24" s="1" t="b">
        <f>0=327</f>
        <v>0</v>
      </c>
      <c r="S24" s="1">
        <f>0.683</f>
        <v>0.68300000000000005</v>
      </c>
      <c r="T24" s="1">
        <f>0.138</f>
        <v>0.13800000000000001</v>
      </c>
      <c r="U24" s="1">
        <f>0.288</f>
        <v>0.28799999999999998</v>
      </c>
      <c r="V24" s="1" t="s">
        <v>12437</v>
      </c>
      <c r="W24">
        <v>4</v>
      </c>
    </row>
    <row r="25" spans="1:23" x14ac:dyDescent="0.25">
      <c r="A25" s="1" t="s">
        <v>12014</v>
      </c>
      <c r="B25" s="1" t="s">
        <v>12015</v>
      </c>
      <c r="C25" s="1" t="s">
        <v>553</v>
      </c>
      <c r="D25" s="1" t="s">
        <v>553</v>
      </c>
      <c r="E25" s="1" t="s">
        <v>554</v>
      </c>
      <c r="F25" s="10">
        <v>43413</v>
      </c>
      <c r="G25">
        <v>272000</v>
      </c>
      <c r="H25">
        <v>40</v>
      </c>
      <c r="I25" s="1" t="s">
        <v>11961</v>
      </c>
      <c r="J25" s="11">
        <v>44218.936284722222</v>
      </c>
      <c r="K25" s="1" t="s">
        <v>555</v>
      </c>
      <c r="L25" s="1">
        <f>0.662</f>
        <v>0.66200000000000003</v>
      </c>
      <c r="M25" s="1">
        <f>0.976</f>
        <v>0.97599999999999998</v>
      </c>
      <c r="N25">
        <v>1</v>
      </c>
      <c r="O25" s="1" t="s">
        <v>12438</v>
      </c>
      <c r="P25">
        <v>1</v>
      </c>
      <c r="Q25" s="1" t="b">
        <f>0=914</f>
        <v>0</v>
      </c>
      <c r="R25" s="1" t="b">
        <f>0=0=463</f>
        <v>0</v>
      </c>
      <c r="S25" s="1" t="b">
        <f>0=227</f>
        <v>0</v>
      </c>
      <c r="T25" s="1">
        <f>0.841</f>
        <v>0.84099999999999997</v>
      </c>
      <c r="U25" s="1">
        <f>0.696</f>
        <v>0.69599999999999995</v>
      </c>
      <c r="V25" s="1">
        <v>149.976</v>
      </c>
      <c r="W25">
        <v>4</v>
      </c>
    </row>
    <row r="26" spans="1:23" x14ac:dyDescent="0.25">
      <c r="A26" s="1" t="s">
        <v>12016</v>
      </c>
      <c r="B26" s="1" t="s">
        <v>12017</v>
      </c>
      <c r="C26" s="1" t="s">
        <v>556</v>
      </c>
      <c r="D26" s="1" t="s">
        <v>12018</v>
      </c>
      <c r="E26" s="1" t="s">
        <v>557</v>
      </c>
      <c r="F26" s="10">
        <v>42713</v>
      </c>
      <c r="G26">
        <v>243900</v>
      </c>
      <c r="H26">
        <v>57</v>
      </c>
      <c r="I26" s="1" t="s">
        <v>11961</v>
      </c>
      <c r="J26" s="11">
        <v>44218.936481481483</v>
      </c>
      <c r="K26" s="1" t="s">
        <v>537</v>
      </c>
      <c r="L26" s="1">
        <f>0.753</f>
        <v>0.753</v>
      </c>
      <c r="M26" s="1">
        <f>0.991</f>
        <v>0.99099999999999999</v>
      </c>
      <c r="N26">
        <v>9</v>
      </c>
      <c r="O26" s="1">
        <v>-1.599</v>
      </c>
      <c r="P26">
        <v>1</v>
      </c>
      <c r="Q26" s="1" t="b">
        <f>0.1=7</f>
        <v>0</v>
      </c>
      <c r="R26" s="1">
        <f>0.198</f>
        <v>0.19800000000000001</v>
      </c>
      <c r="S26" s="1">
        <f>0.761</f>
        <v>0.76100000000000001</v>
      </c>
      <c r="T26" s="1">
        <f>0.115</f>
        <v>0.115</v>
      </c>
      <c r="U26" s="1">
        <f>0.448</f>
        <v>0.44800000000000001</v>
      </c>
      <c r="V26" s="1">
        <v>99.998999999999995</v>
      </c>
      <c r="W26">
        <v>4</v>
      </c>
    </row>
    <row r="27" spans="1:23" x14ac:dyDescent="0.25">
      <c r="A27" s="1" t="s">
        <v>12019</v>
      </c>
      <c r="B27" s="1" t="s">
        <v>11982</v>
      </c>
      <c r="C27" s="1" t="s">
        <v>558</v>
      </c>
      <c r="D27" s="1" t="s">
        <v>558</v>
      </c>
      <c r="E27" s="1" t="s">
        <v>522</v>
      </c>
      <c r="F27" s="10">
        <v>44214</v>
      </c>
      <c r="G27">
        <v>243200</v>
      </c>
      <c r="H27">
        <v>19</v>
      </c>
      <c r="I27" s="1" t="s">
        <v>11961</v>
      </c>
      <c r="J27" s="11">
        <v>44218.937002314815</v>
      </c>
      <c r="K27" s="1" t="s">
        <v>515</v>
      </c>
      <c r="L27" s="1">
        <f>0.596</f>
        <v>0.59599999999999997</v>
      </c>
      <c r="M27" s="1">
        <f>0.977</f>
        <v>0.97699999999999998</v>
      </c>
      <c r="N27">
        <v>1</v>
      </c>
      <c r="O27" s="1">
        <v>-4.4130000000000003</v>
      </c>
      <c r="P27">
        <v>1</v>
      </c>
      <c r="Q27" s="1">
        <f>0.162</f>
        <v>0.16200000000000001</v>
      </c>
      <c r="R27" s="1" t="b">
        <f>0=0=593</f>
        <v>0</v>
      </c>
      <c r="S27" s="1">
        <f>0.793</f>
        <v>0.79300000000000004</v>
      </c>
      <c r="T27" s="1">
        <f>0.279</f>
        <v>0.27900000000000003</v>
      </c>
      <c r="U27" s="1">
        <f>0.191</f>
        <v>0.191</v>
      </c>
      <c r="V27" s="1" t="s">
        <v>12439</v>
      </c>
      <c r="W27">
        <v>4</v>
      </c>
    </row>
    <row r="28" spans="1:23" x14ac:dyDescent="0.25">
      <c r="A28" s="1" t="s">
        <v>12020</v>
      </c>
      <c r="B28" s="1" t="s">
        <v>12021</v>
      </c>
      <c r="C28" s="1" t="s">
        <v>12022</v>
      </c>
      <c r="D28" s="1" t="s">
        <v>12023</v>
      </c>
      <c r="E28" s="1" t="s">
        <v>559</v>
      </c>
      <c r="F28" s="10">
        <v>43754</v>
      </c>
      <c r="G28">
        <v>215666</v>
      </c>
      <c r="H28">
        <v>49</v>
      </c>
      <c r="I28" s="1" t="s">
        <v>12001</v>
      </c>
      <c r="J28" s="11">
        <v>44218.937199074076</v>
      </c>
      <c r="K28" s="1" t="s">
        <v>560</v>
      </c>
      <c r="L28" s="1">
        <f>0.616</f>
        <v>0.61599999999999999</v>
      </c>
      <c r="M28" s="1">
        <f>0.928</f>
        <v>0.92800000000000005</v>
      </c>
      <c r="N28">
        <v>6</v>
      </c>
      <c r="O28" s="1" t="s">
        <v>12440</v>
      </c>
      <c r="P28">
        <f>0</f>
        <v>0</v>
      </c>
      <c r="Q28" s="1">
        <f>0.119</f>
        <v>0.11899999999999999</v>
      </c>
      <c r="R28" s="1">
        <f>0.493</f>
        <v>0.49299999999999999</v>
      </c>
      <c r="S28" s="1">
        <f>0</f>
        <v>0</v>
      </c>
      <c r="T28" s="1" t="b">
        <f>0.3=6</f>
        <v>0</v>
      </c>
      <c r="U28" s="1">
        <f>0.268</f>
        <v>0.26800000000000002</v>
      </c>
      <c r="V28" s="1" t="s">
        <v>12441</v>
      </c>
      <c r="W28">
        <v>4</v>
      </c>
    </row>
    <row r="29" spans="1:23" x14ac:dyDescent="0.25">
      <c r="A29" s="1" t="s">
        <v>12024</v>
      </c>
      <c r="B29" s="1" t="s">
        <v>11695</v>
      </c>
      <c r="C29" s="1" t="s">
        <v>561</v>
      </c>
      <c r="D29" s="1" t="s">
        <v>12025</v>
      </c>
      <c r="E29" s="1" t="s">
        <v>404</v>
      </c>
      <c r="F29" s="10">
        <v>42846</v>
      </c>
      <c r="G29">
        <v>235240</v>
      </c>
      <c r="H29">
        <v>32</v>
      </c>
      <c r="I29" s="1" t="s">
        <v>11961</v>
      </c>
      <c r="J29" s="11">
        <v>44218.937523148146</v>
      </c>
      <c r="K29" s="1" t="s">
        <v>405</v>
      </c>
      <c r="L29" s="1">
        <f>0.753</f>
        <v>0.753</v>
      </c>
      <c r="M29" s="1">
        <f>0.648</f>
        <v>0.64800000000000002</v>
      </c>
      <c r="N29">
        <v>2</v>
      </c>
      <c r="O29" s="1" t="s">
        <v>12442</v>
      </c>
      <c r="P29">
        <v>1</v>
      </c>
      <c r="Q29" s="1">
        <f>0.334</f>
        <v>0.33400000000000002</v>
      </c>
      <c r="R29" s="1" t="b">
        <f>0=133</f>
        <v>0</v>
      </c>
      <c r="S29" s="1" t="b">
        <f>0=1=6</f>
        <v>0</v>
      </c>
      <c r="T29" s="1">
        <f>0.386</f>
        <v>0.38600000000000001</v>
      </c>
      <c r="U29" s="1">
        <f>0.298</f>
        <v>0.29799999999999999</v>
      </c>
      <c r="V29" s="1">
        <v>129.98400000000001</v>
      </c>
      <c r="W29">
        <v>4</v>
      </c>
    </row>
    <row r="30" spans="1:23" x14ac:dyDescent="0.25">
      <c r="A30" s="1" t="s">
        <v>12026</v>
      </c>
      <c r="B30" s="1" t="s">
        <v>12027</v>
      </c>
      <c r="C30" s="1" t="s">
        <v>12028</v>
      </c>
      <c r="D30" s="1" t="s">
        <v>12029</v>
      </c>
      <c r="E30" s="1" t="s">
        <v>562</v>
      </c>
      <c r="F30" s="10">
        <v>43735</v>
      </c>
      <c r="G30">
        <v>184000</v>
      </c>
      <c r="H30">
        <v>49</v>
      </c>
      <c r="I30" s="1" t="s">
        <v>12001</v>
      </c>
      <c r="J30" s="11">
        <v>44218.93854166667</v>
      </c>
      <c r="K30" s="1" t="s">
        <v>563</v>
      </c>
      <c r="L30" s="1">
        <f>0.249</f>
        <v>0.249</v>
      </c>
      <c r="M30" s="1">
        <f>0.911</f>
        <v>0.91100000000000003</v>
      </c>
      <c r="N30">
        <v>2</v>
      </c>
      <c r="O30" s="1">
        <v>-3.5590000000000002</v>
      </c>
      <c r="P30">
        <v>1</v>
      </c>
      <c r="Q30" s="1" t="b">
        <f>0=4=7</f>
        <v>0</v>
      </c>
      <c r="R30" s="1" t="b">
        <f>0=795</f>
        <v>0</v>
      </c>
      <c r="S30" s="1" t="b">
        <f>0=0=0=0=0=173</f>
        <v>0</v>
      </c>
      <c r="T30" s="1">
        <f>0.53</f>
        <v>0.53</v>
      </c>
      <c r="U30" s="1">
        <f>0.216</f>
        <v>0.216</v>
      </c>
      <c r="V30" s="1">
        <v>149.89699999999999</v>
      </c>
      <c r="W30">
        <v>4</v>
      </c>
    </row>
    <row r="31" spans="1:23" x14ac:dyDescent="0.25">
      <c r="A31" s="1" t="s">
        <v>12030</v>
      </c>
      <c r="B31" s="1" t="s">
        <v>12031</v>
      </c>
      <c r="C31" s="1" t="s">
        <v>564</v>
      </c>
      <c r="D31" s="1" t="s">
        <v>12032</v>
      </c>
      <c r="E31" s="1" t="s">
        <v>565</v>
      </c>
      <c r="F31" s="10">
        <v>43304</v>
      </c>
      <c r="G31">
        <v>184827</v>
      </c>
      <c r="H31">
        <v>15</v>
      </c>
      <c r="I31" s="1" t="s">
        <v>11961</v>
      </c>
      <c r="J31" s="11">
        <v>44218.939768518518</v>
      </c>
      <c r="K31" s="1" t="s">
        <v>527</v>
      </c>
      <c r="L31" s="1">
        <f>0.4</f>
        <v>0.4</v>
      </c>
      <c r="M31" s="1">
        <f>0.995</f>
        <v>0.995</v>
      </c>
      <c r="N31">
        <v>2</v>
      </c>
      <c r="O31" s="1">
        <v>-2.3769999999999998</v>
      </c>
      <c r="P31">
        <v>1</v>
      </c>
      <c r="Q31" s="1" t="b">
        <f>0.2=7</f>
        <v>0</v>
      </c>
      <c r="R31" s="1" t="b">
        <f>0=19</f>
        <v>0</v>
      </c>
      <c r="S31" s="1" t="b">
        <f>0=395</f>
        <v>0</v>
      </c>
      <c r="T31" s="1">
        <f>0.713</f>
        <v>0.71299999999999997</v>
      </c>
      <c r="U31" s="1">
        <f>0.144</f>
        <v>0.14399999999999999</v>
      </c>
      <c r="V31" s="1" t="s">
        <v>12443</v>
      </c>
      <c r="W31">
        <v>4</v>
      </c>
    </row>
    <row r="32" spans="1:23" x14ac:dyDescent="0.25">
      <c r="A32" s="1" t="s">
        <v>12033</v>
      </c>
      <c r="B32" s="1" t="s">
        <v>12034</v>
      </c>
      <c r="C32" s="1" t="s">
        <v>566</v>
      </c>
      <c r="D32" s="1" t="s">
        <v>12035</v>
      </c>
      <c r="E32" s="1" t="s">
        <v>567</v>
      </c>
      <c r="F32" s="10">
        <v>43152</v>
      </c>
      <c r="G32">
        <v>273600</v>
      </c>
      <c r="H32">
        <v>0</v>
      </c>
      <c r="I32" s="1" t="s">
        <v>11961</v>
      </c>
      <c r="J32" s="11">
        <v>44218.940601851849</v>
      </c>
      <c r="K32" s="1" t="s">
        <v>568</v>
      </c>
      <c r="L32" s="1">
        <f>0.646</f>
        <v>0.64600000000000002</v>
      </c>
      <c r="M32" s="1">
        <f>0.98</f>
        <v>0.98</v>
      </c>
      <c r="N32">
        <f>0</f>
        <v>0</v>
      </c>
      <c r="O32" s="1">
        <v>-2.673</v>
      </c>
      <c r="P32">
        <v>1</v>
      </c>
      <c r="Q32" s="1" t="b">
        <f>0=821</f>
        <v>0</v>
      </c>
      <c r="R32" s="1" t="b">
        <f>0=241</f>
        <v>0</v>
      </c>
      <c r="S32" s="1">
        <f>0.862</f>
        <v>0.86199999999999999</v>
      </c>
      <c r="T32" s="1">
        <f>0.366</f>
        <v>0.36599999999999999</v>
      </c>
      <c r="U32" s="1" t="b">
        <f>0.1=4</f>
        <v>0</v>
      </c>
      <c r="V32" s="1">
        <v>99.995000000000005</v>
      </c>
      <c r="W32">
        <v>4</v>
      </c>
    </row>
    <row r="33" spans="1:23" x14ac:dyDescent="0.25">
      <c r="A33" s="1" t="s">
        <v>12036</v>
      </c>
      <c r="B33" s="1" t="s">
        <v>11982</v>
      </c>
      <c r="C33" s="1" t="s">
        <v>569</v>
      </c>
      <c r="D33" s="1" t="s">
        <v>569</v>
      </c>
      <c r="E33" s="1" t="s">
        <v>522</v>
      </c>
      <c r="F33" s="10">
        <v>42262</v>
      </c>
      <c r="G33">
        <v>353684</v>
      </c>
      <c r="H33">
        <v>43</v>
      </c>
      <c r="I33" s="1" t="s">
        <v>11961</v>
      </c>
      <c r="J33" s="11">
        <v>44218.940625000003</v>
      </c>
      <c r="K33" s="1" t="s">
        <v>515</v>
      </c>
      <c r="L33" s="1">
        <f>0.424</f>
        <v>0.42399999999999999</v>
      </c>
      <c r="M33" s="1">
        <f>0.944</f>
        <v>0.94399999999999995</v>
      </c>
      <c r="N33">
        <v>1</v>
      </c>
      <c r="O33" s="1" t="s">
        <v>12444</v>
      </c>
      <c r="P33">
        <v>1</v>
      </c>
      <c r="Q33" s="1" t="b">
        <f>0=547</f>
        <v>0</v>
      </c>
      <c r="R33" s="1" t="b">
        <f>0=0=0=14</f>
        <v>0</v>
      </c>
      <c r="S33" s="1">
        <f>0.66</f>
        <v>0.66</v>
      </c>
      <c r="T33" s="1">
        <f>0.691</f>
        <v>0.69099999999999995</v>
      </c>
      <c r="U33" s="1" t="b">
        <f>0=369</f>
        <v>0</v>
      </c>
      <c r="V33" s="1">
        <v>189.85499999999999</v>
      </c>
      <c r="W33">
        <v>4</v>
      </c>
    </row>
    <row r="34" spans="1:23" x14ac:dyDescent="0.25">
      <c r="A34" s="1" t="s">
        <v>12037</v>
      </c>
      <c r="B34" s="1" t="s">
        <v>12038</v>
      </c>
      <c r="C34" s="1" t="s">
        <v>570</v>
      </c>
      <c r="D34" s="1" t="s">
        <v>570</v>
      </c>
      <c r="E34" s="1" t="s">
        <v>571</v>
      </c>
      <c r="F34" s="10">
        <v>43661</v>
      </c>
      <c r="G34">
        <v>260983</v>
      </c>
      <c r="H34">
        <v>0</v>
      </c>
      <c r="I34" s="1" t="s">
        <v>12001</v>
      </c>
      <c r="J34" s="11">
        <v>44218.940752314818</v>
      </c>
      <c r="K34" s="1" t="s">
        <v>572</v>
      </c>
      <c r="L34" s="1">
        <f>0.329</f>
        <v>0.32900000000000001</v>
      </c>
      <c r="M34" s="1">
        <f>0.968</f>
        <v>0.96799999999999997</v>
      </c>
      <c r="N34">
        <v>5</v>
      </c>
      <c r="O34" s="1">
        <v>-2.6360000000000001</v>
      </c>
      <c r="P34">
        <f>0</f>
        <v>0</v>
      </c>
      <c r="Q34" s="1">
        <f>0.345</f>
        <v>0.34499999999999997</v>
      </c>
      <c r="R34" s="1">
        <f>0.124</f>
        <v>0.124</v>
      </c>
      <c r="S34" s="1">
        <f>0</f>
        <v>0</v>
      </c>
      <c r="T34" s="1">
        <f>0.169</f>
        <v>0.16900000000000001</v>
      </c>
      <c r="U34" s="1">
        <f>0.145</f>
        <v>0.14499999999999999</v>
      </c>
      <c r="V34" s="1" t="s">
        <v>12445</v>
      </c>
      <c r="W34">
        <v>4</v>
      </c>
    </row>
    <row r="35" spans="1:23" x14ac:dyDescent="0.25">
      <c r="A35" s="1" t="s">
        <v>12039</v>
      </c>
      <c r="B35" s="1" t="s">
        <v>11967</v>
      </c>
      <c r="C35" s="1" t="s">
        <v>573</v>
      </c>
      <c r="D35" s="1" t="s">
        <v>573</v>
      </c>
      <c r="E35" s="1" t="s">
        <v>508</v>
      </c>
      <c r="F35" s="10">
        <v>42678</v>
      </c>
      <c r="G35">
        <v>460869</v>
      </c>
      <c r="H35">
        <v>39</v>
      </c>
      <c r="I35" s="1" t="s">
        <v>11961</v>
      </c>
      <c r="J35" s="11">
        <v>44218.941608796296</v>
      </c>
      <c r="K35" s="1" t="s">
        <v>509</v>
      </c>
      <c r="L35" s="1">
        <f>0.51</f>
        <v>0.51</v>
      </c>
      <c r="M35" s="1">
        <f>0.829</f>
        <v>0.82899999999999996</v>
      </c>
      <c r="N35">
        <v>11</v>
      </c>
      <c r="O35" s="1">
        <v>-4.7949999999999999</v>
      </c>
      <c r="P35">
        <f>0</f>
        <v>0</v>
      </c>
      <c r="Q35" s="1">
        <f>0.129</f>
        <v>0.129</v>
      </c>
      <c r="R35" s="1">
        <f>0.12</f>
        <v>0.12</v>
      </c>
      <c r="S35" s="1">
        <f>0.521</f>
        <v>0.52100000000000002</v>
      </c>
      <c r="T35" s="1">
        <f>0.29</f>
        <v>0.28999999999999998</v>
      </c>
      <c r="U35" s="1">
        <f>0.427</f>
        <v>0.42699999999999999</v>
      </c>
      <c r="V35" s="1" t="s">
        <v>12446</v>
      </c>
      <c r="W35">
        <v>4</v>
      </c>
    </row>
    <row r="36" spans="1:23" x14ac:dyDescent="0.25">
      <c r="A36" s="1" t="s">
        <v>12040</v>
      </c>
      <c r="B36" s="1" t="s">
        <v>12017</v>
      </c>
      <c r="C36" s="1" t="s">
        <v>574</v>
      </c>
      <c r="D36" s="1" t="s">
        <v>574</v>
      </c>
      <c r="E36" s="1" t="s">
        <v>557</v>
      </c>
      <c r="F36" s="10">
        <v>44070</v>
      </c>
      <c r="G36">
        <v>218455</v>
      </c>
      <c r="H36">
        <v>0</v>
      </c>
      <c r="I36" s="1" t="s">
        <v>11961</v>
      </c>
      <c r="J36" s="11">
        <v>44218.943356481483</v>
      </c>
      <c r="K36" s="1" t="s">
        <v>537</v>
      </c>
      <c r="L36" s="1">
        <f>0.565</f>
        <v>0.56499999999999995</v>
      </c>
      <c r="M36" s="1">
        <f>0.963</f>
        <v>0.96299999999999997</v>
      </c>
      <c r="N36">
        <v>2</v>
      </c>
      <c r="O36" s="1">
        <v>-2.8210000000000002</v>
      </c>
      <c r="P36">
        <f>0</f>
        <v>0</v>
      </c>
      <c r="Q36" s="1">
        <f>0.125</f>
        <v>0.125</v>
      </c>
      <c r="R36" s="1" t="b">
        <f>0=162</f>
        <v>0</v>
      </c>
      <c r="S36" s="1">
        <f>0.214</f>
        <v>0.214</v>
      </c>
      <c r="T36" s="1">
        <f>0.115</f>
        <v>0.115</v>
      </c>
      <c r="U36" s="1" t="b">
        <f>0=712</f>
        <v>0</v>
      </c>
      <c r="V36" s="1" t="s">
        <v>12447</v>
      </c>
      <c r="W36">
        <v>4</v>
      </c>
    </row>
    <row r="37" spans="1:23" x14ac:dyDescent="0.25">
      <c r="A37" s="1" t="s">
        <v>12041</v>
      </c>
      <c r="B37" s="1" t="s">
        <v>12042</v>
      </c>
      <c r="C37" s="1" t="s">
        <v>575</v>
      </c>
      <c r="D37" s="1" t="s">
        <v>575</v>
      </c>
      <c r="E37" s="1" t="s">
        <v>576</v>
      </c>
      <c r="F37" s="10">
        <v>44194</v>
      </c>
      <c r="G37">
        <v>306000</v>
      </c>
      <c r="H37">
        <v>0</v>
      </c>
      <c r="I37" s="1" t="s">
        <v>11961</v>
      </c>
      <c r="J37" s="11">
        <v>44218.944594907407</v>
      </c>
      <c r="K37" s="1" t="s">
        <v>537</v>
      </c>
      <c r="L37" s="1">
        <f>0.421</f>
        <v>0.42099999999999999</v>
      </c>
      <c r="M37" s="1">
        <f>0.938</f>
        <v>0.93799999999999994</v>
      </c>
      <c r="N37">
        <v>5</v>
      </c>
      <c r="O37" s="1">
        <v>-1.42</v>
      </c>
      <c r="P37">
        <f>0</f>
        <v>0</v>
      </c>
      <c r="Q37" s="1" t="b">
        <f>0=8=2</f>
        <v>0</v>
      </c>
      <c r="R37" s="1" t="b">
        <f>0=0=364</f>
        <v>0</v>
      </c>
      <c r="S37" s="1" t="b">
        <f>0.8=9</f>
        <v>0</v>
      </c>
      <c r="T37" s="1">
        <f>0.367</f>
        <v>0.36699999999999999</v>
      </c>
      <c r="U37" s="1" t="b">
        <f>0=345</f>
        <v>0</v>
      </c>
      <c r="V37" s="1">
        <v>94.953000000000003</v>
      </c>
      <c r="W37">
        <v>4</v>
      </c>
    </row>
    <row r="38" spans="1:23" x14ac:dyDescent="0.25">
      <c r="A38" s="1" t="s">
        <v>12043</v>
      </c>
      <c r="B38" s="1" t="s">
        <v>12044</v>
      </c>
      <c r="C38" s="1" t="s">
        <v>577</v>
      </c>
      <c r="D38" s="1" t="s">
        <v>12045</v>
      </c>
      <c r="E38" s="1" t="s">
        <v>578</v>
      </c>
      <c r="F38" s="10">
        <v>40589</v>
      </c>
      <c r="G38">
        <v>329142</v>
      </c>
      <c r="H38">
        <v>50</v>
      </c>
      <c r="I38" s="1" t="s">
        <v>12001</v>
      </c>
      <c r="J38" s="11">
        <v>44218.946111111109</v>
      </c>
      <c r="K38" s="1" t="s">
        <v>579</v>
      </c>
      <c r="L38" s="1">
        <f>0.511</f>
        <v>0.51100000000000001</v>
      </c>
      <c r="M38" s="1">
        <f>0.987</f>
        <v>0.98699999999999999</v>
      </c>
      <c r="N38">
        <v>1</v>
      </c>
      <c r="O38" s="1">
        <v>-3.1819999999999999</v>
      </c>
      <c r="P38">
        <v>1</v>
      </c>
      <c r="Q38" s="1">
        <f>0.171</f>
        <v>0.17100000000000001</v>
      </c>
      <c r="R38" s="1" t="b">
        <f>0=0=453</f>
        <v>0</v>
      </c>
      <c r="S38" s="1" t="b">
        <f>0=0=214</f>
        <v>0</v>
      </c>
      <c r="T38" s="1">
        <f>0.142</f>
        <v>0.14199999999999999</v>
      </c>
      <c r="U38" s="1">
        <f>0.521</f>
        <v>0.52100000000000002</v>
      </c>
      <c r="V38" s="1">
        <v>174.99600000000001</v>
      </c>
      <c r="W38">
        <v>4</v>
      </c>
    </row>
    <row r="39" spans="1:23" x14ac:dyDescent="0.25">
      <c r="A39" s="1" t="s">
        <v>12046</v>
      </c>
      <c r="B39" s="1" t="s">
        <v>12047</v>
      </c>
      <c r="C39" s="1" t="s">
        <v>580</v>
      </c>
      <c r="D39" s="1" t="s">
        <v>580</v>
      </c>
      <c r="E39" s="1" t="s">
        <v>581</v>
      </c>
      <c r="F39" s="10">
        <v>43391</v>
      </c>
      <c r="G39">
        <v>236030</v>
      </c>
      <c r="H39">
        <v>55</v>
      </c>
      <c r="I39" s="1" t="s">
        <v>11961</v>
      </c>
      <c r="J39" s="11">
        <v>44218.946377314816</v>
      </c>
      <c r="K39" s="1" t="s">
        <v>582</v>
      </c>
      <c r="L39" s="1">
        <f>0.395</f>
        <v>0.39500000000000002</v>
      </c>
      <c r="M39" s="1">
        <f>0.984</f>
        <v>0.98399999999999999</v>
      </c>
      <c r="N39">
        <v>8</v>
      </c>
      <c r="O39" s="1" t="s">
        <v>12448</v>
      </c>
      <c r="P39">
        <v>1</v>
      </c>
      <c r="Q39" s="1" t="b">
        <f>0=911</f>
        <v>0</v>
      </c>
      <c r="R39" s="1" t="b">
        <f>0=131</f>
        <v>0</v>
      </c>
      <c r="S39" s="1">
        <f>0.13</f>
        <v>0.13</v>
      </c>
      <c r="T39" s="1">
        <f>0.38</f>
        <v>0.38</v>
      </c>
      <c r="U39" s="1">
        <f>0.261</f>
        <v>0.26100000000000001</v>
      </c>
      <c r="V39" s="1" t="s">
        <v>12449</v>
      </c>
      <c r="W39">
        <v>4</v>
      </c>
    </row>
    <row r="40" spans="1:23" x14ac:dyDescent="0.25">
      <c r="A40" s="1" t="s">
        <v>12048</v>
      </c>
      <c r="B40" s="1" t="s">
        <v>12049</v>
      </c>
      <c r="C40" s="1" t="s">
        <v>12050</v>
      </c>
      <c r="D40" s="1" t="s">
        <v>12051</v>
      </c>
      <c r="E40" s="1" t="s">
        <v>583</v>
      </c>
      <c r="F40" s="10">
        <v>43161</v>
      </c>
      <c r="G40">
        <v>158400</v>
      </c>
      <c r="H40">
        <v>57</v>
      </c>
      <c r="I40" s="1" t="s">
        <v>11961</v>
      </c>
      <c r="J40" s="11">
        <v>44218.946574074071</v>
      </c>
      <c r="K40" s="1" t="s">
        <v>537</v>
      </c>
      <c r="L40" s="1">
        <f>0.447</f>
        <v>0.44700000000000001</v>
      </c>
      <c r="M40" s="1">
        <f>0.993</f>
        <v>0.99299999999999999</v>
      </c>
      <c r="N40">
        <v>5</v>
      </c>
      <c r="O40" s="1" t="s">
        <v>12450</v>
      </c>
      <c r="P40">
        <v>1</v>
      </c>
      <c r="Q40" s="1" t="b">
        <f>0=431</f>
        <v>0</v>
      </c>
      <c r="R40" s="1" t="b">
        <f>0=0=0=5=5</f>
        <v>0</v>
      </c>
      <c r="S40" s="1">
        <f>0.981</f>
        <v>0.98099999999999998</v>
      </c>
      <c r="T40" s="1">
        <f>0.517</f>
        <v>0.51700000000000002</v>
      </c>
      <c r="U40" s="1" t="b">
        <f>0=389</f>
        <v>0</v>
      </c>
      <c r="V40" s="1" t="s">
        <v>12451</v>
      </c>
      <c r="W40">
        <v>4</v>
      </c>
    </row>
    <row r="41" spans="1:23" x14ac:dyDescent="0.25">
      <c r="A41" s="1" t="s">
        <v>12052</v>
      </c>
      <c r="B41" s="1" t="s">
        <v>12053</v>
      </c>
      <c r="C41" s="1" t="s">
        <v>12054</v>
      </c>
      <c r="D41" s="1" t="s">
        <v>12055</v>
      </c>
      <c r="E41" s="1" t="s">
        <v>584</v>
      </c>
      <c r="F41" s="10">
        <v>43644</v>
      </c>
      <c r="G41">
        <v>239195</v>
      </c>
      <c r="H41">
        <v>33</v>
      </c>
      <c r="I41" s="1" t="s">
        <v>12001</v>
      </c>
      <c r="J41" s="11">
        <v>44218.947060185186</v>
      </c>
      <c r="K41" s="1" t="s">
        <v>585</v>
      </c>
      <c r="L41" s="1">
        <f>0.54</f>
        <v>0.54</v>
      </c>
      <c r="M41" s="1">
        <f>0.874</f>
        <v>0.874</v>
      </c>
      <c r="N41">
        <f>0</f>
        <v>0</v>
      </c>
      <c r="O41" s="1">
        <v>-4.923</v>
      </c>
      <c r="P41">
        <f>0</f>
        <v>0</v>
      </c>
      <c r="Q41" s="1" t="b">
        <f>0=728</f>
        <v>0</v>
      </c>
      <c r="R41" s="1" t="b">
        <f>0=0=0=511</f>
        <v>0</v>
      </c>
      <c r="S41" s="1" t="b">
        <f>0=0=0=336</f>
        <v>0</v>
      </c>
      <c r="T41" s="1">
        <f>0.35</f>
        <v>0.35</v>
      </c>
      <c r="U41" s="1" t="b">
        <f>0=397</f>
        <v>0</v>
      </c>
      <c r="V41" s="1">
        <v>149.97200000000001</v>
      </c>
      <c r="W41">
        <v>4</v>
      </c>
    </row>
    <row r="42" spans="1:23" x14ac:dyDescent="0.25">
      <c r="A42" s="1" t="s">
        <v>12056</v>
      </c>
      <c r="B42" s="1" t="s">
        <v>12057</v>
      </c>
      <c r="C42" s="1" t="s">
        <v>586</v>
      </c>
      <c r="D42" s="1" t="s">
        <v>586</v>
      </c>
      <c r="E42" s="1" t="s">
        <v>587</v>
      </c>
      <c r="F42" s="10">
        <v>44147</v>
      </c>
      <c r="G42">
        <v>218322</v>
      </c>
      <c r="H42">
        <v>33</v>
      </c>
      <c r="I42" s="1" t="s">
        <v>11961</v>
      </c>
      <c r="J42" s="11">
        <v>44218.948657407411</v>
      </c>
      <c r="K42" s="1" t="s">
        <v>588</v>
      </c>
      <c r="L42" s="1">
        <f>0.398</f>
        <v>0.39800000000000002</v>
      </c>
      <c r="M42" s="1">
        <f>0.983</f>
        <v>0.98299999999999998</v>
      </c>
      <c r="N42">
        <f>0</f>
        <v>0</v>
      </c>
      <c r="O42" s="1">
        <v>-5.4770000000000003</v>
      </c>
      <c r="P42">
        <v>1</v>
      </c>
      <c r="Q42" s="1" t="b">
        <f>0.3=5</f>
        <v>0</v>
      </c>
      <c r="R42" s="1" t="b">
        <f>0=0=161</f>
        <v>0</v>
      </c>
      <c r="S42" s="1" t="b">
        <f>0=0=154</f>
        <v>0</v>
      </c>
      <c r="T42" s="1">
        <f>0.419</f>
        <v>0.41899999999999998</v>
      </c>
      <c r="U42" s="1" t="b">
        <f>0=74</f>
        <v>0</v>
      </c>
      <c r="V42" s="1">
        <v>155.14400000000001</v>
      </c>
      <c r="W42">
        <v>4</v>
      </c>
    </row>
    <row r="43" spans="1:23" x14ac:dyDescent="0.25">
      <c r="A43" s="1" t="s">
        <v>12058</v>
      </c>
      <c r="B43" s="1" t="s">
        <v>12059</v>
      </c>
      <c r="C43" s="1" t="s">
        <v>589</v>
      </c>
      <c r="D43" s="1" t="s">
        <v>589</v>
      </c>
      <c r="E43" s="1" t="s">
        <v>590</v>
      </c>
      <c r="F43" s="10">
        <v>43707</v>
      </c>
      <c r="G43">
        <v>175906</v>
      </c>
      <c r="H43">
        <v>0</v>
      </c>
      <c r="I43" s="1" t="s">
        <v>11961</v>
      </c>
      <c r="J43" s="11">
        <v>44218.94908564815</v>
      </c>
      <c r="K43" s="1" t="s">
        <v>591</v>
      </c>
      <c r="L43" s="1">
        <f>0.461</f>
        <v>0.46100000000000002</v>
      </c>
      <c r="M43" s="1">
        <f>0.945</f>
        <v>0.94499999999999995</v>
      </c>
      <c r="N43">
        <v>1</v>
      </c>
      <c r="O43" s="1">
        <v>-1.55</v>
      </c>
      <c r="P43">
        <f>0</f>
        <v>0</v>
      </c>
      <c r="Q43" s="1" t="b">
        <f>0=422</f>
        <v>0</v>
      </c>
      <c r="R43" s="1" t="b">
        <f>0=421</f>
        <v>0</v>
      </c>
      <c r="S43" s="1">
        <f>0</f>
        <v>0</v>
      </c>
      <c r="T43" s="1">
        <f>0.26</f>
        <v>0.26</v>
      </c>
      <c r="U43" s="1">
        <f>0.189</f>
        <v>0.189</v>
      </c>
      <c r="V43" s="1">
        <v>149.988</v>
      </c>
      <c r="W43">
        <v>4</v>
      </c>
    </row>
    <row r="44" spans="1:23" x14ac:dyDescent="0.25">
      <c r="A44" s="1" t="s">
        <v>12060</v>
      </c>
      <c r="B44" s="1" t="s">
        <v>12061</v>
      </c>
      <c r="C44" s="1" t="s">
        <v>12062</v>
      </c>
      <c r="D44" s="1" t="s">
        <v>12063</v>
      </c>
      <c r="E44" s="1" t="s">
        <v>592</v>
      </c>
      <c r="F44" s="10">
        <v>43539</v>
      </c>
      <c r="G44">
        <v>204350</v>
      </c>
      <c r="H44">
        <v>35</v>
      </c>
      <c r="I44" s="1" t="s">
        <v>12001</v>
      </c>
      <c r="J44" s="11">
        <v>44218.951053240744</v>
      </c>
      <c r="K44" s="1" t="s">
        <v>593</v>
      </c>
      <c r="L44" s="1">
        <f>0.548</f>
        <v>0.54800000000000004</v>
      </c>
      <c r="M44" s="1">
        <f>0.79</f>
        <v>0.79</v>
      </c>
      <c r="N44">
        <f>0</f>
        <v>0</v>
      </c>
      <c r="O44" s="1">
        <v>-3.536</v>
      </c>
      <c r="P44">
        <f>0</f>
        <v>0</v>
      </c>
      <c r="Q44" s="1" t="b">
        <f>0=349</f>
        <v>0</v>
      </c>
      <c r="R44" s="1">
        <f>0.451</f>
        <v>0.45100000000000001</v>
      </c>
      <c r="S44" s="1">
        <f>0</f>
        <v>0</v>
      </c>
      <c r="T44" s="1">
        <f>0.133</f>
        <v>0.13300000000000001</v>
      </c>
      <c r="U44" s="1">
        <f>0.435</f>
        <v>0.435</v>
      </c>
      <c r="V44" s="1">
        <v>149.99100000000001</v>
      </c>
      <c r="W44">
        <v>3</v>
      </c>
    </row>
    <row r="45" spans="1:23" x14ac:dyDescent="0.25">
      <c r="A45" s="1" t="s">
        <v>12064</v>
      </c>
      <c r="B45" s="1" t="s">
        <v>11990</v>
      </c>
      <c r="C45" s="1" t="s">
        <v>594</v>
      </c>
      <c r="D45" s="1" t="s">
        <v>12035</v>
      </c>
      <c r="E45" s="1" t="s">
        <v>529</v>
      </c>
      <c r="F45" s="10">
        <v>43152</v>
      </c>
      <c r="G45">
        <v>243600</v>
      </c>
      <c r="H45">
        <v>0</v>
      </c>
      <c r="I45" s="1" t="s">
        <v>11961</v>
      </c>
      <c r="J45" s="11">
        <v>44218.951840277776</v>
      </c>
      <c r="K45" s="1" t="s">
        <v>530</v>
      </c>
      <c r="L45" s="1">
        <f>0.623</f>
        <v>0.623</v>
      </c>
      <c r="M45" s="1">
        <f>0.988</f>
        <v>0.98799999999999999</v>
      </c>
      <c r="N45">
        <v>3</v>
      </c>
      <c r="O45" s="1">
        <v>-3.9710000000000001</v>
      </c>
      <c r="P45">
        <f>0</f>
        <v>0</v>
      </c>
      <c r="Q45" s="1" t="b">
        <f>0.1=2</f>
        <v>0</v>
      </c>
      <c r="R45" s="1" t="b">
        <f>0=77</f>
        <v>0</v>
      </c>
      <c r="S45" s="1">
        <f>0.169</f>
        <v>0.16900000000000001</v>
      </c>
      <c r="T45" s="1">
        <f>0.286</f>
        <v>0.28599999999999998</v>
      </c>
      <c r="U45" s="1">
        <f>0.392</f>
        <v>0.39200000000000002</v>
      </c>
      <c r="V45" s="1">
        <v>99.950999999999993</v>
      </c>
      <c r="W45">
        <v>4</v>
      </c>
    </row>
    <row r="46" spans="1:23" x14ac:dyDescent="0.25">
      <c r="A46" s="1" t="s">
        <v>12065</v>
      </c>
      <c r="B46" s="1" t="s">
        <v>12066</v>
      </c>
      <c r="C46" s="1" t="s">
        <v>595</v>
      </c>
      <c r="D46" s="1" t="s">
        <v>595</v>
      </c>
      <c r="E46" s="1" t="s">
        <v>596</v>
      </c>
      <c r="F46" s="10">
        <v>43616</v>
      </c>
      <c r="G46">
        <v>254625</v>
      </c>
      <c r="H46">
        <v>45</v>
      </c>
      <c r="I46" s="1" t="s">
        <v>11961</v>
      </c>
      <c r="J46" s="11">
        <v>44218.952488425923</v>
      </c>
      <c r="K46" s="1" t="s">
        <v>597</v>
      </c>
      <c r="L46" s="1" t="b">
        <f>0.6=8</f>
        <v>0</v>
      </c>
      <c r="M46" s="1">
        <f>0.964</f>
        <v>0.96399999999999997</v>
      </c>
      <c r="N46">
        <v>6</v>
      </c>
      <c r="O46" s="1">
        <v>-2.3250000000000002</v>
      </c>
      <c r="P46">
        <f>0</f>
        <v>0</v>
      </c>
      <c r="Q46" s="1" t="b">
        <f>0=436</f>
        <v>0</v>
      </c>
      <c r="R46" s="1" t="b">
        <f>0=0=0=149</f>
        <v>0</v>
      </c>
      <c r="S46" s="1">
        <f>0.271</f>
        <v>0.27100000000000002</v>
      </c>
      <c r="T46" s="1">
        <f>0.616</f>
        <v>0.61599999999999999</v>
      </c>
      <c r="U46" s="1" t="b">
        <f>0.4=5</f>
        <v>0</v>
      </c>
      <c r="V46" s="1" t="s">
        <v>12452</v>
      </c>
      <c r="W46">
        <v>4</v>
      </c>
    </row>
    <row r="47" spans="1:23" x14ac:dyDescent="0.25">
      <c r="A47" s="1" t="s">
        <v>12067</v>
      </c>
      <c r="B47" s="1" t="s">
        <v>12068</v>
      </c>
      <c r="C47" s="1" t="s">
        <v>598</v>
      </c>
      <c r="D47" s="1" t="s">
        <v>12069</v>
      </c>
      <c r="E47" s="1" t="s">
        <v>599</v>
      </c>
      <c r="F47" s="10">
        <v>43655</v>
      </c>
      <c r="G47">
        <v>230321</v>
      </c>
      <c r="H47">
        <v>0</v>
      </c>
      <c r="I47" s="1" t="s">
        <v>12001</v>
      </c>
      <c r="J47" s="11">
        <v>44218.952523148146</v>
      </c>
      <c r="K47" s="1" t="s">
        <v>600</v>
      </c>
      <c r="L47" s="1">
        <f>0.413</f>
        <v>0.41299999999999998</v>
      </c>
      <c r="M47" s="1" t="b">
        <f>0.8=1</f>
        <v>0</v>
      </c>
      <c r="N47">
        <v>9</v>
      </c>
      <c r="O47" s="1">
        <v>-4.24</v>
      </c>
      <c r="P47">
        <f>0</f>
        <v>0</v>
      </c>
      <c r="Q47" s="1" t="b">
        <f>0=748</f>
        <v>0</v>
      </c>
      <c r="R47" s="1" t="b">
        <f>0=393</f>
        <v>0</v>
      </c>
      <c r="S47" s="1">
        <f>0</f>
        <v>0</v>
      </c>
      <c r="T47" s="1">
        <f>0.251</f>
        <v>0.251</v>
      </c>
      <c r="U47" s="1">
        <f>0.194</f>
        <v>0.19400000000000001</v>
      </c>
      <c r="V47" s="1">
        <v>75.466999999999999</v>
      </c>
      <c r="W47">
        <v>4</v>
      </c>
    </row>
    <row r="48" spans="1:23" x14ac:dyDescent="0.25">
      <c r="A48" s="1" t="s">
        <v>12070</v>
      </c>
      <c r="B48" s="1" t="s">
        <v>12071</v>
      </c>
      <c r="C48" s="1" t="s">
        <v>601</v>
      </c>
      <c r="D48" s="1" t="s">
        <v>601</v>
      </c>
      <c r="E48" s="1" t="s">
        <v>602</v>
      </c>
      <c r="F48" s="10">
        <v>43518</v>
      </c>
      <c r="G48">
        <v>178838</v>
      </c>
      <c r="H48">
        <v>51</v>
      </c>
      <c r="I48" s="1" t="s">
        <v>12001</v>
      </c>
      <c r="J48" s="11">
        <v>44218.955092592594</v>
      </c>
      <c r="K48" s="1" t="s">
        <v>603</v>
      </c>
      <c r="L48" s="1">
        <f>0.576</f>
        <v>0.57599999999999996</v>
      </c>
      <c r="M48" s="1">
        <f>0.936</f>
        <v>0.93600000000000005</v>
      </c>
      <c r="N48" t="s">
        <v>11825</v>
      </c>
      <c r="O48" s="1" t="s">
        <v>12453</v>
      </c>
      <c r="P48">
        <f>0</f>
        <v>0</v>
      </c>
      <c r="Q48" s="1" t="b">
        <f>0=711</f>
        <v>0</v>
      </c>
      <c r="R48" s="1" t="b">
        <f>0=328</f>
        <v>0</v>
      </c>
      <c r="S48" s="1">
        <f>0</f>
        <v>0</v>
      </c>
      <c r="T48" s="1" t="b">
        <f>0=9</f>
        <v>0</v>
      </c>
      <c r="U48" s="1">
        <f>0.655</f>
        <v>0.65500000000000003</v>
      </c>
      <c r="V48" s="1">
        <v>154.93799999999999</v>
      </c>
      <c r="W48">
        <v>4</v>
      </c>
    </row>
    <row r="49" spans="1:23" x14ac:dyDescent="0.25">
      <c r="A49" s="1" t="s">
        <v>12072</v>
      </c>
      <c r="B49" s="1" t="s">
        <v>12073</v>
      </c>
      <c r="C49" s="1" t="s">
        <v>604</v>
      </c>
      <c r="D49" s="1" t="s">
        <v>12074</v>
      </c>
      <c r="E49" s="1" t="s">
        <v>605</v>
      </c>
      <c r="F49" s="10">
        <v>43161</v>
      </c>
      <c r="G49">
        <v>229600</v>
      </c>
      <c r="H49">
        <v>47</v>
      </c>
      <c r="I49" s="1" t="s">
        <v>12001</v>
      </c>
      <c r="J49" s="11">
        <v>44218.95689814815</v>
      </c>
      <c r="K49" s="1" t="s">
        <v>600</v>
      </c>
      <c r="L49" s="1">
        <f>0.273</f>
        <v>0.27300000000000002</v>
      </c>
      <c r="M49" s="1">
        <f>0.891</f>
        <v>0.89100000000000001</v>
      </c>
      <c r="N49">
        <v>11</v>
      </c>
      <c r="O49" s="1">
        <v>-5.8920000000000003</v>
      </c>
      <c r="P49">
        <f>0</f>
        <v>0</v>
      </c>
      <c r="Q49" s="1" t="b">
        <f>0=983</f>
        <v>0</v>
      </c>
      <c r="R49" s="1" t="b">
        <f>0=439</f>
        <v>0</v>
      </c>
      <c r="S49" s="1">
        <f>0.165</f>
        <v>0.16500000000000001</v>
      </c>
      <c r="T49" s="1">
        <f>0.345</f>
        <v>0.34499999999999997</v>
      </c>
      <c r="U49" s="1" t="b">
        <f>0=744</f>
        <v>0</v>
      </c>
      <c r="V49" s="1">
        <v>149.69300000000001</v>
      </c>
      <c r="W49">
        <v>4</v>
      </c>
    </row>
    <row r="50" spans="1:23" x14ac:dyDescent="0.25">
      <c r="A50" s="1" t="s">
        <v>12075</v>
      </c>
      <c r="B50" s="1" t="s">
        <v>12076</v>
      </c>
      <c r="C50" s="1" t="s">
        <v>606</v>
      </c>
      <c r="D50" s="1" t="s">
        <v>606</v>
      </c>
      <c r="E50" s="1" t="s">
        <v>607</v>
      </c>
      <c r="F50" s="10">
        <v>44155</v>
      </c>
      <c r="G50">
        <v>225200</v>
      </c>
      <c r="H50">
        <v>0</v>
      </c>
      <c r="I50" s="1" t="s">
        <v>11961</v>
      </c>
      <c r="J50" s="11">
        <v>44218.957673611112</v>
      </c>
      <c r="K50" s="1" t="s">
        <v>608</v>
      </c>
      <c r="L50" s="1">
        <f>0.33</f>
        <v>0.33</v>
      </c>
      <c r="M50" s="1">
        <f>0.792</f>
        <v>0.79200000000000004</v>
      </c>
      <c r="N50">
        <v>1</v>
      </c>
      <c r="O50" s="1">
        <v>-4.7439999999999998</v>
      </c>
      <c r="P50">
        <f>0</f>
        <v>0</v>
      </c>
      <c r="Q50" s="1" t="b">
        <f>0=468</f>
        <v>0</v>
      </c>
      <c r="R50" s="1" t="b">
        <f>0=0=0=518</f>
        <v>0</v>
      </c>
      <c r="S50" s="1">
        <f>0</f>
        <v>0</v>
      </c>
      <c r="T50" s="1" t="b">
        <f>0=482</f>
        <v>0</v>
      </c>
      <c r="U50" s="1">
        <f>0.14</f>
        <v>0.14000000000000001</v>
      </c>
      <c r="V50" s="1">
        <v>149.84800000000001</v>
      </c>
      <c r="W50">
        <v>4</v>
      </c>
    </row>
    <row r="51" spans="1:23" x14ac:dyDescent="0.25">
      <c r="A51" s="1" t="s">
        <v>12077</v>
      </c>
      <c r="B51" s="1" t="s">
        <v>12078</v>
      </c>
      <c r="C51" s="1" t="s">
        <v>12079</v>
      </c>
      <c r="D51" s="1" t="s">
        <v>12080</v>
      </c>
      <c r="E51" s="1" t="s">
        <v>609</v>
      </c>
      <c r="F51" s="10">
        <v>43553</v>
      </c>
      <c r="G51">
        <v>167200</v>
      </c>
      <c r="H51">
        <v>7</v>
      </c>
      <c r="I51" s="1" t="s">
        <v>12001</v>
      </c>
      <c r="J51" s="11">
        <v>44218.95890046296</v>
      </c>
      <c r="K51" s="1" t="s">
        <v>610</v>
      </c>
      <c r="L51" s="1">
        <f>0.457</f>
        <v>0.45700000000000002</v>
      </c>
      <c r="M51" s="1" t="b">
        <f>0.9=5</f>
        <v>0</v>
      </c>
      <c r="N51">
        <v>11</v>
      </c>
      <c r="O51" s="1">
        <v>-4.5599999999999996</v>
      </c>
      <c r="P51">
        <f>0</f>
        <v>0</v>
      </c>
      <c r="Q51" s="1" t="b">
        <f>0=65</f>
        <v>0</v>
      </c>
      <c r="R51" s="1" t="b">
        <f>0=158</f>
        <v>0</v>
      </c>
      <c r="S51" s="1" t="b">
        <f>0=0=0=0=1=4</f>
        <v>0</v>
      </c>
      <c r="T51" s="1">
        <f>0.684</f>
        <v>0.68400000000000005</v>
      </c>
      <c r="U51" s="1">
        <f>0.137</f>
        <v>0.13700000000000001</v>
      </c>
      <c r="V51" s="1">
        <v>149.98099999999999</v>
      </c>
      <c r="W51">
        <v>4</v>
      </c>
    </row>
    <row r="52" spans="1:23" x14ac:dyDescent="0.25">
      <c r="A52" s="1" t="s">
        <v>12081</v>
      </c>
      <c r="B52" s="1" t="s">
        <v>12082</v>
      </c>
      <c r="C52" s="1" t="s">
        <v>611</v>
      </c>
      <c r="D52" s="1" t="s">
        <v>12074</v>
      </c>
      <c r="E52" s="1" t="s">
        <v>612</v>
      </c>
      <c r="F52" s="10">
        <v>43161</v>
      </c>
      <c r="G52">
        <v>268800</v>
      </c>
      <c r="H52">
        <v>57</v>
      </c>
      <c r="I52" s="1" t="s">
        <v>12001</v>
      </c>
      <c r="J52" s="11">
        <v>44218.959606481483</v>
      </c>
      <c r="K52" s="1" t="s">
        <v>600</v>
      </c>
      <c r="L52" s="1">
        <f>0.477</f>
        <v>0.47699999999999998</v>
      </c>
      <c r="M52" s="1">
        <f>0.957</f>
        <v>0.95699999999999996</v>
      </c>
      <c r="N52">
        <v>6</v>
      </c>
      <c r="O52" s="1">
        <v>-3.468</v>
      </c>
      <c r="P52">
        <f>0</f>
        <v>0</v>
      </c>
      <c r="Q52" s="1">
        <f>0.26</f>
        <v>0.26</v>
      </c>
      <c r="R52" s="1" t="b">
        <f>0=0=877</f>
        <v>0</v>
      </c>
      <c r="S52" s="1" t="b">
        <f>0=496</f>
        <v>0</v>
      </c>
      <c r="T52" s="1" t="b">
        <f>0.3=4</f>
        <v>0</v>
      </c>
      <c r="U52" s="1">
        <f>0.117</f>
        <v>0.11700000000000001</v>
      </c>
      <c r="V52" s="1" t="s">
        <v>12454</v>
      </c>
      <c r="W52">
        <v>4</v>
      </c>
    </row>
    <row r="53" spans="1:23" x14ac:dyDescent="0.25">
      <c r="A53" s="1" t="s">
        <v>12083</v>
      </c>
      <c r="B53" s="1" t="s">
        <v>12084</v>
      </c>
      <c r="C53" s="1" t="s">
        <v>613</v>
      </c>
      <c r="D53" s="1" t="s">
        <v>613</v>
      </c>
      <c r="E53" s="1" t="s">
        <v>614</v>
      </c>
      <c r="F53" s="10">
        <v>43413</v>
      </c>
      <c r="G53">
        <v>176000</v>
      </c>
      <c r="H53">
        <v>37</v>
      </c>
      <c r="I53" s="1" t="s">
        <v>12001</v>
      </c>
      <c r="J53" s="11">
        <v>44218.960659722223</v>
      </c>
      <c r="K53" s="1" t="s">
        <v>615</v>
      </c>
      <c r="L53" s="1">
        <f>0.61</f>
        <v>0.61</v>
      </c>
      <c r="M53" s="1">
        <f>0.973</f>
        <v>0.97299999999999998</v>
      </c>
      <c r="N53">
        <v>5</v>
      </c>
      <c r="O53" s="1" t="s">
        <v>12455</v>
      </c>
      <c r="P53">
        <f>0</f>
        <v>0</v>
      </c>
      <c r="Q53" s="1" t="b">
        <f>0=515</f>
        <v>0</v>
      </c>
      <c r="R53" s="1">
        <f>0.251</f>
        <v>0.251</v>
      </c>
      <c r="S53" s="1">
        <f>0</f>
        <v>0</v>
      </c>
      <c r="T53" s="1">
        <f>0.118</f>
        <v>0.11799999999999999</v>
      </c>
      <c r="U53" s="1">
        <f>0.465</f>
        <v>0.46500000000000002</v>
      </c>
      <c r="V53" s="1" t="s">
        <v>12456</v>
      </c>
      <c r="W53">
        <v>4</v>
      </c>
    </row>
    <row r="54" spans="1:23" x14ac:dyDescent="0.25">
      <c r="A54" s="1" t="s">
        <v>12085</v>
      </c>
      <c r="B54" s="1" t="s">
        <v>12086</v>
      </c>
      <c r="C54" s="1" t="s">
        <v>12087</v>
      </c>
      <c r="D54" s="1" t="s">
        <v>12088</v>
      </c>
      <c r="E54" s="1" t="s">
        <v>616</v>
      </c>
      <c r="F54" s="10">
        <v>43287</v>
      </c>
      <c r="G54">
        <v>284800</v>
      </c>
      <c r="H54">
        <v>0</v>
      </c>
      <c r="I54" s="1" t="s">
        <v>12001</v>
      </c>
      <c r="J54" s="11">
        <v>44218.960856481484</v>
      </c>
      <c r="K54" s="1" t="s">
        <v>617</v>
      </c>
      <c r="L54" s="1">
        <f>0.612</f>
        <v>0.61199999999999999</v>
      </c>
      <c r="M54" s="1">
        <f>0.952</f>
        <v>0.95199999999999996</v>
      </c>
      <c r="N54">
        <v>1</v>
      </c>
      <c r="O54" s="1" t="s">
        <v>12457</v>
      </c>
      <c r="P54">
        <v>1</v>
      </c>
      <c r="Q54" s="1" t="b">
        <f>0=498</f>
        <v>0</v>
      </c>
      <c r="R54" s="1" t="b">
        <f>0=333</f>
        <v>0</v>
      </c>
      <c r="S54" s="1" t="b">
        <f>0=183</f>
        <v>0</v>
      </c>
      <c r="T54" s="1" t="b">
        <f>0=936</f>
        <v>0</v>
      </c>
      <c r="U54" s="1" t="b">
        <f>0.2=8</f>
        <v>0</v>
      </c>
      <c r="V54" s="1" t="s">
        <v>12458</v>
      </c>
      <c r="W54">
        <v>4</v>
      </c>
    </row>
    <row r="55" spans="1:23" x14ac:dyDescent="0.25">
      <c r="A55" s="1" t="s">
        <v>12089</v>
      </c>
      <c r="B55" s="1" t="s">
        <v>12090</v>
      </c>
      <c r="C55" s="1" t="s">
        <v>618</v>
      </c>
      <c r="D55" s="1" t="s">
        <v>12091</v>
      </c>
      <c r="E55" s="1" t="s">
        <v>619</v>
      </c>
      <c r="F55" s="10">
        <v>44071</v>
      </c>
      <c r="G55">
        <v>227276</v>
      </c>
      <c r="H55">
        <v>0</v>
      </c>
      <c r="I55" s="1" t="s">
        <v>11961</v>
      </c>
      <c r="J55" s="11">
        <v>44218.962476851855</v>
      </c>
      <c r="K55" s="1" t="s">
        <v>515</v>
      </c>
      <c r="L55" s="1">
        <f>0.576</f>
        <v>0.57599999999999996</v>
      </c>
      <c r="M55" s="1">
        <f>0.98</f>
        <v>0.98</v>
      </c>
      <c r="N55">
        <v>11</v>
      </c>
      <c r="O55" s="1">
        <v>-2.58</v>
      </c>
      <c r="P55">
        <v>1</v>
      </c>
      <c r="Q55" s="1" t="b">
        <f>0=779</f>
        <v>0</v>
      </c>
      <c r="R55" s="1" t="b">
        <f>0=6=4</f>
        <v>0</v>
      </c>
      <c r="S55" s="1" t="b">
        <f>0=627</f>
        <v>0</v>
      </c>
      <c r="T55" s="1">
        <f>0.472</f>
        <v>0.47199999999999998</v>
      </c>
      <c r="U55" s="1">
        <f>0.596</f>
        <v>0.59599999999999997</v>
      </c>
      <c r="V55" s="1" t="s">
        <v>12459</v>
      </c>
      <c r="W55">
        <v>4</v>
      </c>
    </row>
    <row r="56" spans="1:23" x14ac:dyDescent="0.25">
      <c r="A56" s="1" t="s">
        <v>12092</v>
      </c>
      <c r="B56" s="1" t="s">
        <v>11990</v>
      </c>
      <c r="C56" s="1" t="s">
        <v>620</v>
      </c>
      <c r="D56" s="1" t="s">
        <v>620</v>
      </c>
      <c r="E56" s="1" t="s">
        <v>529</v>
      </c>
      <c r="F56" s="10">
        <v>43987</v>
      </c>
      <c r="G56">
        <v>234000</v>
      </c>
      <c r="H56">
        <v>50</v>
      </c>
      <c r="I56" s="1" t="s">
        <v>11961</v>
      </c>
      <c r="J56" s="11">
        <v>44218.962604166663</v>
      </c>
      <c r="K56" s="1" t="s">
        <v>530</v>
      </c>
      <c r="L56" s="1">
        <f>0.666</f>
        <v>0.66600000000000004</v>
      </c>
      <c r="M56" s="1">
        <f>0.984</f>
        <v>0.98399999999999999</v>
      </c>
      <c r="N56">
        <v>11</v>
      </c>
      <c r="O56" s="1">
        <v>-1.9410000000000001</v>
      </c>
      <c r="P56">
        <f>0</f>
        <v>0</v>
      </c>
      <c r="Q56" s="1">
        <f>0.161</f>
        <v>0.161</v>
      </c>
      <c r="R56" s="1" t="b">
        <f>0=496</f>
        <v>0</v>
      </c>
      <c r="S56" s="1">
        <f>0.681</f>
        <v>0.68100000000000005</v>
      </c>
      <c r="T56" s="1">
        <f>0.123</f>
        <v>0.123</v>
      </c>
      <c r="U56" s="1" t="b">
        <f>0.1=2</f>
        <v>0</v>
      </c>
      <c r="V56" s="1">
        <v>99.986000000000004</v>
      </c>
      <c r="W56">
        <v>4</v>
      </c>
    </row>
    <row r="57" spans="1:23" x14ac:dyDescent="0.25">
      <c r="A57" s="1" t="s">
        <v>12093</v>
      </c>
      <c r="B57" s="1" t="s">
        <v>11982</v>
      </c>
      <c r="C57" s="1" t="s">
        <v>621</v>
      </c>
      <c r="D57" s="1" t="s">
        <v>12094</v>
      </c>
      <c r="E57" s="1" t="s">
        <v>522</v>
      </c>
      <c r="F57" s="10">
        <v>42996</v>
      </c>
      <c r="G57">
        <v>272842</v>
      </c>
      <c r="H57">
        <v>35</v>
      </c>
      <c r="I57" s="1" t="s">
        <v>11961</v>
      </c>
      <c r="J57" s="11">
        <v>44218.963171296295</v>
      </c>
      <c r="K57" s="1" t="s">
        <v>515</v>
      </c>
      <c r="L57" s="1">
        <f>0.533</f>
        <v>0.53300000000000003</v>
      </c>
      <c r="M57" s="1">
        <f>0.945</f>
        <v>0.94499999999999995</v>
      </c>
      <c r="N57">
        <v>1</v>
      </c>
      <c r="O57" s="1">
        <v>-4.593</v>
      </c>
      <c r="P57">
        <v>1</v>
      </c>
      <c r="Q57" s="1" t="b">
        <f>0=4=5</f>
        <v>0</v>
      </c>
      <c r="R57" s="1" t="b">
        <f>0=0=0=459</f>
        <v>0</v>
      </c>
      <c r="S57" s="1">
        <f>0.616</f>
        <v>0.61599999999999999</v>
      </c>
      <c r="T57" s="1">
        <f>0.127</f>
        <v>0.127</v>
      </c>
      <c r="U57" s="1" t="b">
        <f>0=52</f>
        <v>0</v>
      </c>
      <c r="V57" s="1">
        <v>94.989000000000004</v>
      </c>
      <c r="W57">
        <v>4</v>
      </c>
    </row>
    <row r="58" spans="1:23" x14ac:dyDescent="0.25">
      <c r="A58" s="1" t="s">
        <v>12095</v>
      </c>
      <c r="B58" s="1" t="s">
        <v>12034</v>
      </c>
      <c r="C58" s="1" t="s">
        <v>622</v>
      </c>
      <c r="D58" s="1" t="s">
        <v>622</v>
      </c>
      <c r="E58" s="1" t="s">
        <v>567</v>
      </c>
      <c r="F58" s="10">
        <v>43973</v>
      </c>
      <c r="G58">
        <v>285600</v>
      </c>
      <c r="H58">
        <v>55</v>
      </c>
      <c r="I58" s="1" t="s">
        <v>11961</v>
      </c>
      <c r="J58" s="11">
        <v>44218.963252314818</v>
      </c>
      <c r="K58" s="1" t="s">
        <v>568</v>
      </c>
      <c r="L58" s="1">
        <f>0.572</f>
        <v>0.57199999999999995</v>
      </c>
      <c r="M58" s="1">
        <f>0.985</f>
        <v>0.98499999999999999</v>
      </c>
      <c r="N58">
        <f>0</f>
        <v>0</v>
      </c>
      <c r="O58" s="1">
        <v>-1.861</v>
      </c>
      <c r="P58">
        <v>1</v>
      </c>
      <c r="Q58" s="1">
        <f>0.153</f>
        <v>0.153</v>
      </c>
      <c r="R58" s="1" t="b">
        <f>0=839</f>
        <v>0</v>
      </c>
      <c r="S58" s="1">
        <f>0.593</f>
        <v>0.59299999999999997</v>
      </c>
      <c r="T58" s="1" t="b">
        <f>0.1=9</f>
        <v>0</v>
      </c>
      <c r="U58" s="1" t="b">
        <f>0=577</f>
        <v>0</v>
      </c>
      <c r="V58" s="1" t="s">
        <v>12460</v>
      </c>
      <c r="W58">
        <v>4</v>
      </c>
    </row>
    <row r="59" spans="1:23" x14ac:dyDescent="0.25">
      <c r="A59" s="1" t="s">
        <v>12096</v>
      </c>
      <c r="B59" s="1" t="s">
        <v>12097</v>
      </c>
      <c r="C59" s="1" t="s">
        <v>623</v>
      </c>
      <c r="D59" s="1" t="s">
        <v>12098</v>
      </c>
      <c r="E59" s="1" t="s">
        <v>624</v>
      </c>
      <c r="F59" s="10">
        <v>43234</v>
      </c>
      <c r="G59">
        <v>266000</v>
      </c>
      <c r="H59">
        <v>0</v>
      </c>
      <c r="I59" s="1" t="s">
        <v>12001</v>
      </c>
      <c r="J59" s="11">
        <v>44218.963530092595</v>
      </c>
      <c r="K59" s="1" t="s">
        <v>625</v>
      </c>
      <c r="L59" s="1">
        <f>0.514</f>
        <v>0.51400000000000001</v>
      </c>
      <c r="M59" s="1">
        <f>0.91</f>
        <v>0.91</v>
      </c>
      <c r="N59">
        <v>9</v>
      </c>
      <c r="O59" s="1" t="s">
        <v>12461</v>
      </c>
      <c r="P59">
        <f>0</f>
        <v>0</v>
      </c>
      <c r="Q59" s="1">
        <f>0.16</f>
        <v>0.16</v>
      </c>
      <c r="R59" s="1" t="b">
        <f>0=123</f>
        <v>0</v>
      </c>
      <c r="S59" s="1" t="b">
        <f>0=571</f>
        <v>0</v>
      </c>
      <c r="T59" s="1">
        <f>0.338</f>
        <v>0.33800000000000002</v>
      </c>
      <c r="U59" s="1">
        <f>0.145</f>
        <v>0.14499999999999999</v>
      </c>
      <c r="V59" s="1" t="s">
        <v>12462</v>
      </c>
      <c r="W59">
        <v>4</v>
      </c>
    </row>
    <row r="60" spans="1:23" x14ac:dyDescent="0.25">
      <c r="A60" s="1" t="s">
        <v>12099</v>
      </c>
      <c r="B60" s="1" t="s">
        <v>12100</v>
      </c>
      <c r="C60" s="1" t="s">
        <v>626</v>
      </c>
      <c r="D60" s="1" t="s">
        <v>12101</v>
      </c>
      <c r="E60" s="1" t="s">
        <v>627</v>
      </c>
      <c r="F60" s="10">
        <v>43040</v>
      </c>
      <c r="G60">
        <v>337263</v>
      </c>
      <c r="H60">
        <v>56</v>
      </c>
      <c r="I60" s="1" t="s">
        <v>11961</v>
      </c>
      <c r="J60" s="11">
        <v>44218.963564814818</v>
      </c>
      <c r="K60" s="1" t="s">
        <v>537</v>
      </c>
      <c r="L60" s="1">
        <f>0.552</f>
        <v>0.55200000000000005</v>
      </c>
      <c r="M60" s="1">
        <f>0.916</f>
        <v>0.91600000000000004</v>
      </c>
      <c r="N60">
        <v>7</v>
      </c>
      <c r="O60" s="1">
        <v>-2.46</v>
      </c>
      <c r="P60">
        <v>1</v>
      </c>
      <c r="Q60" s="1" t="b">
        <f>0=433</f>
        <v>0</v>
      </c>
      <c r="R60" s="1" t="b">
        <f>0=0=0=0=4</f>
        <v>0</v>
      </c>
      <c r="S60" s="1">
        <f>0.88</f>
        <v>0.88</v>
      </c>
      <c r="T60" s="1">
        <f>0.351</f>
        <v>0.35099999999999998</v>
      </c>
      <c r="U60" s="1" t="b">
        <f>0=499</f>
        <v>0</v>
      </c>
      <c r="V60" s="1" t="s">
        <v>12463</v>
      </c>
      <c r="W60">
        <v>4</v>
      </c>
    </row>
    <row r="61" spans="1:23" x14ac:dyDescent="0.25">
      <c r="A61" s="1" t="s">
        <v>12102</v>
      </c>
      <c r="B61" s="1" t="s">
        <v>12103</v>
      </c>
      <c r="C61" s="1" t="s">
        <v>628</v>
      </c>
      <c r="D61" s="1" t="s">
        <v>628</v>
      </c>
      <c r="E61" s="1" t="s">
        <v>629</v>
      </c>
      <c r="F61" s="10">
        <v>41513</v>
      </c>
      <c r="G61">
        <v>202400</v>
      </c>
      <c r="H61">
        <v>0</v>
      </c>
      <c r="I61" s="1" t="s">
        <v>12001</v>
      </c>
      <c r="J61" s="11">
        <v>44218.964895833335</v>
      </c>
      <c r="K61" s="1" t="s">
        <v>600</v>
      </c>
      <c r="L61" s="1">
        <f>0.529</f>
        <v>0.52900000000000003</v>
      </c>
      <c r="M61" s="1">
        <f>0.937</f>
        <v>0.93700000000000006</v>
      </c>
      <c r="N61">
        <v>5</v>
      </c>
      <c r="O61" s="1">
        <v>-3.3969999999999998</v>
      </c>
      <c r="P61">
        <f>0</f>
        <v>0</v>
      </c>
      <c r="Q61" s="1" t="b">
        <f>0=465</f>
        <v>0</v>
      </c>
      <c r="R61" s="1" t="b">
        <f>0=3=3</f>
        <v>0</v>
      </c>
      <c r="S61" s="1" t="b">
        <f>0=0=0=127</f>
        <v>0</v>
      </c>
      <c r="T61" s="1">
        <f>0.151</f>
        <v>0.151</v>
      </c>
      <c r="U61" s="1">
        <f>0.545</f>
        <v>0.54500000000000004</v>
      </c>
      <c r="V61" s="1">
        <v>149.99199999999999</v>
      </c>
      <c r="W61">
        <v>4</v>
      </c>
    </row>
    <row r="62" spans="1:23" x14ac:dyDescent="0.25">
      <c r="A62" s="1" t="s">
        <v>12104</v>
      </c>
      <c r="B62" s="1" t="s">
        <v>12105</v>
      </c>
      <c r="C62" s="1" t="s">
        <v>630</v>
      </c>
      <c r="D62" s="1" t="s">
        <v>630</v>
      </c>
      <c r="E62" s="1" t="s">
        <v>631</v>
      </c>
      <c r="F62" s="10">
        <v>43517</v>
      </c>
      <c r="G62">
        <v>163233</v>
      </c>
      <c r="H62">
        <v>0</v>
      </c>
      <c r="I62" s="1" t="s">
        <v>12001</v>
      </c>
      <c r="J62" s="11">
        <v>44218.967592592591</v>
      </c>
      <c r="K62" s="1" t="s">
        <v>632</v>
      </c>
      <c r="L62" s="1">
        <f>0.29</f>
        <v>0.28999999999999998</v>
      </c>
      <c r="M62" s="1" t="b">
        <f>0.9=9</f>
        <v>0</v>
      </c>
      <c r="N62">
        <v>9</v>
      </c>
      <c r="O62" s="1">
        <v>-3.7480000000000002</v>
      </c>
      <c r="P62">
        <v>1</v>
      </c>
      <c r="Q62" s="1">
        <f>0.129</f>
        <v>0.129</v>
      </c>
      <c r="R62" s="1" t="b">
        <f>0=33</f>
        <v>0</v>
      </c>
      <c r="S62" s="1" t="b">
        <f>0=0=0=0=0=13</f>
        <v>0</v>
      </c>
      <c r="T62" s="1">
        <f>0.321</f>
        <v>0.32100000000000001</v>
      </c>
      <c r="U62" s="1" t="b">
        <f>0=884</f>
        <v>0</v>
      </c>
      <c r="V62" s="1">
        <v>149.827</v>
      </c>
      <c r="W62">
        <v>4</v>
      </c>
    </row>
    <row r="63" spans="1:23" x14ac:dyDescent="0.25">
      <c r="A63" s="1" t="s">
        <v>12106</v>
      </c>
      <c r="B63" s="1" t="s">
        <v>12107</v>
      </c>
      <c r="C63" s="1" t="s">
        <v>12108</v>
      </c>
      <c r="D63" s="1" t="s">
        <v>12109</v>
      </c>
      <c r="E63" s="1" t="s">
        <v>633</v>
      </c>
      <c r="F63" s="10">
        <v>42510</v>
      </c>
      <c r="G63">
        <v>162440</v>
      </c>
      <c r="H63">
        <v>61</v>
      </c>
      <c r="I63" s="1" t="s">
        <v>12001</v>
      </c>
      <c r="J63" s="11">
        <v>44218.968472222223</v>
      </c>
      <c r="K63" s="1" t="s">
        <v>634</v>
      </c>
      <c r="L63" s="1" t="b">
        <f>0.5=9</f>
        <v>0</v>
      </c>
      <c r="M63" s="1">
        <f>0.897</f>
        <v>0.89700000000000002</v>
      </c>
      <c r="N63">
        <v>8</v>
      </c>
      <c r="O63" s="1">
        <v>-3.4180000000000001</v>
      </c>
      <c r="P63">
        <f>0</f>
        <v>0</v>
      </c>
      <c r="Q63" s="1" t="b">
        <f>0=454</f>
        <v>0</v>
      </c>
      <c r="R63" s="1" t="b">
        <f>0=861</f>
        <v>0</v>
      </c>
      <c r="S63" s="1" t="b">
        <f>0=0=0=634</f>
        <v>0</v>
      </c>
      <c r="T63" s="1" t="b">
        <f>0=625</f>
        <v>0</v>
      </c>
      <c r="U63" s="1">
        <f>0.283</f>
        <v>0.28299999999999997</v>
      </c>
      <c r="V63" s="1">
        <v>149.864</v>
      </c>
      <c r="W63">
        <v>4</v>
      </c>
    </row>
    <row r="64" spans="1:23" x14ac:dyDescent="0.25">
      <c r="A64" s="1" t="s">
        <v>12110</v>
      </c>
      <c r="B64" s="1" t="s">
        <v>12111</v>
      </c>
      <c r="C64" s="1" t="s">
        <v>635</v>
      </c>
      <c r="D64" s="1" t="s">
        <v>12112</v>
      </c>
      <c r="E64" s="1" t="s">
        <v>636</v>
      </c>
      <c r="F64" s="10">
        <v>42915</v>
      </c>
      <c r="G64">
        <v>218322</v>
      </c>
      <c r="H64">
        <v>32</v>
      </c>
      <c r="I64" s="1" t="s">
        <v>12001</v>
      </c>
      <c r="J64" s="11">
        <v>44218.969409722224</v>
      </c>
      <c r="K64" s="1" t="s">
        <v>637</v>
      </c>
      <c r="L64" s="1">
        <f>0.473</f>
        <v>0.47299999999999998</v>
      </c>
      <c r="M64" s="1">
        <f>0.912</f>
        <v>0.91200000000000003</v>
      </c>
      <c r="N64">
        <v>5</v>
      </c>
      <c r="O64" s="1">
        <v>-3.2349999999999999</v>
      </c>
      <c r="P64">
        <v>1</v>
      </c>
      <c r="Q64" s="1" t="b">
        <f>0=292</f>
        <v>0</v>
      </c>
      <c r="R64" s="1" t="b">
        <f>0=0=7=6</f>
        <v>0</v>
      </c>
      <c r="S64" s="1" t="b">
        <f>0=0=0=0=648</f>
        <v>0</v>
      </c>
      <c r="T64" s="1">
        <f>0.157</f>
        <v>0.157</v>
      </c>
      <c r="U64" s="1">
        <f>0.328</f>
        <v>0.32800000000000001</v>
      </c>
      <c r="V64" s="1" t="s">
        <v>12464</v>
      </c>
      <c r="W64">
        <v>4</v>
      </c>
    </row>
    <row r="65" spans="1:23" x14ac:dyDescent="0.25">
      <c r="A65" s="1" t="s">
        <v>12113</v>
      </c>
      <c r="B65" s="1" t="s">
        <v>12114</v>
      </c>
      <c r="C65" s="1" t="s">
        <v>638</v>
      </c>
      <c r="D65" s="1" t="s">
        <v>638</v>
      </c>
      <c r="E65" s="1" t="s">
        <v>639</v>
      </c>
      <c r="F65" s="10">
        <v>43528</v>
      </c>
      <c r="G65">
        <v>241600</v>
      </c>
      <c r="H65">
        <v>58</v>
      </c>
      <c r="I65" s="1" t="s">
        <v>12001</v>
      </c>
      <c r="J65" s="11">
        <v>44218.970613425925</v>
      </c>
      <c r="K65" s="1" t="s">
        <v>632</v>
      </c>
      <c r="L65" s="1">
        <f>0.535</f>
        <v>0.53500000000000003</v>
      </c>
      <c r="M65" s="1">
        <f>0.877</f>
        <v>0.877</v>
      </c>
      <c r="N65">
        <v>3</v>
      </c>
      <c r="O65" s="1">
        <v>-2.181</v>
      </c>
      <c r="P65">
        <f>0</f>
        <v>0</v>
      </c>
      <c r="Q65" s="1" t="b">
        <f>0=465</f>
        <v>0</v>
      </c>
      <c r="R65" s="1" t="b">
        <f>0=33</f>
        <v>0</v>
      </c>
      <c r="S65" s="1" t="b">
        <f>0=0=0=167</f>
        <v>0</v>
      </c>
      <c r="T65" s="1">
        <f>0.144</f>
        <v>0.14399999999999999</v>
      </c>
      <c r="U65" s="1">
        <f>0.115</f>
        <v>0.115</v>
      </c>
      <c r="V65" s="1" t="s">
        <v>12465</v>
      </c>
      <c r="W65">
        <v>4</v>
      </c>
    </row>
    <row r="66" spans="1:23" x14ac:dyDescent="0.25">
      <c r="A66" s="1" t="s">
        <v>12115</v>
      </c>
      <c r="B66" s="1" t="s">
        <v>12116</v>
      </c>
      <c r="C66" s="1" t="s">
        <v>640</v>
      </c>
      <c r="D66" s="1" t="s">
        <v>12117</v>
      </c>
      <c r="E66" s="1" t="s">
        <v>641</v>
      </c>
      <c r="F66" s="10">
        <v>41735</v>
      </c>
      <c r="G66">
        <v>170625</v>
      </c>
      <c r="H66">
        <v>65</v>
      </c>
      <c r="I66" s="1" t="s">
        <v>12001</v>
      </c>
      <c r="J66" s="11">
        <v>44218.971006944441</v>
      </c>
      <c r="K66" s="1" t="s">
        <v>642</v>
      </c>
      <c r="L66" s="1">
        <f>0.614</f>
        <v>0.61399999999999999</v>
      </c>
      <c r="M66" s="1">
        <f>0.972</f>
        <v>0.97199999999999998</v>
      </c>
      <c r="N66">
        <v>5</v>
      </c>
      <c r="O66" s="1">
        <v>-3.927</v>
      </c>
      <c r="P66">
        <f>0</f>
        <v>0</v>
      </c>
      <c r="Q66" s="1" t="b">
        <f>0=88</f>
        <v>0</v>
      </c>
      <c r="R66" s="1" t="b">
        <f>0=0=125</f>
        <v>0</v>
      </c>
      <c r="S66" s="1" t="b">
        <f>0=186</f>
        <v>0</v>
      </c>
      <c r="T66" s="1">
        <f>0.328</f>
        <v>0.32800000000000001</v>
      </c>
      <c r="U66" s="1">
        <f>0.411</f>
        <v>0.41099999999999998</v>
      </c>
      <c r="V66" s="1">
        <v>127.96599999999999</v>
      </c>
      <c r="W66">
        <v>4</v>
      </c>
    </row>
    <row r="67" spans="1:23" x14ac:dyDescent="0.25">
      <c r="A67" s="1" t="s">
        <v>12118</v>
      </c>
      <c r="B67" s="1" t="s">
        <v>12119</v>
      </c>
      <c r="C67" s="1" t="s">
        <v>5013</v>
      </c>
      <c r="D67" s="1" t="s">
        <v>12120</v>
      </c>
      <c r="E67" s="1" t="s">
        <v>643</v>
      </c>
      <c r="F67" s="10">
        <v>44204</v>
      </c>
      <c r="G67">
        <v>162992</v>
      </c>
      <c r="H67">
        <v>75</v>
      </c>
      <c r="I67" s="1" t="s">
        <v>11961</v>
      </c>
      <c r="J67" s="11">
        <v>44218.971354166664</v>
      </c>
      <c r="K67" s="1" t="s">
        <v>644</v>
      </c>
      <c r="L67" s="1" t="s">
        <v>50</v>
      </c>
      <c r="M67" s="1" t="s">
        <v>50</v>
      </c>
      <c r="O67" s="1" t="s">
        <v>50</v>
      </c>
      <c r="Q67" s="1" t="s">
        <v>50</v>
      </c>
      <c r="R67" s="1" t="s">
        <v>50</v>
      </c>
      <c r="S67" s="1" t="s">
        <v>50</v>
      </c>
      <c r="T67" s="1" t="s">
        <v>50</v>
      </c>
      <c r="U67" s="1" t="s">
        <v>50</v>
      </c>
      <c r="V67" s="1" t="s">
        <v>50</v>
      </c>
    </row>
    <row r="68" spans="1:23" x14ac:dyDescent="0.25">
      <c r="A68" s="1" t="s">
        <v>12121</v>
      </c>
      <c r="B68" s="1" t="s">
        <v>12122</v>
      </c>
      <c r="C68" s="1" t="s">
        <v>12123</v>
      </c>
      <c r="D68" s="1" t="s">
        <v>12088</v>
      </c>
      <c r="E68" s="1" t="s">
        <v>645</v>
      </c>
      <c r="F68" s="10">
        <v>43287</v>
      </c>
      <c r="G68">
        <v>152400</v>
      </c>
      <c r="H68">
        <v>0</v>
      </c>
      <c r="I68" s="1" t="s">
        <v>12001</v>
      </c>
      <c r="J68" s="11">
        <v>44218.972638888888</v>
      </c>
      <c r="K68" s="1" t="s">
        <v>646</v>
      </c>
      <c r="L68" s="1">
        <f>0.567</f>
        <v>0.56699999999999995</v>
      </c>
      <c r="M68" s="1">
        <f>0.977</f>
        <v>0.97699999999999998</v>
      </c>
      <c r="N68">
        <v>1</v>
      </c>
      <c r="O68" s="1">
        <v>-1.7909999999999999</v>
      </c>
      <c r="P68">
        <v>1</v>
      </c>
      <c r="Q68" s="1" t="b">
        <f>0=426</f>
        <v>0</v>
      </c>
      <c r="R68" s="1" t="b">
        <f>0=577</f>
        <v>0</v>
      </c>
      <c r="S68" s="1" t="b">
        <f>0=263</f>
        <v>0</v>
      </c>
      <c r="T68" s="1">
        <f>0.221</f>
        <v>0.221</v>
      </c>
      <c r="U68" s="1">
        <f>0.333</f>
        <v>0.33300000000000002</v>
      </c>
      <c r="V68" s="1" t="s">
        <v>12466</v>
      </c>
      <c r="W68">
        <v>4</v>
      </c>
    </row>
    <row r="69" spans="1:23" x14ac:dyDescent="0.25">
      <c r="A69" s="1" t="s">
        <v>12124</v>
      </c>
      <c r="B69" s="1" t="s">
        <v>12125</v>
      </c>
      <c r="C69" s="1" t="s">
        <v>647</v>
      </c>
      <c r="D69" s="1" t="s">
        <v>647</v>
      </c>
      <c r="E69" s="1" t="s">
        <v>648</v>
      </c>
      <c r="F69" s="10">
        <v>41626</v>
      </c>
      <c r="G69">
        <v>213733</v>
      </c>
      <c r="H69">
        <v>71</v>
      </c>
      <c r="I69" s="1" t="s">
        <v>12001</v>
      </c>
      <c r="J69" s="11">
        <v>44218.975486111114</v>
      </c>
      <c r="K69" s="1" t="s">
        <v>649</v>
      </c>
      <c r="L69" s="1">
        <f>0.818</f>
        <v>0.81799999999999995</v>
      </c>
      <c r="M69" s="1">
        <f>0.799</f>
        <v>0.79900000000000004</v>
      </c>
      <c r="N69">
        <v>1</v>
      </c>
      <c r="O69" s="1">
        <v>-4.0999999999999996</v>
      </c>
      <c r="P69">
        <f>0</f>
        <v>0</v>
      </c>
      <c r="Q69" s="1">
        <f>0.156</f>
        <v>0.156</v>
      </c>
      <c r="R69" s="1" t="b">
        <f>0=0=1=7</f>
        <v>0</v>
      </c>
      <c r="S69" s="1">
        <f>0.128</f>
        <v>0.128</v>
      </c>
      <c r="T69" s="1" t="b">
        <f>0=57</f>
        <v>0</v>
      </c>
      <c r="U69" s="1" t="b">
        <f>0=815</f>
        <v>0</v>
      </c>
      <c r="V69" s="1" t="s">
        <v>12467</v>
      </c>
      <c r="W69">
        <v>4</v>
      </c>
    </row>
    <row r="70" spans="1:23" x14ac:dyDescent="0.25">
      <c r="A70" s="1" t="s">
        <v>12126</v>
      </c>
      <c r="B70" s="1" t="s">
        <v>12127</v>
      </c>
      <c r="C70" s="1" t="s">
        <v>650</v>
      </c>
      <c r="D70" s="1" t="s">
        <v>650</v>
      </c>
      <c r="E70" s="1" t="s">
        <v>651</v>
      </c>
      <c r="F70" s="10">
        <v>41764</v>
      </c>
      <c r="G70">
        <v>275200</v>
      </c>
      <c r="H70">
        <v>48</v>
      </c>
      <c r="I70" s="1" t="s">
        <v>12001</v>
      </c>
      <c r="J70" s="11">
        <v>44218.976030092592</v>
      </c>
      <c r="K70" s="1" t="s">
        <v>632</v>
      </c>
      <c r="L70" s="1">
        <f>0.567</f>
        <v>0.56699999999999995</v>
      </c>
      <c r="M70" s="1">
        <f>0.978</f>
        <v>0.97799999999999998</v>
      </c>
      <c r="N70">
        <v>2</v>
      </c>
      <c r="O70" s="1">
        <v>-1.7669999999999999</v>
      </c>
      <c r="P70">
        <v>1</v>
      </c>
      <c r="Q70" s="1">
        <f>0.125</f>
        <v>0.125</v>
      </c>
      <c r="R70" s="1" t="b">
        <f>0=0=42</f>
        <v>0</v>
      </c>
      <c r="S70" s="1" t="b">
        <f>0=0=0=0=0=297</f>
        <v>0</v>
      </c>
      <c r="T70" s="1">
        <f>0.117</f>
        <v>0.11700000000000001</v>
      </c>
      <c r="U70" s="1" t="b">
        <f>0.4=7</f>
        <v>0</v>
      </c>
      <c r="V70" s="1" t="s">
        <v>12468</v>
      </c>
      <c r="W70">
        <v>4</v>
      </c>
    </row>
    <row r="71" spans="1:23" x14ac:dyDescent="0.25">
      <c r="A71" s="1" t="s">
        <v>12128</v>
      </c>
      <c r="B71" s="1" t="s">
        <v>12129</v>
      </c>
      <c r="C71" s="1" t="s">
        <v>652</v>
      </c>
      <c r="D71" s="1" t="s">
        <v>652</v>
      </c>
      <c r="E71" s="1" t="s">
        <v>653</v>
      </c>
      <c r="F71" s="10">
        <v>42314</v>
      </c>
      <c r="G71">
        <v>187500</v>
      </c>
      <c r="H71">
        <v>0</v>
      </c>
      <c r="I71" s="1" t="s">
        <v>12001</v>
      </c>
      <c r="J71" s="11">
        <v>44218.976388888892</v>
      </c>
      <c r="K71" s="1" t="s">
        <v>654</v>
      </c>
      <c r="L71" s="1">
        <f>0.593</f>
        <v>0.59299999999999997</v>
      </c>
      <c r="M71" s="1">
        <f>0.87</f>
        <v>0.87</v>
      </c>
      <c r="N71">
        <v>7</v>
      </c>
      <c r="O71" s="1">
        <v>-3.4540000000000002</v>
      </c>
      <c r="P71">
        <f>0</f>
        <v>0</v>
      </c>
      <c r="Q71" s="1" t="b">
        <f>0=578</f>
        <v>0</v>
      </c>
      <c r="R71" s="1" t="b">
        <f>0=912</f>
        <v>0</v>
      </c>
      <c r="S71" s="1" t="b">
        <f>0=0=4=8</f>
        <v>0</v>
      </c>
      <c r="T71" s="1">
        <f>0.177</f>
        <v>0.17699999999999999</v>
      </c>
      <c r="U71" s="1">
        <f>0.177</f>
        <v>0.17699999999999999</v>
      </c>
      <c r="V71" s="1" t="s">
        <v>11814</v>
      </c>
      <c r="W71">
        <v>4</v>
      </c>
    </row>
    <row r="72" spans="1:23" x14ac:dyDescent="0.25">
      <c r="A72" s="1" t="s">
        <v>12130</v>
      </c>
      <c r="B72" s="1" t="s">
        <v>12131</v>
      </c>
      <c r="C72" s="1" t="s">
        <v>12132</v>
      </c>
      <c r="D72" s="1" t="s">
        <v>12133</v>
      </c>
      <c r="E72" s="1" t="s">
        <v>655</v>
      </c>
      <c r="F72" s="10">
        <v>42713</v>
      </c>
      <c r="G72">
        <v>221600</v>
      </c>
      <c r="H72">
        <v>41</v>
      </c>
      <c r="I72" s="1" t="s">
        <v>12001</v>
      </c>
      <c r="J72" s="11">
        <v>44218.977060185185</v>
      </c>
      <c r="K72" s="1" t="s">
        <v>656</v>
      </c>
      <c r="L72" s="1">
        <f>0.458</f>
        <v>0.45800000000000002</v>
      </c>
      <c r="M72" s="1">
        <f>0.94</f>
        <v>0.94</v>
      </c>
      <c r="N72">
        <v>2</v>
      </c>
      <c r="O72" s="1">
        <v>-4.125</v>
      </c>
      <c r="P72">
        <v>1</v>
      </c>
      <c r="Q72" s="1" t="b">
        <f>0=557</f>
        <v>0</v>
      </c>
      <c r="R72" s="1" t="b">
        <f>0=0=191</f>
        <v>0</v>
      </c>
      <c r="S72" s="1" t="b">
        <f>0=0=0=0=368</f>
        <v>0</v>
      </c>
      <c r="T72" s="1">
        <f>0.46</f>
        <v>0.46</v>
      </c>
      <c r="U72" s="1">
        <f>0.155</f>
        <v>0.155</v>
      </c>
      <c r="V72" s="1">
        <v>149.98599999999999</v>
      </c>
      <c r="W72">
        <v>4</v>
      </c>
    </row>
    <row r="73" spans="1:23" x14ac:dyDescent="0.25">
      <c r="A73" s="1" t="s">
        <v>12134</v>
      </c>
      <c r="B73" s="1" t="s">
        <v>12135</v>
      </c>
      <c r="C73" s="1" t="s">
        <v>657</v>
      </c>
      <c r="D73" s="1" t="s">
        <v>657</v>
      </c>
      <c r="E73" s="1" t="s">
        <v>658</v>
      </c>
      <c r="F73" s="10">
        <v>42608</v>
      </c>
      <c r="G73">
        <v>232481</v>
      </c>
      <c r="H73">
        <v>0</v>
      </c>
      <c r="I73" s="1" t="s">
        <v>12001</v>
      </c>
      <c r="J73" s="11">
        <v>44218.97824074074</v>
      </c>
      <c r="K73" s="1" t="s">
        <v>659</v>
      </c>
      <c r="L73" s="1">
        <f>0.358</f>
        <v>0.35799999999999998</v>
      </c>
      <c r="M73" s="1">
        <f>0.985</f>
        <v>0.98499999999999999</v>
      </c>
      <c r="N73">
        <v>11</v>
      </c>
      <c r="O73" s="1">
        <v>-3.323</v>
      </c>
      <c r="P73">
        <v>1</v>
      </c>
      <c r="Q73" s="1" t="b">
        <f>0=886</f>
        <v>0</v>
      </c>
      <c r="R73" s="1" t="b">
        <f>0=0=449</f>
        <v>0</v>
      </c>
      <c r="S73" s="1" t="b">
        <f>0=0=379</f>
        <v>0</v>
      </c>
      <c r="T73" s="1" t="b">
        <f>0.5=6</f>
        <v>0</v>
      </c>
      <c r="U73" s="1">
        <f>0.584</f>
        <v>0.58399999999999996</v>
      </c>
      <c r="V73" s="1" t="s">
        <v>12469</v>
      </c>
      <c r="W73">
        <v>4</v>
      </c>
    </row>
    <row r="74" spans="1:23" x14ac:dyDescent="0.25">
      <c r="A74" s="1" t="s">
        <v>12136</v>
      </c>
      <c r="B74" s="1" t="s">
        <v>12137</v>
      </c>
      <c r="C74" s="1" t="s">
        <v>660</v>
      </c>
      <c r="D74" s="1" t="s">
        <v>6527</v>
      </c>
      <c r="E74" s="1" t="s">
        <v>661</v>
      </c>
      <c r="F74" s="10">
        <v>42979</v>
      </c>
      <c r="G74">
        <v>179600</v>
      </c>
      <c r="H74">
        <v>1</v>
      </c>
      <c r="I74" s="1" t="s">
        <v>12001</v>
      </c>
      <c r="J74" s="11">
        <v>44218.979120370372</v>
      </c>
      <c r="K74" s="1" t="s">
        <v>600</v>
      </c>
      <c r="L74" s="1">
        <f>0.567</f>
        <v>0.56699999999999995</v>
      </c>
      <c r="M74" s="1">
        <f>0.791</f>
        <v>0.79100000000000004</v>
      </c>
      <c r="N74">
        <v>5</v>
      </c>
      <c r="O74" s="1">
        <v>-4.6310000000000002</v>
      </c>
      <c r="P74">
        <f>0</f>
        <v>0</v>
      </c>
      <c r="Q74" s="1" t="b">
        <f>0=772</f>
        <v>0</v>
      </c>
      <c r="R74" s="1" t="b">
        <f>0=622</f>
        <v>0</v>
      </c>
      <c r="S74" s="1" t="b">
        <f>0=117</f>
        <v>0</v>
      </c>
      <c r="T74" s="1">
        <f>0.112</f>
        <v>0.112</v>
      </c>
      <c r="U74" s="1">
        <f>0.16</f>
        <v>0.16</v>
      </c>
      <c r="V74" s="1" t="s">
        <v>12470</v>
      </c>
      <c r="W74">
        <v>4</v>
      </c>
    </row>
    <row r="75" spans="1:23" x14ac:dyDescent="0.25">
      <c r="A75" s="1" t="s">
        <v>12138</v>
      </c>
      <c r="B75" s="1" t="s">
        <v>12139</v>
      </c>
      <c r="C75" s="1" t="s">
        <v>662</v>
      </c>
      <c r="D75" s="1" t="s">
        <v>662</v>
      </c>
      <c r="E75" s="1" t="s">
        <v>663</v>
      </c>
      <c r="F75" s="10">
        <v>43539</v>
      </c>
      <c r="G75">
        <v>222539</v>
      </c>
      <c r="H75">
        <v>40</v>
      </c>
      <c r="I75" s="1" t="s">
        <v>11961</v>
      </c>
      <c r="J75" s="11">
        <v>44218.979953703703</v>
      </c>
      <c r="K75" s="1" t="s">
        <v>664</v>
      </c>
      <c r="L75" s="1">
        <f>0.272</f>
        <v>0.27200000000000002</v>
      </c>
      <c r="M75" s="1">
        <f>0.898</f>
        <v>0.89800000000000002</v>
      </c>
      <c r="N75">
        <v>4</v>
      </c>
      <c r="O75" s="1">
        <v>-4.9390000000000001</v>
      </c>
      <c r="P75">
        <f>0</f>
        <v>0</v>
      </c>
      <c r="Q75" s="1" t="b">
        <f>0=9=5</f>
        <v>0</v>
      </c>
      <c r="R75" s="1" t="b">
        <f>0=0=824</f>
        <v>0</v>
      </c>
      <c r="S75" s="1" t="b">
        <f>0=625</f>
        <v>0</v>
      </c>
      <c r="T75" s="1">
        <f>0.215</f>
        <v>0.215</v>
      </c>
      <c r="U75" s="1">
        <f>0.291</f>
        <v>0.29099999999999998</v>
      </c>
      <c r="V75" s="1">
        <v>149.78899999999999</v>
      </c>
      <c r="W75">
        <v>4</v>
      </c>
    </row>
    <row r="76" spans="1:23" x14ac:dyDescent="0.25">
      <c r="A76" s="1" t="s">
        <v>12140</v>
      </c>
      <c r="B76" s="1" t="s">
        <v>12141</v>
      </c>
      <c r="C76" s="1" t="s">
        <v>665</v>
      </c>
      <c r="D76" s="1" t="s">
        <v>665</v>
      </c>
      <c r="E76" s="1" t="s">
        <v>666</v>
      </c>
      <c r="F76" s="10">
        <v>43119</v>
      </c>
      <c r="G76">
        <v>202811</v>
      </c>
      <c r="H76">
        <v>39</v>
      </c>
      <c r="I76" s="1" t="s">
        <v>12001</v>
      </c>
      <c r="J76" s="11">
        <v>44218.980127314811</v>
      </c>
      <c r="K76" s="1" t="s">
        <v>667</v>
      </c>
      <c r="L76" s="1">
        <f>0.591</f>
        <v>0.59099999999999997</v>
      </c>
      <c r="M76" s="1">
        <f>0.876</f>
        <v>0.876</v>
      </c>
      <c r="N76">
        <f>0</f>
        <v>0</v>
      </c>
      <c r="O76" s="1">
        <v>-3.1880000000000002</v>
      </c>
      <c r="P76">
        <v>1</v>
      </c>
      <c r="Q76" s="1" t="b">
        <f>0=571</f>
        <v>0</v>
      </c>
      <c r="R76" s="1">
        <f>0.241</f>
        <v>0.24099999999999999</v>
      </c>
      <c r="S76" s="1">
        <f>0</f>
        <v>0</v>
      </c>
      <c r="T76" s="1">
        <f>0.143</f>
        <v>0.14299999999999999</v>
      </c>
      <c r="U76" s="1">
        <f>0.433</f>
        <v>0.433</v>
      </c>
      <c r="V76" s="1">
        <v>154.93799999999999</v>
      </c>
      <c r="W76">
        <v>4</v>
      </c>
    </row>
    <row r="77" spans="1:23" x14ac:dyDescent="0.25">
      <c r="A77" s="1" t="s">
        <v>12142</v>
      </c>
      <c r="B77" s="1" t="s">
        <v>12143</v>
      </c>
      <c r="C77" s="1" t="s">
        <v>668</v>
      </c>
      <c r="D77" s="1" t="s">
        <v>668</v>
      </c>
      <c r="E77" s="1" t="s">
        <v>669</v>
      </c>
      <c r="F77" s="10">
        <v>43132</v>
      </c>
      <c r="G77">
        <v>152420</v>
      </c>
      <c r="H77">
        <v>42</v>
      </c>
      <c r="I77" s="1" t="s">
        <v>12001</v>
      </c>
      <c r="J77" s="11">
        <v>44218.981423611112</v>
      </c>
      <c r="K77" s="1" t="s">
        <v>670</v>
      </c>
      <c r="L77" s="1">
        <f>0.295</f>
        <v>0.29499999999999998</v>
      </c>
      <c r="M77" s="1">
        <f>0.969</f>
        <v>0.96899999999999997</v>
      </c>
      <c r="N77">
        <v>9</v>
      </c>
      <c r="O77" s="1">
        <v>-5.5250000000000004</v>
      </c>
      <c r="P77">
        <v>1</v>
      </c>
      <c r="Q77" s="1" t="b">
        <f>0=729</f>
        <v>0</v>
      </c>
      <c r="R77" s="1" t="b">
        <f>0=0=224</f>
        <v>0</v>
      </c>
      <c r="S77" s="1">
        <f>0.773</f>
        <v>0.77300000000000002</v>
      </c>
      <c r="T77" s="1" t="b">
        <f>0.1=4</f>
        <v>0</v>
      </c>
      <c r="U77" s="1">
        <f>0.22</f>
        <v>0.22</v>
      </c>
      <c r="V77" s="1">
        <v>137.74600000000001</v>
      </c>
      <c r="W77">
        <v>3</v>
      </c>
    </row>
    <row r="78" spans="1:23" x14ac:dyDescent="0.25">
      <c r="A78" s="1" t="s">
        <v>12144</v>
      </c>
      <c r="B78" s="1" t="s">
        <v>12145</v>
      </c>
      <c r="C78" s="1" t="s">
        <v>671</v>
      </c>
      <c r="D78" s="1" t="s">
        <v>12146</v>
      </c>
      <c r="E78" s="1" t="s">
        <v>672</v>
      </c>
      <c r="F78" s="10">
        <v>43546</v>
      </c>
      <c r="G78">
        <v>199200</v>
      </c>
      <c r="H78">
        <v>62</v>
      </c>
      <c r="I78" s="1" t="s">
        <v>12001</v>
      </c>
      <c r="J78" s="11">
        <v>44218.983298611114</v>
      </c>
      <c r="K78" s="1" t="s">
        <v>673</v>
      </c>
      <c r="L78" s="1" t="b">
        <f>0.5=4</f>
        <v>0</v>
      </c>
      <c r="M78" s="1">
        <f>0.728</f>
        <v>0.72799999999999998</v>
      </c>
      <c r="N78">
        <v>11</v>
      </c>
      <c r="O78" s="1" t="s">
        <v>12471</v>
      </c>
      <c r="P78">
        <f>0</f>
        <v>0</v>
      </c>
      <c r="Q78" s="1" t="b">
        <f>0=334</f>
        <v>0</v>
      </c>
      <c r="R78" s="1" t="b">
        <f>0=0=376</f>
        <v>0</v>
      </c>
      <c r="S78" s="1">
        <f>0</f>
        <v>0</v>
      </c>
      <c r="T78" s="1">
        <f>0.14</f>
        <v>0.14000000000000001</v>
      </c>
      <c r="U78" s="1">
        <f>0.116</f>
        <v>0.11600000000000001</v>
      </c>
      <c r="V78" s="1" t="s">
        <v>12472</v>
      </c>
      <c r="W78">
        <v>3</v>
      </c>
    </row>
    <row r="79" spans="1:23" x14ac:dyDescent="0.25">
      <c r="A79" s="1" t="s">
        <v>12147</v>
      </c>
      <c r="B79" s="1" t="s">
        <v>12148</v>
      </c>
      <c r="C79" s="1" t="s">
        <v>674</v>
      </c>
      <c r="D79" s="1" t="s">
        <v>674</v>
      </c>
      <c r="E79" s="1" t="s">
        <v>675</v>
      </c>
      <c r="F79" s="10">
        <v>44099</v>
      </c>
      <c r="G79">
        <v>186700</v>
      </c>
      <c r="H79">
        <v>73</v>
      </c>
      <c r="I79" s="1" t="s">
        <v>11961</v>
      </c>
      <c r="J79" s="11">
        <v>44218.983483796299</v>
      </c>
      <c r="K79" s="1" t="s">
        <v>676</v>
      </c>
      <c r="L79" s="1">
        <f>0.698</f>
        <v>0.69799999999999995</v>
      </c>
      <c r="M79" s="1">
        <f>0.719</f>
        <v>0.71899999999999997</v>
      </c>
      <c r="N79">
        <f>0</f>
        <v>0</v>
      </c>
      <c r="O79" s="1">
        <v>-4.923</v>
      </c>
      <c r="P79">
        <f>0</f>
        <v>0</v>
      </c>
      <c r="Q79" s="1" t="b">
        <f>0=455</f>
        <v>0</v>
      </c>
      <c r="R79" s="1" t="b">
        <f>0=0=829</f>
        <v>0</v>
      </c>
      <c r="S79" s="1" t="b">
        <f>0=0=0=0=0=4=1</f>
        <v>0</v>
      </c>
      <c r="T79" s="1">
        <f>0.326</f>
        <v>0.32600000000000001</v>
      </c>
      <c r="U79" s="1">
        <f>0.364</f>
        <v>0.36399999999999999</v>
      </c>
      <c r="V79" s="1" t="s">
        <v>12473</v>
      </c>
      <c r="W79">
        <v>4</v>
      </c>
    </row>
    <row r="80" spans="1:23" x14ac:dyDescent="0.25">
      <c r="A80" s="1" t="s">
        <v>11416</v>
      </c>
      <c r="B80" s="1" t="s">
        <v>11417</v>
      </c>
      <c r="C80" s="1" t="s">
        <v>2835</v>
      </c>
      <c r="D80" s="1" t="s">
        <v>11418</v>
      </c>
      <c r="E80" s="1" t="s">
        <v>193</v>
      </c>
      <c r="F80" s="10">
        <v>43747</v>
      </c>
      <c r="G80">
        <v>176840</v>
      </c>
      <c r="H80">
        <v>81</v>
      </c>
      <c r="I80" s="1" t="s">
        <v>11961</v>
      </c>
      <c r="J80" s="11">
        <v>44218.983854166669</v>
      </c>
      <c r="K80" s="1" t="s">
        <v>194</v>
      </c>
      <c r="L80" s="1">
        <f>0.77</f>
        <v>0.77</v>
      </c>
      <c r="M80" s="1">
        <f>0.724</f>
        <v>0.72399999999999998</v>
      </c>
      <c r="N80">
        <v>8</v>
      </c>
      <c r="O80" s="1">
        <v>-5.484</v>
      </c>
      <c r="P80">
        <v>1</v>
      </c>
      <c r="Q80" s="1" t="b">
        <f>0=495</f>
        <v>0</v>
      </c>
      <c r="R80" s="1" t="b">
        <f>0=167</f>
        <v>0</v>
      </c>
      <c r="S80" s="1" t="b">
        <f>0=1=7</f>
        <v>0</v>
      </c>
      <c r="T80" s="1">
        <f>0.353</f>
        <v>0.35299999999999998</v>
      </c>
      <c r="U80" s="1">
        <f>0.898</f>
        <v>0.89800000000000002</v>
      </c>
      <c r="V80" s="1">
        <v>121.97499999999999</v>
      </c>
      <c r="W80">
        <v>4</v>
      </c>
    </row>
    <row r="81" spans="1:23" x14ac:dyDescent="0.25">
      <c r="A81" s="1" t="s">
        <v>12149</v>
      </c>
      <c r="B81" s="1" t="s">
        <v>12150</v>
      </c>
      <c r="C81" s="1" t="s">
        <v>677</v>
      </c>
      <c r="D81" s="1" t="s">
        <v>677</v>
      </c>
      <c r="E81" s="1" t="s">
        <v>678</v>
      </c>
      <c r="F81" s="10">
        <v>43260</v>
      </c>
      <c r="G81">
        <v>240009</v>
      </c>
      <c r="H81">
        <v>48</v>
      </c>
      <c r="I81" s="1" t="s">
        <v>12001</v>
      </c>
      <c r="J81" s="11">
        <v>44218.984155092592</v>
      </c>
      <c r="K81" s="1" t="s">
        <v>537</v>
      </c>
      <c r="L81" s="1">
        <f>0.479</f>
        <v>0.47899999999999998</v>
      </c>
      <c r="M81" s="1">
        <f>0.955</f>
        <v>0.95499999999999996</v>
      </c>
      <c r="N81">
        <v>9</v>
      </c>
      <c r="O81" s="1">
        <v>-1.4770000000000001</v>
      </c>
      <c r="P81">
        <f>0</f>
        <v>0</v>
      </c>
      <c r="Q81" s="1">
        <f>0.14</f>
        <v>0.14000000000000001</v>
      </c>
      <c r="R81" s="1">
        <f>0.161</f>
        <v>0.161</v>
      </c>
      <c r="S81" s="1" t="b">
        <f>0=336</f>
        <v>0</v>
      </c>
      <c r="T81" s="1" t="b">
        <f>0=6=6</f>
        <v>0</v>
      </c>
      <c r="U81" s="1" t="b">
        <f>0=728</f>
        <v>0</v>
      </c>
      <c r="V81" s="1" t="s">
        <v>12474</v>
      </c>
      <c r="W81">
        <v>4</v>
      </c>
    </row>
    <row r="82" spans="1:23" x14ac:dyDescent="0.25">
      <c r="A82" s="1" t="s">
        <v>12151</v>
      </c>
      <c r="B82" s="1" t="s">
        <v>12152</v>
      </c>
      <c r="C82" s="1" t="s">
        <v>679</v>
      </c>
      <c r="D82" s="1" t="s">
        <v>679</v>
      </c>
      <c r="E82" s="1" t="s">
        <v>680</v>
      </c>
      <c r="F82" s="10">
        <v>43784</v>
      </c>
      <c r="G82">
        <v>189826</v>
      </c>
      <c r="H82">
        <v>59</v>
      </c>
      <c r="I82" s="1" t="s">
        <v>12001</v>
      </c>
      <c r="J82" s="11">
        <v>44218.984293981484</v>
      </c>
      <c r="K82" s="1" t="s">
        <v>681</v>
      </c>
      <c r="L82" s="1">
        <f>0.333</f>
        <v>0.33300000000000002</v>
      </c>
      <c r="M82" s="1">
        <f>0.985</f>
        <v>0.98499999999999999</v>
      </c>
      <c r="N82">
        <v>5</v>
      </c>
      <c r="O82" s="1">
        <v>-2.843</v>
      </c>
      <c r="P82">
        <f>0</f>
        <v>0</v>
      </c>
      <c r="Q82" s="1" t="b">
        <f>0=563</f>
        <v>0</v>
      </c>
      <c r="R82" s="1" t="b">
        <f>0=326</f>
        <v>0</v>
      </c>
      <c r="S82" s="1">
        <f>0.769</f>
        <v>0.76900000000000002</v>
      </c>
      <c r="T82" s="1">
        <f>0.226</f>
        <v>0.22600000000000001</v>
      </c>
      <c r="U82" s="1">
        <f>0.393</f>
        <v>0.39300000000000002</v>
      </c>
      <c r="V82" s="1">
        <v>135.24</v>
      </c>
      <c r="W82">
        <v>4</v>
      </c>
    </row>
    <row r="83" spans="1:23" x14ac:dyDescent="0.25">
      <c r="A83" s="1" t="s">
        <v>12153</v>
      </c>
      <c r="B83" s="1" t="s">
        <v>12154</v>
      </c>
      <c r="C83" s="1" t="s">
        <v>682</v>
      </c>
      <c r="D83" s="1" t="s">
        <v>12155</v>
      </c>
      <c r="E83" s="1" t="s">
        <v>683</v>
      </c>
      <c r="F83" s="10">
        <v>42510</v>
      </c>
      <c r="G83">
        <v>195480</v>
      </c>
      <c r="H83">
        <v>43</v>
      </c>
      <c r="I83" s="1" t="s">
        <v>11961</v>
      </c>
      <c r="J83" s="11">
        <v>44218.984398148146</v>
      </c>
      <c r="K83" s="1" t="s">
        <v>684</v>
      </c>
      <c r="L83" s="1">
        <f>0.361</f>
        <v>0.36099999999999999</v>
      </c>
      <c r="M83" s="1">
        <f>0.847</f>
        <v>0.84699999999999998</v>
      </c>
      <c r="N83">
        <v>1</v>
      </c>
      <c r="O83" s="1">
        <v>-4.1379999999999999</v>
      </c>
      <c r="P83">
        <v>1</v>
      </c>
      <c r="Q83" s="1" t="b">
        <f>0=748</f>
        <v>0</v>
      </c>
      <c r="R83" s="1" t="b">
        <f>0=0=112</f>
        <v>0</v>
      </c>
      <c r="S83" s="1" t="b">
        <f>0=0=0=148</f>
        <v>0</v>
      </c>
      <c r="T83" s="1">
        <f>0.163</f>
        <v>0.16300000000000001</v>
      </c>
      <c r="U83" s="1">
        <f>0.262</f>
        <v>0.26200000000000001</v>
      </c>
      <c r="V83" s="1">
        <v>174.154</v>
      </c>
      <c r="W83">
        <v>4</v>
      </c>
    </row>
    <row r="84" spans="1:23" x14ac:dyDescent="0.25">
      <c r="A84" s="1" t="s">
        <v>12156</v>
      </c>
      <c r="B84" s="1" t="s">
        <v>12068</v>
      </c>
      <c r="C84" s="1" t="s">
        <v>598</v>
      </c>
      <c r="D84" s="1" t="s">
        <v>12157</v>
      </c>
      <c r="E84" s="1" t="s">
        <v>599</v>
      </c>
      <c r="F84" s="10">
        <v>43687</v>
      </c>
      <c r="G84">
        <v>230321</v>
      </c>
      <c r="H84">
        <v>19</v>
      </c>
      <c r="I84" s="1" t="s">
        <v>12001</v>
      </c>
      <c r="J84" s="11">
        <v>44218.984444444446</v>
      </c>
      <c r="K84" s="1" t="s">
        <v>600</v>
      </c>
      <c r="L84" s="1">
        <f>0.413</f>
        <v>0.41299999999999998</v>
      </c>
      <c r="M84" s="1" t="b">
        <f>0.8=1</f>
        <v>0</v>
      </c>
      <c r="N84">
        <v>9</v>
      </c>
      <c r="O84" s="1">
        <v>-4.24</v>
      </c>
      <c r="P84">
        <f>0</f>
        <v>0</v>
      </c>
      <c r="Q84" s="1" t="b">
        <f>0=748</f>
        <v>0</v>
      </c>
      <c r="R84" s="1" t="b">
        <f>0=393</f>
        <v>0</v>
      </c>
      <c r="S84" s="1">
        <f>0</f>
        <v>0</v>
      </c>
      <c r="T84" s="1">
        <f>0.251</f>
        <v>0.251</v>
      </c>
      <c r="U84" s="1">
        <f>0.194</f>
        <v>0.19400000000000001</v>
      </c>
      <c r="V84" s="1">
        <v>75.466999999999999</v>
      </c>
      <c r="W84">
        <v>4</v>
      </c>
    </row>
    <row r="85" spans="1:23" x14ac:dyDescent="0.25">
      <c r="A85" s="1" t="s">
        <v>12158</v>
      </c>
      <c r="B85" s="1" t="s">
        <v>12154</v>
      </c>
      <c r="C85" s="1" t="s">
        <v>685</v>
      </c>
      <c r="D85" s="1" t="s">
        <v>685</v>
      </c>
      <c r="E85" s="1" t="s">
        <v>683</v>
      </c>
      <c r="F85" s="10">
        <v>42086</v>
      </c>
      <c r="G85">
        <v>222080</v>
      </c>
      <c r="H85">
        <v>40</v>
      </c>
      <c r="I85" s="1" t="s">
        <v>11961</v>
      </c>
      <c r="J85" s="11">
        <v>44218.984733796293</v>
      </c>
      <c r="K85" s="1" t="s">
        <v>684</v>
      </c>
      <c r="L85" s="1" t="b">
        <f>0.5=7</f>
        <v>0</v>
      </c>
      <c r="M85" s="1">
        <f>0.93</f>
        <v>0.93</v>
      </c>
      <c r="N85">
        <v>3</v>
      </c>
      <c r="O85" s="1" t="s">
        <v>12475</v>
      </c>
      <c r="P85">
        <v>1</v>
      </c>
      <c r="Q85" s="1" t="b">
        <f>0=8=3</f>
        <v>0</v>
      </c>
      <c r="R85" s="1">
        <f>0.21</f>
        <v>0.21</v>
      </c>
      <c r="S85" s="1" t="b">
        <f>0=0=0=455</f>
        <v>0</v>
      </c>
      <c r="T85" s="1">
        <f>0.362</f>
        <v>0.36199999999999999</v>
      </c>
      <c r="U85" s="1">
        <f>0.568</f>
        <v>0.56799999999999995</v>
      </c>
      <c r="V85" s="1">
        <v>111.899</v>
      </c>
      <c r="W85">
        <v>4</v>
      </c>
    </row>
    <row r="86" spans="1:23" x14ac:dyDescent="0.25">
      <c r="A86" s="1" t="s">
        <v>12159</v>
      </c>
      <c r="B86" s="1" t="s">
        <v>12160</v>
      </c>
      <c r="C86" s="1" t="s">
        <v>12161</v>
      </c>
      <c r="D86" s="1" t="s">
        <v>12162</v>
      </c>
      <c r="E86" s="1" t="s">
        <v>686</v>
      </c>
      <c r="F86" s="10">
        <v>43860</v>
      </c>
      <c r="G86">
        <v>204705</v>
      </c>
      <c r="H86">
        <v>56</v>
      </c>
      <c r="I86" s="1" t="s">
        <v>12001</v>
      </c>
      <c r="J86" s="11">
        <v>44218.985196759262</v>
      </c>
      <c r="K86" s="1" t="s">
        <v>687</v>
      </c>
      <c r="L86" s="1">
        <f>0.546</f>
        <v>0.54600000000000004</v>
      </c>
      <c r="M86" s="1">
        <f>0.816</f>
        <v>0.81599999999999995</v>
      </c>
      <c r="N86">
        <v>7</v>
      </c>
      <c r="O86" s="1" t="s">
        <v>12476</v>
      </c>
      <c r="P86">
        <f>0</f>
        <v>0</v>
      </c>
      <c r="Q86" s="1">
        <f>0.27</f>
        <v>0.27</v>
      </c>
      <c r="R86" s="1" t="b">
        <f>0=288</f>
        <v>0</v>
      </c>
      <c r="S86" s="1" t="b">
        <f>0=0=0=0=243</f>
        <v>0</v>
      </c>
      <c r="T86" s="1">
        <f>0.336</f>
        <v>0.33600000000000002</v>
      </c>
      <c r="U86" s="1">
        <f>0.19</f>
        <v>0.19</v>
      </c>
      <c r="V86" s="1">
        <v>152.928</v>
      </c>
      <c r="W86">
        <v>4</v>
      </c>
    </row>
    <row r="87" spans="1:23" x14ac:dyDescent="0.25">
      <c r="A87" s="1" t="s">
        <v>12163</v>
      </c>
      <c r="B87" s="1" t="s">
        <v>12164</v>
      </c>
      <c r="C87" s="1" t="s">
        <v>688</v>
      </c>
      <c r="D87" s="1" t="s">
        <v>12165</v>
      </c>
      <c r="E87" s="1" t="s">
        <v>689</v>
      </c>
      <c r="F87" s="10">
        <v>40533</v>
      </c>
      <c r="G87">
        <v>243353</v>
      </c>
      <c r="H87">
        <v>59</v>
      </c>
      <c r="I87" s="1" t="s">
        <v>11961</v>
      </c>
      <c r="J87" s="11">
        <v>44218.985335648147</v>
      </c>
      <c r="K87" s="1" t="s">
        <v>690</v>
      </c>
      <c r="L87" s="1">
        <f>0.523</f>
        <v>0.52300000000000002</v>
      </c>
      <c r="M87" s="1">
        <f>0.944</f>
        <v>0.94399999999999995</v>
      </c>
      <c r="N87">
        <v>7</v>
      </c>
      <c r="O87" s="1">
        <v>-3.581</v>
      </c>
      <c r="P87">
        <f>0</f>
        <v>0</v>
      </c>
      <c r="Q87" s="1" t="b">
        <f>0=837</f>
        <v>0</v>
      </c>
      <c r="R87" s="1" t="b">
        <f>0=0=336</f>
        <v>0</v>
      </c>
      <c r="S87" s="1">
        <f>0.557</f>
        <v>0.55700000000000005</v>
      </c>
      <c r="T87" s="1">
        <f>0.119</f>
        <v>0.11899999999999999</v>
      </c>
      <c r="U87" s="1">
        <f>0.324</f>
        <v>0.32400000000000001</v>
      </c>
      <c r="V87" s="1">
        <v>139.99700000000001</v>
      </c>
      <c r="W87">
        <v>4</v>
      </c>
    </row>
    <row r="88" spans="1:23" x14ac:dyDescent="0.25">
      <c r="A88" s="1" t="s">
        <v>12166</v>
      </c>
      <c r="B88" s="1" t="s">
        <v>12167</v>
      </c>
      <c r="C88" s="1" t="s">
        <v>691</v>
      </c>
      <c r="D88" s="1" t="s">
        <v>12168</v>
      </c>
      <c r="E88" s="1" t="s">
        <v>692</v>
      </c>
      <c r="F88" s="10">
        <v>40904</v>
      </c>
      <c r="G88">
        <v>215253</v>
      </c>
      <c r="H88">
        <v>70</v>
      </c>
      <c r="I88" s="1" t="s">
        <v>11961</v>
      </c>
      <c r="J88" s="11">
        <v>44218.98541666667</v>
      </c>
      <c r="K88" s="1" t="s">
        <v>690</v>
      </c>
      <c r="L88" s="1">
        <f>0.716</f>
        <v>0.71599999999999997</v>
      </c>
      <c r="M88" s="1">
        <f>0.972</f>
        <v>0.97199999999999998</v>
      </c>
      <c r="N88">
        <v>7</v>
      </c>
      <c r="O88" s="1" t="s">
        <v>12477</v>
      </c>
      <c r="P88">
        <v>1</v>
      </c>
      <c r="Q88" s="1">
        <f>0.196</f>
        <v>0.19600000000000001</v>
      </c>
      <c r="R88" s="1" t="b">
        <f>0=145</f>
        <v>0</v>
      </c>
      <c r="S88" s="1" t="b">
        <f>0=0=0=0=322</f>
        <v>0</v>
      </c>
      <c r="T88" s="1">
        <f>0.317</f>
        <v>0.317</v>
      </c>
      <c r="U88" s="1">
        <f>0.576</f>
        <v>0.57599999999999996</v>
      </c>
      <c r="V88" s="1" t="s">
        <v>12478</v>
      </c>
      <c r="W88">
        <v>4</v>
      </c>
    </row>
    <row r="89" spans="1:23" x14ac:dyDescent="0.25">
      <c r="A89" s="1" t="s">
        <v>12169</v>
      </c>
      <c r="B89" s="1" t="s">
        <v>12170</v>
      </c>
      <c r="C89" s="1" t="s">
        <v>693</v>
      </c>
      <c r="D89" s="1" t="s">
        <v>693</v>
      </c>
      <c r="E89" s="1" t="s">
        <v>694</v>
      </c>
      <c r="F89" s="10">
        <v>44091</v>
      </c>
      <c r="G89">
        <v>172422</v>
      </c>
      <c r="H89">
        <v>54</v>
      </c>
      <c r="I89" s="1" t="s">
        <v>12001</v>
      </c>
      <c r="J89" s="11">
        <v>44218.985486111109</v>
      </c>
      <c r="K89" s="1" t="s">
        <v>695</v>
      </c>
      <c r="L89" s="1">
        <f>0.544</f>
        <v>0.54400000000000004</v>
      </c>
      <c r="M89" s="1">
        <f>0.975</f>
        <v>0.97499999999999998</v>
      </c>
      <c r="N89">
        <f>0</f>
        <v>0</v>
      </c>
      <c r="O89" s="1">
        <v>-2.9649999999999999</v>
      </c>
      <c r="P89">
        <v>1</v>
      </c>
      <c r="Q89" s="1" t="b">
        <f>0=799</f>
        <v>0</v>
      </c>
      <c r="R89" s="1" t="b">
        <f>0=0=296</f>
        <v>0</v>
      </c>
      <c r="S89" s="1">
        <f>0</f>
        <v>0</v>
      </c>
      <c r="T89" s="1">
        <f>0.133</f>
        <v>0.13300000000000001</v>
      </c>
      <c r="U89" s="1">
        <f>0.318</f>
        <v>0.318</v>
      </c>
      <c r="V89" s="1">
        <v>149.91300000000001</v>
      </c>
      <c r="W89">
        <v>4</v>
      </c>
    </row>
    <row r="90" spans="1:23" x14ac:dyDescent="0.25">
      <c r="A90" s="1" t="s">
        <v>12171</v>
      </c>
      <c r="B90" s="1" t="s">
        <v>12172</v>
      </c>
      <c r="C90" s="1" t="s">
        <v>12173</v>
      </c>
      <c r="D90" s="1" t="s">
        <v>12174</v>
      </c>
      <c r="E90" s="1" t="s">
        <v>696</v>
      </c>
      <c r="F90" s="10">
        <v>43259</v>
      </c>
      <c r="G90">
        <v>209583</v>
      </c>
      <c r="H90">
        <v>50</v>
      </c>
      <c r="I90" s="1" t="s">
        <v>11961</v>
      </c>
      <c r="J90" s="11">
        <v>44218.986087962963</v>
      </c>
      <c r="K90" s="1" t="s">
        <v>697</v>
      </c>
      <c r="L90" s="1">
        <f>0.667</f>
        <v>0.66700000000000004</v>
      </c>
      <c r="M90" s="1">
        <f>0.747</f>
        <v>0.747</v>
      </c>
      <c r="N90">
        <v>9</v>
      </c>
      <c r="O90" s="1">
        <v>-6.665</v>
      </c>
      <c r="P90">
        <f>0</f>
        <v>0</v>
      </c>
      <c r="Q90" s="1">
        <f>0.122</f>
        <v>0.122</v>
      </c>
      <c r="R90" s="1" t="b">
        <f>0=333</f>
        <v>0</v>
      </c>
      <c r="S90" s="1" t="b">
        <f>0=0=112</f>
        <v>0</v>
      </c>
      <c r="T90" s="1">
        <f>0.362</f>
        <v>0.36199999999999999</v>
      </c>
      <c r="U90" s="1">
        <f>0.59</f>
        <v>0.59</v>
      </c>
      <c r="V90" s="1" t="s">
        <v>12479</v>
      </c>
      <c r="W90">
        <v>4</v>
      </c>
    </row>
    <row r="91" spans="1:23" x14ac:dyDescent="0.25">
      <c r="A91" s="1" t="s">
        <v>12175</v>
      </c>
      <c r="B91" s="1" t="s">
        <v>12176</v>
      </c>
      <c r="C91" s="1" t="s">
        <v>698</v>
      </c>
      <c r="D91" s="1" t="s">
        <v>698</v>
      </c>
      <c r="E91" s="1" t="s">
        <v>699</v>
      </c>
      <c r="F91" s="10">
        <v>44211</v>
      </c>
      <c r="G91">
        <v>187227</v>
      </c>
      <c r="H91">
        <v>43</v>
      </c>
      <c r="I91" s="1" t="s">
        <v>12001</v>
      </c>
      <c r="J91" s="11">
        <v>44218.987025462964</v>
      </c>
      <c r="K91" s="1" t="s">
        <v>700</v>
      </c>
      <c r="L91" s="1">
        <f>0.356</f>
        <v>0.35599999999999998</v>
      </c>
      <c r="M91" s="1">
        <f>0.779</f>
        <v>0.77900000000000003</v>
      </c>
      <c r="N91" t="s">
        <v>11825</v>
      </c>
      <c r="O91" s="1">
        <v>-4.1210000000000004</v>
      </c>
      <c r="P91">
        <v>1</v>
      </c>
      <c r="Q91" s="1" t="b">
        <f>0=359</f>
        <v>0</v>
      </c>
      <c r="R91" s="1" t="b">
        <f>0=371</f>
        <v>0</v>
      </c>
      <c r="S91" s="1">
        <f>0</f>
        <v>0</v>
      </c>
      <c r="T91" s="1">
        <f>0.323</f>
        <v>0.32300000000000001</v>
      </c>
      <c r="U91" s="1">
        <f>0.166</f>
        <v>0.16600000000000001</v>
      </c>
      <c r="V91" s="1">
        <v>77.992000000000004</v>
      </c>
      <c r="W91">
        <v>4</v>
      </c>
    </row>
    <row r="92" spans="1:23" x14ac:dyDescent="0.25">
      <c r="A92" s="1" t="s">
        <v>12177</v>
      </c>
      <c r="B92" s="1" t="s">
        <v>12178</v>
      </c>
      <c r="C92" s="1" t="s">
        <v>701</v>
      </c>
      <c r="D92" s="1" t="s">
        <v>701</v>
      </c>
      <c r="E92" s="1" t="s">
        <v>702</v>
      </c>
      <c r="F92" s="10">
        <v>42851</v>
      </c>
      <c r="G92">
        <v>260372</v>
      </c>
      <c r="H92">
        <v>61</v>
      </c>
      <c r="I92" s="1" t="s">
        <v>12001</v>
      </c>
      <c r="J92" s="11">
        <v>44218.988692129627</v>
      </c>
      <c r="K92" s="1" t="s">
        <v>632</v>
      </c>
      <c r="L92" s="1">
        <f>0.555</f>
        <v>0.55500000000000005</v>
      </c>
      <c r="M92" s="1">
        <f>0.876</f>
        <v>0.876</v>
      </c>
      <c r="N92">
        <v>1</v>
      </c>
      <c r="O92" s="1" t="s">
        <v>12480</v>
      </c>
      <c r="P92">
        <f>0</f>
        <v>0</v>
      </c>
      <c r="Q92" s="1" t="b">
        <f>0=38</f>
        <v>0</v>
      </c>
      <c r="R92" s="1" t="b">
        <f>0=851</f>
        <v>0</v>
      </c>
      <c r="S92" s="1">
        <f>0</f>
        <v>0</v>
      </c>
      <c r="T92" s="1">
        <f>0.284</f>
        <v>0.28399999999999997</v>
      </c>
      <c r="U92" s="1">
        <f>0.399</f>
        <v>0.39900000000000002</v>
      </c>
      <c r="V92" s="1" t="s">
        <v>12481</v>
      </c>
      <c r="W92">
        <v>4</v>
      </c>
    </row>
    <row r="93" spans="1:23" x14ac:dyDescent="0.25">
      <c r="A93" s="1" t="s">
        <v>12179</v>
      </c>
      <c r="B93" s="1" t="s">
        <v>12178</v>
      </c>
      <c r="C93" s="1" t="s">
        <v>703</v>
      </c>
      <c r="D93" s="1" t="s">
        <v>12180</v>
      </c>
      <c r="E93" s="1" t="s">
        <v>702</v>
      </c>
      <c r="F93" s="10">
        <v>43455</v>
      </c>
      <c r="G93">
        <v>219027</v>
      </c>
      <c r="H93">
        <v>56</v>
      </c>
      <c r="I93" s="1" t="s">
        <v>12001</v>
      </c>
      <c r="J93" s="11">
        <v>44218.98878472222</v>
      </c>
      <c r="K93" s="1" t="s">
        <v>632</v>
      </c>
      <c r="L93" s="1">
        <f>0.54</f>
        <v>0.54</v>
      </c>
      <c r="M93" s="1">
        <f>0.966</f>
        <v>0.96599999999999997</v>
      </c>
      <c r="N93">
        <v>7</v>
      </c>
      <c r="O93" s="1" t="s">
        <v>12482</v>
      </c>
      <c r="P93">
        <v>1</v>
      </c>
      <c r="Q93" s="1" t="b">
        <f>0=643</f>
        <v>0</v>
      </c>
      <c r="R93" s="1" t="b">
        <f>0=133</f>
        <v>0</v>
      </c>
      <c r="S93" s="1" t="b">
        <f>0=0=215</f>
        <v>0</v>
      </c>
      <c r="T93" s="1">
        <f>0.846</f>
        <v>0.84599999999999997</v>
      </c>
      <c r="U93" s="1">
        <f>0.446</f>
        <v>0.44600000000000001</v>
      </c>
      <c r="V93" s="1" t="s">
        <v>12483</v>
      </c>
      <c r="W93">
        <v>1</v>
      </c>
    </row>
    <row r="94" spans="1:23" x14ac:dyDescent="0.25">
      <c r="A94" s="1" t="s">
        <v>12181</v>
      </c>
      <c r="B94" s="1" t="s">
        <v>12182</v>
      </c>
      <c r="C94" s="1" t="s">
        <v>704</v>
      </c>
      <c r="D94" s="1" t="s">
        <v>704</v>
      </c>
      <c r="E94" s="1" t="s">
        <v>705</v>
      </c>
      <c r="F94" s="10">
        <v>42463</v>
      </c>
      <c r="G94">
        <v>168250</v>
      </c>
      <c r="H94">
        <v>49</v>
      </c>
      <c r="I94" s="1" t="s">
        <v>12001</v>
      </c>
      <c r="J94" s="11">
        <v>44218.989687499998</v>
      </c>
      <c r="K94" s="1" t="s">
        <v>706</v>
      </c>
      <c r="L94" s="1">
        <f>0.554</f>
        <v>0.55400000000000005</v>
      </c>
      <c r="M94" s="1">
        <f>0.884</f>
        <v>0.88400000000000001</v>
      </c>
      <c r="N94">
        <v>4</v>
      </c>
      <c r="O94" s="1">
        <v>-3.548</v>
      </c>
      <c r="P94">
        <f>0</f>
        <v>0</v>
      </c>
      <c r="Q94" s="1" t="b">
        <f>0.1=8</f>
        <v>0</v>
      </c>
      <c r="R94" s="1" t="b">
        <f>0=4</f>
        <v>0</v>
      </c>
      <c r="S94" s="1" t="b">
        <f>0=0=0=225</f>
        <v>0</v>
      </c>
      <c r="T94" s="1">
        <f>0.132</f>
        <v>0.13200000000000001</v>
      </c>
      <c r="U94" s="1">
        <f>0.229</f>
        <v>0.22900000000000001</v>
      </c>
      <c r="V94" s="1" t="s">
        <v>11829</v>
      </c>
      <c r="W94">
        <v>4</v>
      </c>
    </row>
    <row r="95" spans="1:23" x14ac:dyDescent="0.25">
      <c r="A95" s="1" t="s">
        <v>12183</v>
      </c>
      <c r="B95" s="1" t="s">
        <v>12184</v>
      </c>
      <c r="C95" s="1" t="s">
        <v>707</v>
      </c>
      <c r="D95" s="1" t="s">
        <v>6278</v>
      </c>
      <c r="E95" s="1" t="s">
        <v>708</v>
      </c>
      <c r="F95" s="10">
        <v>42944</v>
      </c>
      <c r="G95">
        <v>254653</v>
      </c>
      <c r="H95">
        <v>70</v>
      </c>
      <c r="I95" s="1" t="s">
        <v>12001</v>
      </c>
      <c r="J95" s="11">
        <v>44218.990833333337</v>
      </c>
      <c r="K95" s="1" t="s">
        <v>709</v>
      </c>
      <c r="L95" s="1">
        <f>0.467</f>
        <v>0.46700000000000003</v>
      </c>
      <c r="M95" s="1">
        <f>0.757</f>
        <v>0.75700000000000001</v>
      </c>
      <c r="N95">
        <v>2</v>
      </c>
      <c r="O95" s="1" t="s">
        <v>12484</v>
      </c>
      <c r="P95">
        <v>1</v>
      </c>
      <c r="Q95" s="1" t="b">
        <f>0=517</f>
        <v>0</v>
      </c>
      <c r="R95" s="1" t="b">
        <f>0=866</f>
        <v>0</v>
      </c>
      <c r="S95" s="1">
        <f>0</f>
        <v>0</v>
      </c>
      <c r="T95" s="1" t="b">
        <f>0=742</f>
        <v>0</v>
      </c>
      <c r="U95" s="1">
        <f>0.383</f>
        <v>0.38300000000000001</v>
      </c>
      <c r="V95" s="1">
        <v>131.99299999999999</v>
      </c>
      <c r="W95">
        <v>4</v>
      </c>
    </row>
    <row r="96" spans="1:23" x14ac:dyDescent="0.25">
      <c r="A96" s="1" t="s">
        <v>12185</v>
      </c>
      <c r="B96" s="1" t="s">
        <v>11695</v>
      </c>
      <c r="C96" s="1" t="s">
        <v>710</v>
      </c>
      <c r="D96" s="1" t="s">
        <v>710</v>
      </c>
      <c r="E96" s="1" t="s">
        <v>404</v>
      </c>
      <c r="F96" s="10">
        <v>43539</v>
      </c>
      <c r="G96">
        <v>172173</v>
      </c>
      <c r="H96">
        <v>40</v>
      </c>
      <c r="I96" s="1" t="s">
        <v>12001</v>
      </c>
      <c r="J96" s="11">
        <v>44218.991412037038</v>
      </c>
      <c r="K96" s="1" t="s">
        <v>405</v>
      </c>
      <c r="L96" s="1">
        <f>0.582</f>
        <v>0.58199999999999996</v>
      </c>
      <c r="M96" s="1">
        <f>0.953</f>
        <v>0.95299999999999996</v>
      </c>
      <c r="N96">
        <v>5</v>
      </c>
      <c r="O96" s="1">
        <v>-6.1130000000000004</v>
      </c>
      <c r="P96">
        <f>0</f>
        <v>0</v>
      </c>
      <c r="Q96" s="1" t="b">
        <f>0=567</f>
        <v>0</v>
      </c>
      <c r="R96" s="1" t="b">
        <f>0=0=136</f>
        <v>0</v>
      </c>
      <c r="S96" s="1" t="b">
        <f>0=0=197</f>
        <v>0</v>
      </c>
      <c r="T96" s="1">
        <f>0.324</f>
        <v>0.32400000000000001</v>
      </c>
      <c r="U96" s="1">
        <f>0.12</f>
        <v>0.12</v>
      </c>
      <c r="V96" s="1" t="s">
        <v>12446</v>
      </c>
      <c r="W96">
        <v>4</v>
      </c>
    </row>
    <row r="97" spans="1:23" x14ac:dyDescent="0.25">
      <c r="A97" s="1" t="s">
        <v>12186</v>
      </c>
      <c r="B97" s="1" t="s">
        <v>12187</v>
      </c>
      <c r="C97" s="1" t="s">
        <v>711</v>
      </c>
      <c r="D97" s="1" t="s">
        <v>12188</v>
      </c>
      <c r="E97" s="1" t="s">
        <v>712</v>
      </c>
      <c r="F97" s="10">
        <v>43637</v>
      </c>
      <c r="G97">
        <v>240626</v>
      </c>
      <c r="H97">
        <v>1</v>
      </c>
      <c r="I97" s="1" t="s">
        <v>12001</v>
      </c>
      <c r="J97" s="11">
        <v>44218.994212962964</v>
      </c>
      <c r="K97" s="1" t="s">
        <v>713</v>
      </c>
      <c r="L97" s="1">
        <f>0.554</f>
        <v>0.55400000000000005</v>
      </c>
      <c r="M97" s="1">
        <f>0.893</f>
        <v>0.89300000000000002</v>
      </c>
      <c r="N97" t="s">
        <v>11825</v>
      </c>
      <c r="O97" s="1" t="s">
        <v>12485</v>
      </c>
      <c r="P97">
        <f>0</f>
        <v>0</v>
      </c>
      <c r="Q97" s="1" t="b">
        <f>0=457</f>
        <v>0</v>
      </c>
      <c r="R97" s="1" t="b">
        <f>0=0=0=0=138</f>
        <v>0</v>
      </c>
      <c r="S97" s="1">
        <f>0.864</f>
        <v>0.86399999999999999</v>
      </c>
      <c r="T97" s="1">
        <f>0.328</f>
        <v>0.32800000000000001</v>
      </c>
      <c r="U97" s="1" t="b">
        <f>0.2=1</f>
        <v>0</v>
      </c>
      <c r="V97" s="1" t="s">
        <v>12486</v>
      </c>
      <c r="W97">
        <v>4</v>
      </c>
    </row>
    <row r="98" spans="1:23" x14ac:dyDescent="0.25">
      <c r="A98" s="1" t="s">
        <v>12189</v>
      </c>
      <c r="B98" s="1" t="s">
        <v>12190</v>
      </c>
      <c r="C98" s="1" t="s">
        <v>714</v>
      </c>
      <c r="D98" s="1" t="s">
        <v>714</v>
      </c>
      <c r="E98" s="1" t="s">
        <v>715</v>
      </c>
      <c r="F98" s="10">
        <v>41509</v>
      </c>
      <c r="G98">
        <v>211613</v>
      </c>
      <c r="H98">
        <v>42</v>
      </c>
      <c r="I98" s="1" t="s">
        <v>12001</v>
      </c>
      <c r="J98" s="11">
        <v>44218.994444444441</v>
      </c>
      <c r="K98" s="1" t="s">
        <v>716</v>
      </c>
      <c r="L98" s="1">
        <f>0.558</f>
        <v>0.55800000000000005</v>
      </c>
      <c r="M98" s="1">
        <f>0.827</f>
        <v>0.82699999999999996</v>
      </c>
      <c r="N98">
        <v>7</v>
      </c>
      <c r="O98" s="1">
        <v>-4.8330000000000002</v>
      </c>
      <c r="P98">
        <v>1</v>
      </c>
      <c r="Q98" s="1" t="b">
        <f>0=7=8</f>
        <v>0</v>
      </c>
      <c r="R98" s="1" t="b">
        <f>0=0=0=47</f>
        <v>0</v>
      </c>
      <c r="S98" s="1" t="b">
        <f>0=0=0=0=956</f>
        <v>0</v>
      </c>
      <c r="T98" s="1" t="b">
        <f>0.1=1</f>
        <v>0</v>
      </c>
      <c r="U98" s="1">
        <f>0.172</f>
        <v>0.17199999999999999</v>
      </c>
      <c r="V98" s="1">
        <v>149.989</v>
      </c>
      <c r="W98">
        <v>4</v>
      </c>
    </row>
    <row r="99" spans="1:23" x14ac:dyDescent="0.25">
      <c r="A99" s="1" t="s">
        <v>12191</v>
      </c>
      <c r="B99" s="1" t="s">
        <v>12192</v>
      </c>
      <c r="C99" s="1" t="s">
        <v>12193</v>
      </c>
      <c r="D99" s="1" t="s">
        <v>12194</v>
      </c>
      <c r="E99" s="1" t="s">
        <v>717</v>
      </c>
      <c r="F99" s="10">
        <v>41211</v>
      </c>
      <c r="G99">
        <v>334684</v>
      </c>
      <c r="H99">
        <v>32</v>
      </c>
      <c r="I99" s="1" t="s">
        <v>12001</v>
      </c>
      <c r="J99" s="11">
        <v>44218.995069444441</v>
      </c>
      <c r="K99" s="1" t="s">
        <v>718</v>
      </c>
      <c r="L99" s="1">
        <f>0.475</f>
        <v>0.47499999999999998</v>
      </c>
      <c r="M99" s="1">
        <f>0.954</f>
        <v>0.95399999999999996</v>
      </c>
      <c r="N99">
        <v>8</v>
      </c>
      <c r="O99" s="1">
        <v>-3.39</v>
      </c>
      <c r="P99">
        <f>0</f>
        <v>0</v>
      </c>
      <c r="Q99" s="1" t="b">
        <f>0=669</f>
        <v>0</v>
      </c>
      <c r="R99" s="1">
        <f>0.217</f>
        <v>0.217</v>
      </c>
      <c r="S99" s="1" t="b">
        <f>0=0=0=0=0=675</f>
        <v>0</v>
      </c>
      <c r="T99" s="1">
        <f>0.12</f>
        <v>0.12</v>
      </c>
      <c r="U99" s="1">
        <f>0.314</f>
        <v>0.314</v>
      </c>
      <c r="V99" s="1">
        <v>149.96600000000001</v>
      </c>
      <c r="W99">
        <v>4</v>
      </c>
    </row>
    <row r="100" spans="1:23" x14ac:dyDescent="0.25">
      <c r="A100" s="1" t="s">
        <v>12195</v>
      </c>
      <c r="B100" s="1" t="s">
        <v>12196</v>
      </c>
      <c r="C100" s="1" t="s">
        <v>12197</v>
      </c>
      <c r="D100" s="1" t="s">
        <v>12198</v>
      </c>
      <c r="E100" s="1" t="s">
        <v>719</v>
      </c>
      <c r="F100" s="10">
        <v>44159</v>
      </c>
      <c r="G100">
        <v>176000</v>
      </c>
      <c r="H100">
        <v>44</v>
      </c>
      <c r="I100" s="1" t="s">
        <v>12001</v>
      </c>
      <c r="J100" s="11">
        <v>44218.996215277781</v>
      </c>
      <c r="K100" s="1" t="s">
        <v>632</v>
      </c>
      <c r="L100" s="1" t="b">
        <f>0.5=5</f>
        <v>0</v>
      </c>
      <c r="M100" s="1">
        <f>0.989</f>
        <v>0.98899999999999999</v>
      </c>
      <c r="N100">
        <v>9</v>
      </c>
      <c r="O100" s="1">
        <v>-2.9569999999999999</v>
      </c>
      <c r="P100">
        <v>1</v>
      </c>
      <c r="Q100" s="1">
        <f>0.192</f>
        <v>0.192</v>
      </c>
      <c r="R100" s="1" t="b">
        <f>0=0=0=677</f>
        <v>0</v>
      </c>
      <c r="S100" s="1" t="b">
        <f>0=836</f>
        <v>0</v>
      </c>
      <c r="T100" s="1">
        <f>0.363</f>
        <v>0.36299999999999999</v>
      </c>
      <c r="U100" s="1">
        <f>0.173</f>
        <v>0.17299999999999999</v>
      </c>
      <c r="V100" s="1">
        <v>149.989</v>
      </c>
      <c r="W100">
        <v>4</v>
      </c>
    </row>
    <row r="101" spans="1:23" x14ac:dyDescent="0.25">
      <c r="A101" s="1" t="s">
        <v>12199</v>
      </c>
      <c r="B101" s="1" t="s">
        <v>12200</v>
      </c>
      <c r="C101" s="1" t="s">
        <v>720</v>
      </c>
      <c r="D101" s="1" t="s">
        <v>12201</v>
      </c>
      <c r="E101" s="1" t="s">
        <v>721</v>
      </c>
      <c r="F101" s="10">
        <v>40518</v>
      </c>
      <c r="G101">
        <v>431169</v>
      </c>
      <c r="H101">
        <v>32</v>
      </c>
      <c r="I101" s="1" t="s">
        <v>12001</v>
      </c>
      <c r="J101" s="11">
        <v>44218.996296296296</v>
      </c>
      <c r="K101" s="1" t="s">
        <v>632</v>
      </c>
      <c r="L101" s="1">
        <f>0.638</f>
        <v>0.63800000000000001</v>
      </c>
      <c r="M101" s="1" t="b">
        <f>0.8=7</f>
        <v>0</v>
      </c>
      <c r="N101">
        <v>8</v>
      </c>
      <c r="O101" s="1">
        <v>-5.7729999999999997</v>
      </c>
      <c r="P101">
        <v>1</v>
      </c>
      <c r="Q101" s="1" t="b">
        <f>0=895</f>
        <v>0</v>
      </c>
      <c r="R101" s="1">
        <f>0.186</f>
        <v>0.186</v>
      </c>
      <c r="S101" s="1">
        <f>0.734</f>
        <v>0.73399999999999999</v>
      </c>
      <c r="T101" s="1" t="b">
        <f>0=5=3</f>
        <v>0</v>
      </c>
      <c r="U101" s="1" t="b">
        <f>0=853</f>
        <v>0</v>
      </c>
      <c r="V101" s="1" t="s">
        <v>12487</v>
      </c>
      <c r="W101">
        <v>4</v>
      </c>
    </row>
    <row r="102" spans="1:23" x14ac:dyDescent="0.25">
      <c r="A102" s="1" t="s">
        <v>12202</v>
      </c>
      <c r="B102" s="1" t="s">
        <v>12203</v>
      </c>
      <c r="C102" s="1" t="s">
        <v>722</v>
      </c>
      <c r="D102" s="1" t="s">
        <v>722</v>
      </c>
      <c r="E102" s="1" t="s">
        <v>723</v>
      </c>
      <c r="F102" s="10">
        <v>44106</v>
      </c>
      <c r="G102">
        <v>207567</v>
      </c>
      <c r="H102">
        <v>0</v>
      </c>
      <c r="I102" s="1" t="s">
        <v>12001</v>
      </c>
      <c r="J102" s="11">
        <v>44218.996388888889</v>
      </c>
      <c r="K102" s="1" t="s">
        <v>724</v>
      </c>
      <c r="L102" s="1">
        <f>0.72</f>
        <v>0.72</v>
      </c>
      <c r="M102" s="1">
        <f>0.887</f>
        <v>0.88700000000000001</v>
      </c>
      <c r="N102">
        <f>0</f>
        <v>0</v>
      </c>
      <c r="O102" s="1">
        <v>-2.62</v>
      </c>
      <c r="P102">
        <v>1</v>
      </c>
      <c r="Q102" s="1">
        <f>0.21</f>
        <v>0.21</v>
      </c>
      <c r="R102" s="1" t="b">
        <f>0=0=293</f>
        <v>0</v>
      </c>
      <c r="S102" s="1" t="b">
        <f>0=577</f>
        <v>0</v>
      </c>
      <c r="T102" s="1" t="b">
        <f>0=92</f>
        <v>0</v>
      </c>
      <c r="U102" s="1" t="b">
        <f>0=62</f>
        <v>0</v>
      </c>
      <c r="V102" s="1" t="s">
        <v>12488</v>
      </c>
      <c r="W102">
        <v>4</v>
      </c>
    </row>
    <row r="103" spans="1:23" x14ac:dyDescent="0.25">
      <c r="A103" s="1" t="s">
        <v>12204</v>
      </c>
      <c r="B103" s="1" t="s">
        <v>12205</v>
      </c>
      <c r="C103" s="1" t="s">
        <v>12206</v>
      </c>
      <c r="D103" s="1" t="s">
        <v>12207</v>
      </c>
      <c r="E103" s="1" t="s">
        <v>725</v>
      </c>
      <c r="F103" s="10">
        <v>43945</v>
      </c>
      <c r="G103">
        <v>173042</v>
      </c>
      <c r="H103">
        <v>45</v>
      </c>
      <c r="I103" s="1" t="s">
        <v>12001</v>
      </c>
      <c r="J103" s="11">
        <v>44218.996435185189</v>
      </c>
      <c r="K103" s="1" t="s">
        <v>726</v>
      </c>
      <c r="L103" s="1">
        <f>0.388</f>
        <v>0.38800000000000001</v>
      </c>
      <c r="M103" s="1">
        <f>0.859</f>
        <v>0.85899999999999999</v>
      </c>
      <c r="N103">
        <v>2</v>
      </c>
      <c r="O103" s="1">
        <v>-5.625</v>
      </c>
      <c r="P103">
        <f>0</f>
        <v>0</v>
      </c>
      <c r="Q103" s="1" t="b">
        <f>0=44</f>
        <v>0</v>
      </c>
      <c r="R103" s="1" t="b">
        <f>0=25</f>
        <v>0</v>
      </c>
      <c r="S103" s="1">
        <f>0.212</f>
        <v>0.21199999999999999</v>
      </c>
      <c r="T103" s="1" t="b">
        <f>0.3=2</f>
        <v>0</v>
      </c>
      <c r="U103" s="1">
        <f>0.295</f>
        <v>0.29499999999999998</v>
      </c>
      <c r="V103" s="1">
        <v>112.373</v>
      </c>
      <c r="W103">
        <v>1</v>
      </c>
    </row>
    <row r="104" spans="1:23" x14ac:dyDescent="0.25">
      <c r="A104" s="1" t="s">
        <v>12208</v>
      </c>
      <c r="B104" s="1" t="s">
        <v>12209</v>
      </c>
      <c r="C104" s="1" t="s">
        <v>727</v>
      </c>
      <c r="D104" s="1" t="s">
        <v>727</v>
      </c>
      <c r="E104" s="1" t="s">
        <v>728</v>
      </c>
      <c r="F104" s="10">
        <v>43958</v>
      </c>
      <c r="G104">
        <v>202495</v>
      </c>
      <c r="H104">
        <v>48</v>
      </c>
      <c r="I104" s="1" t="s">
        <v>12001</v>
      </c>
      <c r="J104" s="11">
        <v>44218.996504629627</v>
      </c>
      <c r="K104" s="1" t="s">
        <v>729</v>
      </c>
      <c r="L104" s="1">
        <f>0.47</f>
        <v>0.47</v>
      </c>
      <c r="M104" s="1">
        <f>0.974</f>
        <v>0.97399999999999998</v>
      </c>
      <c r="N104">
        <v>6</v>
      </c>
      <c r="O104" s="1">
        <v>-2.9159999999999999</v>
      </c>
      <c r="P104">
        <f>0</f>
        <v>0</v>
      </c>
      <c r="Q104" s="1">
        <f>0.116</f>
        <v>0.11600000000000001</v>
      </c>
      <c r="R104" s="1" t="b">
        <f>0=0=0=764</f>
        <v>0</v>
      </c>
      <c r="S104" s="1" t="b">
        <f>0=0=0=0=0=819</f>
        <v>0</v>
      </c>
      <c r="T104" s="1">
        <f>0.4</f>
        <v>0.4</v>
      </c>
      <c r="U104" s="1">
        <f>0.321</f>
        <v>0.32100000000000001</v>
      </c>
      <c r="V104" s="1">
        <v>154.989</v>
      </c>
      <c r="W104">
        <v>4</v>
      </c>
    </row>
    <row r="105" spans="1:23" x14ac:dyDescent="0.25">
      <c r="A105" s="1" t="s">
        <v>12210</v>
      </c>
      <c r="B105" s="1" t="s">
        <v>12211</v>
      </c>
      <c r="C105" s="1" t="s">
        <v>730</v>
      </c>
      <c r="D105" s="1" t="s">
        <v>730</v>
      </c>
      <c r="E105" s="1" t="s">
        <v>731</v>
      </c>
      <c r="F105" s="10">
        <v>42478</v>
      </c>
      <c r="G105">
        <v>406153</v>
      </c>
      <c r="H105">
        <v>44</v>
      </c>
      <c r="I105" s="1" t="s">
        <v>12001</v>
      </c>
      <c r="J105" s="11">
        <v>44218.99658564815</v>
      </c>
      <c r="K105" s="1" t="s">
        <v>732</v>
      </c>
      <c r="L105" s="1">
        <f>0.577</f>
        <v>0.57699999999999996</v>
      </c>
      <c r="M105" s="1">
        <f>0.941</f>
        <v>0.94099999999999995</v>
      </c>
      <c r="N105">
        <v>1</v>
      </c>
      <c r="O105" s="1">
        <v>-6.5670000000000002</v>
      </c>
      <c r="P105">
        <v>1</v>
      </c>
      <c r="Q105" s="1" t="b">
        <f>0=551</f>
        <v>0</v>
      </c>
      <c r="R105" s="1" t="b">
        <f>0=0=36</f>
        <v>0</v>
      </c>
      <c r="S105" s="1">
        <f>0.697</f>
        <v>0.69699999999999995</v>
      </c>
      <c r="T105" s="1">
        <f>0.211</f>
        <v>0.21099999999999999</v>
      </c>
      <c r="U105" s="1">
        <f>0.517</f>
        <v>0.51700000000000002</v>
      </c>
      <c r="V105" s="1" t="s">
        <v>12489</v>
      </c>
      <c r="W105">
        <v>4</v>
      </c>
    </row>
    <row r="106" spans="1:23" x14ac:dyDescent="0.25">
      <c r="A106" s="1" t="s">
        <v>12212</v>
      </c>
      <c r="B106" s="1" t="s">
        <v>12213</v>
      </c>
      <c r="C106" s="1" t="s">
        <v>12214</v>
      </c>
      <c r="D106" s="1" t="s">
        <v>12215</v>
      </c>
      <c r="E106" s="1" t="s">
        <v>733</v>
      </c>
      <c r="F106" s="10">
        <v>40445</v>
      </c>
      <c r="G106">
        <v>314395</v>
      </c>
      <c r="H106">
        <v>11</v>
      </c>
      <c r="I106" s="1" t="s">
        <v>12001</v>
      </c>
      <c r="J106" s="11">
        <v>44218.99664351852</v>
      </c>
      <c r="K106" s="1" t="s">
        <v>734</v>
      </c>
      <c r="L106" s="1" t="b">
        <f>0.5=7</f>
        <v>0</v>
      </c>
      <c r="M106" s="1">
        <f>0.737</f>
        <v>0.73699999999999999</v>
      </c>
      <c r="N106">
        <v>11</v>
      </c>
      <c r="O106" s="1">
        <v>-11.359</v>
      </c>
      <c r="P106">
        <f>0</f>
        <v>0</v>
      </c>
      <c r="Q106" s="1">
        <f>0.312</f>
        <v>0.312</v>
      </c>
      <c r="R106" s="1" t="b">
        <f>0=0=889</f>
        <v>0</v>
      </c>
      <c r="S106" s="1">
        <f>0.158</f>
        <v>0.158</v>
      </c>
      <c r="T106" s="1">
        <f>0.225</f>
        <v>0.22500000000000001</v>
      </c>
      <c r="U106" s="1">
        <f>0.411</f>
        <v>0.41099999999999998</v>
      </c>
      <c r="V106" s="1" t="s">
        <v>12490</v>
      </c>
      <c r="W106">
        <v>4</v>
      </c>
    </row>
    <row r="107" spans="1:23" x14ac:dyDescent="0.25">
      <c r="A107" s="1" t="s">
        <v>12216</v>
      </c>
      <c r="B107" s="1" t="s">
        <v>12217</v>
      </c>
      <c r="C107" s="1" t="s">
        <v>735</v>
      </c>
      <c r="D107" s="1" t="s">
        <v>12218</v>
      </c>
      <c r="E107" s="1" t="s">
        <v>736</v>
      </c>
      <c r="F107" s="10">
        <v>43615</v>
      </c>
      <c r="G107">
        <v>126315</v>
      </c>
      <c r="H107">
        <v>41</v>
      </c>
      <c r="I107" s="1" t="s">
        <v>12001</v>
      </c>
      <c r="J107" s="11">
        <v>44218.996689814812</v>
      </c>
      <c r="K107" s="1" t="s">
        <v>737</v>
      </c>
      <c r="L107" s="1">
        <f>0.477</f>
        <v>0.47699999999999998</v>
      </c>
      <c r="M107" s="1">
        <f>0.974</f>
        <v>0.97399999999999998</v>
      </c>
      <c r="N107">
        <v>9</v>
      </c>
      <c r="O107" s="1">
        <v>-2.7410000000000001</v>
      </c>
      <c r="P107">
        <f>0</f>
        <v>0</v>
      </c>
      <c r="Q107" s="1">
        <f>0.148</f>
        <v>0.14799999999999999</v>
      </c>
      <c r="R107" s="1" t="b">
        <f>0=325</f>
        <v>0</v>
      </c>
      <c r="S107" s="1">
        <f>0.165</f>
        <v>0.16500000000000001</v>
      </c>
      <c r="T107" s="1">
        <f>0.424</f>
        <v>0.42399999999999999</v>
      </c>
      <c r="U107" s="1" t="b">
        <f>0=386</f>
        <v>0</v>
      </c>
      <c r="V107" s="1" t="s">
        <v>12491</v>
      </c>
      <c r="W107">
        <v>4</v>
      </c>
    </row>
    <row r="108" spans="1:23" x14ac:dyDescent="0.25">
      <c r="A108" s="1" t="s">
        <v>12219</v>
      </c>
      <c r="B108" s="1" t="s">
        <v>12220</v>
      </c>
      <c r="C108" s="1" t="s">
        <v>738</v>
      </c>
      <c r="D108" s="1" t="s">
        <v>738</v>
      </c>
      <c r="E108" s="1" t="s">
        <v>739</v>
      </c>
      <c r="F108" s="10">
        <v>43598</v>
      </c>
      <c r="G108">
        <v>310290</v>
      </c>
      <c r="H108">
        <v>17</v>
      </c>
      <c r="I108" s="1" t="s">
        <v>12001</v>
      </c>
      <c r="J108" s="11">
        <v>44218.996782407405</v>
      </c>
      <c r="K108" s="1" t="s">
        <v>50</v>
      </c>
      <c r="L108" s="1">
        <f>0.717</f>
        <v>0.71699999999999997</v>
      </c>
      <c r="M108" s="1">
        <f>0.623</f>
        <v>0.623</v>
      </c>
      <c r="N108" t="s">
        <v>11825</v>
      </c>
      <c r="O108" s="1" t="s">
        <v>12492</v>
      </c>
      <c r="P108">
        <v>1</v>
      </c>
      <c r="Q108" s="1" t="b">
        <f>0=682</f>
        <v>0</v>
      </c>
      <c r="R108" s="1" t="b">
        <f>0=817</f>
        <v>0</v>
      </c>
      <c r="S108" s="1" t="b">
        <f>0.6=3</f>
        <v>0</v>
      </c>
      <c r="T108" s="1">
        <f>0.645</f>
        <v>0.64500000000000002</v>
      </c>
      <c r="U108" s="1">
        <f>0.389</f>
        <v>0.38900000000000001</v>
      </c>
      <c r="V108" s="1" t="s">
        <v>12493</v>
      </c>
      <c r="W108">
        <v>4</v>
      </c>
    </row>
    <row r="109" spans="1:23" x14ac:dyDescent="0.25">
      <c r="A109" s="1" t="s">
        <v>12221</v>
      </c>
      <c r="B109" s="1" t="s">
        <v>12222</v>
      </c>
      <c r="C109" s="1" t="s">
        <v>740</v>
      </c>
      <c r="D109" s="1" t="s">
        <v>740</v>
      </c>
      <c r="E109" s="1" t="s">
        <v>741</v>
      </c>
      <c r="F109" s="10">
        <v>44141</v>
      </c>
      <c r="G109">
        <v>211868</v>
      </c>
      <c r="H109">
        <v>46</v>
      </c>
      <c r="I109" s="1" t="s">
        <v>12001</v>
      </c>
      <c r="J109" s="11">
        <v>44218.996828703705</v>
      </c>
      <c r="K109" s="1" t="s">
        <v>542</v>
      </c>
      <c r="L109" s="1">
        <f>0.6</f>
        <v>0.6</v>
      </c>
      <c r="M109" s="1">
        <f>0.918</f>
        <v>0.91800000000000004</v>
      </c>
      <c r="N109">
        <v>5</v>
      </c>
      <c r="O109" s="1" t="s">
        <v>12494</v>
      </c>
      <c r="P109">
        <f>0</f>
        <v>0</v>
      </c>
      <c r="Q109" s="1" t="b">
        <f>0=62</f>
        <v>0</v>
      </c>
      <c r="R109" s="1" t="b">
        <f>0=1=7</f>
        <v>0</v>
      </c>
      <c r="S109" s="1" t="b">
        <f>0=0=118</f>
        <v>0</v>
      </c>
      <c r="T109" s="1" t="b">
        <f>0.1=4</f>
        <v>0</v>
      </c>
      <c r="U109" s="1">
        <f>0.267</f>
        <v>0.26700000000000002</v>
      </c>
      <c r="V109" s="1">
        <v>149.999</v>
      </c>
      <c r="W109">
        <v>4</v>
      </c>
    </row>
    <row r="110" spans="1:23" x14ac:dyDescent="0.25">
      <c r="A110" s="1" t="s">
        <v>12223</v>
      </c>
      <c r="B110" s="1" t="s">
        <v>12224</v>
      </c>
      <c r="C110" s="1" t="s">
        <v>742</v>
      </c>
      <c r="D110" s="1" t="s">
        <v>12225</v>
      </c>
      <c r="E110" s="1" t="s">
        <v>743</v>
      </c>
      <c r="F110" s="10">
        <v>41640</v>
      </c>
      <c r="G110">
        <v>306141</v>
      </c>
      <c r="H110">
        <v>29</v>
      </c>
      <c r="I110" s="1" t="s">
        <v>12001</v>
      </c>
      <c r="J110" s="11">
        <v>44218.99690972222</v>
      </c>
      <c r="K110" s="1" t="s">
        <v>744</v>
      </c>
      <c r="L110" s="1">
        <f>0.544</f>
        <v>0.54400000000000004</v>
      </c>
      <c r="M110" s="1">
        <f>0.997</f>
        <v>0.997</v>
      </c>
      <c r="N110">
        <v>1</v>
      </c>
      <c r="O110" s="1">
        <v>-2.9940000000000002</v>
      </c>
      <c r="P110">
        <v>1</v>
      </c>
      <c r="Q110" s="1">
        <f>0.117</f>
        <v>0.11700000000000001</v>
      </c>
      <c r="R110" s="1" t="b">
        <f>0=0=0=596</f>
        <v>0</v>
      </c>
      <c r="S110" s="1" t="b">
        <f>0.6=1</f>
        <v>0</v>
      </c>
      <c r="T110" s="1" t="b">
        <f>0=893</f>
        <v>0</v>
      </c>
      <c r="U110" s="1">
        <f>0.257</f>
        <v>0.25700000000000001</v>
      </c>
      <c r="V110" s="1" t="s">
        <v>12462</v>
      </c>
      <c r="W110">
        <v>4</v>
      </c>
    </row>
    <row r="111" spans="1:23" x14ac:dyDescent="0.25">
      <c r="A111" s="1" t="s">
        <v>12226</v>
      </c>
      <c r="B111" s="1" t="s">
        <v>12227</v>
      </c>
      <c r="C111" s="1" t="s">
        <v>745</v>
      </c>
      <c r="D111" s="1" t="s">
        <v>12228</v>
      </c>
      <c r="E111" s="1" t="s">
        <v>746</v>
      </c>
      <c r="F111" s="10">
        <v>42723</v>
      </c>
      <c r="G111">
        <v>401142</v>
      </c>
      <c r="H111">
        <v>40</v>
      </c>
      <c r="I111" s="1" t="s">
        <v>12001</v>
      </c>
      <c r="J111" s="11">
        <v>44218.997002314813</v>
      </c>
      <c r="K111" s="1" t="s">
        <v>732</v>
      </c>
      <c r="L111" s="1">
        <f>0.641</f>
        <v>0.64100000000000001</v>
      </c>
      <c r="M111" s="1">
        <f>0.928</f>
        <v>0.92800000000000005</v>
      </c>
      <c r="N111">
        <v>8</v>
      </c>
      <c r="O111" s="1">
        <v>-5.9269999999999996</v>
      </c>
      <c r="P111">
        <v>1</v>
      </c>
      <c r="Q111" s="1" t="b">
        <f>0.1=2</f>
        <v>0</v>
      </c>
      <c r="R111" s="1" t="b">
        <f>0=0=867</f>
        <v>0</v>
      </c>
      <c r="S111" s="1">
        <f>0.759</f>
        <v>0.75900000000000001</v>
      </c>
      <c r="T111" s="1">
        <f>0.48</f>
        <v>0.48</v>
      </c>
      <c r="U111" s="1" t="b">
        <f>0.3=1</f>
        <v>0</v>
      </c>
      <c r="V111" s="1">
        <v>139.982</v>
      </c>
      <c r="W111">
        <v>4</v>
      </c>
    </row>
    <row r="112" spans="1:23" x14ac:dyDescent="0.25">
      <c r="A112" s="1" t="s">
        <v>12229</v>
      </c>
      <c r="B112" s="1" t="s">
        <v>12230</v>
      </c>
      <c r="C112" s="1" t="s">
        <v>747</v>
      </c>
      <c r="D112" s="1" t="s">
        <v>12231</v>
      </c>
      <c r="E112" s="1" t="s">
        <v>748</v>
      </c>
      <c r="F112" s="10">
        <v>43014</v>
      </c>
      <c r="G112">
        <v>493928</v>
      </c>
      <c r="H112">
        <v>0</v>
      </c>
      <c r="I112" s="1" t="s">
        <v>12001</v>
      </c>
      <c r="J112" s="11">
        <v>44218.997060185182</v>
      </c>
      <c r="K112" s="1" t="s">
        <v>50</v>
      </c>
      <c r="L112" s="1" t="b">
        <f>0.7=2</f>
        <v>0</v>
      </c>
      <c r="M112" s="1">
        <f>0.988</f>
        <v>0.98799999999999999</v>
      </c>
      <c r="N112">
        <v>6</v>
      </c>
      <c r="O112" s="1">
        <v>-6.4749999999999996</v>
      </c>
      <c r="P112">
        <f>0</f>
        <v>0</v>
      </c>
      <c r="Q112" s="1">
        <f>0.131</f>
        <v>0.13100000000000001</v>
      </c>
      <c r="R112" s="1" t="b">
        <f>0=0=617</f>
        <v>0</v>
      </c>
      <c r="S112" s="1">
        <f>0.837</f>
        <v>0.83699999999999997</v>
      </c>
      <c r="T112" s="1">
        <f>0.311</f>
        <v>0.311</v>
      </c>
      <c r="U112" s="1" t="b">
        <f>0.3=6</f>
        <v>0</v>
      </c>
      <c r="V112" s="1" t="s">
        <v>12495</v>
      </c>
      <c r="W112">
        <v>4</v>
      </c>
    </row>
    <row r="113" spans="1:23" x14ac:dyDescent="0.25">
      <c r="A113" s="1" t="s">
        <v>12232</v>
      </c>
      <c r="B113" s="1" t="s">
        <v>12233</v>
      </c>
      <c r="C113" s="1" t="s">
        <v>12234</v>
      </c>
      <c r="D113" s="1" t="s">
        <v>12235</v>
      </c>
      <c r="E113" s="1" t="s">
        <v>749</v>
      </c>
      <c r="F113" s="10">
        <v>40827</v>
      </c>
      <c r="G113">
        <v>325045</v>
      </c>
      <c r="H113">
        <v>25</v>
      </c>
      <c r="I113" s="1" t="s">
        <v>12001</v>
      </c>
      <c r="J113" s="11">
        <v>44218.997118055559</v>
      </c>
      <c r="K113" s="1" t="s">
        <v>750</v>
      </c>
      <c r="L113" s="1">
        <f>0.636</f>
        <v>0.63600000000000001</v>
      </c>
      <c r="M113" s="1">
        <f>0.983</f>
        <v>0.98299999999999998</v>
      </c>
      <c r="N113">
        <v>2</v>
      </c>
      <c r="O113" s="1" t="s">
        <v>12496</v>
      </c>
      <c r="P113">
        <v>1</v>
      </c>
      <c r="Q113" s="1">
        <f>0.135</f>
        <v>0.13500000000000001</v>
      </c>
      <c r="R113" s="1" t="b">
        <f>0=0=6=2</f>
        <v>0</v>
      </c>
      <c r="S113" s="1">
        <f>0.852</f>
        <v>0.85199999999999998</v>
      </c>
      <c r="T113" s="1" t="b">
        <f>0=75</f>
        <v>0</v>
      </c>
      <c r="U113" s="1">
        <f>0.176</f>
        <v>0.17599999999999999</v>
      </c>
      <c r="V113" s="1" t="s">
        <v>12462</v>
      </c>
      <c r="W113">
        <v>4</v>
      </c>
    </row>
    <row r="114" spans="1:23" x14ac:dyDescent="0.25">
      <c r="A114" s="1" t="s">
        <v>12236</v>
      </c>
      <c r="B114" s="1" t="s">
        <v>12237</v>
      </c>
      <c r="C114" s="1" t="s">
        <v>751</v>
      </c>
      <c r="D114" s="1" t="s">
        <v>12238</v>
      </c>
      <c r="E114" s="1" t="s">
        <v>752</v>
      </c>
      <c r="F114" s="10">
        <v>42835</v>
      </c>
      <c r="G114">
        <v>227027</v>
      </c>
      <c r="H114">
        <v>12</v>
      </c>
      <c r="I114" s="1" t="s">
        <v>12001</v>
      </c>
      <c r="J114" s="11">
        <v>44218.997164351851</v>
      </c>
      <c r="K114" s="1" t="s">
        <v>50</v>
      </c>
      <c r="L114" s="1">
        <f>0.536</f>
        <v>0.53600000000000003</v>
      </c>
      <c r="M114" s="1">
        <f>0.955</f>
        <v>0.95499999999999996</v>
      </c>
      <c r="N114">
        <v>1</v>
      </c>
      <c r="O114" s="1">
        <v>-4.149</v>
      </c>
      <c r="P114">
        <v>1</v>
      </c>
      <c r="Q114" s="1" t="b">
        <f>0=482</f>
        <v>0</v>
      </c>
      <c r="R114" s="1" t="b">
        <f>0=0=0=497</f>
        <v>0</v>
      </c>
      <c r="S114" s="1">
        <f>0.848</f>
        <v>0.84799999999999998</v>
      </c>
      <c r="T114" s="1" t="b">
        <f>0=81</f>
        <v>0</v>
      </c>
      <c r="U114" s="1" t="b">
        <f>0=762</f>
        <v>0</v>
      </c>
      <c r="V114" s="1" t="s">
        <v>12497</v>
      </c>
      <c r="W114">
        <v>4</v>
      </c>
    </row>
    <row r="115" spans="1:23" x14ac:dyDescent="0.25">
      <c r="A115" s="1" t="s">
        <v>12239</v>
      </c>
      <c r="B115" s="1" t="s">
        <v>12240</v>
      </c>
      <c r="C115" s="1" t="s">
        <v>753</v>
      </c>
      <c r="D115" s="1" t="s">
        <v>753</v>
      </c>
      <c r="E115" s="1" t="s">
        <v>754</v>
      </c>
      <c r="F115" s="10">
        <v>43012</v>
      </c>
      <c r="G115">
        <v>305511</v>
      </c>
      <c r="H115">
        <v>6</v>
      </c>
      <c r="I115" s="1" t="s">
        <v>12001</v>
      </c>
      <c r="J115" s="11">
        <v>44218.99722222222</v>
      </c>
      <c r="K115" s="1" t="s">
        <v>755</v>
      </c>
      <c r="L115" s="1">
        <f>0.79</f>
        <v>0.79</v>
      </c>
      <c r="M115" s="1">
        <f>0.697</f>
        <v>0.69699999999999995</v>
      </c>
      <c r="N115">
        <v>11</v>
      </c>
      <c r="O115" s="1">
        <v>-8.1430000000000007</v>
      </c>
      <c r="P115">
        <v>1</v>
      </c>
      <c r="Q115" s="1">
        <f>0.12</f>
        <v>0.12</v>
      </c>
      <c r="R115" s="1" t="b">
        <f>0=224</f>
        <v>0</v>
      </c>
      <c r="S115" s="1">
        <f>0.796</f>
        <v>0.79600000000000004</v>
      </c>
      <c r="T115" s="1" t="b">
        <f>0=98</f>
        <v>0</v>
      </c>
      <c r="U115" s="1" t="b">
        <f>0=366</f>
        <v>0</v>
      </c>
      <c r="V115" s="1" t="s">
        <v>12498</v>
      </c>
      <c r="W115">
        <v>4</v>
      </c>
    </row>
    <row r="116" spans="1:23" x14ac:dyDescent="0.25">
      <c r="A116" s="1" t="s">
        <v>12241</v>
      </c>
      <c r="B116" s="1" t="s">
        <v>12242</v>
      </c>
      <c r="C116" s="1" t="s">
        <v>756</v>
      </c>
      <c r="D116" s="1" t="s">
        <v>756</v>
      </c>
      <c r="E116" s="1" t="s">
        <v>757</v>
      </c>
      <c r="F116" s="10">
        <v>42881</v>
      </c>
      <c r="G116">
        <v>311571</v>
      </c>
      <c r="H116">
        <v>9</v>
      </c>
      <c r="I116" s="1" t="s">
        <v>12001</v>
      </c>
      <c r="J116" s="11">
        <v>44218.99726851852</v>
      </c>
      <c r="K116" s="1" t="s">
        <v>758</v>
      </c>
      <c r="L116" s="1">
        <f>0.713</f>
        <v>0.71299999999999997</v>
      </c>
      <c r="M116" s="1">
        <f>0.855</f>
        <v>0.85499999999999998</v>
      </c>
      <c r="N116">
        <v>11</v>
      </c>
      <c r="O116" s="1">
        <v>-5.2649999999999997</v>
      </c>
      <c r="P116">
        <v>1</v>
      </c>
      <c r="Q116" s="1" t="b">
        <f>0.1=9</f>
        <v>0</v>
      </c>
      <c r="R116" s="1" t="b">
        <f>0=0=169</f>
        <v>0</v>
      </c>
      <c r="S116" s="1">
        <f>0.168</f>
        <v>0.16800000000000001</v>
      </c>
      <c r="T116" s="1" t="b">
        <f>0=385</f>
        <v>0</v>
      </c>
      <c r="U116" s="1">
        <f>0.335</f>
        <v>0.33500000000000002</v>
      </c>
      <c r="V116" s="1" t="s">
        <v>12499</v>
      </c>
      <c r="W116">
        <v>4</v>
      </c>
    </row>
    <row r="117" spans="1:23" x14ac:dyDescent="0.25">
      <c r="A117" s="1" t="s">
        <v>12243</v>
      </c>
      <c r="B117" s="1" t="s">
        <v>12244</v>
      </c>
      <c r="C117" s="1" t="s">
        <v>759</v>
      </c>
      <c r="D117" s="1" t="s">
        <v>12245</v>
      </c>
      <c r="E117" s="1" t="s">
        <v>760</v>
      </c>
      <c r="F117" s="10">
        <v>43010</v>
      </c>
      <c r="G117">
        <v>178461</v>
      </c>
      <c r="H117">
        <v>24</v>
      </c>
      <c r="I117" s="1" t="s">
        <v>12001</v>
      </c>
      <c r="J117" s="11">
        <v>44218.997337962966</v>
      </c>
      <c r="K117" s="1" t="s">
        <v>761</v>
      </c>
      <c r="L117" s="1">
        <f>0.517</f>
        <v>0.51700000000000002</v>
      </c>
      <c r="M117" s="1">
        <f>0.863</f>
        <v>0.86299999999999999</v>
      </c>
      <c r="N117">
        <v>7</v>
      </c>
      <c r="O117" s="1">
        <v>-4.2560000000000002</v>
      </c>
      <c r="P117">
        <f>0</f>
        <v>0</v>
      </c>
      <c r="Q117" s="1">
        <f>0.125</f>
        <v>0.125</v>
      </c>
      <c r="R117" s="1" t="b">
        <f>0=319</f>
        <v>0</v>
      </c>
      <c r="S117" s="1">
        <f>0.178</f>
        <v>0.17799999999999999</v>
      </c>
      <c r="T117" s="1" t="b">
        <f>0.1=6</f>
        <v>0</v>
      </c>
      <c r="U117" s="1">
        <f>0.114</f>
        <v>0.114</v>
      </c>
      <c r="V117" s="1" t="s">
        <v>12500</v>
      </c>
      <c r="W117">
        <v>4</v>
      </c>
    </row>
    <row r="118" spans="1:23" x14ac:dyDescent="0.25">
      <c r="A118" s="1" t="s">
        <v>12246</v>
      </c>
      <c r="B118" s="1" t="s">
        <v>12247</v>
      </c>
      <c r="C118" s="1" t="s">
        <v>762</v>
      </c>
      <c r="D118" s="1" t="s">
        <v>12248</v>
      </c>
      <c r="E118" s="1" t="s">
        <v>763</v>
      </c>
      <c r="F118" s="10">
        <v>43133</v>
      </c>
      <c r="G118">
        <v>253913</v>
      </c>
      <c r="H118">
        <v>0</v>
      </c>
      <c r="I118" s="1" t="s">
        <v>12001</v>
      </c>
      <c r="J118" s="11">
        <v>44218.997395833336</v>
      </c>
      <c r="K118" s="1" t="s">
        <v>50</v>
      </c>
      <c r="L118" s="1">
        <f>0.636</f>
        <v>0.63600000000000001</v>
      </c>
      <c r="M118" s="1">
        <f>0.888</f>
        <v>0.88800000000000001</v>
      </c>
      <c r="N118" t="s">
        <v>11825</v>
      </c>
      <c r="O118" s="1">
        <v>-6.9820000000000002</v>
      </c>
      <c r="P118">
        <f>0</f>
        <v>0</v>
      </c>
      <c r="Q118" s="1" t="b">
        <f>0=727</f>
        <v>0</v>
      </c>
      <c r="R118" s="1" t="b">
        <f>0=2=5</f>
        <v>0</v>
      </c>
      <c r="S118" s="1">
        <f>0.814</f>
        <v>0.81399999999999995</v>
      </c>
      <c r="T118" s="1">
        <f>0.354</f>
        <v>0.35399999999999998</v>
      </c>
      <c r="U118" s="1">
        <f>0.2</f>
        <v>0.2</v>
      </c>
      <c r="V118" s="1">
        <v>137.99799999999999</v>
      </c>
      <c r="W118">
        <v>4</v>
      </c>
    </row>
    <row r="119" spans="1:23" x14ac:dyDescent="0.25">
      <c r="A119" s="1" t="s">
        <v>12249</v>
      </c>
      <c r="B119" s="1" t="s">
        <v>12250</v>
      </c>
      <c r="C119" s="1" t="s">
        <v>764</v>
      </c>
      <c r="D119" s="1" t="s">
        <v>764</v>
      </c>
      <c r="E119" s="1" t="s">
        <v>765</v>
      </c>
      <c r="F119" s="10">
        <v>43032</v>
      </c>
      <c r="G119">
        <v>188000</v>
      </c>
      <c r="H119">
        <v>54</v>
      </c>
      <c r="I119" s="1" t="s">
        <v>12001</v>
      </c>
      <c r="J119" s="11">
        <v>44219.000162037039</v>
      </c>
      <c r="K119" s="1" t="s">
        <v>766</v>
      </c>
      <c r="L119" s="1">
        <f>0.522</f>
        <v>0.52200000000000002</v>
      </c>
      <c r="M119" s="1">
        <f>0.942</f>
        <v>0.94199999999999995</v>
      </c>
      <c r="N119">
        <v>4</v>
      </c>
      <c r="O119" s="1">
        <v>-4.6909999999999998</v>
      </c>
      <c r="P119">
        <v>1</v>
      </c>
      <c r="Q119" s="1" t="b">
        <f>0=498</f>
        <v>0</v>
      </c>
      <c r="R119" s="1" t="b">
        <f>0=1=1</f>
        <v>0</v>
      </c>
      <c r="S119" s="1" t="b">
        <f>0=933</f>
        <v>0</v>
      </c>
      <c r="T119" s="1">
        <f>0.35</f>
        <v>0.35</v>
      </c>
      <c r="U119" s="1" t="b">
        <f>0.3=5</f>
        <v>0</v>
      </c>
      <c r="V119" s="1">
        <v>74.995999999999995</v>
      </c>
      <c r="W119">
        <v>4</v>
      </c>
    </row>
    <row r="120" spans="1:23" x14ac:dyDescent="0.25">
      <c r="A120" s="1" t="s">
        <v>12251</v>
      </c>
      <c r="B120" s="1" t="s">
        <v>12042</v>
      </c>
      <c r="C120" s="1" t="s">
        <v>767</v>
      </c>
      <c r="D120" s="1" t="s">
        <v>767</v>
      </c>
      <c r="E120" s="1" t="s">
        <v>576</v>
      </c>
      <c r="F120" s="10">
        <v>43602</v>
      </c>
      <c r="G120">
        <v>273414</v>
      </c>
      <c r="H120">
        <v>0</v>
      </c>
      <c r="I120" s="1" t="s">
        <v>12001</v>
      </c>
      <c r="J120" s="11">
        <v>44219.001018518517</v>
      </c>
      <c r="K120" s="1" t="s">
        <v>537</v>
      </c>
      <c r="L120" s="1">
        <f>0.252</f>
        <v>0.252</v>
      </c>
      <c r="M120" s="1">
        <f>0.965</f>
        <v>0.96499999999999997</v>
      </c>
      <c r="N120">
        <f>0</f>
        <v>0</v>
      </c>
      <c r="O120" s="1">
        <v>-3.5990000000000002</v>
      </c>
      <c r="P120">
        <v>1</v>
      </c>
      <c r="Q120" s="1">
        <f>0.438</f>
        <v>0.438</v>
      </c>
      <c r="R120" s="1">
        <f>0.299</f>
        <v>0.29899999999999999</v>
      </c>
      <c r="S120" s="1" t="b">
        <f>0=529</f>
        <v>0</v>
      </c>
      <c r="T120" s="1">
        <f>0.371</f>
        <v>0.371</v>
      </c>
      <c r="U120" s="1" t="b">
        <f>0=424</f>
        <v>0</v>
      </c>
      <c r="V120" s="1" t="s">
        <v>12501</v>
      </c>
      <c r="W120">
        <v>4</v>
      </c>
    </row>
    <row r="121" spans="1:23" x14ac:dyDescent="0.25">
      <c r="A121" s="1" t="s">
        <v>12252</v>
      </c>
      <c r="B121" s="1" t="s">
        <v>12253</v>
      </c>
      <c r="C121" s="1" t="s">
        <v>12254</v>
      </c>
      <c r="D121" s="1" t="s">
        <v>12255</v>
      </c>
      <c r="E121" s="1" t="s">
        <v>768</v>
      </c>
      <c r="F121" s="10">
        <v>43242</v>
      </c>
      <c r="G121">
        <v>188400</v>
      </c>
      <c r="H121">
        <v>58</v>
      </c>
      <c r="I121" s="1" t="s">
        <v>12001</v>
      </c>
      <c r="J121" s="11">
        <v>44219.001516203702</v>
      </c>
      <c r="K121" s="1" t="s">
        <v>769</v>
      </c>
      <c r="L121" s="1">
        <f>0.472</f>
        <v>0.47199999999999998</v>
      </c>
      <c r="M121" s="1">
        <f>0.929</f>
        <v>0.92900000000000005</v>
      </c>
      <c r="N121">
        <v>1</v>
      </c>
      <c r="O121" s="1">
        <v>-4.4390000000000001</v>
      </c>
      <c r="P121">
        <v>1</v>
      </c>
      <c r="Q121" s="1" t="b">
        <f>0=412</f>
        <v>0</v>
      </c>
      <c r="R121" s="1" t="b">
        <f>0=137</f>
        <v>0</v>
      </c>
      <c r="S121" s="1" t="b">
        <f>0=262</f>
        <v>0</v>
      </c>
      <c r="T121" s="1">
        <f>0.166</f>
        <v>0.16600000000000001</v>
      </c>
      <c r="U121" s="1" t="b">
        <f>0=663</f>
        <v>0</v>
      </c>
      <c r="V121" s="1" t="s">
        <v>12502</v>
      </c>
      <c r="W121">
        <v>1</v>
      </c>
    </row>
    <row r="122" spans="1:23" x14ac:dyDescent="0.25">
      <c r="A122" s="1" t="s">
        <v>12256</v>
      </c>
      <c r="B122" s="1" t="s">
        <v>12178</v>
      </c>
      <c r="C122" s="1" t="s">
        <v>770</v>
      </c>
      <c r="D122" s="1" t="s">
        <v>770</v>
      </c>
      <c r="E122" s="1" t="s">
        <v>702</v>
      </c>
      <c r="F122" s="10">
        <v>43000</v>
      </c>
      <c r="G122">
        <v>214038</v>
      </c>
      <c r="H122">
        <v>48</v>
      </c>
      <c r="I122" s="1" t="s">
        <v>12001</v>
      </c>
      <c r="J122" s="11">
        <v>44219.003645833334</v>
      </c>
      <c r="K122" s="1" t="s">
        <v>632</v>
      </c>
      <c r="L122" s="1">
        <f>0.371</f>
        <v>0.371</v>
      </c>
      <c r="M122" s="1">
        <f>0.927</f>
        <v>0.92700000000000005</v>
      </c>
      <c r="N122">
        <v>5</v>
      </c>
      <c r="O122" s="1">
        <v>-3.4380000000000002</v>
      </c>
      <c r="P122">
        <f>0</f>
        <v>0</v>
      </c>
      <c r="Q122" s="1" t="b">
        <f>0.1=5</f>
        <v>0</v>
      </c>
      <c r="R122" s="1" t="b">
        <f>0=554</f>
        <v>0</v>
      </c>
      <c r="S122" s="1" t="b">
        <f>0=0=0=0=0=327</f>
        <v>0</v>
      </c>
      <c r="T122" s="1" t="b">
        <f>0.3=3</f>
        <v>0</v>
      </c>
      <c r="U122" s="1" t="b">
        <f>0.4=8</f>
        <v>0</v>
      </c>
      <c r="V122" s="1">
        <v>147.63300000000001</v>
      </c>
      <c r="W122">
        <v>4</v>
      </c>
    </row>
    <row r="123" spans="1:23" x14ac:dyDescent="0.25">
      <c r="A123" s="1" t="s">
        <v>12257</v>
      </c>
      <c r="B123" s="1" t="s">
        <v>12258</v>
      </c>
      <c r="C123" s="1" t="s">
        <v>771</v>
      </c>
      <c r="D123" s="1" t="s">
        <v>12259</v>
      </c>
      <c r="E123" s="1" t="s">
        <v>772</v>
      </c>
      <c r="F123" s="10">
        <v>42923</v>
      </c>
      <c r="G123">
        <v>236000</v>
      </c>
      <c r="H123">
        <v>52</v>
      </c>
      <c r="I123" s="1" t="s">
        <v>12001</v>
      </c>
      <c r="J123" s="11">
        <v>44219.003761574073</v>
      </c>
      <c r="K123" s="1" t="s">
        <v>773</v>
      </c>
      <c r="L123" s="1">
        <f>0.276</f>
        <v>0.27600000000000002</v>
      </c>
      <c r="M123" s="1">
        <f>0.942</f>
        <v>0.94199999999999995</v>
      </c>
      <c r="N123">
        <v>11</v>
      </c>
      <c r="O123" s="1">
        <v>-5.8819999999999997</v>
      </c>
      <c r="P123">
        <f>0</f>
        <v>0</v>
      </c>
      <c r="Q123" s="1">
        <f>0.172</f>
        <v>0.17199999999999999</v>
      </c>
      <c r="R123" s="1" t="b">
        <f>0=0=351</f>
        <v>0</v>
      </c>
      <c r="S123" s="1" t="b">
        <f>0=511</f>
        <v>0</v>
      </c>
      <c r="T123" s="1">
        <f>0.454</f>
        <v>0.45400000000000001</v>
      </c>
      <c r="U123" s="1" t="b">
        <f>0=5=9</f>
        <v>0</v>
      </c>
      <c r="V123" s="1">
        <v>149.982</v>
      </c>
      <c r="W123">
        <v>4</v>
      </c>
    </row>
    <row r="124" spans="1:23" x14ac:dyDescent="0.25">
      <c r="A124" s="1" t="s">
        <v>12260</v>
      </c>
      <c r="B124" s="1" t="s">
        <v>12261</v>
      </c>
      <c r="C124" s="1" t="s">
        <v>774</v>
      </c>
      <c r="D124" s="1" t="s">
        <v>12262</v>
      </c>
      <c r="E124" s="1" t="s">
        <v>775</v>
      </c>
      <c r="F124" s="10">
        <v>43455</v>
      </c>
      <c r="G124">
        <v>226799</v>
      </c>
      <c r="H124">
        <v>29</v>
      </c>
      <c r="I124" s="1" t="s">
        <v>12001</v>
      </c>
      <c r="J124" s="11">
        <v>44219.007060185184</v>
      </c>
      <c r="K124" s="1" t="s">
        <v>776</v>
      </c>
      <c r="L124" s="1">
        <f>0.592</f>
        <v>0.59199999999999997</v>
      </c>
      <c r="M124" s="1">
        <f>0.987</f>
        <v>0.98699999999999999</v>
      </c>
      <c r="N124">
        <v>2</v>
      </c>
      <c r="O124" s="1">
        <v>-4.3440000000000003</v>
      </c>
      <c r="P124">
        <f>0</f>
        <v>0</v>
      </c>
      <c r="Q124" s="1">
        <f>0.148</f>
        <v>0.14799999999999999</v>
      </c>
      <c r="R124" s="1">
        <f>0.455</f>
        <v>0.45500000000000002</v>
      </c>
      <c r="S124" s="1">
        <f>0.913</f>
        <v>0.91300000000000003</v>
      </c>
      <c r="T124" s="1" t="b">
        <f>0=862</f>
        <v>0</v>
      </c>
      <c r="U124" s="1" t="b">
        <f>0=398</f>
        <v>0</v>
      </c>
      <c r="V124" s="1" t="s">
        <v>12503</v>
      </c>
      <c r="W124">
        <v>4</v>
      </c>
    </row>
    <row r="125" spans="1:23" x14ac:dyDescent="0.25">
      <c r="A125" s="1" t="s">
        <v>12263</v>
      </c>
      <c r="B125" s="1" t="s">
        <v>12264</v>
      </c>
      <c r="C125" s="1" t="s">
        <v>777</v>
      </c>
      <c r="D125" s="1" t="s">
        <v>12265</v>
      </c>
      <c r="E125" s="1" t="s">
        <v>778</v>
      </c>
      <c r="F125" s="10">
        <v>43422</v>
      </c>
      <c r="G125">
        <v>182400</v>
      </c>
      <c r="H125">
        <v>40</v>
      </c>
      <c r="I125" s="1" t="s">
        <v>12001</v>
      </c>
      <c r="J125" s="11">
        <v>44219.007233796299</v>
      </c>
      <c r="K125" s="1" t="s">
        <v>779</v>
      </c>
      <c r="L125" s="1">
        <f>0.748</f>
        <v>0.748</v>
      </c>
      <c r="M125" s="1">
        <f>0.976</f>
        <v>0.97599999999999998</v>
      </c>
      <c r="N125" t="s">
        <v>11825</v>
      </c>
      <c r="O125" s="1">
        <v>-1.5649999999999999</v>
      </c>
      <c r="P125">
        <f>0</f>
        <v>0</v>
      </c>
      <c r="Q125" s="1">
        <f>0.142</f>
        <v>0.14199999999999999</v>
      </c>
      <c r="R125" s="1" t="b">
        <f>0=175</f>
        <v>0</v>
      </c>
      <c r="S125" s="1">
        <f>0.454</f>
        <v>0.45400000000000001</v>
      </c>
      <c r="T125" s="1">
        <f>0.117</f>
        <v>0.11700000000000001</v>
      </c>
      <c r="U125" s="1">
        <f>0.522</f>
        <v>0.52200000000000002</v>
      </c>
      <c r="V125" s="1">
        <v>99.977000000000004</v>
      </c>
      <c r="W125">
        <v>4</v>
      </c>
    </row>
    <row r="126" spans="1:23" x14ac:dyDescent="0.25">
      <c r="A126" s="1" t="s">
        <v>12266</v>
      </c>
      <c r="B126" s="1" t="s">
        <v>12267</v>
      </c>
      <c r="C126" s="1" t="s">
        <v>780</v>
      </c>
      <c r="D126" s="1" t="s">
        <v>780</v>
      </c>
      <c r="E126" s="1" t="s">
        <v>781</v>
      </c>
      <c r="F126" s="10">
        <v>43628</v>
      </c>
      <c r="G126">
        <v>232799</v>
      </c>
      <c r="H126">
        <v>0</v>
      </c>
      <c r="I126" s="1" t="s">
        <v>12001</v>
      </c>
      <c r="J126" s="11">
        <v>44219.0075462963</v>
      </c>
      <c r="K126" s="1" t="s">
        <v>782</v>
      </c>
      <c r="L126" s="1">
        <f>0.436</f>
        <v>0.436</v>
      </c>
      <c r="M126" s="1">
        <f>0.969</f>
        <v>0.96899999999999997</v>
      </c>
      <c r="N126">
        <v>1</v>
      </c>
      <c r="O126" s="1">
        <v>-3.2250000000000001</v>
      </c>
      <c r="P126">
        <v>1</v>
      </c>
      <c r="Q126" s="1">
        <f>0.4</f>
        <v>0.4</v>
      </c>
      <c r="R126" s="1" t="b">
        <f>0=0=498</f>
        <v>0</v>
      </c>
      <c r="S126" s="1">
        <f>0.61</f>
        <v>0.61</v>
      </c>
      <c r="T126" s="1">
        <f>0.253</f>
        <v>0.253</v>
      </c>
      <c r="U126" s="1">
        <f>0.152</f>
        <v>0.152</v>
      </c>
      <c r="V126" s="1" t="s">
        <v>12504</v>
      </c>
      <c r="W126">
        <v>4</v>
      </c>
    </row>
    <row r="127" spans="1:23" x14ac:dyDescent="0.25">
      <c r="A127" s="1" t="s">
        <v>12268</v>
      </c>
      <c r="B127" s="1" t="s">
        <v>12042</v>
      </c>
      <c r="C127" s="1" t="s">
        <v>783</v>
      </c>
      <c r="D127" s="1" t="s">
        <v>783</v>
      </c>
      <c r="E127" s="1" t="s">
        <v>576</v>
      </c>
      <c r="F127" s="10">
        <v>43670</v>
      </c>
      <c r="G127">
        <v>187800</v>
      </c>
      <c r="H127">
        <v>44</v>
      </c>
      <c r="I127" s="1" t="s">
        <v>12001</v>
      </c>
      <c r="J127" s="11">
        <v>44219.007962962962</v>
      </c>
      <c r="K127" s="1" t="s">
        <v>537</v>
      </c>
      <c r="L127" s="1">
        <f>0.456</f>
        <v>0.45600000000000002</v>
      </c>
      <c r="M127" s="1">
        <f>0.856</f>
        <v>0.85599999999999998</v>
      </c>
      <c r="N127">
        <v>2</v>
      </c>
      <c r="O127" s="1">
        <v>-1.7290000000000001</v>
      </c>
      <c r="P127">
        <f>0</f>
        <v>0</v>
      </c>
      <c r="Q127" s="1" t="b">
        <f>0=38</f>
        <v>0</v>
      </c>
      <c r="R127" s="1">
        <f>0.399</f>
        <v>0.39900000000000002</v>
      </c>
      <c r="S127" s="1" t="b">
        <f>0=162</f>
        <v>0</v>
      </c>
      <c r="T127" s="1">
        <f>0.283</f>
        <v>0.28299999999999997</v>
      </c>
      <c r="U127" s="1" t="b">
        <f>0=717</f>
        <v>0</v>
      </c>
      <c r="V127" s="1">
        <v>99.995000000000005</v>
      </c>
      <c r="W127">
        <v>4</v>
      </c>
    </row>
    <row r="128" spans="1:23" x14ac:dyDescent="0.25">
      <c r="A128" s="1" t="s">
        <v>12269</v>
      </c>
      <c r="B128" s="1" t="s">
        <v>12270</v>
      </c>
      <c r="C128" s="1" t="s">
        <v>12271</v>
      </c>
      <c r="D128" s="1" t="s">
        <v>12218</v>
      </c>
      <c r="E128" s="1" t="s">
        <v>784</v>
      </c>
      <c r="F128" s="10">
        <v>43615</v>
      </c>
      <c r="G128">
        <v>181333</v>
      </c>
      <c r="H128">
        <v>33</v>
      </c>
      <c r="I128" s="1" t="s">
        <v>12001</v>
      </c>
      <c r="J128" s="11">
        <v>44219.008229166669</v>
      </c>
      <c r="K128" s="1" t="s">
        <v>537</v>
      </c>
      <c r="L128" s="1">
        <f>0.521</f>
        <v>0.52100000000000002</v>
      </c>
      <c r="M128" s="1">
        <f>0.983</f>
        <v>0.98299999999999998</v>
      </c>
      <c r="N128">
        <f>0</f>
        <v>0</v>
      </c>
      <c r="O128" s="1">
        <v>-2.173</v>
      </c>
      <c r="P128">
        <v>1</v>
      </c>
      <c r="Q128" s="1" t="b">
        <f>0=658</f>
        <v>0</v>
      </c>
      <c r="R128" s="1" t="b">
        <f>0=0=265</f>
        <v>0</v>
      </c>
      <c r="S128" s="1">
        <f>0.645</f>
        <v>0.64500000000000002</v>
      </c>
      <c r="T128" s="1">
        <f>0.131</f>
        <v>0.13100000000000001</v>
      </c>
      <c r="U128" s="1">
        <f>0.179</f>
        <v>0.17899999999999999</v>
      </c>
      <c r="V128" s="1" t="s">
        <v>12505</v>
      </c>
      <c r="W128">
        <v>4</v>
      </c>
    </row>
    <row r="129" spans="1:23" x14ac:dyDescent="0.25">
      <c r="A129" s="1" t="s">
        <v>12272</v>
      </c>
      <c r="B129" s="1" t="s">
        <v>12273</v>
      </c>
      <c r="C129" s="1" t="s">
        <v>785</v>
      </c>
      <c r="D129" s="1" t="s">
        <v>12051</v>
      </c>
      <c r="E129" s="1" t="s">
        <v>786</v>
      </c>
      <c r="F129" s="10">
        <v>43161</v>
      </c>
      <c r="G129">
        <v>201142</v>
      </c>
      <c r="H129">
        <v>32</v>
      </c>
      <c r="I129" s="1" t="s">
        <v>12001</v>
      </c>
      <c r="J129" s="11">
        <v>44219.012407407405</v>
      </c>
      <c r="K129" s="1" t="s">
        <v>787</v>
      </c>
      <c r="L129" s="1">
        <f>0.494</f>
        <v>0.49399999999999999</v>
      </c>
      <c r="M129" s="1">
        <f>0.952</f>
        <v>0.95199999999999996</v>
      </c>
      <c r="N129">
        <v>2</v>
      </c>
      <c r="O129" s="1">
        <v>-1.7549999999999999</v>
      </c>
      <c r="P129">
        <v>1</v>
      </c>
      <c r="Q129" s="1" t="b">
        <f>0=6=3</f>
        <v>0</v>
      </c>
      <c r="R129" s="1" t="b">
        <f>0=0=2=2</f>
        <v>0</v>
      </c>
      <c r="S129" s="1" t="b">
        <f>0=6</f>
        <v>0</v>
      </c>
      <c r="T129" s="1">
        <f>0.838</f>
        <v>0.83799999999999997</v>
      </c>
      <c r="U129" s="1" t="b">
        <f>0=631</f>
        <v>0</v>
      </c>
      <c r="V129" s="1" t="s">
        <v>12506</v>
      </c>
      <c r="W129">
        <v>4</v>
      </c>
    </row>
    <row r="130" spans="1:23" x14ac:dyDescent="0.25">
      <c r="A130" s="1" t="s">
        <v>12274</v>
      </c>
      <c r="B130" s="1" t="s">
        <v>12275</v>
      </c>
      <c r="C130" s="1" t="s">
        <v>788</v>
      </c>
      <c r="D130" s="1" t="s">
        <v>12265</v>
      </c>
      <c r="E130" s="1" t="s">
        <v>789</v>
      </c>
      <c r="F130" s="10">
        <v>43422</v>
      </c>
      <c r="G130">
        <v>206400</v>
      </c>
      <c r="H130">
        <v>56</v>
      </c>
      <c r="I130" s="1" t="s">
        <v>12001</v>
      </c>
      <c r="J130" s="11">
        <v>44219.012673611112</v>
      </c>
      <c r="K130" s="1" t="s">
        <v>790</v>
      </c>
      <c r="L130" s="1" t="b">
        <f>0.7=7</f>
        <v>0</v>
      </c>
      <c r="M130" s="1">
        <f>0.996</f>
        <v>0.996</v>
      </c>
      <c r="N130">
        <v>5</v>
      </c>
      <c r="O130" s="1">
        <f>0.551</f>
        <v>0.55100000000000005</v>
      </c>
      <c r="P130">
        <v>1</v>
      </c>
      <c r="Q130" s="1">
        <f>0.164</f>
        <v>0.16400000000000001</v>
      </c>
      <c r="R130" s="1" t="b">
        <f>0=267</f>
        <v>0</v>
      </c>
      <c r="S130" s="1" t="b">
        <f>0=281</f>
        <v>0</v>
      </c>
      <c r="T130" s="1" t="b">
        <f>0=787</f>
        <v>0</v>
      </c>
      <c r="U130" s="1">
        <f>0.192</f>
        <v>0.192</v>
      </c>
      <c r="V130" s="1" t="s">
        <v>12507</v>
      </c>
      <c r="W130">
        <v>4</v>
      </c>
    </row>
    <row r="131" spans="1:23" x14ac:dyDescent="0.25">
      <c r="A131" s="1" t="s">
        <v>12276</v>
      </c>
      <c r="B131" s="1" t="s">
        <v>12042</v>
      </c>
      <c r="C131" s="1" t="s">
        <v>791</v>
      </c>
      <c r="D131" s="1" t="s">
        <v>791</v>
      </c>
      <c r="E131" s="1" t="s">
        <v>576</v>
      </c>
      <c r="F131" s="10">
        <v>43342</v>
      </c>
      <c r="G131">
        <v>230400</v>
      </c>
      <c r="H131">
        <v>46</v>
      </c>
      <c r="I131" s="1" t="s">
        <v>12001</v>
      </c>
      <c r="J131" s="11">
        <v>44219.014641203707</v>
      </c>
      <c r="K131" s="1" t="s">
        <v>537</v>
      </c>
      <c r="L131" s="1">
        <f>0.526</f>
        <v>0.52600000000000002</v>
      </c>
      <c r="M131" s="1">
        <f>0.995</f>
        <v>0.995</v>
      </c>
      <c r="N131">
        <f>0</f>
        <v>0</v>
      </c>
      <c r="O131" s="1" t="s">
        <v>12508</v>
      </c>
      <c r="P131">
        <f>0</f>
        <v>0</v>
      </c>
      <c r="Q131" s="1" t="b">
        <f>0=617</f>
        <v>0</v>
      </c>
      <c r="R131" s="1" t="b">
        <f>0.1=5</f>
        <v>0</v>
      </c>
      <c r="S131" s="1" t="b">
        <f>0=556</f>
        <v>0</v>
      </c>
      <c r="T131" s="1">
        <f>0.376</f>
        <v>0.376</v>
      </c>
      <c r="U131" s="1">
        <f>0.419</f>
        <v>0.41899999999999998</v>
      </c>
      <c r="V131" s="1" t="s">
        <v>12509</v>
      </c>
      <c r="W131">
        <v>4</v>
      </c>
    </row>
    <row r="132" spans="1:23" x14ac:dyDescent="0.25">
      <c r="A132" s="1" t="s">
        <v>12277</v>
      </c>
      <c r="B132" s="1" t="s">
        <v>12278</v>
      </c>
      <c r="C132" s="1" t="s">
        <v>792</v>
      </c>
      <c r="D132" s="1" t="s">
        <v>12265</v>
      </c>
      <c r="E132" s="1" t="s">
        <v>793</v>
      </c>
      <c r="F132" s="10">
        <v>43422</v>
      </c>
      <c r="G132">
        <v>282301</v>
      </c>
      <c r="H132">
        <v>49</v>
      </c>
      <c r="I132" s="1" t="s">
        <v>12001</v>
      </c>
      <c r="J132" s="11">
        <v>44219.01494212963</v>
      </c>
      <c r="K132" s="1" t="s">
        <v>794</v>
      </c>
      <c r="L132" s="1">
        <f>0.641</f>
        <v>0.64100000000000001</v>
      </c>
      <c r="M132" s="1">
        <f>0.946</f>
        <v>0.94599999999999995</v>
      </c>
      <c r="N132">
        <v>1</v>
      </c>
      <c r="O132" s="1">
        <v>-2.7559999999999998</v>
      </c>
      <c r="P132">
        <v>1</v>
      </c>
      <c r="Q132" s="1" t="b">
        <f>0=641</f>
        <v>0</v>
      </c>
      <c r="R132" s="1" t="b">
        <f>0=611</f>
        <v>0</v>
      </c>
      <c r="S132" s="1" t="b">
        <f>0=268</f>
        <v>0</v>
      </c>
      <c r="T132" s="1" t="b">
        <f>0=913</f>
        <v>0</v>
      </c>
      <c r="U132" s="1" t="b">
        <f>0=351</f>
        <v>0</v>
      </c>
      <c r="V132" s="1" t="s">
        <v>12506</v>
      </c>
      <c r="W132">
        <v>3</v>
      </c>
    </row>
    <row r="133" spans="1:23" x14ac:dyDescent="0.25">
      <c r="A133" s="1" t="s">
        <v>12279</v>
      </c>
      <c r="B133" s="1" t="s">
        <v>12280</v>
      </c>
      <c r="C133" s="1" t="s">
        <v>12281</v>
      </c>
      <c r="D133" s="1" t="s">
        <v>12282</v>
      </c>
      <c r="E133" s="1" t="s">
        <v>795</v>
      </c>
      <c r="F133" s="10">
        <v>43781</v>
      </c>
      <c r="G133">
        <v>126015</v>
      </c>
      <c r="H133">
        <v>54</v>
      </c>
      <c r="I133" s="1" t="s">
        <v>12001</v>
      </c>
      <c r="J133" s="11">
        <v>44219.015266203707</v>
      </c>
      <c r="K133" s="1" t="s">
        <v>796</v>
      </c>
      <c r="L133" s="1">
        <f>0.342</f>
        <v>0.34200000000000003</v>
      </c>
      <c r="M133" s="1">
        <f>0.952</f>
        <v>0.95199999999999996</v>
      </c>
      <c r="N133">
        <v>1</v>
      </c>
      <c r="O133" s="1">
        <v>1.4410000000000001</v>
      </c>
      <c r="P133">
        <v>1</v>
      </c>
      <c r="Q133" s="1" t="b">
        <f>0.4=5</f>
        <v>0</v>
      </c>
      <c r="R133" s="1" t="b">
        <f>0=0=917</f>
        <v>0</v>
      </c>
      <c r="S133" s="1" t="b">
        <f>0=0=0=742</f>
        <v>0</v>
      </c>
      <c r="T133" s="1">
        <f>0.34</f>
        <v>0.34</v>
      </c>
      <c r="U133" s="1">
        <f>0.226</f>
        <v>0.22600000000000001</v>
      </c>
      <c r="V133" s="1" t="s">
        <v>12510</v>
      </c>
      <c r="W133">
        <v>4</v>
      </c>
    </row>
    <row r="134" spans="1:23" x14ac:dyDescent="0.25">
      <c r="A134" s="1" t="s">
        <v>12283</v>
      </c>
      <c r="B134" s="1" t="s">
        <v>12284</v>
      </c>
      <c r="C134" s="1" t="s">
        <v>797</v>
      </c>
      <c r="D134" s="1" t="s">
        <v>797</v>
      </c>
      <c r="E134" s="1" t="s">
        <v>798</v>
      </c>
      <c r="F134" s="10">
        <v>43497</v>
      </c>
      <c r="G134">
        <v>314932</v>
      </c>
      <c r="H134">
        <v>32</v>
      </c>
      <c r="I134" s="1" t="s">
        <v>12001</v>
      </c>
      <c r="J134" s="11">
        <v>44219.016261574077</v>
      </c>
      <c r="K134" s="1" t="s">
        <v>799</v>
      </c>
      <c r="L134" s="1">
        <f>0.572</f>
        <v>0.57199999999999995</v>
      </c>
      <c r="M134" s="1">
        <f>0.876</f>
        <v>0.876</v>
      </c>
      <c r="N134">
        <v>5</v>
      </c>
      <c r="O134" s="1">
        <v>-6.2320000000000002</v>
      </c>
      <c r="P134">
        <f>0</f>
        <v>0</v>
      </c>
      <c r="Q134" s="1" t="b">
        <f>0=427</f>
        <v>0</v>
      </c>
      <c r="R134" s="1" t="b">
        <f>0=0=192</f>
        <v>0</v>
      </c>
      <c r="S134" s="1">
        <f>0.668</f>
        <v>0.66800000000000004</v>
      </c>
      <c r="T134" s="1">
        <f>0.15</f>
        <v>0.15</v>
      </c>
      <c r="U134" s="1" t="b">
        <f>0=435</f>
        <v>0</v>
      </c>
      <c r="V134" s="1" t="s">
        <v>12511</v>
      </c>
      <c r="W134">
        <v>4</v>
      </c>
    </row>
    <row r="135" spans="1:23" x14ac:dyDescent="0.25">
      <c r="A135" s="1" t="s">
        <v>12285</v>
      </c>
      <c r="B135" s="1" t="s">
        <v>12286</v>
      </c>
      <c r="C135" s="1" t="s">
        <v>172</v>
      </c>
      <c r="D135" s="1" t="s">
        <v>172</v>
      </c>
      <c r="E135" s="1" t="s">
        <v>800</v>
      </c>
      <c r="F135" s="10">
        <v>43851</v>
      </c>
      <c r="G135">
        <v>179684</v>
      </c>
      <c r="H135">
        <v>45</v>
      </c>
      <c r="I135" s="1" t="s">
        <v>12001</v>
      </c>
      <c r="J135" s="11">
        <v>44219.01798611111</v>
      </c>
      <c r="K135" s="1" t="s">
        <v>537</v>
      </c>
      <c r="L135" s="1">
        <f>0.437</f>
        <v>0.437</v>
      </c>
      <c r="M135" s="1">
        <f>0.997</f>
        <v>0.997</v>
      </c>
      <c r="N135" t="s">
        <v>11825</v>
      </c>
      <c r="O135" s="1">
        <v>-1.1639999999999999</v>
      </c>
      <c r="P135">
        <f>0</f>
        <v>0</v>
      </c>
      <c r="Q135" s="1">
        <f>0.226</f>
        <v>0.22600000000000001</v>
      </c>
      <c r="R135" s="1">
        <f>0.115</f>
        <v>0.115</v>
      </c>
      <c r="S135" s="1">
        <f>0.811</f>
        <v>0.81100000000000005</v>
      </c>
      <c r="T135" s="1">
        <f>0.347</f>
        <v>0.34699999999999998</v>
      </c>
      <c r="U135" s="1">
        <f>0.111</f>
        <v>0.111</v>
      </c>
      <c r="V135" s="1" t="s">
        <v>12512</v>
      </c>
      <c r="W135">
        <v>3</v>
      </c>
    </row>
    <row r="136" spans="1:23" x14ac:dyDescent="0.25">
      <c r="A136" s="1" t="s">
        <v>12287</v>
      </c>
      <c r="B136" s="1" t="s">
        <v>12288</v>
      </c>
      <c r="C136" s="1" t="s">
        <v>12289</v>
      </c>
      <c r="D136" s="1" t="s">
        <v>12290</v>
      </c>
      <c r="E136" s="1" t="s">
        <v>801</v>
      </c>
      <c r="F136" s="10">
        <v>43889</v>
      </c>
      <c r="G136">
        <v>222346</v>
      </c>
      <c r="H136">
        <v>58</v>
      </c>
      <c r="I136" s="1" t="s">
        <v>12001</v>
      </c>
      <c r="J136" s="11">
        <v>44259.657604166663</v>
      </c>
      <c r="K136" s="1" t="s">
        <v>802</v>
      </c>
      <c r="L136" s="1">
        <f>0.555</f>
        <v>0.55500000000000005</v>
      </c>
      <c r="M136" s="1">
        <f>0.91</f>
        <v>0.91</v>
      </c>
      <c r="N136">
        <v>3</v>
      </c>
      <c r="O136" s="1">
        <v>-3.653</v>
      </c>
      <c r="P136">
        <f>0</f>
        <v>0</v>
      </c>
      <c r="Q136" s="1" t="b">
        <f>0=628</f>
        <v>0</v>
      </c>
      <c r="R136" s="1">
        <f>0.137</f>
        <v>0.13700000000000001</v>
      </c>
      <c r="S136" s="1">
        <f>0</f>
        <v>0</v>
      </c>
      <c r="T136" s="1">
        <f>0.335</f>
        <v>0.33500000000000002</v>
      </c>
      <c r="U136" s="1">
        <f>0.55</f>
        <v>0.55000000000000004</v>
      </c>
      <c r="V136" s="1">
        <v>154.93199999999999</v>
      </c>
      <c r="W136">
        <v>4</v>
      </c>
    </row>
    <row r="137" spans="1:23" x14ac:dyDescent="0.25">
      <c r="A137" s="1" t="s">
        <v>12291</v>
      </c>
      <c r="B137" s="1" t="s">
        <v>12292</v>
      </c>
      <c r="C137" s="1" t="s">
        <v>101</v>
      </c>
      <c r="D137" s="1" t="s">
        <v>101</v>
      </c>
      <c r="E137" s="1" t="s">
        <v>803</v>
      </c>
      <c r="F137" s="10">
        <v>42961</v>
      </c>
      <c r="G137">
        <v>289548</v>
      </c>
      <c r="H137">
        <v>0</v>
      </c>
      <c r="I137" s="1" t="s">
        <v>12001</v>
      </c>
      <c r="J137" s="11">
        <v>44259.657743055555</v>
      </c>
      <c r="K137" s="1" t="s">
        <v>804</v>
      </c>
      <c r="L137" s="1">
        <f>0.436</f>
        <v>0.436</v>
      </c>
      <c r="M137" s="1">
        <f>0.869</f>
        <v>0.86899999999999999</v>
      </c>
      <c r="N137">
        <v>4</v>
      </c>
      <c r="O137" s="1">
        <v>-2.4729999999999999</v>
      </c>
      <c r="P137">
        <f>0</f>
        <v>0</v>
      </c>
      <c r="Q137" s="1" t="b">
        <f>0=615</f>
        <v>0</v>
      </c>
      <c r="R137" s="1" t="b">
        <f>0=542</f>
        <v>0</v>
      </c>
      <c r="S137" s="1">
        <f>0</f>
        <v>0</v>
      </c>
      <c r="T137" s="1" t="b">
        <f>0=979</f>
        <v>0</v>
      </c>
      <c r="U137" s="1" t="b">
        <f>0=383</f>
        <v>0</v>
      </c>
      <c r="V137" s="1" t="s">
        <v>12513</v>
      </c>
      <c r="W137">
        <v>4</v>
      </c>
    </row>
    <row r="138" spans="1:23" x14ac:dyDescent="0.25">
      <c r="A138" s="1" t="s">
        <v>12293</v>
      </c>
      <c r="B138" s="1" t="s">
        <v>12294</v>
      </c>
      <c r="C138" s="1" t="s">
        <v>805</v>
      </c>
      <c r="D138" s="1" t="s">
        <v>805</v>
      </c>
      <c r="E138" s="1" t="s">
        <v>806</v>
      </c>
      <c r="F138" s="10">
        <v>44098</v>
      </c>
      <c r="G138">
        <v>199200</v>
      </c>
      <c r="H138">
        <v>48</v>
      </c>
      <c r="I138" s="1" t="s">
        <v>12001</v>
      </c>
      <c r="J138" s="11">
        <v>44259.657939814817</v>
      </c>
      <c r="K138" s="1" t="s">
        <v>807</v>
      </c>
      <c r="L138" s="1">
        <f>0.57</f>
        <v>0.56999999999999995</v>
      </c>
      <c r="M138" s="1">
        <f>0.929</f>
        <v>0.92900000000000005</v>
      </c>
      <c r="N138">
        <v>11</v>
      </c>
      <c r="O138" s="1" t="s">
        <v>12514</v>
      </c>
      <c r="P138">
        <f>0</f>
        <v>0</v>
      </c>
      <c r="Q138" s="1">
        <f>0.193</f>
        <v>0.193</v>
      </c>
      <c r="R138" s="1" t="b">
        <f>0=0=967</f>
        <v>0</v>
      </c>
      <c r="S138" s="1">
        <f>0</f>
        <v>0</v>
      </c>
      <c r="T138" s="1">
        <f>0.223</f>
        <v>0.223</v>
      </c>
      <c r="U138" s="1">
        <f>0.373</f>
        <v>0.373</v>
      </c>
      <c r="V138" s="1" t="s">
        <v>12515</v>
      </c>
      <c r="W138">
        <v>4</v>
      </c>
    </row>
    <row r="139" spans="1:23" x14ac:dyDescent="0.25">
      <c r="A139" s="1" t="s">
        <v>12295</v>
      </c>
      <c r="B139" s="1" t="s">
        <v>12296</v>
      </c>
      <c r="C139" s="1" t="s">
        <v>808</v>
      </c>
      <c r="D139" s="1" t="s">
        <v>808</v>
      </c>
      <c r="E139" s="1" t="s">
        <v>809</v>
      </c>
      <c r="F139" s="10">
        <v>43910</v>
      </c>
      <c r="G139">
        <v>131934</v>
      </c>
      <c r="H139">
        <v>42</v>
      </c>
      <c r="I139" s="1" t="s">
        <v>12001</v>
      </c>
      <c r="J139" s="11">
        <v>44259.675729166665</v>
      </c>
      <c r="K139" s="1" t="s">
        <v>810</v>
      </c>
      <c r="L139" s="1">
        <f>0.672</f>
        <v>0.67200000000000004</v>
      </c>
      <c r="M139" s="1">
        <f>0.847</f>
        <v>0.84699999999999998</v>
      </c>
      <c r="N139">
        <v>7</v>
      </c>
      <c r="O139" s="1">
        <v>-7.343</v>
      </c>
      <c r="P139">
        <v>1</v>
      </c>
      <c r="Q139" s="1" t="b">
        <f>0=515</f>
        <v>0</v>
      </c>
      <c r="R139" s="1" t="b">
        <f>0=217</f>
        <v>0</v>
      </c>
      <c r="S139" s="1" t="b">
        <f>0=0=0=0=0=714</f>
        <v>0</v>
      </c>
      <c r="T139" s="1" t="b">
        <f>0=99</f>
        <v>0</v>
      </c>
      <c r="U139" s="1">
        <f>0.456</f>
        <v>0.45600000000000002</v>
      </c>
      <c r="V139" s="1">
        <v>165.14</v>
      </c>
      <c r="W139">
        <v>4</v>
      </c>
    </row>
    <row r="140" spans="1:23" x14ac:dyDescent="0.25">
      <c r="A140" s="1" t="s">
        <v>12297</v>
      </c>
      <c r="B140" s="1" t="s">
        <v>12298</v>
      </c>
      <c r="C140" s="1" t="s">
        <v>811</v>
      </c>
      <c r="D140" s="1" t="s">
        <v>811</v>
      </c>
      <c r="E140" s="1" t="s">
        <v>812</v>
      </c>
      <c r="F140" s="10">
        <v>42930</v>
      </c>
      <c r="G140">
        <v>208286</v>
      </c>
      <c r="H140">
        <v>45</v>
      </c>
      <c r="I140" s="1" t="s">
        <v>12001</v>
      </c>
      <c r="J140" s="11">
        <v>44259.676840277774</v>
      </c>
      <c r="K140" s="1" t="s">
        <v>813</v>
      </c>
      <c r="L140" s="1">
        <f>0.442</f>
        <v>0.442</v>
      </c>
      <c r="M140" s="1">
        <f>0.891</f>
        <v>0.89100000000000001</v>
      </c>
      <c r="N140">
        <v>5</v>
      </c>
      <c r="O140" s="1">
        <v>-4.3390000000000004</v>
      </c>
      <c r="P140">
        <f>0</f>
        <v>0</v>
      </c>
      <c r="Q140" s="1" t="b">
        <f>0=619</f>
        <v>0</v>
      </c>
      <c r="R140" s="1">
        <f>0.271</f>
        <v>0.27100000000000002</v>
      </c>
      <c r="S140" s="1" t="b">
        <f>0=0=0=0=114</f>
        <v>0</v>
      </c>
      <c r="T140" s="1" t="b">
        <f>0.1=5</f>
        <v>0</v>
      </c>
      <c r="U140" s="1">
        <f>0.273</f>
        <v>0.27300000000000002</v>
      </c>
      <c r="V140" s="1">
        <v>154.869</v>
      </c>
      <c r="W140">
        <v>4</v>
      </c>
    </row>
    <row r="141" spans="1:23" x14ac:dyDescent="0.25">
      <c r="A141" s="1" t="s">
        <v>12299</v>
      </c>
      <c r="B141" s="1" t="s">
        <v>12300</v>
      </c>
      <c r="C141" s="1" t="s">
        <v>814</v>
      </c>
      <c r="D141" s="1" t="s">
        <v>814</v>
      </c>
      <c r="E141" s="1" t="s">
        <v>815</v>
      </c>
      <c r="F141" s="10">
        <v>43929</v>
      </c>
      <c r="G141">
        <v>182800</v>
      </c>
      <c r="H141">
        <v>46</v>
      </c>
      <c r="I141" s="1" t="s">
        <v>12001</v>
      </c>
      <c r="J141" s="11">
        <v>44259.687013888892</v>
      </c>
      <c r="K141" s="1" t="s">
        <v>816</v>
      </c>
      <c r="L141" s="1">
        <f>0.528</f>
        <v>0.52800000000000002</v>
      </c>
      <c r="M141" s="1">
        <f>0.93</f>
        <v>0.93</v>
      </c>
      <c r="N141">
        <v>1</v>
      </c>
      <c r="O141" s="1">
        <v>-4.827</v>
      </c>
      <c r="P141">
        <v>1</v>
      </c>
      <c r="Q141" s="1" t="b">
        <f>0=3=5</f>
        <v>0</v>
      </c>
      <c r="R141" s="1" t="b">
        <f>0=0=946</f>
        <v>0</v>
      </c>
      <c r="S141" s="1" t="b">
        <f>0=416</f>
        <v>0</v>
      </c>
      <c r="T141" s="1" t="b">
        <f>0=838</f>
        <v>0</v>
      </c>
      <c r="U141" s="1">
        <f>0.433</f>
        <v>0.433</v>
      </c>
      <c r="V141" s="1" t="s">
        <v>12516</v>
      </c>
      <c r="W141">
        <v>4</v>
      </c>
    </row>
    <row r="142" spans="1:23" x14ac:dyDescent="0.25">
      <c r="A142" s="1" t="s">
        <v>12301</v>
      </c>
      <c r="B142" s="1" t="s">
        <v>12302</v>
      </c>
      <c r="C142" s="1" t="s">
        <v>817</v>
      </c>
      <c r="D142" s="1" t="s">
        <v>817</v>
      </c>
      <c r="E142" s="1" t="s">
        <v>818</v>
      </c>
      <c r="F142" s="10">
        <v>42681</v>
      </c>
      <c r="G142">
        <v>252770</v>
      </c>
      <c r="H142">
        <v>0</v>
      </c>
      <c r="I142" s="1" t="s">
        <v>12001</v>
      </c>
      <c r="J142" s="11">
        <v>44277.5703587963</v>
      </c>
      <c r="K142" s="1" t="s">
        <v>632</v>
      </c>
      <c r="L142" s="1">
        <f>0.419</f>
        <v>0.41899999999999998</v>
      </c>
      <c r="M142" s="1">
        <f>0.878</f>
        <v>0.878</v>
      </c>
      <c r="N142">
        <v>8</v>
      </c>
      <c r="O142" s="1">
        <v>-4.8550000000000004</v>
      </c>
      <c r="P142">
        <f>0</f>
        <v>0</v>
      </c>
      <c r="Q142" s="1" t="b">
        <f>0=362</f>
        <v>0</v>
      </c>
      <c r="R142" s="1" t="b">
        <f>0=194</f>
        <v>0</v>
      </c>
      <c r="S142" s="1">
        <f>0.62</f>
        <v>0.62</v>
      </c>
      <c r="T142" s="1">
        <f>0.343</f>
        <v>0.34300000000000003</v>
      </c>
      <c r="U142" s="1" t="b">
        <f>0=486</f>
        <v>0</v>
      </c>
      <c r="V142" s="1" t="s">
        <v>12517</v>
      </c>
      <c r="W142">
        <v>4</v>
      </c>
    </row>
    <row r="143" spans="1:23" x14ac:dyDescent="0.25">
      <c r="A143" s="1" t="s">
        <v>12303</v>
      </c>
      <c r="B143" s="1" t="s">
        <v>12304</v>
      </c>
      <c r="C143" s="1" t="s">
        <v>819</v>
      </c>
      <c r="D143" s="1" t="s">
        <v>12305</v>
      </c>
      <c r="E143" s="1" t="s">
        <v>820</v>
      </c>
      <c r="F143" s="10">
        <v>43691</v>
      </c>
      <c r="G143">
        <v>206400</v>
      </c>
      <c r="H143">
        <v>0</v>
      </c>
      <c r="I143" s="1" t="s">
        <v>12001</v>
      </c>
      <c r="J143" s="11">
        <v>44285.045636574076</v>
      </c>
      <c r="K143" s="1" t="s">
        <v>821</v>
      </c>
      <c r="L143" s="1">
        <f>0.57</f>
        <v>0.56999999999999995</v>
      </c>
      <c r="M143" s="1">
        <f>0.984</f>
        <v>0.98399999999999999</v>
      </c>
      <c r="N143">
        <v>11</v>
      </c>
      <c r="O143" s="1">
        <v>-1.3340000000000001</v>
      </c>
      <c r="P143">
        <f>0</f>
        <v>0</v>
      </c>
      <c r="Q143" s="1" t="b">
        <f>0=883</f>
        <v>0</v>
      </c>
      <c r="R143" s="1">
        <f>0.179</f>
        <v>0.17899999999999999</v>
      </c>
      <c r="S143" s="1" t="b">
        <f>0=777</f>
        <v>0</v>
      </c>
      <c r="T143" s="1">
        <f>0.143</f>
        <v>0.14299999999999999</v>
      </c>
      <c r="U143" s="1" t="b">
        <f>0.1=8</f>
        <v>0</v>
      </c>
      <c r="V143" s="1">
        <v>99.980999999999995</v>
      </c>
      <c r="W143">
        <v>4</v>
      </c>
    </row>
    <row r="144" spans="1:23" x14ac:dyDescent="0.25">
      <c r="A144" s="1" t="s">
        <v>12306</v>
      </c>
      <c r="B144" s="1" t="s">
        <v>12307</v>
      </c>
      <c r="C144" s="1" t="s">
        <v>12308</v>
      </c>
      <c r="D144" s="1" t="s">
        <v>12309</v>
      </c>
      <c r="E144" s="1" t="s">
        <v>822</v>
      </c>
      <c r="F144" s="10">
        <v>43514</v>
      </c>
      <c r="G144">
        <v>204552</v>
      </c>
      <c r="H144">
        <v>47</v>
      </c>
      <c r="I144" s="1" t="s">
        <v>12001</v>
      </c>
      <c r="J144" s="11">
        <v>44350.599583333336</v>
      </c>
      <c r="K144" s="1" t="s">
        <v>823</v>
      </c>
      <c r="L144" s="1">
        <f>0.738</f>
        <v>0.73799999999999999</v>
      </c>
      <c r="M144" s="1" t="b">
        <f>0.7=7</f>
        <v>0</v>
      </c>
      <c r="N144">
        <v>4</v>
      </c>
      <c r="O144" s="1">
        <v>-4.984</v>
      </c>
      <c r="P144">
        <f>0</f>
        <v>0</v>
      </c>
      <c r="Q144" s="1" t="b">
        <f>0=585</f>
        <v>0</v>
      </c>
      <c r="R144" s="1" t="b">
        <f>0.6=9</f>
        <v>0</v>
      </c>
      <c r="S144" s="1">
        <f>0.38</f>
        <v>0.38</v>
      </c>
      <c r="T144" s="1" t="b">
        <f>0=625</f>
        <v>0</v>
      </c>
      <c r="U144" s="1">
        <f>0.174</f>
        <v>0.17399999999999999</v>
      </c>
      <c r="V144" s="1" t="s">
        <v>12518</v>
      </c>
      <c r="W144">
        <v>4</v>
      </c>
    </row>
    <row r="145" spans="1:23" x14ac:dyDescent="0.25">
      <c r="A145" s="1" t="s">
        <v>12310</v>
      </c>
      <c r="B145" s="1" t="s">
        <v>12311</v>
      </c>
      <c r="C145" s="1" t="s">
        <v>824</v>
      </c>
      <c r="D145" s="1" t="s">
        <v>824</v>
      </c>
      <c r="E145" s="1" t="s">
        <v>825</v>
      </c>
      <c r="F145" s="10">
        <v>43573</v>
      </c>
      <c r="G145">
        <v>226697</v>
      </c>
      <c r="H145">
        <v>34</v>
      </c>
      <c r="I145" s="1" t="s">
        <v>12001</v>
      </c>
      <c r="J145" s="11">
        <v>44438.749432870369</v>
      </c>
      <c r="K145" s="1" t="s">
        <v>826</v>
      </c>
      <c r="L145" s="1">
        <f>0.581</f>
        <v>0.58099999999999996</v>
      </c>
      <c r="M145" s="1">
        <f>0.974</f>
        <v>0.97399999999999998</v>
      </c>
      <c r="N145">
        <v>6</v>
      </c>
      <c r="O145" s="1">
        <v>-3.4390000000000001</v>
      </c>
      <c r="P145">
        <v>1</v>
      </c>
      <c r="Q145" s="1">
        <f>0.139</f>
        <v>0.13900000000000001</v>
      </c>
      <c r="R145" s="1" t="b">
        <f>0=412</f>
        <v>0</v>
      </c>
      <c r="S145" s="1" t="b">
        <f>0=0=0=268</f>
        <v>0</v>
      </c>
      <c r="T145" s="1">
        <f>0.332</f>
        <v>0.33200000000000002</v>
      </c>
      <c r="U145" s="1">
        <f>0.319</f>
        <v>0.31900000000000001</v>
      </c>
      <c r="V145" s="1">
        <v>154.86699999999999</v>
      </c>
      <c r="W145">
        <v>4</v>
      </c>
    </row>
    <row r="146" spans="1:23" x14ac:dyDescent="0.25">
      <c r="A146" s="1" t="s">
        <v>12312</v>
      </c>
      <c r="B146" s="1" t="s">
        <v>12313</v>
      </c>
      <c r="C146" s="1" t="s">
        <v>827</v>
      </c>
      <c r="D146" s="1" t="s">
        <v>827</v>
      </c>
      <c r="E146" s="1" t="s">
        <v>828</v>
      </c>
      <c r="F146" s="10">
        <v>44001</v>
      </c>
      <c r="G146">
        <v>160112</v>
      </c>
      <c r="H146">
        <v>1</v>
      </c>
      <c r="I146" s="1" t="s">
        <v>12001</v>
      </c>
      <c r="J146" s="11">
        <v>44441.034548611111</v>
      </c>
      <c r="K146" s="1" t="s">
        <v>829</v>
      </c>
      <c r="L146" s="1">
        <f>0.789</f>
        <v>0.78900000000000003</v>
      </c>
      <c r="M146" s="1">
        <f>0.886</f>
        <v>0.88600000000000001</v>
      </c>
      <c r="N146">
        <v>1</v>
      </c>
      <c r="O146" s="1">
        <v>-3.6</v>
      </c>
      <c r="P146">
        <v>1</v>
      </c>
      <c r="Q146" s="1">
        <f>0.138</f>
        <v>0.13800000000000001</v>
      </c>
      <c r="R146" s="1" t="b">
        <f>0=0=117</f>
        <v>0</v>
      </c>
      <c r="S146" s="1" t="b">
        <f>0=0=0=8=5</f>
        <v>0</v>
      </c>
      <c r="T146" s="1" t="b">
        <f>0=797</f>
        <v>0</v>
      </c>
      <c r="U146" s="1" t="b">
        <f>0=393</f>
        <v>0</v>
      </c>
      <c r="V146" s="1">
        <v>149.96600000000001</v>
      </c>
      <c r="W146">
        <v>4</v>
      </c>
    </row>
    <row r="147" spans="1:23" x14ac:dyDescent="0.25">
      <c r="A147" s="1" t="s">
        <v>12314</v>
      </c>
      <c r="B147" s="1" t="s">
        <v>12315</v>
      </c>
      <c r="C147" s="1" t="s">
        <v>830</v>
      </c>
      <c r="D147" s="1" t="s">
        <v>12094</v>
      </c>
      <c r="E147" s="1" t="s">
        <v>831</v>
      </c>
      <c r="F147" s="10">
        <v>42996</v>
      </c>
      <c r="G147">
        <v>286971</v>
      </c>
      <c r="H147">
        <v>32</v>
      </c>
      <c r="I147" s="1" t="s">
        <v>12001</v>
      </c>
      <c r="J147" s="11">
        <v>44442.153356481482</v>
      </c>
      <c r="K147" s="1" t="s">
        <v>832</v>
      </c>
      <c r="L147" s="1" t="b">
        <f>0.6=8</f>
        <v>0</v>
      </c>
      <c r="M147" s="1">
        <f>0.995</f>
        <v>0.995</v>
      </c>
      <c r="N147">
        <v>11</v>
      </c>
      <c r="O147" s="1">
        <v>-3.88</v>
      </c>
      <c r="P147">
        <v>1</v>
      </c>
      <c r="Q147" s="1">
        <f>0.218</f>
        <v>0.218</v>
      </c>
      <c r="R147" s="1" t="b">
        <f>0=0=0=115</f>
        <v>0</v>
      </c>
      <c r="S147" s="1">
        <f>0.911</f>
        <v>0.91100000000000003</v>
      </c>
      <c r="T147" s="1">
        <f>0.121</f>
        <v>0.121</v>
      </c>
      <c r="U147" s="1" t="b">
        <f>0=367</f>
        <v>0</v>
      </c>
      <c r="V147" s="1" t="s">
        <v>12519</v>
      </c>
      <c r="W147">
        <v>4</v>
      </c>
    </row>
    <row r="148" spans="1:23" x14ac:dyDescent="0.25">
      <c r="A148" s="1" t="s">
        <v>12316</v>
      </c>
      <c r="B148" s="1" t="s">
        <v>11995</v>
      </c>
      <c r="C148" s="1" t="s">
        <v>833</v>
      </c>
      <c r="D148" s="1" t="s">
        <v>833</v>
      </c>
      <c r="E148" s="1" t="s">
        <v>536</v>
      </c>
      <c r="F148" s="10">
        <v>44331</v>
      </c>
      <c r="G148">
        <v>242400</v>
      </c>
      <c r="H148">
        <v>51</v>
      </c>
      <c r="I148" s="1" t="s">
        <v>12001</v>
      </c>
      <c r="J148" s="11">
        <v>44445.572164351855</v>
      </c>
      <c r="K148" s="1" t="s">
        <v>537</v>
      </c>
      <c r="L148" s="1">
        <f>0.479</f>
        <v>0.47899999999999998</v>
      </c>
      <c r="M148" s="1">
        <f>0.998</f>
        <v>0.998</v>
      </c>
      <c r="N148">
        <v>1</v>
      </c>
      <c r="O148" s="1">
        <v>-1.3779999999999999</v>
      </c>
      <c r="P148">
        <v>1</v>
      </c>
      <c r="Q148" s="1">
        <f>0.252</f>
        <v>0.252</v>
      </c>
      <c r="R148" s="1" t="b">
        <f>0=0=19</f>
        <v>0</v>
      </c>
      <c r="S148" s="1">
        <f>0.192</f>
        <v>0.192</v>
      </c>
      <c r="T148" s="1" t="b">
        <f>0.3=1</f>
        <v>0</v>
      </c>
      <c r="U148" s="1" t="b">
        <f>0=584</f>
        <v>0</v>
      </c>
      <c r="V148" s="1">
        <v>99.98</v>
      </c>
      <c r="W148">
        <v>4</v>
      </c>
    </row>
    <row r="149" spans="1:23" x14ac:dyDescent="0.25">
      <c r="A149" s="1" t="s">
        <v>12317</v>
      </c>
      <c r="B149" s="1" t="s">
        <v>12049</v>
      </c>
      <c r="C149" s="1" t="s">
        <v>834</v>
      </c>
      <c r="D149" s="1" t="s">
        <v>834</v>
      </c>
      <c r="E149" s="1" t="s">
        <v>583</v>
      </c>
      <c r="F149" s="10">
        <v>44338</v>
      </c>
      <c r="G149">
        <v>185550</v>
      </c>
      <c r="H149">
        <v>55</v>
      </c>
      <c r="I149" s="1" t="s">
        <v>12001</v>
      </c>
      <c r="J149" s="11">
        <v>44445.577916666669</v>
      </c>
      <c r="K149" s="1" t="s">
        <v>537</v>
      </c>
      <c r="L149" s="1">
        <f>0.452</f>
        <v>0.45200000000000001</v>
      </c>
      <c r="M149" s="1">
        <f>0.877</f>
        <v>0.877</v>
      </c>
      <c r="N149">
        <v>6</v>
      </c>
      <c r="O149" s="1">
        <v>-1.4119999999999999</v>
      </c>
      <c r="P149">
        <f>0</f>
        <v>0</v>
      </c>
      <c r="Q149" s="1" t="b">
        <f>0=437</f>
        <v>0</v>
      </c>
      <c r="R149" s="1" t="b">
        <f>0=32</f>
        <v>0</v>
      </c>
      <c r="S149" s="1">
        <f>0.294</f>
        <v>0.29399999999999998</v>
      </c>
      <c r="T149" s="1">
        <f>0.217</f>
        <v>0.217</v>
      </c>
      <c r="U149" s="1" t="b">
        <f>0=738</f>
        <v>0</v>
      </c>
      <c r="V149" s="1" t="s">
        <v>12467</v>
      </c>
      <c r="W149">
        <v>4</v>
      </c>
    </row>
    <row r="150" spans="1:23" x14ac:dyDescent="0.25">
      <c r="A150" s="1" t="s">
        <v>12318</v>
      </c>
      <c r="B150" s="1" t="s">
        <v>12319</v>
      </c>
      <c r="C150" s="1" t="s">
        <v>835</v>
      </c>
      <c r="D150" s="1" t="s">
        <v>835</v>
      </c>
      <c r="E150" s="1" t="s">
        <v>836</v>
      </c>
      <c r="F150" s="10">
        <v>44428</v>
      </c>
      <c r="G150">
        <v>187799</v>
      </c>
      <c r="H150">
        <v>32</v>
      </c>
      <c r="I150" s="1" t="s">
        <v>12001</v>
      </c>
      <c r="J150" s="11">
        <v>44446.037685185183</v>
      </c>
      <c r="K150" s="1" t="s">
        <v>837</v>
      </c>
      <c r="L150" s="1">
        <f>0.577</f>
        <v>0.57699999999999996</v>
      </c>
      <c r="M150" s="1">
        <f>0.989</f>
        <v>0.98899999999999999</v>
      </c>
      <c r="N150">
        <v>2</v>
      </c>
      <c r="O150" s="1">
        <v>-1.8160000000000001</v>
      </c>
      <c r="P150">
        <v>1</v>
      </c>
      <c r="Q150" s="1">
        <f>0.15</f>
        <v>0.15</v>
      </c>
      <c r="R150" s="1" t="b">
        <f>0=178</f>
        <v>0</v>
      </c>
      <c r="S150" s="1" t="b">
        <f>0=0=73</f>
        <v>0</v>
      </c>
      <c r="T150" s="1" t="b">
        <f>0.3=2</f>
        <v>0</v>
      </c>
      <c r="U150" s="1">
        <f>0.364</f>
        <v>0.36399999999999999</v>
      </c>
      <c r="V150" s="1">
        <v>99.965000000000003</v>
      </c>
      <c r="W150">
        <v>4</v>
      </c>
    </row>
    <row r="151" spans="1:23" x14ac:dyDescent="0.25">
      <c r="A151" s="1" t="s">
        <v>12320</v>
      </c>
      <c r="B151" s="1" t="s">
        <v>12321</v>
      </c>
      <c r="C151" s="1" t="s">
        <v>838</v>
      </c>
      <c r="D151" s="1" t="s">
        <v>838</v>
      </c>
      <c r="E151" s="1" t="s">
        <v>839</v>
      </c>
      <c r="F151" s="10">
        <v>43462</v>
      </c>
      <c r="G151">
        <v>182479</v>
      </c>
      <c r="H151">
        <v>62</v>
      </c>
      <c r="I151" s="1" t="s">
        <v>12001</v>
      </c>
      <c r="J151" s="11">
        <v>44508.94908564815</v>
      </c>
      <c r="K151" s="1" t="s">
        <v>840</v>
      </c>
      <c r="L151" s="1">
        <f>0.532</f>
        <v>0.53200000000000003</v>
      </c>
      <c r="M151" s="1">
        <f>0.966</f>
        <v>0.96599999999999997</v>
      </c>
      <c r="N151">
        <v>2</v>
      </c>
      <c r="O151" s="1">
        <v>-4.5170000000000003</v>
      </c>
      <c r="P151">
        <v>1</v>
      </c>
      <c r="Q151" s="1" t="b">
        <f>0=727</f>
        <v>0</v>
      </c>
      <c r="R151" s="1" t="b">
        <f>0=0=298</f>
        <v>0</v>
      </c>
      <c r="S151" s="1">
        <f>0.565</f>
        <v>0.56499999999999995</v>
      </c>
      <c r="T151" s="1">
        <f>0.473</f>
        <v>0.47299999999999998</v>
      </c>
      <c r="U151" s="1">
        <f>0.279</f>
        <v>0.27900000000000003</v>
      </c>
      <c r="V151" s="1" t="s">
        <v>12483</v>
      </c>
      <c r="W151">
        <v>4</v>
      </c>
    </row>
    <row r="152" spans="1:23" x14ac:dyDescent="0.25">
      <c r="A152" s="1" t="s">
        <v>12322</v>
      </c>
      <c r="B152" s="1" t="s">
        <v>12323</v>
      </c>
      <c r="C152" s="1" t="s">
        <v>841</v>
      </c>
      <c r="D152" s="1" t="s">
        <v>841</v>
      </c>
      <c r="E152" s="1" t="s">
        <v>842</v>
      </c>
      <c r="F152" s="10">
        <v>43600</v>
      </c>
      <c r="G152">
        <v>183945</v>
      </c>
      <c r="H152">
        <v>58</v>
      </c>
      <c r="I152" s="1" t="s">
        <v>12001</v>
      </c>
      <c r="J152" s="11">
        <v>44536.828182870369</v>
      </c>
      <c r="K152" s="1" t="s">
        <v>843</v>
      </c>
      <c r="L152" s="1">
        <f>0.366</f>
        <v>0.36599999999999999</v>
      </c>
      <c r="M152" s="1">
        <f>0.871</f>
        <v>0.871</v>
      </c>
      <c r="N152">
        <v>9</v>
      </c>
      <c r="O152" s="1">
        <v>-6.2430000000000003</v>
      </c>
      <c r="P152">
        <f>0</f>
        <v>0</v>
      </c>
      <c r="Q152" s="1" t="b">
        <f>0=823</f>
        <v>0</v>
      </c>
      <c r="R152" s="1" t="b">
        <f>0=933</f>
        <v>0</v>
      </c>
      <c r="S152" s="1">
        <f>0.579</f>
        <v>0.57899999999999996</v>
      </c>
      <c r="T152" s="1" t="b">
        <f>0=693</f>
        <v>0</v>
      </c>
      <c r="U152" s="1">
        <f>0.19</f>
        <v>0.19</v>
      </c>
      <c r="V152" s="1">
        <v>149.745</v>
      </c>
      <c r="W152">
        <v>4</v>
      </c>
    </row>
    <row r="153" spans="1:23" x14ac:dyDescent="0.25">
      <c r="A153" s="1" t="s">
        <v>12324</v>
      </c>
      <c r="B153" s="1" t="s">
        <v>12325</v>
      </c>
      <c r="C153" s="1" t="s">
        <v>844</v>
      </c>
      <c r="D153" s="1" t="s">
        <v>12326</v>
      </c>
      <c r="E153" s="1" t="s">
        <v>845</v>
      </c>
      <c r="F153" s="10">
        <v>43959</v>
      </c>
      <c r="G153">
        <v>152228</v>
      </c>
      <c r="H153">
        <v>45</v>
      </c>
      <c r="I153" s="1" t="s">
        <v>12001</v>
      </c>
      <c r="J153" s="11">
        <v>44615.754143518519</v>
      </c>
      <c r="K153" s="1" t="s">
        <v>846</v>
      </c>
      <c r="L153" s="1" t="s">
        <v>50</v>
      </c>
      <c r="M153" s="1" t="s">
        <v>50</v>
      </c>
      <c r="O153" s="1" t="s">
        <v>50</v>
      </c>
      <c r="Q153" s="1" t="s">
        <v>50</v>
      </c>
      <c r="R153" s="1" t="s">
        <v>50</v>
      </c>
      <c r="S153" s="1" t="s">
        <v>50</v>
      </c>
      <c r="T153" s="1" t="s">
        <v>50</v>
      </c>
      <c r="U153" s="1" t="s">
        <v>50</v>
      </c>
      <c r="V153" s="1" t="s">
        <v>50</v>
      </c>
    </row>
    <row r="154" spans="1:23" x14ac:dyDescent="0.25">
      <c r="A154" s="1" t="s">
        <v>12327</v>
      </c>
      <c r="B154" s="1" t="s">
        <v>12328</v>
      </c>
      <c r="C154" s="1" t="s">
        <v>847</v>
      </c>
      <c r="D154" s="1" t="s">
        <v>847</v>
      </c>
      <c r="E154" s="1" t="s">
        <v>848</v>
      </c>
      <c r="F154" s="10">
        <v>44428</v>
      </c>
      <c r="G154">
        <v>146526</v>
      </c>
      <c r="H154">
        <v>56</v>
      </c>
      <c r="I154" s="1" t="s">
        <v>12001</v>
      </c>
      <c r="J154" s="11">
        <v>44615.754803240743</v>
      </c>
      <c r="K154" s="1" t="s">
        <v>849</v>
      </c>
      <c r="L154" s="1" t="b">
        <f>0.4=9</f>
        <v>0</v>
      </c>
      <c r="M154" s="1">
        <f>0.991</f>
        <v>0.99099999999999999</v>
      </c>
      <c r="N154">
        <v>8</v>
      </c>
      <c r="O154" s="1">
        <v>-1.6719999999999999</v>
      </c>
      <c r="P154">
        <f>0</f>
        <v>0</v>
      </c>
      <c r="Q154" s="1">
        <f>0.571</f>
        <v>0.57099999999999995</v>
      </c>
      <c r="R154" s="1" t="b">
        <f>0=24</f>
        <v>0</v>
      </c>
      <c r="S154" s="1" t="b">
        <f>0=0=0=746</f>
        <v>0</v>
      </c>
      <c r="T154" s="1">
        <f>0.549</f>
        <v>0.54900000000000004</v>
      </c>
      <c r="U154" s="1" t="b">
        <f>0=518</f>
        <v>0</v>
      </c>
      <c r="V154" s="1">
        <v>189.92</v>
      </c>
      <c r="W154">
        <v>4</v>
      </c>
    </row>
    <row r="155" spans="1:23" x14ac:dyDescent="0.25">
      <c r="A155" s="1" t="s">
        <v>12329</v>
      </c>
      <c r="B155" s="1" t="s">
        <v>12330</v>
      </c>
      <c r="C155" s="1" t="s">
        <v>850</v>
      </c>
      <c r="D155" s="1" t="s">
        <v>850</v>
      </c>
      <c r="E155" s="1" t="s">
        <v>851</v>
      </c>
      <c r="F155" s="10">
        <v>44176</v>
      </c>
      <c r="G155">
        <v>235919</v>
      </c>
      <c r="H155">
        <v>56</v>
      </c>
      <c r="I155" s="1" t="s">
        <v>12001</v>
      </c>
      <c r="J155" s="11">
        <v>44615.754803240743</v>
      </c>
      <c r="K155" s="1" t="s">
        <v>804</v>
      </c>
      <c r="L155" s="1">
        <f>0.515</f>
        <v>0.51500000000000001</v>
      </c>
      <c r="M155" s="1">
        <f>0.851</f>
        <v>0.85099999999999998</v>
      </c>
      <c r="N155">
        <v>8</v>
      </c>
      <c r="O155" s="1">
        <v>-3.3530000000000002</v>
      </c>
      <c r="P155">
        <f>0</f>
        <v>0</v>
      </c>
      <c r="Q155" s="1" t="b">
        <f>0=62</f>
        <v>0</v>
      </c>
      <c r="R155" s="1" t="b">
        <f>0=6=8</f>
        <v>0</v>
      </c>
      <c r="S155" s="1">
        <f>0</f>
        <v>0</v>
      </c>
      <c r="T155" s="1" t="b">
        <f>0.2=9</f>
        <v>0</v>
      </c>
      <c r="U155" s="1">
        <f>0.274</f>
        <v>0.27400000000000002</v>
      </c>
      <c r="V155" s="1" t="s">
        <v>12520</v>
      </c>
      <c r="W155">
        <v>4</v>
      </c>
    </row>
    <row r="156" spans="1:23" x14ac:dyDescent="0.25">
      <c r="A156" s="1" t="s">
        <v>12331</v>
      </c>
      <c r="B156" s="1" t="s">
        <v>11995</v>
      </c>
      <c r="C156" s="1" t="s">
        <v>852</v>
      </c>
      <c r="D156" s="1" t="s">
        <v>852</v>
      </c>
      <c r="E156" s="1" t="s">
        <v>536</v>
      </c>
      <c r="F156" s="10">
        <v>44345</v>
      </c>
      <c r="G156">
        <v>212400</v>
      </c>
      <c r="H156">
        <v>39</v>
      </c>
      <c r="I156" s="1" t="s">
        <v>12001</v>
      </c>
      <c r="J156" s="11">
        <v>44615.754803240743</v>
      </c>
      <c r="K156" s="1" t="s">
        <v>537</v>
      </c>
      <c r="L156" s="1">
        <f>0.425</f>
        <v>0.42499999999999999</v>
      </c>
      <c r="M156" s="1">
        <f>0.976</f>
        <v>0.97599999999999998</v>
      </c>
      <c r="N156">
        <v>7</v>
      </c>
      <c r="O156" s="1" t="s">
        <v>12521</v>
      </c>
      <c r="P156">
        <f>0</f>
        <v>0</v>
      </c>
      <c r="Q156" s="1">
        <f>0.181</f>
        <v>0.18099999999999999</v>
      </c>
      <c r="R156" s="1" t="b">
        <f>0=777</f>
        <v>0</v>
      </c>
      <c r="S156" s="1">
        <f>0.566</f>
        <v>0.56599999999999995</v>
      </c>
      <c r="T156" s="1">
        <f>0.395</f>
        <v>0.39500000000000002</v>
      </c>
      <c r="U156" s="1" t="b">
        <f>0=497</f>
        <v>0</v>
      </c>
      <c r="V156" s="1">
        <v>99.965999999999994</v>
      </c>
      <c r="W156">
        <v>4</v>
      </c>
    </row>
    <row r="157" spans="1:23" x14ac:dyDescent="0.25">
      <c r="A157" s="1" t="s">
        <v>12332</v>
      </c>
      <c r="B157" s="1" t="s">
        <v>12333</v>
      </c>
      <c r="C157" s="1" t="s">
        <v>853</v>
      </c>
      <c r="D157" s="1" t="s">
        <v>853</v>
      </c>
      <c r="E157" s="1" t="s">
        <v>854</v>
      </c>
      <c r="F157" s="10">
        <v>44119</v>
      </c>
      <c r="G157">
        <v>176000</v>
      </c>
      <c r="H157">
        <v>43</v>
      </c>
      <c r="I157" s="1" t="s">
        <v>12001</v>
      </c>
      <c r="J157" s="11">
        <v>44615.754803240743</v>
      </c>
      <c r="K157" s="1" t="s">
        <v>855</v>
      </c>
      <c r="L157" s="1">
        <f>0.644</f>
        <v>0.64400000000000002</v>
      </c>
      <c r="M157" s="1">
        <f>0.981</f>
        <v>0.98099999999999998</v>
      </c>
      <c r="N157">
        <v>9</v>
      </c>
      <c r="O157" s="1" t="s">
        <v>12522</v>
      </c>
      <c r="P157">
        <v>1</v>
      </c>
      <c r="Q157" s="1">
        <f>0.223</f>
        <v>0.223</v>
      </c>
      <c r="R157" s="1" t="b">
        <f>0=6</f>
        <v>0</v>
      </c>
      <c r="S157" s="1">
        <f>0.598</f>
        <v>0.59799999999999998</v>
      </c>
      <c r="T157" s="1">
        <f>0.311</f>
        <v>0.311</v>
      </c>
      <c r="U157" s="1">
        <f>0.266</f>
        <v>0.26600000000000001</v>
      </c>
      <c r="V157" s="1" t="s">
        <v>12523</v>
      </c>
      <c r="W157">
        <v>4</v>
      </c>
    </row>
    <row r="158" spans="1:23" x14ac:dyDescent="0.25">
      <c r="A158" s="1" t="s">
        <v>12334</v>
      </c>
      <c r="B158" s="1" t="s">
        <v>12335</v>
      </c>
      <c r="C158" s="1" t="s">
        <v>856</v>
      </c>
      <c r="D158" s="1" t="s">
        <v>856</v>
      </c>
      <c r="E158" s="1" t="s">
        <v>857</v>
      </c>
      <c r="F158" s="10">
        <v>44246</v>
      </c>
      <c r="G158">
        <v>252236</v>
      </c>
      <c r="H158">
        <v>58</v>
      </c>
      <c r="I158" s="1" t="s">
        <v>12001</v>
      </c>
      <c r="J158" s="11">
        <v>44615.754803240743</v>
      </c>
      <c r="K158" s="1" t="s">
        <v>858</v>
      </c>
      <c r="L158" s="1">
        <f>0.487</f>
        <v>0.48699999999999999</v>
      </c>
      <c r="M158" s="1">
        <f>0.939</f>
        <v>0.93899999999999995</v>
      </c>
      <c r="N158">
        <v>8</v>
      </c>
      <c r="O158" s="1">
        <v>-3.1819999999999999</v>
      </c>
      <c r="P158">
        <f>0</f>
        <v>0</v>
      </c>
      <c r="Q158" s="1">
        <f>0.268</f>
        <v>0.26800000000000002</v>
      </c>
      <c r="R158" s="1" t="b">
        <f>0=261</f>
        <v>0</v>
      </c>
      <c r="S158" s="1">
        <f>0</f>
        <v>0</v>
      </c>
      <c r="T158" s="1" t="b">
        <f>0=699</f>
        <v>0</v>
      </c>
      <c r="U158" s="1">
        <f>0.156</f>
        <v>0.156</v>
      </c>
      <c r="V158" s="1" t="s">
        <v>12524</v>
      </c>
      <c r="W158">
        <v>4</v>
      </c>
    </row>
    <row r="159" spans="1:23" x14ac:dyDescent="0.25">
      <c r="A159" s="1" t="s">
        <v>12336</v>
      </c>
      <c r="B159" s="1" t="s">
        <v>12337</v>
      </c>
      <c r="C159" s="1" t="s">
        <v>12338</v>
      </c>
      <c r="D159" s="1" t="s">
        <v>12339</v>
      </c>
      <c r="E159" s="1" t="s">
        <v>859</v>
      </c>
      <c r="F159" s="10">
        <v>44589</v>
      </c>
      <c r="G159">
        <v>202857</v>
      </c>
      <c r="H159">
        <v>52</v>
      </c>
      <c r="I159" s="1" t="s">
        <v>12001</v>
      </c>
      <c r="J159" s="11">
        <v>44615.754803240743</v>
      </c>
      <c r="K159" s="1" t="s">
        <v>515</v>
      </c>
      <c r="L159" s="1" t="b">
        <f>0.5=6</f>
        <v>0</v>
      </c>
      <c r="M159" s="1">
        <f>0.979</f>
        <v>0.97899999999999998</v>
      </c>
      <c r="N159">
        <v>11</v>
      </c>
      <c r="O159" s="1">
        <v>-2.9119999999999999</v>
      </c>
      <c r="P159">
        <f>0</f>
        <v>0</v>
      </c>
      <c r="Q159" s="1">
        <f>0.11</f>
        <v>0.11</v>
      </c>
      <c r="R159" s="1" t="b">
        <f>0=194</f>
        <v>0</v>
      </c>
      <c r="S159" s="1" t="b">
        <f>0=0=0=2=2</f>
        <v>0</v>
      </c>
      <c r="T159" s="1">
        <f>0.184</f>
        <v>0.184</v>
      </c>
      <c r="U159" s="1">
        <f>0.3</f>
        <v>0.3</v>
      </c>
      <c r="V159" s="1" t="s">
        <v>12525</v>
      </c>
      <c r="W159">
        <v>4</v>
      </c>
    </row>
    <row r="160" spans="1:23" x14ac:dyDescent="0.25">
      <c r="A160" s="1" t="s">
        <v>12340</v>
      </c>
      <c r="B160" s="1" t="s">
        <v>12341</v>
      </c>
      <c r="C160" s="1" t="s">
        <v>860</v>
      </c>
      <c r="D160" s="1" t="s">
        <v>860</v>
      </c>
      <c r="E160" s="1" t="s">
        <v>861</v>
      </c>
      <c r="F160" s="10">
        <v>43818</v>
      </c>
      <c r="G160">
        <v>309000</v>
      </c>
      <c r="H160">
        <v>48</v>
      </c>
      <c r="I160" s="1" t="s">
        <v>12001</v>
      </c>
      <c r="J160" s="11">
        <v>44615.754803240743</v>
      </c>
      <c r="K160" s="1" t="s">
        <v>50</v>
      </c>
      <c r="L160" s="1">
        <f>0.627</f>
        <v>0.627</v>
      </c>
      <c r="M160" s="1">
        <f>0.998</f>
        <v>0.998</v>
      </c>
      <c r="N160">
        <v>1</v>
      </c>
      <c r="O160" s="1" t="s">
        <v>12526</v>
      </c>
      <c r="P160">
        <v>1</v>
      </c>
      <c r="Q160" s="1" t="b">
        <f>0=922</f>
        <v>0</v>
      </c>
      <c r="R160" s="1" t="b">
        <f>0=0=996</f>
        <v>0</v>
      </c>
      <c r="S160" s="1">
        <f>0.8</f>
        <v>0.8</v>
      </c>
      <c r="T160" s="1" t="b">
        <f>0=578</f>
        <v>0</v>
      </c>
      <c r="U160" s="1">
        <f>0.121</f>
        <v>0.121</v>
      </c>
      <c r="V160" s="1">
        <v>145.983</v>
      </c>
      <c r="W160">
        <v>4</v>
      </c>
    </row>
    <row r="161" spans="1:23" x14ac:dyDescent="0.25">
      <c r="A161" s="1" t="s">
        <v>12342</v>
      </c>
      <c r="B161" s="1" t="s">
        <v>12343</v>
      </c>
      <c r="C161" s="1" t="s">
        <v>862</v>
      </c>
      <c r="D161" s="1" t="s">
        <v>862</v>
      </c>
      <c r="E161" s="1" t="s">
        <v>863</v>
      </c>
      <c r="F161" s="10">
        <v>44462</v>
      </c>
      <c r="G161">
        <v>241894</v>
      </c>
      <c r="H161">
        <v>51</v>
      </c>
      <c r="I161" s="1" t="s">
        <v>12001</v>
      </c>
      <c r="J161" s="11">
        <v>44615.754803240743</v>
      </c>
      <c r="K161" s="1" t="s">
        <v>588</v>
      </c>
      <c r="L161" s="1">
        <f>0.573</f>
        <v>0.57299999999999995</v>
      </c>
      <c r="M161" s="1">
        <f>0.994</f>
        <v>0.99399999999999999</v>
      </c>
      <c r="N161">
        <v>6</v>
      </c>
      <c r="O161" s="1">
        <v>-1.1850000000000001</v>
      </c>
      <c r="P161">
        <f>0</f>
        <v>0</v>
      </c>
      <c r="Q161" s="1">
        <f>0.38</f>
        <v>0.38</v>
      </c>
      <c r="R161" s="1" t="b">
        <f>0=186</f>
        <v>0</v>
      </c>
      <c r="S161" s="1">
        <f>0</f>
        <v>0</v>
      </c>
      <c r="T161" s="1">
        <f>0.132</f>
        <v>0.13200000000000001</v>
      </c>
      <c r="U161" s="1" t="b">
        <f>0=641</f>
        <v>0</v>
      </c>
      <c r="V161" s="1" t="s">
        <v>12527</v>
      </c>
      <c r="W161">
        <v>4</v>
      </c>
    </row>
    <row r="162" spans="1:23" x14ac:dyDescent="0.25">
      <c r="A162" s="1" t="s">
        <v>12344</v>
      </c>
      <c r="B162" s="1" t="s">
        <v>12345</v>
      </c>
      <c r="C162" s="1" t="s">
        <v>864</v>
      </c>
      <c r="D162" s="1" t="s">
        <v>864</v>
      </c>
      <c r="E162" s="1" t="s">
        <v>865</v>
      </c>
      <c r="F162" s="10">
        <v>44512</v>
      </c>
      <c r="G162">
        <v>237677</v>
      </c>
      <c r="H162">
        <v>54</v>
      </c>
      <c r="I162" s="1" t="s">
        <v>12001</v>
      </c>
      <c r="J162" s="11">
        <v>44615.754803240743</v>
      </c>
      <c r="K162" s="1" t="s">
        <v>761</v>
      </c>
      <c r="L162" s="1">
        <f>0.565</f>
        <v>0.56499999999999995</v>
      </c>
      <c r="M162" s="1">
        <f>0.99</f>
        <v>0.99</v>
      </c>
      <c r="N162">
        <v>2</v>
      </c>
      <c r="O162" s="1">
        <v>-1.9419999999999999</v>
      </c>
      <c r="P162">
        <v>1</v>
      </c>
      <c r="Q162" s="1">
        <f>0.525</f>
        <v>0.52500000000000002</v>
      </c>
      <c r="R162" s="1" t="b">
        <f>0=277</f>
        <v>0</v>
      </c>
      <c r="S162" s="1">
        <f>0</f>
        <v>0</v>
      </c>
      <c r="T162" s="1">
        <f>0.285</f>
        <v>0.28499999999999998</v>
      </c>
      <c r="U162" s="1" t="b">
        <f>0=993</f>
        <v>0</v>
      </c>
      <c r="V162" s="1">
        <v>154.92699999999999</v>
      </c>
      <c r="W162">
        <v>4</v>
      </c>
    </row>
    <row r="163" spans="1:23" x14ac:dyDescent="0.25">
      <c r="A163" s="1" t="s">
        <v>12346</v>
      </c>
      <c r="B163" s="1" t="s">
        <v>12347</v>
      </c>
      <c r="C163" s="1" t="s">
        <v>866</v>
      </c>
      <c r="D163" s="1" t="s">
        <v>12348</v>
      </c>
      <c r="E163" s="1" t="s">
        <v>867</v>
      </c>
      <c r="F163" s="10">
        <v>44025</v>
      </c>
      <c r="G163">
        <v>218730</v>
      </c>
      <c r="H163">
        <v>52</v>
      </c>
      <c r="I163" s="1" t="s">
        <v>12001</v>
      </c>
      <c r="J163" s="11">
        <v>44615.754803240743</v>
      </c>
      <c r="K163" s="1" t="s">
        <v>868</v>
      </c>
      <c r="L163" s="1">
        <f>0.661</f>
        <v>0.66100000000000003</v>
      </c>
      <c r="M163" s="1">
        <f>0.972</f>
        <v>0.97199999999999998</v>
      </c>
      <c r="N163">
        <v>11</v>
      </c>
      <c r="O163" s="1" t="s">
        <v>12528</v>
      </c>
      <c r="P163">
        <f>0</f>
        <v>0</v>
      </c>
      <c r="Q163" s="1">
        <f>0.39</f>
        <v>0.39</v>
      </c>
      <c r="R163" s="1" t="b">
        <f>0=761</f>
        <v>0</v>
      </c>
      <c r="S163" s="1" t="b">
        <f>0=0=594</f>
        <v>0</v>
      </c>
      <c r="T163" s="1">
        <f>0.497</f>
        <v>0.497</v>
      </c>
      <c r="U163" s="1" t="b">
        <f>0.3=2</f>
        <v>0</v>
      </c>
      <c r="V163" s="1">
        <v>159.96299999999999</v>
      </c>
      <c r="W163">
        <v>4</v>
      </c>
    </row>
    <row r="164" spans="1:23" x14ac:dyDescent="0.25">
      <c r="A164" s="1" t="s">
        <v>12349</v>
      </c>
      <c r="B164" s="1" t="s">
        <v>12350</v>
      </c>
      <c r="C164" s="1" t="s">
        <v>869</v>
      </c>
      <c r="D164" s="1" t="s">
        <v>12351</v>
      </c>
      <c r="E164" s="1" t="s">
        <v>870</v>
      </c>
      <c r="F164" s="10">
        <v>41604</v>
      </c>
      <c r="G164">
        <v>264000</v>
      </c>
      <c r="H164">
        <v>4</v>
      </c>
      <c r="I164" s="1" t="s">
        <v>12001</v>
      </c>
      <c r="J164" s="11">
        <v>44615.754803240743</v>
      </c>
      <c r="K164" s="1" t="s">
        <v>537</v>
      </c>
      <c r="L164" s="1">
        <f>0.615</f>
        <v>0.61499999999999999</v>
      </c>
      <c r="M164" s="1">
        <f>0.997</f>
        <v>0.997</v>
      </c>
      <c r="N164">
        <v>11</v>
      </c>
      <c r="O164" s="1">
        <v>-4.5620000000000003</v>
      </c>
      <c r="P164">
        <f>0</f>
        <v>0</v>
      </c>
      <c r="Q164" s="1">
        <f>0.137</f>
        <v>0.13700000000000001</v>
      </c>
      <c r="R164" s="1" t="b">
        <f>0=859</f>
        <v>0</v>
      </c>
      <c r="S164" s="1">
        <f>0.913</f>
        <v>0.91300000000000003</v>
      </c>
      <c r="T164" s="1">
        <f>0.371</f>
        <v>0.371</v>
      </c>
      <c r="U164" s="1">
        <f>0.225</f>
        <v>0.22500000000000001</v>
      </c>
      <c r="V164" s="1" t="s">
        <v>12451</v>
      </c>
      <c r="W164">
        <v>4</v>
      </c>
    </row>
    <row r="165" spans="1:23" x14ac:dyDescent="0.25">
      <c r="A165" s="1" t="s">
        <v>12352</v>
      </c>
      <c r="B165" s="1" t="s">
        <v>12353</v>
      </c>
      <c r="C165" s="1" t="s">
        <v>12354</v>
      </c>
      <c r="D165" s="1" t="s">
        <v>12355</v>
      </c>
      <c r="E165" s="1" t="s">
        <v>871</v>
      </c>
      <c r="F165" s="10">
        <v>42790</v>
      </c>
      <c r="G165">
        <v>217983</v>
      </c>
      <c r="H165">
        <v>19</v>
      </c>
      <c r="I165" s="1" t="s">
        <v>12001</v>
      </c>
      <c r="J165" s="11">
        <v>44615.754803240743</v>
      </c>
      <c r="K165" s="1" t="s">
        <v>872</v>
      </c>
      <c r="L165" s="1">
        <f>0.548</f>
        <v>0.54800000000000004</v>
      </c>
      <c r="M165" s="1">
        <f>0.997</f>
        <v>0.997</v>
      </c>
      <c r="N165" t="s">
        <v>11825</v>
      </c>
      <c r="O165" s="1">
        <v>-3.2949999999999999</v>
      </c>
      <c r="P165">
        <f>0</f>
        <v>0</v>
      </c>
      <c r="Q165" s="1">
        <f>0.276</f>
        <v>0.27600000000000002</v>
      </c>
      <c r="R165" s="1" t="b">
        <f>0=0=0=99</f>
        <v>0</v>
      </c>
      <c r="S165" s="1" t="b">
        <f>0=13</f>
        <v>0</v>
      </c>
      <c r="T165" s="1">
        <f>0.136</f>
        <v>0.13600000000000001</v>
      </c>
      <c r="U165" s="1">
        <f>0.133</f>
        <v>0.13300000000000001</v>
      </c>
      <c r="V165" s="1" t="s">
        <v>12529</v>
      </c>
      <c r="W165">
        <v>4</v>
      </c>
    </row>
    <row r="166" spans="1:23" x14ac:dyDescent="0.25">
      <c r="A166" s="1" t="s">
        <v>12356</v>
      </c>
      <c r="B166" s="1" t="s">
        <v>12357</v>
      </c>
      <c r="C166" s="1" t="s">
        <v>12358</v>
      </c>
      <c r="D166" s="1" t="s">
        <v>12359</v>
      </c>
      <c r="E166" s="1" t="s">
        <v>873</v>
      </c>
      <c r="F166" s="10">
        <v>42762</v>
      </c>
      <c r="G166">
        <v>206404</v>
      </c>
      <c r="H166">
        <v>36</v>
      </c>
      <c r="I166" s="1" t="s">
        <v>12001</v>
      </c>
      <c r="J166" s="11">
        <v>44615.754803240743</v>
      </c>
      <c r="K166" s="1" t="s">
        <v>874</v>
      </c>
      <c r="L166" s="1">
        <f>0.474</f>
        <v>0.47399999999999998</v>
      </c>
      <c r="M166" s="1">
        <f>0.994</f>
        <v>0.99399999999999999</v>
      </c>
      <c r="N166">
        <v>9</v>
      </c>
      <c r="O166" s="1">
        <v>-3.427</v>
      </c>
      <c r="P166">
        <f>0</f>
        <v>0</v>
      </c>
      <c r="Q166" s="1" t="b">
        <f>0=513</f>
        <v>0</v>
      </c>
      <c r="R166" s="1" t="b">
        <f>0=175</f>
        <v>0</v>
      </c>
      <c r="S166" s="1">
        <f>0.33</f>
        <v>0.33</v>
      </c>
      <c r="T166" s="1" t="b">
        <f>0.3=7</f>
        <v>0</v>
      </c>
      <c r="U166" s="1">
        <f>0.452</f>
        <v>0.45200000000000001</v>
      </c>
      <c r="V166" s="1">
        <v>149.97300000000001</v>
      </c>
      <c r="W166">
        <v>4</v>
      </c>
    </row>
    <row r="167" spans="1:23" x14ac:dyDescent="0.25">
      <c r="A167" s="1" t="s">
        <v>12360</v>
      </c>
      <c r="B167" s="1" t="s">
        <v>12361</v>
      </c>
      <c r="C167" s="1" t="s">
        <v>12362</v>
      </c>
      <c r="D167" s="1" t="s">
        <v>12363</v>
      </c>
      <c r="E167" s="1" t="s">
        <v>875</v>
      </c>
      <c r="F167" s="10">
        <v>42580</v>
      </c>
      <c r="G167">
        <v>235925</v>
      </c>
      <c r="H167">
        <v>28</v>
      </c>
      <c r="I167" s="1" t="s">
        <v>12001</v>
      </c>
      <c r="J167" s="11">
        <v>44615.754803240743</v>
      </c>
      <c r="K167" s="1" t="s">
        <v>876</v>
      </c>
      <c r="L167" s="1">
        <f>0.532</f>
        <v>0.53200000000000003</v>
      </c>
      <c r="M167" s="1">
        <f>0.968</f>
        <v>0.96799999999999997</v>
      </c>
      <c r="N167">
        <v>5</v>
      </c>
      <c r="O167" s="1" t="s">
        <v>12530</v>
      </c>
      <c r="P167">
        <f>0</f>
        <v>0</v>
      </c>
      <c r="Q167" s="1" t="b">
        <f>0=486</f>
        <v>0</v>
      </c>
      <c r="R167" s="1" t="b">
        <f>0=0=959</f>
        <v>0</v>
      </c>
      <c r="S167" s="1" t="b">
        <f>0=0=555</f>
        <v>0</v>
      </c>
      <c r="T167" s="1">
        <f>0.317</f>
        <v>0.317</v>
      </c>
      <c r="U167" s="1" t="b">
        <f>0=7=9</f>
        <v>0</v>
      </c>
      <c r="V167" s="1">
        <v>149.97399999999999</v>
      </c>
      <c r="W167">
        <v>4</v>
      </c>
    </row>
    <row r="168" spans="1:23" x14ac:dyDescent="0.25">
      <c r="A168" s="1" t="s">
        <v>12364</v>
      </c>
      <c r="B168" s="1" t="s">
        <v>12365</v>
      </c>
      <c r="C168" s="1" t="s">
        <v>877</v>
      </c>
      <c r="D168" s="1" t="s">
        <v>12366</v>
      </c>
      <c r="E168" s="1" t="s">
        <v>878</v>
      </c>
      <c r="F168" s="10">
        <v>43683</v>
      </c>
      <c r="G168">
        <v>232980</v>
      </c>
      <c r="H168">
        <v>37</v>
      </c>
      <c r="I168" s="1" t="s">
        <v>12001</v>
      </c>
      <c r="J168" s="11">
        <v>44615.754803240743</v>
      </c>
      <c r="K168" s="1" t="s">
        <v>879</v>
      </c>
      <c r="L168" s="1">
        <f>0.637</f>
        <v>0.63700000000000001</v>
      </c>
      <c r="M168" s="1">
        <f>0.692</f>
        <v>0.69199999999999995</v>
      </c>
      <c r="N168">
        <f>0</f>
        <v>0</v>
      </c>
      <c r="O168" s="1">
        <v>-7.99</v>
      </c>
      <c r="P168">
        <v>1</v>
      </c>
      <c r="Q168" s="1" t="b">
        <f>0=65</f>
        <v>0</v>
      </c>
      <c r="R168" s="1" t="b">
        <f>0=18</f>
        <v>0</v>
      </c>
      <c r="S168" s="1" t="b">
        <f>0.2=9</f>
        <v>0</v>
      </c>
      <c r="T168" s="1">
        <f>0.187</f>
        <v>0.187</v>
      </c>
      <c r="U168" s="1">
        <f>0.157</f>
        <v>0.157</v>
      </c>
      <c r="V168" s="1" t="s">
        <v>12531</v>
      </c>
      <c r="W168">
        <v>4</v>
      </c>
    </row>
    <row r="169" spans="1:23" x14ac:dyDescent="0.25">
      <c r="A169" s="1" t="s">
        <v>12367</v>
      </c>
      <c r="B169" s="1" t="s">
        <v>12368</v>
      </c>
      <c r="C169" s="1" t="s">
        <v>880</v>
      </c>
      <c r="D169" s="1" t="s">
        <v>12369</v>
      </c>
      <c r="E169" s="1" t="s">
        <v>881</v>
      </c>
      <c r="F169" s="10">
        <v>41957</v>
      </c>
      <c r="G169">
        <v>225883</v>
      </c>
      <c r="H169">
        <v>15</v>
      </c>
      <c r="I169" s="1" t="s">
        <v>12001</v>
      </c>
      <c r="J169" s="11">
        <v>44615.754803240743</v>
      </c>
      <c r="K169" s="1" t="s">
        <v>588</v>
      </c>
      <c r="L169" s="1">
        <f>0.325</f>
        <v>0.32500000000000001</v>
      </c>
      <c r="M169" s="1">
        <f>0.946</f>
        <v>0.94599999999999995</v>
      </c>
      <c r="N169">
        <v>7</v>
      </c>
      <c r="O169" s="1">
        <v>-3.77</v>
      </c>
      <c r="P169">
        <v>1</v>
      </c>
      <c r="Q169" s="1" t="b">
        <f>0.1=5</f>
        <v>0</v>
      </c>
      <c r="R169" s="1" t="b">
        <f>0=0=0=398</f>
        <v>0</v>
      </c>
      <c r="S169" s="1">
        <f>0.671</f>
        <v>0.67100000000000004</v>
      </c>
      <c r="T169" s="1">
        <f>0.379</f>
        <v>0.379</v>
      </c>
      <c r="U169" s="1">
        <f>0.229</f>
        <v>0.22900000000000001</v>
      </c>
      <c r="V169" s="1">
        <v>169.989</v>
      </c>
      <c r="W169">
        <v>4</v>
      </c>
    </row>
    <row r="170" spans="1:23" x14ac:dyDescent="0.25">
      <c r="A170" s="1" t="s">
        <v>12370</v>
      </c>
      <c r="B170" s="1" t="s">
        <v>11987</v>
      </c>
      <c r="C170" s="1" t="s">
        <v>882</v>
      </c>
      <c r="D170" s="1" t="s">
        <v>12371</v>
      </c>
      <c r="E170" s="1" t="s">
        <v>526</v>
      </c>
      <c r="F170" s="10">
        <v>43315</v>
      </c>
      <c r="G170">
        <v>203337</v>
      </c>
      <c r="H170">
        <v>2</v>
      </c>
      <c r="I170" s="1" t="s">
        <v>12001</v>
      </c>
      <c r="J170" s="11">
        <v>44615.754803240743</v>
      </c>
      <c r="K170" s="1" t="s">
        <v>527</v>
      </c>
      <c r="L170" s="1">
        <f>0.614</f>
        <v>0.61399999999999999</v>
      </c>
      <c r="M170" s="1">
        <f>0.954</f>
        <v>0.95399999999999996</v>
      </c>
      <c r="N170">
        <v>5</v>
      </c>
      <c r="O170" s="1">
        <v>-2.17</v>
      </c>
      <c r="P170">
        <f>0</f>
        <v>0</v>
      </c>
      <c r="Q170" s="1">
        <f>0.133</f>
        <v>0.13300000000000001</v>
      </c>
      <c r="R170" s="1" t="b">
        <f>0=3=6</f>
        <v>0</v>
      </c>
      <c r="S170" s="1" t="b">
        <f>0=0=0=667</f>
        <v>0</v>
      </c>
      <c r="T170" s="1">
        <f>0.172</f>
        <v>0.17199999999999999</v>
      </c>
      <c r="U170" s="1" t="b">
        <f>0=464</f>
        <v>0</v>
      </c>
      <c r="V170" s="1">
        <v>92.513999999999996</v>
      </c>
      <c r="W170">
        <v>4</v>
      </c>
    </row>
    <row r="171" spans="1:23" x14ac:dyDescent="0.25">
      <c r="A171" s="1" t="s">
        <v>12372</v>
      </c>
      <c r="B171" s="1" t="s">
        <v>12008</v>
      </c>
      <c r="C171" s="1" t="s">
        <v>545</v>
      </c>
      <c r="D171" s="1" t="s">
        <v>545</v>
      </c>
      <c r="E171" s="1" t="s">
        <v>546</v>
      </c>
      <c r="F171" s="10">
        <v>43812</v>
      </c>
      <c r="G171">
        <v>200620</v>
      </c>
      <c r="H171">
        <v>39</v>
      </c>
      <c r="I171" s="1" t="s">
        <v>12001</v>
      </c>
      <c r="J171" s="11">
        <v>44615.754803240743</v>
      </c>
      <c r="K171" s="1" t="s">
        <v>547</v>
      </c>
      <c r="L171" s="1">
        <f>0.547</f>
        <v>0.54700000000000004</v>
      </c>
      <c r="M171" s="1">
        <f>0.883</f>
        <v>0.88300000000000001</v>
      </c>
      <c r="N171">
        <v>1</v>
      </c>
      <c r="O171" s="1">
        <v>-3.137</v>
      </c>
      <c r="P171">
        <v>1</v>
      </c>
      <c r="Q171" s="1" t="b">
        <f>0=731</f>
        <v>0</v>
      </c>
      <c r="R171" s="1" t="b">
        <f>0=259</f>
        <v>0</v>
      </c>
      <c r="S171" s="1" t="b">
        <f>0=0=0=0=13</f>
        <v>0</v>
      </c>
      <c r="T171" s="1">
        <f>0.246</f>
        <v>0.246</v>
      </c>
      <c r="U171" s="1">
        <f>0.19</f>
        <v>0.19</v>
      </c>
      <c r="V171" s="1" t="s">
        <v>12532</v>
      </c>
      <c r="W171">
        <v>4</v>
      </c>
    </row>
    <row r="172" spans="1:23" x14ac:dyDescent="0.25">
      <c r="A172" s="1" t="s">
        <v>12373</v>
      </c>
      <c r="B172" s="1" t="s">
        <v>12374</v>
      </c>
      <c r="C172" s="1" t="s">
        <v>883</v>
      </c>
      <c r="D172" s="1" t="s">
        <v>883</v>
      </c>
      <c r="E172" s="1" t="s">
        <v>884</v>
      </c>
      <c r="F172" s="10">
        <v>44281</v>
      </c>
      <c r="G172">
        <v>196000</v>
      </c>
      <c r="H172">
        <v>44</v>
      </c>
      <c r="I172" s="1" t="s">
        <v>12001</v>
      </c>
      <c r="J172" s="11">
        <v>44615.754803240743</v>
      </c>
      <c r="K172" s="1" t="s">
        <v>885</v>
      </c>
      <c r="L172" s="1" t="b">
        <f>0.5=6</f>
        <v>0</v>
      </c>
      <c r="M172" s="1">
        <f>0.987</f>
        <v>0.98699999999999999</v>
      </c>
      <c r="N172">
        <v>2</v>
      </c>
      <c r="O172" s="1" t="s">
        <v>12533</v>
      </c>
      <c r="P172">
        <v>1</v>
      </c>
      <c r="Q172" s="1">
        <f>0.269</f>
        <v>0.26900000000000002</v>
      </c>
      <c r="R172" s="1" t="b">
        <f>0=525</f>
        <v>0</v>
      </c>
      <c r="S172" s="1" t="b">
        <f>0=0=0=0=0=46</f>
        <v>0</v>
      </c>
      <c r="T172" s="1">
        <f>0.12</f>
        <v>0.12</v>
      </c>
      <c r="U172" s="1">
        <f>0.144</f>
        <v>0.14399999999999999</v>
      </c>
      <c r="V172" s="1" t="s">
        <v>12534</v>
      </c>
      <c r="W172">
        <v>4</v>
      </c>
    </row>
    <row r="173" spans="1:23" x14ac:dyDescent="0.25">
      <c r="A173" s="1" t="s">
        <v>12375</v>
      </c>
      <c r="B173" s="1" t="s">
        <v>12376</v>
      </c>
      <c r="C173" s="1" t="s">
        <v>886</v>
      </c>
      <c r="D173" s="1" t="s">
        <v>12377</v>
      </c>
      <c r="E173" s="1" t="s">
        <v>887</v>
      </c>
      <c r="F173" s="10">
        <v>42569</v>
      </c>
      <c r="G173">
        <v>238228</v>
      </c>
      <c r="H173">
        <v>8</v>
      </c>
      <c r="I173" s="1" t="s">
        <v>12001</v>
      </c>
      <c r="J173" s="11">
        <v>44615.754803240743</v>
      </c>
      <c r="K173" s="1" t="s">
        <v>888</v>
      </c>
      <c r="L173" s="1">
        <f>0.599</f>
        <v>0.59899999999999998</v>
      </c>
      <c r="M173" s="1">
        <f>0.976</f>
        <v>0.97599999999999998</v>
      </c>
      <c r="N173">
        <v>4</v>
      </c>
      <c r="O173" s="1">
        <v>-4.4779999999999998</v>
      </c>
      <c r="P173">
        <f>0</f>
        <v>0</v>
      </c>
      <c r="Q173" s="1">
        <f>0.144</f>
        <v>0.14399999999999999</v>
      </c>
      <c r="R173" s="1">
        <f>0.181</f>
        <v>0.18099999999999999</v>
      </c>
      <c r="S173" s="1" t="b">
        <f>0=0=197</f>
        <v>0</v>
      </c>
      <c r="T173" s="1" t="b">
        <f>0.3=3</f>
        <v>0</v>
      </c>
      <c r="U173" s="1">
        <f>0.259</f>
        <v>0.25900000000000001</v>
      </c>
      <c r="V173" s="1" t="s">
        <v>12535</v>
      </c>
      <c r="W173">
        <v>4</v>
      </c>
    </row>
    <row r="174" spans="1:23" x14ac:dyDescent="0.25">
      <c r="A174" s="1" t="s">
        <v>12378</v>
      </c>
      <c r="B174" s="1" t="s">
        <v>12313</v>
      </c>
      <c r="C174" s="1" t="s">
        <v>889</v>
      </c>
      <c r="D174" s="1" t="s">
        <v>889</v>
      </c>
      <c r="E174" s="1" t="s">
        <v>828</v>
      </c>
      <c r="F174" s="10">
        <v>43297</v>
      </c>
      <c r="G174">
        <v>322387</v>
      </c>
      <c r="H174">
        <v>45</v>
      </c>
      <c r="I174" s="1" t="s">
        <v>12001</v>
      </c>
      <c r="J174" s="11">
        <v>44615.754803240743</v>
      </c>
      <c r="K174" s="1" t="s">
        <v>829</v>
      </c>
      <c r="L174" s="1">
        <f>0.539</f>
        <v>0.53900000000000003</v>
      </c>
      <c r="M174" s="1">
        <f>0.794</f>
        <v>0.79400000000000004</v>
      </c>
      <c r="N174">
        <f>0</f>
        <v>0</v>
      </c>
      <c r="O174" s="1" t="s">
        <v>12536</v>
      </c>
      <c r="P174">
        <f>0</f>
        <v>0</v>
      </c>
      <c r="Q174" s="1" t="b">
        <f>0=546</f>
        <v>0</v>
      </c>
      <c r="R174" s="1" t="b">
        <f>0=6=4</f>
        <v>0</v>
      </c>
      <c r="S174" s="1">
        <f>0.274</f>
        <v>0.27400000000000002</v>
      </c>
      <c r="T174" s="1">
        <f>0.18</f>
        <v>0.18</v>
      </c>
      <c r="U174" s="1">
        <f>0.125</f>
        <v>0.125</v>
      </c>
      <c r="V174" s="1">
        <v>99.945999999999998</v>
      </c>
      <c r="W174">
        <v>4</v>
      </c>
    </row>
    <row r="175" spans="1:23" x14ac:dyDescent="0.25">
      <c r="A175" s="1" t="s">
        <v>12379</v>
      </c>
      <c r="B175" s="1" t="s">
        <v>12380</v>
      </c>
      <c r="C175" s="1" t="s">
        <v>890</v>
      </c>
      <c r="D175" s="1" t="s">
        <v>12381</v>
      </c>
      <c r="E175" s="1" t="s">
        <v>891</v>
      </c>
      <c r="F175" s="10">
        <v>42363</v>
      </c>
      <c r="G175">
        <v>288750</v>
      </c>
      <c r="H175">
        <v>41</v>
      </c>
      <c r="I175" s="1" t="s">
        <v>12001</v>
      </c>
      <c r="J175" s="11">
        <v>44615.754803240743</v>
      </c>
      <c r="K175" s="1" t="s">
        <v>829</v>
      </c>
      <c r="L175" s="1">
        <f>0.785</f>
        <v>0.78500000000000003</v>
      </c>
      <c r="M175" s="1">
        <f>0.542</f>
        <v>0.54200000000000004</v>
      </c>
      <c r="N175">
        <v>2</v>
      </c>
      <c r="O175" s="1">
        <v>-5.8209999999999997</v>
      </c>
      <c r="P175">
        <v>1</v>
      </c>
      <c r="Q175" s="1" t="b">
        <f>0=526</f>
        <v>0</v>
      </c>
      <c r="R175" s="1" t="b">
        <f>0=551</f>
        <v>0</v>
      </c>
      <c r="S175" s="1">
        <f>0.345</f>
        <v>0.34499999999999997</v>
      </c>
      <c r="T175" s="1">
        <f>0.151</f>
        <v>0.151</v>
      </c>
      <c r="U175" s="1">
        <f>0.144</f>
        <v>0.14399999999999999</v>
      </c>
      <c r="V175" s="1" t="s">
        <v>12537</v>
      </c>
      <c r="W175">
        <v>4</v>
      </c>
    </row>
    <row r="176" spans="1:23" x14ac:dyDescent="0.25">
      <c r="A176" s="1" t="s">
        <v>12382</v>
      </c>
      <c r="B176" s="1" t="s">
        <v>12383</v>
      </c>
      <c r="C176" s="1" t="s">
        <v>892</v>
      </c>
      <c r="D176" s="1" t="s">
        <v>892</v>
      </c>
      <c r="E176" s="1" t="s">
        <v>893</v>
      </c>
      <c r="F176" s="10">
        <v>43607</v>
      </c>
      <c r="G176">
        <v>201451</v>
      </c>
      <c r="H176">
        <v>67</v>
      </c>
      <c r="I176" s="1" t="s">
        <v>12001</v>
      </c>
      <c r="J176" s="11">
        <v>44615.754803240743</v>
      </c>
      <c r="K176" s="1" t="s">
        <v>894</v>
      </c>
      <c r="L176" s="1">
        <f>0.569</f>
        <v>0.56899999999999995</v>
      </c>
      <c r="M176" s="1">
        <f>0.996</f>
        <v>0.996</v>
      </c>
      <c r="N176">
        <v>5</v>
      </c>
      <c r="O176" s="1" t="s">
        <v>12538</v>
      </c>
      <c r="P176">
        <v>1</v>
      </c>
      <c r="Q176" s="1">
        <f>0.224</f>
        <v>0.224</v>
      </c>
      <c r="R176" s="1">
        <f>0.198</f>
        <v>0.19800000000000001</v>
      </c>
      <c r="S176" s="1" t="b">
        <f>0=114</f>
        <v>0</v>
      </c>
      <c r="T176" s="1" t="b">
        <f>0.7=7</f>
        <v>0</v>
      </c>
      <c r="U176" s="1">
        <f>0.461</f>
        <v>0.46100000000000002</v>
      </c>
      <c r="V176" s="1" t="s">
        <v>12539</v>
      </c>
      <c r="W176">
        <v>3</v>
      </c>
    </row>
    <row r="177" spans="1:23" x14ac:dyDescent="0.25">
      <c r="A177" s="1" t="s">
        <v>12384</v>
      </c>
      <c r="B177" s="1" t="s">
        <v>12313</v>
      </c>
      <c r="C177" s="1" t="s">
        <v>895</v>
      </c>
      <c r="D177" s="1" t="s">
        <v>895</v>
      </c>
      <c r="E177" s="1" t="s">
        <v>828</v>
      </c>
      <c r="F177" s="10">
        <v>44188</v>
      </c>
      <c r="G177">
        <v>210731</v>
      </c>
      <c r="H177">
        <v>52</v>
      </c>
      <c r="I177" s="1" t="s">
        <v>12001</v>
      </c>
      <c r="J177" s="11">
        <v>44615.754803240743</v>
      </c>
      <c r="K177" s="1" t="s">
        <v>829</v>
      </c>
      <c r="L177" s="1">
        <f>0.729</f>
        <v>0.72899999999999998</v>
      </c>
      <c r="M177" s="1" t="b">
        <f>0.4=6</f>
        <v>0</v>
      </c>
      <c r="N177">
        <v>3</v>
      </c>
      <c r="O177" s="1">
        <v>-8.8309999999999995</v>
      </c>
      <c r="P177">
        <f>0</f>
        <v>0</v>
      </c>
      <c r="Q177" s="1" t="b">
        <f>0=822</f>
        <v>0</v>
      </c>
      <c r="R177" s="1" t="b">
        <f>0.1=9</f>
        <v>0</v>
      </c>
      <c r="S177" s="1">
        <f>0.565</f>
        <v>0.56499999999999995</v>
      </c>
      <c r="T177" s="1">
        <f>0.27</f>
        <v>0.27</v>
      </c>
      <c r="U177" s="1" t="b">
        <f>0=388</f>
        <v>0</v>
      </c>
      <c r="V177" s="1">
        <v>163.99799999999999</v>
      </c>
      <c r="W177">
        <v>4</v>
      </c>
    </row>
    <row r="178" spans="1:23" x14ac:dyDescent="0.25">
      <c r="A178" s="1" t="s">
        <v>12385</v>
      </c>
      <c r="B178" s="1" t="s">
        <v>12084</v>
      </c>
      <c r="C178" s="1" t="s">
        <v>613</v>
      </c>
      <c r="D178" s="1" t="s">
        <v>12386</v>
      </c>
      <c r="E178" s="1" t="s">
        <v>614</v>
      </c>
      <c r="F178" s="10">
        <v>43616</v>
      </c>
      <c r="G178">
        <v>176000</v>
      </c>
      <c r="H178">
        <v>31</v>
      </c>
      <c r="I178" s="1" t="s">
        <v>12001</v>
      </c>
      <c r="J178" s="11">
        <v>44615.754803240743</v>
      </c>
      <c r="K178" s="1" t="s">
        <v>615</v>
      </c>
      <c r="L178" s="1">
        <f>0.61</f>
        <v>0.61</v>
      </c>
      <c r="M178" s="1">
        <f>0.973</f>
        <v>0.97299999999999998</v>
      </c>
      <c r="N178">
        <v>5</v>
      </c>
      <c r="O178" s="1" t="s">
        <v>12455</v>
      </c>
      <c r="P178">
        <f>0</f>
        <v>0</v>
      </c>
      <c r="Q178" s="1" t="b">
        <f>0=515</f>
        <v>0</v>
      </c>
      <c r="R178" s="1">
        <f>0.251</f>
        <v>0.251</v>
      </c>
      <c r="S178" s="1">
        <f>0</f>
        <v>0</v>
      </c>
      <c r="T178" s="1">
        <f>0.118</f>
        <v>0.11799999999999999</v>
      </c>
      <c r="U178" s="1">
        <f>0.465</f>
        <v>0.46500000000000002</v>
      </c>
      <c r="V178" s="1" t="s">
        <v>12456</v>
      </c>
      <c r="W178">
        <v>4</v>
      </c>
    </row>
    <row r="179" spans="1:23" x14ac:dyDescent="0.25">
      <c r="A179" s="1" t="s">
        <v>12387</v>
      </c>
      <c r="B179" s="1" t="s">
        <v>12388</v>
      </c>
      <c r="C179" s="1" t="s">
        <v>3217</v>
      </c>
      <c r="D179" s="1" t="s">
        <v>12389</v>
      </c>
      <c r="E179" s="1" t="s">
        <v>896</v>
      </c>
      <c r="F179" s="10">
        <v>44085</v>
      </c>
      <c r="G179">
        <v>161048</v>
      </c>
      <c r="H179">
        <v>49</v>
      </c>
      <c r="I179" s="1" t="s">
        <v>12001</v>
      </c>
      <c r="J179" s="11">
        <v>44615.754803240743</v>
      </c>
      <c r="K179" s="1" t="s">
        <v>826</v>
      </c>
      <c r="L179" s="1">
        <f>0.624</f>
        <v>0.624</v>
      </c>
      <c r="M179" s="1">
        <f>0.975</f>
        <v>0.97499999999999998</v>
      </c>
      <c r="N179" t="s">
        <v>11825</v>
      </c>
      <c r="O179" s="1" t="s">
        <v>12540</v>
      </c>
      <c r="P179">
        <f>0</f>
        <v>0</v>
      </c>
      <c r="Q179" s="1">
        <f>0.131</f>
        <v>0.13100000000000001</v>
      </c>
      <c r="R179" s="1" t="b">
        <f>0=645</f>
        <v>0</v>
      </c>
      <c r="S179" s="1" t="b">
        <f>0=129</f>
        <v>0</v>
      </c>
      <c r="T179" s="1">
        <f>0.364</f>
        <v>0.36399999999999999</v>
      </c>
      <c r="U179" s="1">
        <f>0.147</f>
        <v>0.14699999999999999</v>
      </c>
      <c r="V179" s="1">
        <v>154.99700000000001</v>
      </c>
      <c r="W179">
        <v>4</v>
      </c>
    </row>
    <row r="180" spans="1:23" x14ac:dyDescent="0.25">
      <c r="A180" s="1" t="s">
        <v>12390</v>
      </c>
      <c r="B180" s="1" t="s">
        <v>12313</v>
      </c>
      <c r="C180" s="1" t="s">
        <v>897</v>
      </c>
      <c r="D180" s="1" t="s">
        <v>12391</v>
      </c>
      <c r="E180" s="1" t="s">
        <v>828</v>
      </c>
      <c r="F180" s="10">
        <v>43311</v>
      </c>
      <c r="G180">
        <v>329125</v>
      </c>
      <c r="H180">
        <v>57</v>
      </c>
      <c r="I180" s="1" t="s">
        <v>12001</v>
      </c>
      <c r="J180" s="11">
        <v>44615.754803240743</v>
      </c>
      <c r="K180" s="1" t="s">
        <v>829</v>
      </c>
      <c r="L180" s="1">
        <f>0.495</f>
        <v>0.495</v>
      </c>
      <c r="M180" s="1">
        <f>0.532</f>
        <v>0.53200000000000003</v>
      </c>
      <c r="N180">
        <v>1</v>
      </c>
      <c r="O180" s="1">
        <v>-8.8460000000000001</v>
      </c>
      <c r="P180">
        <f>0</f>
        <v>0</v>
      </c>
      <c r="Q180" s="1" t="b">
        <f>0=528</f>
        <v>0</v>
      </c>
      <c r="R180" s="1" t="b">
        <f>0=227</f>
        <v>0</v>
      </c>
      <c r="S180" s="1">
        <f>0.354</f>
        <v>0.35399999999999998</v>
      </c>
      <c r="T180" s="1">
        <f>0.331</f>
        <v>0.33100000000000002</v>
      </c>
      <c r="U180" s="1" t="b">
        <f>0=514</f>
        <v>0</v>
      </c>
      <c r="V180" s="1" t="s">
        <v>12541</v>
      </c>
      <c r="W180">
        <v>4</v>
      </c>
    </row>
    <row r="181" spans="1:23" x14ac:dyDescent="0.25">
      <c r="A181" s="1" t="s">
        <v>12392</v>
      </c>
      <c r="B181" s="1" t="s">
        <v>12129</v>
      </c>
      <c r="C181" s="1" t="s">
        <v>652</v>
      </c>
      <c r="D181" s="1" t="s">
        <v>652</v>
      </c>
      <c r="E181" s="1" t="s">
        <v>653</v>
      </c>
      <c r="F181" s="10">
        <v>42314</v>
      </c>
      <c r="G181">
        <v>187500</v>
      </c>
      <c r="H181">
        <v>54</v>
      </c>
      <c r="I181" s="1" t="s">
        <v>12001</v>
      </c>
      <c r="J181" s="11">
        <v>44615.754803240743</v>
      </c>
      <c r="K181" s="1" t="s">
        <v>654</v>
      </c>
      <c r="L181" s="1">
        <f>0.593</f>
        <v>0.59299999999999997</v>
      </c>
      <c r="M181" s="1">
        <f>0.869</f>
        <v>0.86899999999999999</v>
      </c>
      <c r="N181">
        <v>7</v>
      </c>
      <c r="O181" s="1">
        <v>-3.4540000000000002</v>
      </c>
      <c r="P181">
        <f>0</f>
        <v>0</v>
      </c>
      <c r="Q181" s="1" t="b">
        <f>0=575</f>
        <v>0</v>
      </c>
      <c r="R181" s="1" t="b">
        <f>0=945</f>
        <v>0</v>
      </c>
      <c r="S181" s="1" t="b">
        <f>0=0=428</f>
        <v>0</v>
      </c>
      <c r="T181" s="1">
        <f>0.184</f>
        <v>0.184</v>
      </c>
      <c r="U181" s="1">
        <f>0.173</f>
        <v>0.17299999999999999</v>
      </c>
      <c r="V181" s="1" t="s">
        <v>12542</v>
      </c>
      <c r="W181">
        <v>4</v>
      </c>
    </row>
    <row r="182" spans="1:23" x14ac:dyDescent="0.25">
      <c r="A182" s="1" t="s">
        <v>12393</v>
      </c>
      <c r="B182" s="1" t="s">
        <v>12071</v>
      </c>
      <c r="C182" s="1" t="s">
        <v>601</v>
      </c>
      <c r="D182" s="1" t="s">
        <v>12394</v>
      </c>
      <c r="E182" s="1" t="s">
        <v>602</v>
      </c>
      <c r="F182" s="10">
        <v>43791</v>
      </c>
      <c r="G182">
        <v>178838</v>
      </c>
      <c r="H182">
        <v>14</v>
      </c>
      <c r="I182" s="1" t="s">
        <v>12001</v>
      </c>
      <c r="J182" s="11">
        <v>44615.754803240743</v>
      </c>
      <c r="K182" s="1" t="s">
        <v>603</v>
      </c>
      <c r="L182" s="1">
        <f>0.575</f>
        <v>0.57499999999999996</v>
      </c>
      <c r="M182" s="1">
        <f>0.936</f>
        <v>0.93600000000000005</v>
      </c>
      <c r="N182" t="s">
        <v>11825</v>
      </c>
      <c r="O182" s="1" t="s">
        <v>12453</v>
      </c>
      <c r="P182">
        <f>0</f>
        <v>0</v>
      </c>
      <c r="Q182" s="1" t="b">
        <f>0=711</f>
        <v>0</v>
      </c>
      <c r="R182" s="1" t="b">
        <f>0=328</f>
        <v>0</v>
      </c>
      <c r="S182" s="1">
        <f>0</f>
        <v>0</v>
      </c>
      <c r="T182" s="1" t="b">
        <f>0=9</f>
        <v>0</v>
      </c>
      <c r="U182" s="1">
        <f>0.655</f>
        <v>0.65500000000000003</v>
      </c>
      <c r="V182" s="1">
        <v>154.96</v>
      </c>
      <c r="W182">
        <v>4</v>
      </c>
    </row>
    <row r="183" spans="1:23" x14ac:dyDescent="0.25">
      <c r="A183" s="1" t="s">
        <v>12395</v>
      </c>
      <c r="B183" s="1" t="s">
        <v>12042</v>
      </c>
      <c r="C183" s="1" t="s">
        <v>575</v>
      </c>
      <c r="D183" s="1" t="s">
        <v>12396</v>
      </c>
      <c r="E183" s="1" t="s">
        <v>576</v>
      </c>
      <c r="F183" s="10">
        <v>44274</v>
      </c>
      <c r="G183">
        <v>306000</v>
      </c>
      <c r="H183">
        <v>0</v>
      </c>
      <c r="I183" s="1" t="s">
        <v>12001</v>
      </c>
      <c r="J183" s="11">
        <v>44615.754803240743</v>
      </c>
      <c r="K183" s="1" t="s">
        <v>537</v>
      </c>
      <c r="L183" s="1">
        <f>0.421</f>
        <v>0.42099999999999999</v>
      </c>
      <c r="M183" s="1">
        <f>0.938</f>
        <v>0.93799999999999994</v>
      </c>
      <c r="N183">
        <v>5</v>
      </c>
      <c r="O183" s="1">
        <v>-1.42</v>
      </c>
      <c r="P183">
        <f>0</f>
        <v>0</v>
      </c>
      <c r="Q183" s="1" t="b">
        <f>0=8=2</f>
        <v>0</v>
      </c>
      <c r="R183" s="1" t="b">
        <f>0=0=364</f>
        <v>0</v>
      </c>
      <c r="S183" s="1" t="b">
        <f>0.8=9</f>
        <v>0</v>
      </c>
      <c r="T183" s="1">
        <f>0.367</f>
        <v>0.36699999999999999</v>
      </c>
      <c r="U183" s="1" t="b">
        <f>0=345</f>
        <v>0</v>
      </c>
      <c r="V183" s="1">
        <v>94.953000000000003</v>
      </c>
      <c r="W183">
        <v>4</v>
      </c>
    </row>
    <row r="184" spans="1:23" x14ac:dyDescent="0.25">
      <c r="A184" s="1" t="s">
        <v>12397</v>
      </c>
      <c r="B184" s="1" t="s">
        <v>11990</v>
      </c>
      <c r="C184" s="1" t="s">
        <v>898</v>
      </c>
      <c r="D184" s="1" t="s">
        <v>12398</v>
      </c>
      <c r="E184" s="1" t="s">
        <v>529</v>
      </c>
      <c r="F184" s="10">
        <v>43273</v>
      </c>
      <c r="G184">
        <v>243600</v>
      </c>
      <c r="H184">
        <v>11</v>
      </c>
      <c r="I184" s="1" t="s">
        <v>12001</v>
      </c>
      <c r="J184" s="11">
        <v>44615.754803240743</v>
      </c>
      <c r="K184" s="1" t="s">
        <v>530</v>
      </c>
      <c r="L184" s="1">
        <f>0.626</f>
        <v>0.626</v>
      </c>
      <c r="M184" s="1">
        <f>0.988</f>
        <v>0.98799999999999999</v>
      </c>
      <c r="N184">
        <v>6</v>
      </c>
      <c r="O184" s="1">
        <v>-3.9710000000000001</v>
      </c>
      <c r="P184">
        <v>1</v>
      </c>
      <c r="Q184" s="1" t="b">
        <f>0.1=3</f>
        <v>0</v>
      </c>
      <c r="R184" s="1" t="b">
        <f>0=779</f>
        <v>0</v>
      </c>
      <c r="S184" s="1">
        <f>0.169</f>
        <v>0.16900000000000001</v>
      </c>
      <c r="T184" s="1">
        <f>0.286</f>
        <v>0.28599999999999998</v>
      </c>
      <c r="U184" s="1">
        <f>0.397</f>
        <v>0.39700000000000002</v>
      </c>
      <c r="V184" s="1">
        <v>99.984999999999999</v>
      </c>
      <c r="W184">
        <v>4</v>
      </c>
    </row>
    <row r="185" spans="1:23" x14ac:dyDescent="0.25">
      <c r="A185" s="1" t="s">
        <v>12399</v>
      </c>
      <c r="B185" s="1" t="s">
        <v>12400</v>
      </c>
      <c r="C185" s="1" t="s">
        <v>899</v>
      </c>
      <c r="D185" s="1" t="s">
        <v>899</v>
      </c>
      <c r="E185" s="1" t="s">
        <v>900</v>
      </c>
      <c r="F185" s="10">
        <v>44106</v>
      </c>
      <c r="G185">
        <v>172756</v>
      </c>
      <c r="H185">
        <v>20</v>
      </c>
      <c r="I185" s="1" t="s">
        <v>12001</v>
      </c>
      <c r="J185" s="11">
        <v>44615.754803240743</v>
      </c>
      <c r="K185" s="1" t="s">
        <v>901</v>
      </c>
      <c r="L185" s="1">
        <f>0.712</f>
        <v>0.71199999999999997</v>
      </c>
      <c r="M185" s="1">
        <f>0.863</f>
        <v>0.86299999999999999</v>
      </c>
      <c r="N185">
        <v>1</v>
      </c>
      <c r="O185" s="1">
        <v>-2.8420000000000001</v>
      </c>
      <c r="P185">
        <v>1</v>
      </c>
      <c r="Q185" s="1" t="b">
        <f>0=734</f>
        <v>0</v>
      </c>
      <c r="R185" s="1" t="b">
        <f>0=0=714</f>
        <v>0</v>
      </c>
      <c r="S185" s="1">
        <f>0.122</f>
        <v>0.122</v>
      </c>
      <c r="T185" s="1">
        <f>0.261</f>
        <v>0.26100000000000001</v>
      </c>
      <c r="U185" s="1" t="b">
        <f>0=794</f>
        <v>0</v>
      </c>
      <c r="V185" s="1">
        <v>179.97300000000001</v>
      </c>
      <c r="W185">
        <v>4</v>
      </c>
    </row>
    <row r="186" spans="1:23" x14ac:dyDescent="0.25">
      <c r="A186" s="1" t="s">
        <v>12401</v>
      </c>
      <c r="B186" s="1" t="s">
        <v>12122</v>
      </c>
      <c r="C186" s="1" t="s">
        <v>12123</v>
      </c>
      <c r="D186" s="1" t="s">
        <v>12088</v>
      </c>
      <c r="E186" s="1" t="s">
        <v>645</v>
      </c>
      <c r="F186" s="10">
        <v>43245</v>
      </c>
      <c r="G186">
        <v>152400</v>
      </c>
      <c r="H186">
        <v>43</v>
      </c>
      <c r="I186" s="1" t="s">
        <v>12001</v>
      </c>
      <c r="J186" s="11">
        <v>44615.754803240743</v>
      </c>
      <c r="K186" s="1" t="s">
        <v>646</v>
      </c>
      <c r="L186" s="1">
        <f>0.567</f>
        <v>0.56699999999999995</v>
      </c>
      <c r="M186" s="1">
        <f>0.977</f>
        <v>0.97699999999999998</v>
      </c>
      <c r="N186">
        <v>1</v>
      </c>
      <c r="O186" s="1">
        <v>-1.7909999999999999</v>
      </c>
      <c r="P186">
        <v>1</v>
      </c>
      <c r="Q186" s="1" t="b">
        <f>0=426</f>
        <v>0</v>
      </c>
      <c r="R186" s="1" t="b">
        <f>0=577</f>
        <v>0</v>
      </c>
      <c r="S186" s="1" t="b">
        <f>0=263</f>
        <v>0</v>
      </c>
      <c r="T186" s="1">
        <f>0.221</f>
        <v>0.221</v>
      </c>
      <c r="U186" s="1">
        <f>0.333</f>
        <v>0.33300000000000002</v>
      </c>
      <c r="V186" s="1" t="s">
        <v>12466</v>
      </c>
      <c r="W186">
        <v>4</v>
      </c>
    </row>
    <row r="187" spans="1:23" x14ac:dyDescent="0.25">
      <c r="A187" s="1" t="s">
        <v>12402</v>
      </c>
      <c r="B187" s="1" t="s">
        <v>12403</v>
      </c>
      <c r="C187" s="1" t="s">
        <v>902</v>
      </c>
      <c r="D187" s="1" t="s">
        <v>902</v>
      </c>
      <c r="E187" s="1" t="s">
        <v>903</v>
      </c>
      <c r="F187" s="10">
        <v>43252</v>
      </c>
      <c r="G187">
        <v>157447</v>
      </c>
      <c r="H187">
        <v>35</v>
      </c>
      <c r="I187" s="1" t="s">
        <v>12001</v>
      </c>
      <c r="J187" s="11">
        <v>44615.754803240743</v>
      </c>
      <c r="K187" s="1" t="s">
        <v>904</v>
      </c>
      <c r="L187" s="1" t="b">
        <f>0.3=7</f>
        <v>0</v>
      </c>
      <c r="M187" s="1">
        <f>0.946</f>
        <v>0.94599999999999995</v>
      </c>
      <c r="N187">
        <v>6</v>
      </c>
      <c r="O187" s="1">
        <v>-1.8260000000000001</v>
      </c>
      <c r="P187">
        <f>0</f>
        <v>0</v>
      </c>
      <c r="Q187" s="1" t="b">
        <f>0=7</f>
        <v>0</v>
      </c>
      <c r="R187" s="1" t="b">
        <f>0=0=159</f>
        <v>0</v>
      </c>
      <c r="S187" s="1" t="b">
        <f>0.6=8</f>
        <v>0</v>
      </c>
      <c r="T187" s="1" t="b">
        <f>0=842</f>
        <v>0</v>
      </c>
      <c r="U187" s="1" t="b">
        <f>0=943</f>
        <v>0</v>
      </c>
      <c r="V187" s="1">
        <v>139.87700000000001</v>
      </c>
      <c r="W187">
        <v>4</v>
      </c>
    </row>
    <row r="188" spans="1:23" x14ac:dyDescent="0.25">
      <c r="A188" s="1" t="s">
        <v>12404</v>
      </c>
      <c r="B188" s="1" t="s">
        <v>12114</v>
      </c>
      <c r="C188" s="1" t="s">
        <v>638</v>
      </c>
      <c r="D188" s="1" t="s">
        <v>12405</v>
      </c>
      <c r="E188" s="1" t="s">
        <v>639</v>
      </c>
      <c r="F188" s="10">
        <v>43864</v>
      </c>
      <c r="G188">
        <v>241600</v>
      </c>
      <c r="H188">
        <v>17</v>
      </c>
      <c r="I188" s="1" t="s">
        <v>12001</v>
      </c>
      <c r="J188" s="11">
        <v>44615.754803240743</v>
      </c>
      <c r="K188" s="1" t="s">
        <v>632</v>
      </c>
      <c r="L188" s="1">
        <f>0.535</f>
        <v>0.53500000000000003</v>
      </c>
      <c r="M188" s="1">
        <f>0.877</f>
        <v>0.877</v>
      </c>
      <c r="N188">
        <v>3</v>
      </c>
      <c r="O188" s="1">
        <v>-2.181</v>
      </c>
      <c r="P188">
        <f>0</f>
        <v>0</v>
      </c>
      <c r="Q188" s="1" t="b">
        <f>0=465</f>
        <v>0</v>
      </c>
      <c r="R188" s="1" t="b">
        <f>0=33</f>
        <v>0</v>
      </c>
      <c r="S188" s="1" t="b">
        <f>0=0=0=167</f>
        <v>0</v>
      </c>
      <c r="T188" s="1">
        <f>0.144</f>
        <v>0.14399999999999999</v>
      </c>
      <c r="U188" s="1">
        <f>0.115</f>
        <v>0.115</v>
      </c>
      <c r="V188" s="1" t="s">
        <v>12465</v>
      </c>
      <c r="W188">
        <v>4</v>
      </c>
    </row>
    <row r="189" spans="1:23" x14ac:dyDescent="0.25">
      <c r="A189" s="1" t="s">
        <v>12406</v>
      </c>
      <c r="B189" s="1" t="s">
        <v>12407</v>
      </c>
      <c r="C189" s="1" t="s">
        <v>905</v>
      </c>
      <c r="D189" s="1" t="s">
        <v>905</v>
      </c>
      <c r="E189" s="1" t="s">
        <v>906</v>
      </c>
      <c r="F189" s="10">
        <v>43857</v>
      </c>
      <c r="G189">
        <v>281453</v>
      </c>
      <c r="H189">
        <v>42</v>
      </c>
      <c r="I189" s="1" t="s">
        <v>12001</v>
      </c>
      <c r="J189" s="11">
        <v>44615.754803240743</v>
      </c>
      <c r="K189" s="1" t="s">
        <v>807</v>
      </c>
      <c r="L189" s="1">
        <f>0.414</f>
        <v>0.41399999999999998</v>
      </c>
      <c r="M189" s="1">
        <f>0.91</f>
        <v>0.91</v>
      </c>
      <c r="N189">
        <v>1</v>
      </c>
      <c r="O189" s="1">
        <v>-5.117</v>
      </c>
      <c r="P189">
        <f>0</f>
        <v>0</v>
      </c>
      <c r="Q189" s="1">
        <f>0.146</f>
        <v>0.14599999999999999</v>
      </c>
      <c r="R189" s="1" t="b">
        <f>0=0=758</f>
        <v>0</v>
      </c>
      <c r="S189" s="1" t="b">
        <f>0=0=0=791</f>
        <v>0</v>
      </c>
      <c r="T189" s="1" t="b">
        <f>0=78</f>
        <v>0</v>
      </c>
      <c r="U189" s="1">
        <f>0.138</f>
        <v>0.13800000000000001</v>
      </c>
      <c r="V189" s="1">
        <v>149.74299999999999</v>
      </c>
      <c r="W189">
        <v>4</v>
      </c>
    </row>
    <row r="190" spans="1:23" x14ac:dyDescent="0.25">
      <c r="A190" s="1" t="s">
        <v>12408</v>
      </c>
      <c r="B190" s="1" t="s">
        <v>12409</v>
      </c>
      <c r="C190" s="1" t="s">
        <v>907</v>
      </c>
      <c r="D190" s="1" t="s">
        <v>907</v>
      </c>
      <c r="E190" s="1" t="s">
        <v>908</v>
      </c>
      <c r="F190" s="10">
        <v>44224</v>
      </c>
      <c r="G190">
        <v>200130</v>
      </c>
      <c r="H190">
        <v>44</v>
      </c>
      <c r="I190" s="1" t="s">
        <v>12001</v>
      </c>
      <c r="J190" s="11">
        <v>44615.754803240743</v>
      </c>
      <c r="K190" s="1" t="s">
        <v>807</v>
      </c>
      <c r="L190" s="1" t="b">
        <f>0.6=8</f>
        <v>0</v>
      </c>
      <c r="M190" s="1">
        <f>0.982</f>
        <v>0.98199999999999998</v>
      </c>
      <c r="N190">
        <v>7</v>
      </c>
      <c r="O190" s="1">
        <v>-4.3760000000000003</v>
      </c>
      <c r="P190">
        <v>1</v>
      </c>
      <c r="Q190" s="1">
        <f>0.146</f>
        <v>0.14599999999999999</v>
      </c>
      <c r="R190" s="1" t="b">
        <f>0=0=443</f>
        <v>0</v>
      </c>
      <c r="S190" s="1">
        <f>0.265</f>
        <v>0.26500000000000001</v>
      </c>
      <c r="T190" s="1">
        <f>0.116</f>
        <v>0.11600000000000001</v>
      </c>
      <c r="U190" s="1">
        <f>0.266</f>
        <v>0.26600000000000001</v>
      </c>
      <c r="V190" s="1" t="s">
        <v>12543</v>
      </c>
      <c r="W190">
        <v>4</v>
      </c>
    </row>
    <row r="191" spans="1:23" x14ac:dyDescent="0.25">
      <c r="A191" s="1" t="s">
        <v>12410</v>
      </c>
      <c r="B191" s="1" t="s">
        <v>11985</v>
      </c>
      <c r="C191" s="1" t="s">
        <v>909</v>
      </c>
      <c r="D191" s="1" t="s">
        <v>909</v>
      </c>
      <c r="E191" s="1" t="s">
        <v>524</v>
      </c>
      <c r="F191" s="10">
        <v>44235</v>
      </c>
      <c r="G191">
        <v>255293</v>
      </c>
      <c r="H191">
        <v>21</v>
      </c>
      <c r="I191" s="1" t="s">
        <v>12001</v>
      </c>
      <c r="J191" s="11">
        <v>44615.754803240743</v>
      </c>
      <c r="K191" s="1" t="s">
        <v>515</v>
      </c>
      <c r="L191" s="1">
        <f>0.312</f>
        <v>0.312</v>
      </c>
      <c r="M191" s="1">
        <f>0.96</f>
        <v>0.96</v>
      </c>
      <c r="N191">
        <v>6</v>
      </c>
      <c r="O191" s="1">
        <v>-3.637</v>
      </c>
      <c r="P191">
        <f>0</f>
        <v>0</v>
      </c>
      <c r="Q191" s="1" t="b">
        <f>0=92</f>
        <v>0</v>
      </c>
      <c r="R191" s="1" t="b">
        <f>0=985</f>
        <v>0</v>
      </c>
      <c r="S191" s="1">
        <f>0.432</f>
        <v>0.432</v>
      </c>
      <c r="T191" s="1">
        <f>0.695</f>
        <v>0.69499999999999995</v>
      </c>
      <c r="U191" s="1">
        <f>0.321</f>
        <v>0.32100000000000001</v>
      </c>
      <c r="V191" s="1" t="s">
        <v>12544</v>
      </c>
      <c r="W191">
        <v>1</v>
      </c>
    </row>
    <row r="192" spans="1:23" x14ac:dyDescent="0.25">
      <c r="A192" s="1" t="s">
        <v>12411</v>
      </c>
      <c r="B192" s="1" t="s">
        <v>12412</v>
      </c>
      <c r="C192" s="1" t="s">
        <v>910</v>
      </c>
      <c r="D192" s="1" t="s">
        <v>12413</v>
      </c>
      <c r="E192" s="1" t="s">
        <v>911</v>
      </c>
      <c r="F192" s="10">
        <v>44211</v>
      </c>
      <c r="G192">
        <v>252800</v>
      </c>
      <c r="H192">
        <v>14</v>
      </c>
      <c r="I192" s="1" t="s">
        <v>12001</v>
      </c>
      <c r="J192" s="11">
        <v>44615.754803240743</v>
      </c>
      <c r="K192" s="1" t="s">
        <v>807</v>
      </c>
      <c r="L192" s="1">
        <f>0.268</f>
        <v>0.26800000000000002</v>
      </c>
      <c r="M192" s="1">
        <f>0.867</f>
        <v>0.86699999999999999</v>
      </c>
      <c r="N192" t="s">
        <v>11825</v>
      </c>
      <c r="O192" s="1">
        <v>-4.4390000000000001</v>
      </c>
      <c r="P192">
        <f>0</f>
        <v>0</v>
      </c>
      <c r="Q192" s="1" t="b">
        <f>0=922</f>
        <v>0</v>
      </c>
      <c r="R192" s="1" t="b">
        <f>0=171</f>
        <v>0</v>
      </c>
      <c r="S192" s="1">
        <f>0</f>
        <v>0</v>
      </c>
      <c r="T192" s="1" t="b">
        <f>0.1=8</f>
        <v>0</v>
      </c>
      <c r="U192" s="1" t="b">
        <f>0.3=1</f>
        <v>0</v>
      </c>
      <c r="V192" s="1">
        <v>149.953</v>
      </c>
      <c r="W192">
        <v>4</v>
      </c>
    </row>
    <row r="193" spans="1:23" x14ac:dyDescent="0.25">
      <c r="A193" s="1" t="s">
        <v>12414</v>
      </c>
      <c r="B193" s="1" t="s">
        <v>12407</v>
      </c>
      <c r="C193" s="1" t="s">
        <v>912</v>
      </c>
      <c r="D193" s="1" t="s">
        <v>912</v>
      </c>
      <c r="E193" s="1" t="s">
        <v>906</v>
      </c>
      <c r="F193" s="10">
        <v>43552</v>
      </c>
      <c r="G193">
        <v>263800</v>
      </c>
      <c r="H193">
        <v>49</v>
      </c>
      <c r="I193" s="1" t="s">
        <v>12001</v>
      </c>
      <c r="J193" s="11">
        <v>44615.754803240743</v>
      </c>
      <c r="K193" s="1" t="s">
        <v>807</v>
      </c>
      <c r="L193" s="1">
        <f>0.337</f>
        <v>0.33700000000000002</v>
      </c>
      <c r="M193" s="1">
        <f>0.925</f>
        <v>0.92500000000000004</v>
      </c>
      <c r="N193">
        <v>6</v>
      </c>
      <c r="O193" s="1">
        <v>-4.6909999999999998</v>
      </c>
      <c r="P193">
        <v>1</v>
      </c>
      <c r="Q193" s="1">
        <f>0.14</f>
        <v>0.14000000000000001</v>
      </c>
      <c r="R193" s="1" t="b">
        <f>0=148</f>
        <v>0</v>
      </c>
      <c r="S193" s="1" t="b">
        <f>0=0=699</f>
        <v>0</v>
      </c>
      <c r="T193" s="1">
        <f>0.595</f>
        <v>0.59499999999999997</v>
      </c>
      <c r="U193" s="1" t="b">
        <f>0=399</f>
        <v>0</v>
      </c>
      <c r="V193" s="1" t="s">
        <v>12545</v>
      </c>
      <c r="W193">
        <v>5</v>
      </c>
    </row>
    <row r="194" spans="1:23" x14ac:dyDescent="0.25">
      <c r="A194" s="1" t="s">
        <v>12415</v>
      </c>
      <c r="B194" s="1" t="s">
        <v>12034</v>
      </c>
      <c r="C194" s="1" t="s">
        <v>913</v>
      </c>
      <c r="D194" s="1" t="s">
        <v>913</v>
      </c>
      <c r="E194" s="1" t="s">
        <v>567</v>
      </c>
      <c r="F194" s="10">
        <v>44022</v>
      </c>
      <c r="G194">
        <v>259200</v>
      </c>
      <c r="H194">
        <v>44</v>
      </c>
      <c r="I194" s="1" t="s">
        <v>12001</v>
      </c>
      <c r="J194" s="11">
        <v>44615.754803240743</v>
      </c>
      <c r="K194" s="1" t="s">
        <v>568</v>
      </c>
      <c r="L194" s="1">
        <f>0.572</f>
        <v>0.57199999999999995</v>
      </c>
      <c r="M194" s="1">
        <f>0.898</f>
        <v>0.89800000000000002</v>
      </c>
      <c r="N194">
        <v>6</v>
      </c>
      <c r="O194" s="1">
        <v>-4.9269999999999996</v>
      </c>
      <c r="P194">
        <f>0</f>
        <v>0</v>
      </c>
      <c r="Q194" s="1" t="b">
        <f>0=753</f>
        <v>0</v>
      </c>
      <c r="R194" s="1" t="b">
        <f>0=0=139</f>
        <v>0</v>
      </c>
      <c r="S194" s="1" t="b">
        <f>0=776</f>
        <v>0</v>
      </c>
      <c r="T194" s="1" t="b">
        <f>0.1=9</f>
        <v>0</v>
      </c>
      <c r="U194" s="1" t="b">
        <f>0=836</f>
        <v>0</v>
      </c>
      <c r="V194" s="1" t="s">
        <v>12546</v>
      </c>
      <c r="W194">
        <v>4</v>
      </c>
    </row>
    <row r="195" spans="1:23" x14ac:dyDescent="0.25">
      <c r="A195" s="1" t="s">
        <v>12416</v>
      </c>
      <c r="B195" s="1" t="s">
        <v>12328</v>
      </c>
      <c r="C195" s="1" t="s">
        <v>914</v>
      </c>
      <c r="D195" s="1" t="s">
        <v>12417</v>
      </c>
      <c r="E195" s="1" t="s">
        <v>848</v>
      </c>
      <c r="F195" s="10">
        <v>43791</v>
      </c>
      <c r="G195">
        <v>192644</v>
      </c>
      <c r="H195">
        <v>59</v>
      </c>
      <c r="I195" s="1" t="s">
        <v>12001</v>
      </c>
      <c r="J195" s="11">
        <v>44615.754803240743</v>
      </c>
      <c r="K195" s="1" t="s">
        <v>849</v>
      </c>
      <c r="L195" s="1">
        <f>0.372</f>
        <v>0.372</v>
      </c>
      <c r="M195" s="1">
        <f>0.988</f>
        <v>0.98799999999999999</v>
      </c>
      <c r="N195">
        <v>1</v>
      </c>
      <c r="O195" s="1" t="s">
        <v>12547</v>
      </c>
      <c r="P195">
        <v>1</v>
      </c>
      <c r="Q195" s="1">
        <f>0.411</f>
        <v>0.41099999999999998</v>
      </c>
      <c r="R195" s="1">
        <f>0.193</f>
        <v>0.193</v>
      </c>
      <c r="S195" s="1" t="b">
        <f>0=0=291</f>
        <v>0</v>
      </c>
      <c r="T195" s="1" t="b">
        <f>0=731</f>
        <v>0</v>
      </c>
      <c r="U195" s="1">
        <f>0.314</f>
        <v>0.314</v>
      </c>
      <c r="V195" s="1">
        <v>94.983000000000004</v>
      </c>
      <c r="W195">
        <v>4</v>
      </c>
    </row>
    <row r="196" spans="1:23" x14ac:dyDescent="0.25">
      <c r="A196" s="1" t="s">
        <v>12418</v>
      </c>
      <c r="B196" s="1" t="s">
        <v>12017</v>
      </c>
      <c r="C196" s="1" t="s">
        <v>574</v>
      </c>
      <c r="D196" s="1" t="s">
        <v>574</v>
      </c>
      <c r="E196" s="1" t="s">
        <v>557</v>
      </c>
      <c r="F196" s="10">
        <v>44070</v>
      </c>
      <c r="G196">
        <v>218455</v>
      </c>
      <c r="H196">
        <v>42</v>
      </c>
      <c r="I196" s="1" t="s">
        <v>12001</v>
      </c>
      <c r="J196" s="11">
        <v>44615.754803240743</v>
      </c>
      <c r="K196" s="1" t="s">
        <v>537</v>
      </c>
      <c r="L196" s="1">
        <f>0.565</f>
        <v>0.56499999999999995</v>
      </c>
      <c r="M196" s="1">
        <f>0.963</f>
        <v>0.96299999999999997</v>
      </c>
      <c r="N196">
        <v>2</v>
      </c>
      <c r="O196" s="1">
        <v>-2.8210000000000002</v>
      </c>
      <c r="P196">
        <f>0</f>
        <v>0</v>
      </c>
      <c r="Q196" s="1">
        <f>0.125</f>
        <v>0.125</v>
      </c>
      <c r="R196" s="1" t="b">
        <f>0=162</f>
        <v>0</v>
      </c>
      <c r="S196" s="1">
        <f>0.214</f>
        <v>0.214</v>
      </c>
      <c r="T196" s="1">
        <f>0.115</f>
        <v>0.115</v>
      </c>
      <c r="U196" s="1" t="b">
        <f>0=712</f>
        <v>0</v>
      </c>
      <c r="V196" s="1" t="s">
        <v>12447</v>
      </c>
      <c r="W196">
        <v>4</v>
      </c>
    </row>
    <row r="197" spans="1:23" x14ac:dyDescent="0.25">
      <c r="A197" s="1" t="s">
        <v>12419</v>
      </c>
      <c r="B197" s="1" t="s">
        <v>11982</v>
      </c>
      <c r="C197" s="1" t="s">
        <v>521</v>
      </c>
      <c r="D197" s="1" t="s">
        <v>12420</v>
      </c>
      <c r="E197" s="1" t="s">
        <v>522</v>
      </c>
      <c r="F197" s="10">
        <v>43339</v>
      </c>
      <c r="G197">
        <v>313224</v>
      </c>
      <c r="H197">
        <v>50</v>
      </c>
      <c r="I197" s="1" t="s">
        <v>12001</v>
      </c>
      <c r="J197" s="11">
        <v>44615.754803240743</v>
      </c>
      <c r="K197" s="1" t="s">
        <v>515</v>
      </c>
      <c r="L197" s="1">
        <f>0.489</f>
        <v>0.48899999999999999</v>
      </c>
      <c r="M197" s="1">
        <f>0.992</f>
        <v>0.99199999999999999</v>
      </c>
      <c r="N197">
        <v>11</v>
      </c>
      <c r="O197" s="1">
        <v>-1.6419999999999999</v>
      </c>
      <c r="P197">
        <v>1</v>
      </c>
      <c r="Q197" s="1" t="b">
        <f>0.2=5</f>
        <v>0</v>
      </c>
      <c r="R197" s="1" t="b">
        <f>0=157</f>
        <v>0</v>
      </c>
      <c r="S197" s="1" t="b">
        <f>0=0=485</f>
        <v>0</v>
      </c>
      <c r="T197" s="1">
        <f>0.229</f>
        <v>0.22900000000000001</v>
      </c>
      <c r="U197" s="1" t="b">
        <f>0=551</f>
        <v>0</v>
      </c>
      <c r="V197" s="1" t="s">
        <v>12548</v>
      </c>
      <c r="W197">
        <v>4</v>
      </c>
    </row>
    <row r="198" spans="1:23" x14ac:dyDescent="0.25">
      <c r="A198" s="1" t="s">
        <v>12421</v>
      </c>
      <c r="B198" s="1" t="s">
        <v>11982</v>
      </c>
      <c r="C198" s="1" t="s">
        <v>915</v>
      </c>
      <c r="D198" s="1" t="s">
        <v>915</v>
      </c>
      <c r="E198" s="1" t="s">
        <v>522</v>
      </c>
      <c r="F198" s="10">
        <v>43235</v>
      </c>
      <c r="G198">
        <v>246000</v>
      </c>
      <c r="H198">
        <v>41</v>
      </c>
      <c r="I198" s="1" t="s">
        <v>12001</v>
      </c>
      <c r="J198" s="11">
        <v>44615.754803240743</v>
      </c>
      <c r="K198" s="1" t="s">
        <v>515</v>
      </c>
      <c r="L198" s="1">
        <f>0.448</f>
        <v>0.44800000000000001</v>
      </c>
      <c r="M198" s="1">
        <f>0.958</f>
        <v>0.95799999999999996</v>
      </c>
      <c r="N198">
        <v>11</v>
      </c>
      <c r="O198" s="1">
        <v>-3.343</v>
      </c>
      <c r="P198">
        <v>1</v>
      </c>
      <c r="Q198" s="1" t="b">
        <f>0=822</f>
        <v>0</v>
      </c>
      <c r="R198" s="1" t="b">
        <f>0=0=951</f>
        <v>0</v>
      </c>
      <c r="S198" s="1" t="b">
        <f>0=517</f>
        <v>0</v>
      </c>
      <c r="T198" s="1">
        <f>0.173</f>
        <v>0.17299999999999999</v>
      </c>
      <c r="U198" s="1">
        <f>0.139</f>
        <v>0.13900000000000001</v>
      </c>
      <c r="V198" s="1">
        <v>119.999</v>
      </c>
      <c r="W198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83D55-99D1-431F-BA9B-C3853712A2D2}">
  <sheetPr codeName="Sheet30"/>
  <dimension ref="A1:W51"/>
  <sheetViews>
    <sheetView topLeftCell="J1" workbookViewId="0">
      <selection activeCell="L1" sqref="L1:W1048576"/>
    </sheetView>
  </sheetViews>
  <sheetFormatPr defaultRowHeight="15" x14ac:dyDescent="0.25"/>
  <cols>
    <col min="1" max="1" width="27.85546875" bestFit="1" customWidth="1"/>
    <col min="2" max="2" width="81.140625" bestFit="1" customWidth="1"/>
    <col min="3" max="3" width="46.28515625" bestFit="1" customWidth="1"/>
    <col min="4" max="4" width="56.28515625" bestFit="1" customWidth="1"/>
    <col min="5" max="5" width="60" bestFit="1" customWidth="1"/>
    <col min="6" max="6" width="14.85546875" bestFit="1" customWidth="1"/>
    <col min="7" max="7" width="15.5703125" bestFit="1" customWidth="1"/>
    <col min="8" max="8" width="12.42578125" bestFit="1" customWidth="1"/>
    <col min="9" max="9" width="12.140625" bestFit="1" customWidth="1"/>
    <col min="10" max="10" width="15.85546875" bestFit="1" customWidth="1"/>
    <col min="11" max="11" width="81.140625" bestFit="1" customWidth="1"/>
    <col min="12" max="12" width="14.28515625" bestFit="1" customWidth="1"/>
    <col min="13" max="13" width="9.28515625" bestFit="1" customWidth="1"/>
    <col min="14" max="14" width="6.5703125" bestFit="1" customWidth="1"/>
    <col min="15" max="15" width="11.5703125" bestFit="1" customWidth="1"/>
    <col min="16" max="16" width="8.5703125" bestFit="1" customWidth="1"/>
    <col min="17" max="17" width="14.28515625" bestFit="1" customWidth="1"/>
    <col min="18" max="18" width="14.7109375" bestFit="1" customWidth="1"/>
    <col min="19" max="19" width="18.85546875" bestFit="1" customWidth="1"/>
    <col min="20" max="20" width="10.85546875" bestFit="1" customWidth="1"/>
    <col min="21" max="21" width="10.42578125" bestFit="1" customWidth="1"/>
    <col min="22" max="22" width="9.42578125" bestFit="1" customWidth="1"/>
    <col min="23" max="23" width="16.7109375" bestFit="1" customWidth="1"/>
  </cols>
  <sheetData>
    <row r="1" spans="1:23" x14ac:dyDescent="0.25">
      <c r="A1" t="s">
        <v>11055</v>
      </c>
      <c r="B1" t="s">
        <v>11056</v>
      </c>
      <c r="C1" t="s">
        <v>0</v>
      </c>
      <c r="D1" t="s">
        <v>11057</v>
      </c>
      <c r="E1" t="s">
        <v>1</v>
      </c>
      <c r="F1" t="s">
        <v>11058</v>
      </c>
      <c r="G1" t="s">
        <v>2</v>
      </c>
      <c r="H1" t="s">
        <v>3</v>
      </c>
      <c r="I1" t="s">
        <v>11059</v>
      </c>
      <c r="J1" t="s">
        <v>11060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</row>
    <row r="2" spans="1:23" x14ac:dyDescent="0.25">
      <c r="A2" s="1" t="s">
        <v>12611</v>
      </c>
      <c r="B2" s="1" t="s">
        <v>11130</v>
      </c>
      <c r="C2" s="1" t="s">
        <v>1478</v>
      </c>
      <c r="D2" s="1" t="s">
        <v>1478</v>
      </c>
      <c r="E2" s="1" t="s">
        <v>1479</v>
      </c>
      <c r="F2" s="10">
        <v>44596</v>
      </c>
      <c r="G2">
        <v>131172</v>
      </c>
      <c r="H2">
        <v>70</v>
      </c>
      <c r="I2" s="1" t="s">
        <v>12549</v>
      </c>
      <c r="J2" s="11">
        <v>44729.520879629628</v>
      </c>
      <c r="K2" s="1" t="s">
        <v>1480</v>
      </c>
      <c r="L2" s="1">
        <f>0.522</f>
        <v>0.52200000000000002</v>
      </c>
      <c r="M2" s="1">
        <f>0.934</f>
        <v>0.93400000000000005</v>
      </c>
      <c r="N2">
        <v>2</v>
      </c>
      <c r="O2" s="1">
        <v>-3.7120000000000002</v>
      </c>
      <c r="P2">
        <f>0</f>
        <v>0</v>
      </c>
      <c r="Q2" s="1" t="b">
        <f>0=48</f>
        <v>0</v>
      </c>
      <c r="R2" s="1" t="b">
        <f>0=0=179</f>
        <v>0</v>
      </c>
      <c r="S2" s="1" t="b">
        <f>0=0=0=322</f>
        <v>0</v>
      </c>
      <c r="T2" s="1" t="b">
        <f>0.3=1</f>
        <v>0</v>
      </c>
      <c r="U2" s="1" t="b">
        <f>0=783</f>
        <v>0</v>
      </c>
      <c r="V2" s="1" t="s">
        <v>12690</v>
      </c>
      <c r="W2">
        <v>4</v>
      </c>
    </row>
    <row r="3" spans="1:23" x14ac:dyDescent="0.25">
      <c r="A3" s="1" t="s">
        <v>12612</v>
      </c>
      <c r="B3" s="1" t="s">
        <v>12613</v>
      </c>
      <c r="C3" s="1" t="s">
        <v>1481</v>
      </c>
      <c r="D3" s="1" t="s">
        <v>1481</v>
      </c>
      <c r="E3" s="1" t="s">
        <v>1482</v>
      </c>
      <c r="F3" s="10">
        <v>44610</v>
      </c>
      <c r="G3">
        <v>168704</v>
      </c>
      <c r="H3">
        <v>73</v>
      </c>
      <c r="I3" s="1" t="s">
        <v>12549</v>
      </c>
      <c r="J3" s="11">
        <v>44729.520879629628</v>
      </c>
      <c r="K3" s="1" t="s">
        <v>1045</v>
      </c>
      <c r="L3" s="1">
        <f>0.64</f>
        <v>0.64</v>
      </c>
      <c r="M3" s="1">
        <f>0.862</f>
        <v>0.86199999999999999</v>
      </c>
      <c r="N3">
        <v>7</v>
      </c>
      <c r="O3" s="1">
        <v>-3.8650000000000002</v>
      </c>
      <c r="P3">
        <f>0</f>
        <v>0</v>
      </c>
      <c r="Q3" s="1" t="b">
        <f>0=319</f>
        <v>0</v>
      </c>
      <c r="R3" s="1" t="b">
        <f>0=157</f>
        <v>0</v>
      </c>
      <c r="S3" s="1">
        <f>0.113</f>
        <v>0.113</v>
      </c>
      <c r="T3" s="1">
        <f>0.273</f>
        <v>0.27300000000000002</v>
      </c>
      <c r="U3" s="1">
        <f>0.366</f>
        <v>0.36599999999999999</v>
      </c>
      <c r="V3" s="1" t="s">
        <v>12691</v>
      </c>
      <c r="W3">
        <v>4</v>
      </c>
    </row>
    <row r="4" spans="1:23" x14ac:dyDescent="0.25">
      <c r="A4" s="1" t="s">
        <v>11790</v>
      </c>
      <c r="B4" s="1" t="s">
        <v>11791</v>
      </c>
      <c r="C4" s="1" t="s">
        <v>476</v>
      </c>
      <c r="D4" s="1" t="s">
        <v>476</v>
      </c>
      <c r="E4" s="1" t="s">
        <v>477</v>
      </c>
      <c r="F4" s="10">
        <v>44610</v>
      </c>
      <c r="G4">
        <v>151475</v>
      </c>
      <c r="H4">
        <v>86</v>
      </c>
      <c r="I4" s="1" t="s">
        <v>12549</v>
      </c>
      <c r="J4" s="11">
        <v>44729.520879629628</v>
      </c>
      <c r="K4" s="1" t="s">
        <v>478</v>
      </c>
      <c r="L4" s="1">
        <f>0.845</f>
        <v>0.84499999999999997</v>
      </c>
      <c r="M4" s="1">
        <f>0.797</f>
        <v>0.79700000000000004</v>
      </c>
      <c r="N4">
        <v>1</v>
      </c>
      <c r="O4" s="1">
        <v>-4.984</v>
      </c>
      <c r="P4">
        <v>1</v>
      </c>
      <c r="Q4" s="1">
        <f>0.139</f>
        <v>0.13900000000000001</v>
      </c>
      <c r="R4" s="1" t="b">
        <f>0=582</f>
        <v>0</v>
      </c>
      <c r="S4" s="1" t="b">
        <f>0=0=0=0=0=557</f>
        <v>0</v>
      </c>
      <c r="T4" s="1">
        <f>0.167</f>
        <v>0.16700000000000001</v>
      </c>
      <c r="U4" s="1">
        <f>0.422</f>
        <v>0.42199999999999999</v>
      </c>
      <c r="V4" s="1">
        <v>121.985</v>
      </c>
      <c r="W4">
        <v>4</v>
      </c>
    </row>
    <row r="5" spans="1:23" x14ac:dyDescent="0.25">
      <c r="A5" s="1" t="s">
        <v>12614</v>
      </c>
      <c r="B5" s="1" t="s">
        <v>12615</v>
      </c>
      <c r="C5" s="1" t="s">
        <v>1483</v>
      </c>
      <c r="D5" s="1" t="s">
        <v>1483</v>
      </c>
      <c r="E5" s="1" t="s">
        <v>1484</v>
      </c>
      <c r="F5" s="10">
        <v>44469</v>
      </c>
      <c r="G5">
        <v>267546</v>
      </c>
      <c r="H5">
        <v>76</v>
      </c>
      <c r="I5" s="1" t="s">
        <v>12549</v>
      </c>
      <c r="J5" s="11">
        <v>44729.520879629628</v>
      </c>
      <c r="K5" s="1" t="s">
        <v>364</v>
      </c>
      <c r="L5" s="1">
        <f>0.754</f>
        <v>0.754</v>
      </c>
      <c r="M5" s="1">
        <f>0.841</f>
        <v>0.84099999999999997</v>
      </c>
      <c r="N5">
        <v>11</v>
      </c>
      <c r="O5" s="1">
        <v>-3.19</v>
      </c>
      <c r="P5">
        <v>1</v>
      </c>
      <c r="Q5" s="1">
        <f>0.135</f>
        <v>0.13500000000000001</v>
      </c>
      <c r="R5" s="1">
        <f>0.113</f>
        <v>0.113</v>
      </c>
      <c r="S5" s="1">
        <f>0</f>
        <v>0</v>
      </c>
      <c r="T5" s="1">
        <f>0.466</f>
        <v>0.46600000000000003</v>
      </c>
      <c r="U5" s="1">
        <f>0.541</f>
        <v>0.54100000000000004</v>
      </c>
      <c r="V5" s="1" t="s">
        <v>12692</v>
      </c>
      <c r="W5">
        <v>4</v>
      </c>
    </row>
    <row r="6" spans="1:23" x14ac:dyDescent="0.25">
      <c r="A6" s="1" t="s">
        <v>12616</v>
      </c>
      <c r="B6" s="1" t="s">
        <v>12617</v>
      </c>
      <c r="C6" s="1" t="s">
        <v>1485</v>
      </c>
      <c r="D6" s="1" t="s">
        <v>1485</v>
      </c>
      <c r="E6" s="1" t="s">
        <v>1486</v>
      </c>
      <c r="F6" s="10">
        <v>44614</v>
      </c>
      <c r="G6">
        <v>159357</v>
      </c>
      <c r="H6">
        <v>80</v>
      </c>
      <c r="I6" s="1" t="s">
        <v>12549</v>
      </c>
      <c r="J6" s="11">
        <v>44729.520879629628</v>
      </c>
      <c r="K6" s="1" t="s">
        <v>1487</v>
      </c>
      <c r="L6" s="1">
        <f>0.865</f>
        <v>0.86499999999999999</v>
      </c>
      <c r="M6" s="1">
        <f>0.682</f>
        <v>0.68200000000000005</v>
      </c>
      <c r="N6">
        <v>7</v>
      </c>
      <c r="O6" s="1">
        <v>-4.5629999999999997</v>
      </c>
      <c r="P6">
        <f>0</f>
        <v>0</v>
      </c>
      <c r="Q6" s="1" t="b">
        <f>0=548</f>
        <v>0</v>
      </c>
      <c r="R6" s="1">
        <f>0.284</f>
        <v>0.28399999999999997</v>
      </c>
      <c r="S6" s="1" t="b">
        <f>0=0=445</f>
        <v>0</v>
      </c>
      <c r="T6" s="1" t="b">
        <f>0=422</f>
        <v>0</v>
      </c>
      <c r="U6" s="1" t="b">
        <f>0.5=8</f>
        <v>0</v>
      </c>
      <c r="V6" s="1" t="s">
        <v>12693</v>
      </c>
      <c r="W6">
        <v>4</v>
      </c>
    </row>
    <row r="7" spans="1:23" x14ac:dyDescent="0.25">
      <c r="A7" s="1" t="s">
        <v>11253</v>
      </c>
      <c r="B7" s="1" t="s">
        <v>11254</v>
      </c>
      <c r="C7" s="1" t="s">
        <v>54</v>
      </c>
      <c r="D7" s="1" t="s">
        <v>54</v>
      </c>
      <c r="E7" s="1" t="s">
        <v>55</v>
      </c>
      <c r="F7" s="10">
        <v>44610</v>
      </c>
      <c r="G7">
        <v>189880</v>
      </c>
      <c r="H7">
        <v>79</v>
      </c>
      <c r="I7" s="1" t="s">
        <v>12549</v>
      </c>
      <c r="J7" s="11">
        <v>44729.520879629628</v>
      </c>
      <c r="K7" s="1" t="s">
        <v>56</v>
      </c>
      <c r="L7" s="1">
        <f>0.878</f>
        <v>0.878</v>
      </c>
      <c r="M7" s="1">
        <f>0.875</f>
        <v>0.875</v>
      </c>
      <c r="N7">
        <v>1</v>
      </c>
      <c r="O7" s="1">
        <v>-4.923</v>
      </c>
      <c r="P7">
        <v>1</v>
      </c>
      <c r="Q7" s="1" t="b">
        <f>0=658</f>
        <v>0</v>
      </c>
      <c r="R7" s="1" t="b">
        <f>0=5=7</f>
        <v>0</v>
      </c>
      <c r="S7" s="1" t="b">
        <f>0=0=0=0=342</f>
        <v>0</v>
      </c>
      <c r="T7" s="1">
        <f>0.356</f>
        <v>0.35599999999999998</v>
      </c>
      <c r="U7" s="1">
        <f>0.84</f>
        <v>0.84</v>
      </c>
      <c r="V7" s="1" t="s">
        <v>11823</v>
      </c>
      <c r="W7">
        <v>4</v>
      </c>
    </row>
    <row r="8" spans="1:23" x14ac:dyDescent="0.25">
      <c r="A8" s="1" t="s">
        <v>12618</v>
      </c>
      <c r="B8" s="1" t="s">
        <v>12619</v>
      </c>
      <c r="C8" s="1" t="s">
        <v>1488</v>
      </c>
      <c r="D8" s="1" t="s">
        <v>1488</v>
      </c>
      <c r="E8" s="1" t="s">
        <v>1489</v>
      </c>
      <c r="F8" s="10">
        <v>44148</v>
      </c>
      <c r="G8">
        <v>182700</v>
      </c>
      <c r="H8">
        <v>71</v>
      </c>
      <c r="I8" s="1" t="s">
        <v>12549</v>
      </c>
      <c r="J8" s="11">
        <v>44729.520879629628</v>
      </c>
      <c r="K8" s="1" t="s">
        <v>50</v>
      </c>
      <c r="L8" s="1">
        <f>0.787</f>
        <v>0.78700000000000003</v>
      </c>
      <c r="M8" s="1">
        <f>0.828</f>
        <v>0.82799999999999996</v>
      </c>
      <c r="N8">
        <v>11</v>
      </c>
      <c r="O8" s="1">
        <v>-3.5790000000000002</v>
      </c>
      <c r="P8">
        <f>0</f>
        <v>0</v>
      </c>
      <c r="Q8" s="1" t="b">
        <f>0=297</f>
        <v>0</v>
      </c>
      <c r="R8" s="1" t="b">
        <f>0.1=6</f>
        <v>0</v>
      </c>
      <c r="S8" s="1" t="b">
        <f>0=0=0=6=5</f>
        <v>0</v>
      </c>
      <c r="T8" s="1" t="b">
        <f>0.1=5</f>
        <v>0</v>
      </c>
      <c r="U8" s="1">
        <f>0.544</f>
        <v>0.54400000000000004</v>
      </c>
      <c r="V8" s="1">
        <v>119.953</v>
      </c>
      <c r="W8">
        <v>4</v>
      </c>
    </row>
    <row r="9" spans="1:23" x14ac:dyDescent="0.25">
      <c r="A9" s="1" t="s">
        <v>12620</v>
      </c>
      <c r="B9" s="1" t="s">
        <v>12621</v>
      </c>
      <c r="C9" s="1" t="s">
        <v>1490</v>
      </c>
      <c r="D9" s="1" t="s">
        <v>1490</v>
      </c>
      <c r="E9" s="1" t="s">
        <v>1491</v>
      </c>
      <c r="F9" s="10">
        <v>44602</v>
      </c>
      <c r="G9">
        <v>219813</v>
      </c>
      <c r="H9">
        <v>78</v>
      </c>
      <c r="I9" s="1" t="s">
        <v>12549</v>
      </c>
      <c r="J9" s="11">
        <v>44729.520879629628</v>
      </c>
      <c r="K9" s="1" t="s">
        <v>1492</v>
      </c>
      <c r="L9" s="1">
        <f>0.811</f>
        <v>0.81100000000000005</v>
      </c>
      <c r="M9" s="1">
        <f>0.781</f>
        <v>0.78100000000000003</v>
      </c>
      <c r="N9">
        <v>11</v>
      </c>
      <c r="O9" s="1">
        <v>-6.3330000000000002</v>
      </c>
      <c r="P9">
        <v>1</v>
      </c>
      <c r="Q9" s="1" t="b">
        <f>0=428</f>
        <v>0</v>
      </c>
      <c r="R9" s="1">
        <f>0.376</f>
        <v>0.376</v>
      </c>
      <c r="S9" s="1" t="b">
        <f>0=0=1</f>
        <v>0</v>
      </c>
      <c r="T9" s="1">
        <f>0.121</f>
        <v>0.121</v>
      </c>
      <c r="U9" s="1">
        <f>0.824</f>
        <v>0.82399999999999995</v>
      </c>
      <c r="V9" s="1" t="s">
        <v>12694</v>
      </c>
      <c r="W9">
        <v>4</v>
      </c>
    </row>
    <row r="10" spans="1:23" x14ac:dyDescent="0.25">
      <c r="A10" s="1" t="s">
        <v>12622</v>
      </c>
      <c r="B10" s="1" t="s">
        <v>12623</v>
      </c>
      <c r="C10" s="1" t="s">
        <v>1493</v>
      </c>
      <c r="D10" s="1" t="s">
        <v>1493</v>
      </c>
      <c r="E10" s="1" t="s">
        <v>1494</v>
      </c>
      <c r="F10" s="10">
        <v>44638</v>
      </c>
      <c r="G10">
        <v>132755</v>
      </c>
      <c r="H10">
        <v>65</v>
      </c>
      <c r="I10" s="1" t="s">
        <v>12549</v>
      </c>
      <c r="J10" s="11">
        <v>44729.520879629628</v>
      </c>
      <c r="K10" s="1" t="s">
        <v>1495</v>
      </c>
      <c r="L10" s="1">
        <f>0.72</f>
        <v>0.72</v>
      </c>
      <c r="M10" s="1">
        <f>0.68</f>
        <v>0.68</v>
      </c>
      <c r="N10">
        <v>1</v>
      </c>
      <c r="O10" s="1">
        <v>-7.157</v>
      </c>
      <c r="P10">
        <v>1</v>
      </c>
      <c r="Q10" s="1">
        <f>0.275</f>
        <v>0.27500000000000002</v>
      </c>
      <c r="R10" s="1">
        <f>0.167</f>
        <v>0.16700000000000001</v>
      </c>
      <c r="S10" s="1" t="b">
        <f>0=0=0=0=125</f>
        <v>0</v>
      </c>
      <c r="T10" s="1">
        <f>0.426</f>
        <v>0.42599999999999999</v>
      </c>
      <c r="U10" s="1">
        <f>0.657</f>
        <v>0.65700000000000003</v>
      </c>
      <c r="V10" s="1">
        <v>126.955</v>
      </c>
      <c r="W10">
        <v>4</v>
      </c>
    </row>
    <row r="11" spans="1:23" x14ac:dyDescent="0.25">
      <c r="A11" s="1" t="s">
        <v>12624</v>
      </c>
      <c r="B11" s="1" t="s">
        <v>12625</v>
      </c>
      <c r="C11" s="1" t="s">
        <v>1496</v>
      </c>
      <c r="D11" s="1" t="s">
        <v>1496</v>
      </c>
      <c r="E11" s="1" t="s">
        <v>1497</v>
      </c>
      <c r="F11" s="10">
        <v>44715</v>
      </c>
      <c r="G11">
        <v>149642</v>
      </c>
      <c r="H11">
        <v>67</v>
      </c>
      <c r="I11" s="1" t="s">
        <v>12549</v>
      </c>
      <c r="J11" s="11">
        <v>44729.520879629628</v>
      </c>
      <c r="K11" s="1" t="s">
        <v>1498</v>
      </c>
      <c r="L11" s="1" t="b">
        <f>0.7=6</f>
        <v>0</v>
      </c>
      <c r="M11" s="1">
        <f>0.778</f>
        <v>0.77800000000000002</v>
      </c>
      <c r="N11" t="s">
        <v>11825</v>
      </c>
      <c r="O11" s="1">
        <v>-4.4909999999999997</v>
      </c>
      <c r="P11">
        <v>1</v>
      </c>
      <c r="Q11" s="1" t="b">
        <f>0=6=6</f>
        <v>0</v>
      </c>
      <c r="R11" s="1">
        <f>0.198</f>
        <v>0.19800000000000001</v>
      </c>
      <c r="S11" s="1" t="b">
        <f>0=0=0=0=1=6</f>
        <v>0</v>
      </c>
      <c r="T11" s="1" t="b">
        <f>0=778</f>
        <v>0</v>
      </c>
      <c r="U11" s="1">
        <f>0.376</f>
        <v>0.376</v>
      </c>
      <c r="V11" s="1">
        <v>125.893</v>
      </c>
      <c r="W11">
        <v>4</v>
      </c>
    </row>
    <row r="12" spans="1:23" x14ac:dyDescent="0.25">
      <c r="A12" s="1" t="s">
        <v>12626</v>
      </c>
      <c r="B12" s="1" t="s">
        <v>11615</v>
      </c>
      <c r="C12" s="1" t="s">
        <v>1499</v>
      </c>
      <c r="D12" s="1" t="s">
        <v>1499</v>
      </c>
      <c r="E12" s="1" t="s">
        <v>334</v>
      </c>
      <c r="F12" s="10">
        <v>44694</v>
      </c>
      <c r="G12">
        <v>186239</v>
      </c>
      <c r="H12">
        <v>70</v>
      </c>
      <c r="I12" s="1" t="s">
        <v>12549</v>
      </c>
      <c r="J12" s="11">
        <v>44729.520879629628</v>
      </c>
      <c r="K12" s="1" t="s">
        <v>335</v>
      </c>
      <c r="L12" s="1">
        <f>0.836</f>
        <v>0.83599999999999997</v>
      </c>
      <c r="M12" s="1">
        <f>0.811</f>
        <v>0.81100000000000005</v>
      </c>
      <c r="N12">
        <v>5</v>
      </c>
      <c r="O12" s="1">
        <v>-4.9379999999999997</v>
      </c>
      <c r="P12">
        <f>0</f>
        <v>0</v>
      </c>
      <c r="Q12" s="1" t="b">
        <f>0=7=2</f>
        <v>0</v>
      </c>
      <c r="R12" s="1" t="b">
        <f>0=147</f>
        <v>0</v>
      </c>
      <c r="S12" s="1" t="b">
        <f>0=0=392</f>
        <v>0</v>
      </c>
      <c r="T12" s="1" t="b">
        <f>0=774</f>
        <v>0</v>
      </c>
      <c r="U12" s="1">
        <f>0.822</f>
        <v>0.82199999999999995</v>
      </c>
      <c r="V12" s="1" t="s">
        <v>12695</v>
      </c>
      <c r="W12">
        <v>4</v>
      </c>
    </row>
    <row r="13" spans="1:23" x14ac:dyDescent="0.25">
      <c r="A13" s="1" t="s">
        <v>12627</v>
      </c>
      <c r="B13" s="1" t="s">
        <v>12628</v>
      </c>
      <c r="C13" s="1" t="s">
        <v>1500</v>
      </c>
      <c r="D13" s="1" t="s">
        <v>1500</v>
      </c>
      <c r="E13" s="1" t="s">
        <v>1501</v>
      </c>
      <c r="F13" s="10">
        <v>44729</v>
      </c>
      <c r="G13">
        <v>165752</v>
      </c>
      <c r="H13">
        <v>0</v>
      </c>
      <c r="I13" s="1" t="s">
        <v>12549</v>
      </c>
      <c r="J13" s="11">
        <v>44729.520879629628</v>
      </c>
      <c r="K13" s="1" t="s">
        <v>1502</v>
      </c>
      <c r="L13" s="1">
        <f>0.687</f>
        <v>0.68700000000000006</v>
      </c>
      <c r="M13" s="1">
        <f>0.818</f>
        <v>0.81799999999999995</v>
      </c>
      <c r="N13">
        <f>0</f>
        <v>0</v>
      </c>
      <c r="O13" s="1">
        <v>-4.2210000000000001</v>
      </c>
      <c r="P13">
        <v>1</v>
      </c>
      <c r="Q13" s="1" t="b">
        <f>0=778</f>
        <v>0</v>
      </c>
      <c r="R13" s="1" t="b">
        <f>0=112</f>
        <v>0</v>
      </c>
      <c r="S13" s="1">
        <f>0</f>
        <v>0</v>
      </c>
      <c r="T13" s="1">
        <f>0.248</f>
        <v>0.248</v>
      </c>
      <c r="U13" s="1">
        <f>0.886</f>
        <v>0.88600000000000001</v>
      </c>
      <c r="V13" s="1">
        <v>125.952</v>
      </c>
      <c r="W13">
        <v>4</v>
      </c>
    </row>
    <row r="14" spans="1:23" x14ac:dyDescent="0.25">
      <c r="A14" s="1" t="s">
        <v>12550</v>
      </c>
      <c r="B14" s="1" t="s">
        <v>12551</v>
      </c>
      <c r="C14" s="1" t="s">
        <v>1503</v>
      </c>
      <c r="D14" s="1" t="s">
        <v>2288</v>
      </c>
      <c r="E14" s="1" t="s">
        <v>1504</v>
      </c>
      <c r="F14" s="10">
        <v>44666</v>
      </c>
      <c r="G14">
        <v>214071</v>
      </c>
      <c r="H14">
        <v>81</v>
      </c>
      <c r="I14" s="1" t="s">
        <v>12549</v>
      </c>
      <c r="J14" s="11">
        <v>44729.520879629628</v>
      </c>
      <c r="K14" s="1" t="s">
        <v>1505</v>
      </c>
      <c r="L14" s="1">
        <f>0.665</f>
        <v>0.66500000000000004</v>
      </c>
      <c r="M14" s="1">
        <f>0.738</f>
        <v>0.73799999999999999</v>
      </c>
      <c r="N14">
        <f>0</f>
        <v>0</v>
      </c>
      <c r="O14" s="1">
        <v>-5.931</v>
      </c>
      <c r="P14">
        <f>0</f>
        <v>0</v>
      </c>
      <c r="Q14" s="1" t="b">
        <f>0=379</f>
        <v>0</v>
      </c>
      <c r="R14" s="1" t="b">
        <f>0=124</f>
        <v>0</v>
      </c>
      <c r="S14" s="1" t="b">
        <f>0=0=598</f>
        <v>0</v>
      </c>
      <c r="T14" s="1" t="b">
        <f>0=923</f>
        <v>0</v>
      </c>
      <c r="U14" s="1" t="b">
        <f>0=389</f>
        <v>0</v>
      </c>
      <c r="V14" s="1" t="s">
        <v>12608</v>
      </c>
      <c r="W14">
        <v>4</v>
      </c>
    </row>
    <row r="15" spans="1:23" x14ac:dyDescent="0.25">
      <c r="A15" s="1" t="s">
        <v>11641</v>
      </c>
      <c r="B15" s="1" t="s">
        <v>11642</v>
      </c>
      <c r="C15" s="1" t="s">
        <v>362</v>
      </c>
      <c r="D15" s="1" t="s">
        <v>362</v>
      </c>
      <c r="E15" s="1" t="s">
        <v>363</v>
      </c>
      <c r="F15" s="10">
        <v>44371</v>
      </c>
      <c r="G15">
        <v>287120</v>
      </c>
      <c r="H15">
        <v>88</v>
      </c>
      <c r="I15" s="1" t="s">
        <v>12549</v>
      </c>
      <c r="J15" s="11">
        <v>44729.520879629628</v>
      </c>
      <c r="K15" s="1" t="s">
        <v>364</v>
      </c>
      <c r="L15" s="1">
        <f>0.762</f>
        <v>0.76200000000000001</v>
      </c>
      <c r="M15" s="1">
        <f>0.766</f>
        <v>0.76600000000000001</v>
      </c>
      <c r="N15">
        <v>7</v>
      </c>
      <c r="O15" s="1">
        <v>-3.9550000000000001</v>
      </c>
      <c r="P15">
        <v>1</v>
      </c>
      <c r="Q15" s="1" t="b">
        <f>0=343</f>
        <v>0</v>
      </c>
      <c r="R15" s="1" t="b">
        <f>0=0=776</f>
        <v>0</v>
      </c>
      <c r="S15" s="1" t="b">
        <f>0=0=0=0=698</f>
        <v>0</v>
      </c>
      <c r="T15" s="1">
        <f>0.128</f>
        <v>0.128</v>
      </c>
      <c r="U15" s="1">
        <f>0.442</f>
        <v>0.442</v>
      </c>
      <c r="V15" s="1" t="s">
        <v>11920</v>
      </c>
      <c r="W15">
        <v>4</v>
      </c>
    </row>
    <row r="16" spans="1:23" x14ac:dyDescent="0.25">
      <c r="A16" s="1" t="s">
        <v>12629</v>
      </c>
      <c r="B16" s="1" t="s">
        <v>12630</v>
      </c>
      <c r="C16" s="1" t="s">
        <v>1506</v>
      </c>
      <c r="D16" s="1" t="s">
        <v>1506</v>
      </c>
      <c r="E16" s="1" t="s">
        <v>1507</v>
      </c>
      <c r="F16" s="10">
        <v>44540</v>
      </c>
      <c r="G16">
        <v>163977</v>
      </c>
      <c r="H16">
        <v>73</v>
      </c>
      <c r="I16" s="1" t="s">
        <v>12549</v>
      </c>
      <c r="J16" s="11">
        <v>44729.520879629628</v>
      </c>
      <c r="K16" s="1" t="s">
        <v>1045</v>
      </c>
      <c r="L16" s="1">
        <f>0.798</f>
        <v>0.79800000000000004</v>
      </c>
      <c r="M16" s="1">
        <f>0.763</f>
        <v>0.76300000000000001</v>
      </c>
      <c r="N16" t="s">
        <v>11825</v>
      </c>
      <c r="O16" s="1">
        <v>-6.1340000000000003</v>
      </c>
      <c r="P16">
        <f>0</f>
        <v>0</v>
      </c>
      <c r="Q16" s="1" t="b">
        <f>0=654</f>
        <v>0</v>
      </c>
      <c r="R16" s="1" t="b">
        <f>0.2=4</f>
        <v>0</v>
      </c>
      <c r="S16" s="1">
        <f>0</f>
        <v>0</v>
      </c>
      <c r="T16" s="1">
        <f>0.213</f>
        <v>0.21299999999999999</v>
      </c>
      <c r="U16" s="1">
        <f>0.698</f>
        <v>0.69799999999999995</v>
      </c>
      <c r="V16" s="1" t="s">
        <v>12696</v>
      </c>
      <c r="W16">
        <v>4</v>
      </c>
    </row>
    <row r="17" spans="1:23" x14ac:dyDescent="0.25">
      <c r="A17" s="1" t="s">
        <v>12631</v>
      </c>
      <c r="B17" s="1" t="s">
        <v>12632</v>
      </c>
      <c r="C17" s="1" t="s">
        <v>1508</v>
      </c>
      <c r="D17" s="1" t="s">
        <v>1508</v>
      </c>
      <c r="E17" s="1" t="s">
        <v>1509</v>
      </c>
      <c r="F17" s="10">
        <v>44596</v>
      </c>
      <c r="G17">
        <v>209333</v>
      </c>
      <c r="H17">
        <v>72</v>
      </c>
      <c r="I17" s="1" t="s">
        <v>12549</v>
      </c>
      <c r="J17" s="11">
        <v>44729.520879629628</v>
      </c>
      <c r="K17" s="1" t="s">
        <v>1510</v>
      </c>
      <c r="L17" s="1">
        <f>0.723</f>
        <v>0.72299999999999998</v>
      </c>
      <c r="M17" s="1">
        <f>0.87</f>
        <v>0.87</v>
      </c>
      <c r="N17">
        <v>1</v>
      </c>
      <c r="O17" s="1">
        <v>-2.1520000000000001</v>
      </c>
      <c r="P17">
        <f>0</f>
        <v>0</v>
      </c>
      <c r="Q17" s="1" t="b">
        <f>0=497</f>
        <v>0</v>
      </c>
      <c r="R17" s="1" t="b">
        <f>0=215</f>
        <v>0</v>
      </c>
      <c r="S17" s="1" t="b">
        <f>0=0=0=0=0=368</f>
        <v>0</v>
      </c>
      <c r="T17" s="1">
        <f>0.148</f>
        <v>0.14799999999999999</v>
      </c>
      <c r="U17" s="1">
        <f>0.659</f>
        <v>0.65900000000000003</v>
      </c>
      <c r="V17" s="1" t="s">
        <v>12697</v>
      </c>
      <c r="W17">
        <v>4</v>
      </c>
    </row>
    <row r="18" spans="1:23" x14ac:dyDescent="0.25">
      <c r="A18" s="1" t="s">
        <v>12633</v>
      </c>
      <c r="B18" s="1" t="s">
        <v>12634</v>
      </c>
      <c r="C18" s="1" t="s">
        <v>1511</v>
      </c>
      <c r="D18" s="1" t="s">
        <v>1511</v>
      </c>
      <c r="E18" s="1" t="s">
        <v>1512</v>
      </c>
      <c r="F18" s="10">
        <v>44712</v>
      </c>
      <c r="G18">
        <v>184799</v>
      </c>
      <c r="H18">
        <v>70</v>
      </c>
      <c r="I18" s="1" t="s">
        <v>12549</v>
      </c>
      <c r="J18" s="11">
        <v>44729.520879629628</v>
      </c>
      <c r="K18" s="1" t="s">
        <v>1513</v>
      </c>
      <c r="L18" s="1">
        <f>0.655</f>
        <v>0.65500000000000003</v>
      </c>
      <c r="M18" s="1">
        <f>0.923</f>
        <v>0.92300000000000004</v>
      </c>
      <c r="N18">
        <v>7</v>
      </c>
      <c r="O18" s="1">
        <v>-3.5</v>
      </c>
      <c r="P18">
        <v>1</v>
      </c>
      <c r="Q18" s="1">
        <f>0.216</f>
        <v>0.216</v>
      </c>
      <c r="R18" s="1" t="b">
        <f>0=581</f>
        <v>0</v>
      </c>
      <c r="S18" s="1" t="b">
        <f>0=0=259</f>
        <v>0</v>
      </c>
      <c r="T18" s="1">
        <f>0.382</f>
        <v>0.38200000000000001</v>
      </c>
      <c r="U18" s="1">
        <f>0.45</f>
        <v>0.45</v>
      </c>
      <c r="V18" s="1">
        <v>99.960999999999999</v>
      </c>
      <c r="W18">
        <v>4</v>
      </c>
    </row>
    <row r="19" spans="1:23" x14ac:dyDescent="0.25">
      <c r="A19" s="1" t="s">
        <v>12635</v>
      </c>
      <c r="B19" s="1" t="s">
        <v>12636</v>
      </c>
      <c r="C19" s="1" t="s">
        <v>1514</v>
      </c>
      <c r="D19" s="1" t="s">
        <v>1514</v>
      </c>
      <c r="E19" s="1" t="s">
        <v>1515</v>
      </c>
      <c r="F19" s="10">
        <v>44701</v>
      </c>
      <c r="G19">
        <v>171954</v>
      </c>
      <c r="H19">
        <v>74</v>
      </c>
      <c r="I19" s="1" t="s">
        <v>12549</v>
      </c>
      <c r="J19" s="11">
        <v>44729.520879629628</v>
      </c>
      <c r="K19" s="1" t="s">
        <v>1516</v>
      </c>
      <c r="L19" s="1">
        <f>0.636</f>
        <v>0.63600000000000001</v>
      </c>
      <c r="M19" s="1">
        <f>0.936</f>
        <v>0.93600000000000005</v>
      </c>
      <c r="N19">
        <v>7</v>
      </c>
      <c r="O19" s="1">
        <v>-2.65</v>
      </c>
      <c r="P19">
        <f>0</f>
        <v>0</v>
      </c>
      <c r="Q19" s="1" t="b">
        <f>0=729</f>
        <v>0</v>
      </c>
      <c r="R19" s="1">
        <f>0.177</f>
        <v>0.17699999999999999</v>
      </c>
      <c r="S19" s="1">
        <f>0</f>
        <v>0</v>
      </c>
      <c r="T19" s="1" t="b">
        <f>0=879</f>
        <v>0</v>
      </c>
      <c r="U19" s="1">
        <f>0.415</f>
        <v>0.41499999999999998</v>
      </c>
      <c r="V19" s="1" t="s">
        <v>12698</v>
      </c>
      <c r="W19">
        <v>4</v>
      </c>
    </row>
    <row r="20" spans="1:23" x14ac:dyDescent="0.25">
      <c r="A20" s="1" t="s">
        <v>12552</v>
      </c>
      <c r="B20" s="1" t="s">
        <v>12553</v>
      </c>
      <c r="C20" s="1" t="s">
        <v>1517</v>
      </c>
      <c r="D20" s="1" t="s">
        <v>1517</v>
      </c>
      <c r="E20" s="1" t="s">
        <v>1518</v>
      </c>
      <c r="F20" s="10">
        <v>44680</v>
      </c>
      <c r="G20">
        <v>155253</v>
      </c>
      <c r="H20">
        <v>81</v>
      </c>
      <c r="I20" s="1" t="s">
        <v>12549</v>
      </c>
      <c r="J20" s="11">
        <v>44729.520879629628</v>
      </c>
      <c r="K20" s="1" t="s">
        <v>1519</v>
      </c>
      <c r="L20" s="1">
        <f>0.621</f>
        <v>0.621</v>
      </c>
      <c r="M20" s="1">
        <f>0.785</f>
        <v>0.78500000000000003</v>
      </c>
      <c r="N20">
        <v>6</v>
      </c>
      <c r="O20" s="1">
        <v>-4.4989999999999997</v>
      </c>
      <c r="P20">
        <v>1</v>
      </c>
      <c r="Q20" s="1">
        <f>0.11</f>
        <v>0.11</v>
      </c>
      <c r="R20" s="1" t="b">
        <f>0=165</f>
        <v>0</v>
      </c>
      <c r="S20" s="1" t="b">
        <f>0=0=0=0=0=592</f>
        <v>0</v>
      </c>
      <c r="T20" s="1" t="b">
        <f>0=512</f>
        <v>0</v>
      </c>
      <c r="U20" s="1">
        <f>0.779</f>
        <v>0.77900000000000003</v>
      </c>
      <c r="V20" s="1">
        <v>123.96</v>
      </c>
      <c r="W20">
        <v>4</v>
      </c>
    </row>
    <row r="21" spans="1:23" x14ac:dyDescent="0.25">
      <c r="A21" s="1" t="s">
        <v>12637</v>
      </c>
      <c r="B21" s="1" t="s">
        <v>12638</v>
      </c>
      <c r="C21" s="1" t="s">
        <v>1520</v>
      </c>
      <c r="D21" s="1" t="s">
        <v>1520</v>
      </c>
      <c r="E21" s="1" t="s">
        <v>1521</v>
      </c>
      <c r="F21" s="10">
        <v>44652</v>
      </c>
      <c r="G21">
        <v>135264</v>
      </c>
      <c r="H21">
        <v>84</v>
      </c>
      <c r="I21" s="1" t="s">
        <v>12549</v>
      </c>
      <c r="J21" s="11">
        <v>44729.520879629628</v>
      </c>
      <c r="K21" s="1" t="s">
        <v>1522</v>
      </c>
      <c r="L21" s="1">
        <f>0.684</f>
        <v>0.68400000000000005</v>
      </c>
      <c r="M21" s="1">
        <f>0.545</f>
        <v>0.54500000000000004</v>
      </c>
      <c r="N21">
        <v>1</v>
      </c>
      <c r="O21" s="1">
        <v>-6.8849999999999998</v>
      </c>
      <c r="P21">
        <v>1</v>
      </c>
      <c r="Q21" s="1">
        <f>0.121</f>
        <v>0.121</v>
      </c>
      <c r="R21" s="1">
        <f>0.159</f>
        <v>0.159</v>
      </c>
      <c r="S21" s="1">
        <f>0</f>
        <v>0</v>
      </c>
      <c r="T21" s="1" t="b">
        <f>0.1=2</f>
        <v>0</v>
      </c>
      <c r="U21" s="1" t="b">
        <f>0.4=7</f>
        <v>0</v>
      </c>
      <c r="V21" s="1" t="s">
        <v>12699</v>
      </c>
      <c r="W21">
        <v>4</v>
      </c>
    </row>
    <row r="22" spans="1:23" x14ac:dyDescent="0.25">
      <c r="A22" s="1" t="s">
        <v>12639</v>
      </c>
      <c r="B22" s="1" t="s">
        <v>12640</v>
      </c>
      <c r="C22" s="1" t="s">
        <v>1523</v>
      </c>
      <c r="D22" s="1" t="s">
        <v>1523</v>
      </c>
      <c r="E22" s="1" t="s">
        <v>1524</v>
      </c>
      <c r="F22" s="10">
        <v>44511</v>
      </c>
      <c r="G22">
        <v>193805</v>
      </c>
      <c r="H22">
        <v>90</v>
      </c>
      <c r="I22" s="1" t="s">
        <v>12549</v>
      </c>
      <c r="J22" s="11">
        <v>44729.520879629628</v>
      </c>
      <c r="K22" s="1" t="s">
        <v>1525</v>
      </c>
      <c r="L22" s="1">
        <f>0.812</f>
        <v>0.81200000000000006</v>
      </c>
      <c r="M22" s="1">
        <f>0.736</f>
        <v>0.73599999999999999</v>
      </c>
      <c r="N22">
        <v>4</v>
      </c>
      <c r="O22" s="1">
        <v>-5.4210000000000003</v>
      </c>
      <c r="P22">
        <f>0</f>
        <v>0</v>
      </c>
      <c r="Q22" s="1" t="b">
        <f>0=833</f>
        <v>0</v>
      </c>
      <c r="R22" s="1">
        <f>0.152</f>
        <v>0.152</v>
      </c>
      <c r="S22" s="1" t="b">
        <f>0=0=254</f>
        <v>0</v>
      </c>
      <c r="T22" s="1" t="b">
        <f>0=914</f>
        <v>0</v>
      </c>
      <c r="U22" s="1">
        <f>0.396</f>
        <v>0.39600000000000002</v>
      </c>
      <c r="V22" s="1">
        <v>91.992999999999995</v>
      </c>
      <c r="W22">
        <v>4</v>
      </c>
    </row>
    <row r="23" spans="1:23" x14ac:dyDescent="0.25">
      <c r="A23" s="1" t="s">
        <v>12641</v>
      </c>
      <c r="B23" s="1" t="s">
        <v>12642</v>
      </c>
      <c r="C23" s="1" t="s">
        <v>1526</v>
      </c>
      <c r="D23" s="1" t="s">
        <v>12643</v>
      </c>
      <c r="E23" s="1" t="s">
        <v>1527</v>
      </c>
      <c r="F23" s="10">
        <v>44708</v>
      </c>
      <c r="G23">
        <v>202844</v>
      </c>
      <c r="H23">
        <v>72</v>
      </c>
      <c r="I23" s="1" t="s">
        <v>12549</v>
      </c>
      <c r="J23" s="11">
        <v>44729.520879629628</v>
      </c>
      <c r="K23" s="1" t="s">
        <v>1528</v>
      </c>
      <c r="L23" s="1">
        <f>0.765</f>
        <v>0.76500000000000001</v>
      </c>
      <c r="M23" s="1">
        <f>0.685</f>
        <v>0.68500000000000005</v>
      </c>
      <c r="N23">
        <v>7</v>
      </c>
      <c r="O23" s="1">
        <v>-6.5640000000000001</v>
      </c>
      <c r="P23">
        <v>1</v>
      </c>
      <c r="Q23" s="1" t="b">
        <f>0=472</f>
        <v>0</v>
      </c>
      <c r="R23" s="1">
        <f>0.336</f>
        <v>0.33600000000000002</v>
      </c>
      <c r="S23" s="1">
        <f>0</f>
        <v>0</v>
      </c>
      <c r="T23" s="1">
        <f>0.236</f>
        <v>0.23599999999999999</v>
      </c>
      <c r="U23" s="1">
        <f>0.963</f>
        <v>0.96299999999999997</v>
      </c>
      <c r="V23" s="1" t="s">
        <v>12700</v>
      </c>
      <c r="W23">
        <v>4</v>
      </c>
    </row>
    <row r="24" spans="1:23" x14ac:dyDescent="0.25">
      <c r="A24" s="1" t="s">
        <v>12644</v>
      </c>
      <c r="B24" s="1" t="s">
        <v>12645</v>
      </c>
      <c r="C24" s="1" t="s">
        <v>1529</v>
      </c>
      <c r="D24" s="1" t="s">
        <v>1529</v>
      </c>
      <c r="E24" s="1" t="s">
        <v>1530</v>
      </c>
      <c r="F24" s="10">
        <v>44624</v>
      </c>
      <c r="G24">
        <v>206070</v>
      </c>
      <c r="H24">
        <v>91</v>
      </c>
      <c r="I24" s="1" t="s">
        <v>12549</v>
      </c>
      <c r="J24" s="11">
        <v>44729.520879629628</v>
      </c>
      <c r="K24" s="1" t="s">
        <v>1531</v>
      </c>
      <c r="L24" s="1">
        <f>0.756</f>
        <v>0.75600000000000001</v>
      </c>
      <c r="M24" s="1">
        <f>0.697</f>
        <v>0.69699999999999995</v>
      </c>
      <c r="N24">
        <v>8</v>
      </c>
      <c r="O24" s="1">
        <v>-6.3769999999999998</v>
      </c>
      <c r="P24">
        <v>1</v>
      </c>
      <c r="Q24" s="1" t="b">
        <f>0=4=1</f>
        <v>0</v>
      </c>
      <c r="R24" s="1">
        <f>0.182</f>
        <v>0.182</v>
      </c>
      <c r="S24" s="1">
        <f>0</f>
        <v>0</v>
      </c>
      <c r="T24" s="1">
        <f>0.333</f>
        <v>0.33300000000000002</v>
      </c>
      <c r="U24" s="1">
        <f>0.956</f>
        <v>0.95599999999999996</v>
      </c>
      <c r="V24" s="1">
        <v>94.995999999999995</v>
      </c>
      <c r="W24">
        <v>4</v>
      </c>
    </row>
    <row r="25" spans="1:23" x14ac:dyDescent="0.25">
      <c r="A25" s="1" t="s">
        <v>12646</v>
      </c>
      <c r="B25" s="1" t="s">
        <v>12647</v>
      </c>
      <c r="C25" s="1" t="s">
        <v>1532</v>
      </c>
      <c r="D25" s="1" t="s">
        <v>1532</v>
      </c>
      <c r="E25" s="1" t="s">
        <v>1533</v>
      </c>
      <c r="F25" s="10">
        <v>44624</v>
      </c>
      <c r="G25">
        <v>164848</v>
      </c>
      <c r="H25">
        <v>81</v>
      </c>
      <c r="I25" s="1" t="s">
        <v>12549</v>
      </c>
      <c r="J25" s="11">
        <v>44729.520879629628</v>
      </c>
      <c r="K25" s="1" t="s">
        <v>1534</v>
      </c>
      <c r="L25" s="1">
        <f>0.738</f>
        <v>0.73799999999999999</v>
      </c>
      <c r="M25" s="1">
        <f>0.549</f>
        <v>0.54900000000000004</v>
      </c>
      <c r="N25">
        <v>6</v>
      </c>
      <c r="O25" s="1" t="s">
        <v>12701</v>
      </c>
      <c r="P25">
        <v>1</v>
      </c>
      <c r="Q25" s="1" t="b">
        <f>0=513</f>
        <v>0</v>
      </c>
      <c r="R25" s="1">
        <f>0.638</f>
        <v>0.63800000000000001</v>
      </c>
      <c r="S25" s="1" t="b">
        <f>0.4=2</f>
        <v>0</v>
      </c>
      <c r="T25" s="1">
        <f>0.111</f>
        <v>0.111</v>
      </c>
      <c r="U25" s="1">
        <f>0.475</f>
        <v>0.47499999999999998</v>
      </c>
      <c r="V25" s="1">
        <v>98.965000000000003</v>
      </c>
      <c r="W25">
        <v>4</v>
      </c>
    </row>
    <row r="26" spans="1:23" x14ac:dyDescent="0.25">
      <c r="A26" s="1" t="s">
        <v>12648</v>
      </c>
      <c r="B26" s="1" t="s">
        <v>12649</v>
      </c>
      <c r="C26" s="1" t="s">
        <v>1535</v>
      </c>
      <c r="D26" s="1" t="s">
        <v>1535</v>
      </c>
      <c r="E26" s="1" t="s">
        <v>1536</v>
      </c>
      <c r="F26" s="10">
        <v>44673</v>
      </c>
      <c r="G26">
        <v>174945</v>
      </c>
      <c r="H26">
        <v>62</v>
      </c>
      <c r="I26" s="1" t="s">
        <v>12549</v>
      </c>
      <c r="J26" s="11">
        <v>44729.520879629628</v>
      </c>
      <c r="K26" s="1" t="s">
        <v>1537</v>
      </c>
      <c r="L26" s="1">
        <f>0.678</f>
        <v>0.67800000000000005</v>
      </c>
      <c r="M26" s="1">
        <f>0.762</f>
        <v>0.76200000000000001</v>
      </c>
      <c r="N26">
        <v>5</v>
      </c>
      <c r="O26" s="1">
        <v>-6.81</v>
      </c>
      <c r="P26">
        <v>1</v>
      </c>
      <c r="Q26" s="1" t="b">
        <f>0=6=1</f>
        <v>0</v>
      </c>
      <c r="R26" s="1">
        <f>0.174</f>
        <v>0.17399999999999999</v>
      </c>
      <c r="S26" s="1" t="b">
        <f>0=0=635</f>
        <v>0</v>
      </c>
      <c r="T26" s="1">
        <f>0.128</f>
        <v>0.128</v>
      </c>
      <c r="U26" s="1">
        <f>0.198</f>
        <v>0.19800000000000001</v>
      </c>
      <c r="V26" s="1" t="s">
        <v>12702</v>
      </c>
      <c r="W26">
        <v>4</v>
      </c>
    </row>
    <row r="27" spans="1:23" x14ac:dyDescent="0.25">
      <c r="A27" s="1" t="s">
        <v>12650</v>
      </c>
      <c r="B27" s="1" t="s">
        <v>12651</v>
      </c>
      <c r="C27" s="1" t="s">
        <v>1538</v>
      </c>
      <c r="D27" s="1" t="s">
        <v>1538</v>
      </c>
      <c r="E27" s="1" t="s">
        <v>1539</v>
      </c>
      <c r="F27" s="10">
        <v>44669</v>
      </c>
      <c r="G27">
        <v>149717</v>
      </c>
      <c r="H27">
        <v>73</v>
      </c>
      <c r="I27" s="1" t="s">
        <v>12549</v>
      </c>
      <c r="J27" s="11">
        <v>44729.520879629628</v>
      </c>
      <c r="K27" s="1" t="s">
        <v>1540</v>
      </c>
      <c r="L27" s="1">
        <f>0.759</f>
        <v>0.75900000000000001</v>
      </c>
      <c r="M27" s="1" t="b">
        <f>0.9=9</f>
        <v>0</v>
      </c>
      <c r="N27">
        <v>7</v>
      </c>
      <c r="O27" s="1">
        <v>-4.3879999999999999</v>
      </c>
      <c r="P27">
        <f>0</f>
        <v>0</v>
      </c>
      <c r="Q27" s="1" t="b">
        <f>0=451</f>
        <v>0</v>
      </c>
      <c r="R27" s="1">
        <f>0.212</f>
        <v>0.21199999999999999</v>
      </c>
      <c r="S27" s="1">
        <f>0</f>
        <v>0</v>
      </c>
      <c r="T27" s="1">
        <f>0.142</f>
        <v>0.14199999999999999</v>
      </c>
      <c r="U27" s="1">
        <f>0.539</f>
        <v>0.53900000000000003</v>
      </c>
      <c r="V27" s="1">
        <v>122.871</v>
      </c>
      <c r="W27">
        <v>4</v>
      </c>
    </row>
    <row r="28" spans="1:23" x14ac:dyDescent="0.25">
      <c r="A28" s="1" t="s">
        <v>12652</v>
      </c>
      <c r="B28" s="1" t="s">
        <v>12653</v>
      </c>
      <c r="C28" s="1" t="s">
        <v>1541</v>
      </c>
      <c r="D28" s="1" t="s">
        <v>1541</v>
      </c>
      <c r="E28" s="1" t="s">
        <v>1542</v>
      </c>
      <c r="F28" s="10">
        <v>44715</v>
      </c>
      <c r="G28">
        <v>177156</v>
      </c>
      <c r="H28">
        <v>76</v>
      </c>
      <c r="I28" s="1" t="s">
        <v>12549</v>
      </c>
      <c r="J28" s="11">
        <v>44729.520879629628</v>
      </c>
      <c r="K28" s="1" t="s">
        <v>1543</v>
      </c>
      <c r="L28" s="1">
        <f>0.599</f>
        <v>0.59899999999999998</v>
      </c>
      <c r="M28" s="1">
        <f>0.713</f>
        <v>0.71299999999999997</v>
      </c>
      <c r="N28">
        <v>11</v>
      </c>
      <c r="O28" s="1" t="s">
        <v>12703</v>
      </c>
      <c r="P28">
        <v>1</v>
      </c>
      <c r="Q28" s="1" t="b">
        <f>0=542</f>
        <v>0</v>
      </c>
      <c r="R28" s="1" t="b">
        <f>0.4=5</f>
        <v>0</v>
      </c>
      <c r="S28" s="1" t="b">
        <f>0=0=0=0=253</f>
        <v>0</v>
      </c>
      <c r="T28" s="1">
        <f>0.266</f>
        <v>0.26600000000000001</v>
      </c>
      <c r="U28" s="1">
        <f>0.518</f>
        <v>0.51800000000000002</v>
      </c>
      <c r="V28" s="1">
        <v>123.962</v>
      </c>
      <c r="W28">
        <v>4</v>
      </c>
    </row>
    <row r="29" spans="1:23" x14ac:dyDescent="0.25">
      <c r="A29" s="1" t="s">
        <v>11655</v>
      </c>
      <c r="B29" s="1" t="s">
        <v>11656</v>
      </c>
      <c r="C29" s="1" t="s">
        <v>374</v>
      </c>
      <c r="D29" s="1" t="s">
        <v>374</v>
      </c>
      <c r="E29" s="1" t="s">
        <v>375</v>
      </c>
      <c r="F29" s="10">
        <v>44708</v>
      </c>
      <c r="G29">
        <v>214459</v>
      </c>
      <c r="H29">
        <v>88</v>
      </c>
      <c r="I29" s="1" t="s">
        <v>12549</v>
      </c>
      <c r="J29" s="11">
        <v>44729.520879629628</v>
      </c>
      <c r="K29" s="1" t="s">
        <v>376</v>
      </c>
      <c r="L29" s="1">
        <f>0.824</f>
        <v>0.82399999999999995</v>
      </c>
      <c r="M29" s="1">
        <f>0.697</f>
        <v>0.69699999999999995</v>
      </c>
      <c r="N29">
        <v>11</v>
      </c>
      <c r="O29" s="1">
        <v>-4.8689999999999998</v>
      </c>
      <c r="P29">
        <f>0</f>
        <v>0</v>
      </c>
      <c r="Q29" s="1" t="b">
        <f>0=473</f>
        <v>0</v>
      </c>
      <c r="R29" s="1">
        <f>0.158</f>
        <v>0.158</v>
      </c>
      <c r="S29" s="1" t="b">
        <f>0=0=0=0=411</f>
        <v>0</v>
      </c>
      <c r="T29" s="1" t="b">
        <f>0=77</f>
        <v>0</v>
      </c>
      <c r="U29" s="1">
        <f>0.757</f>
        <v>0.75700000000000001</v>
      </c>
      <c r="V29" s="1">
        <v>99.988</v>
      </c>
      <c r="W29">
        <v>4</v>
      </c>
    </row>
    <row r="30" spans="1:23" x14ac:dyDescent="0.25">
      <c r="A30" s="1" t="s">
        <v>12654</v>
      </c>
      <c r="B30" s="1" t="s">
        <v>12655</v>
      </c>
      <c r="C30" s="1" t="s">
        <v>1544</v>
      </c>
      <c r="D30" s="1" t="s">
        <v>1544</v>
      </c>
      <c r="E30" s="1" t="s">
        <v>1545</v>
      </c>
      <c r="F30" s="10">
        <v>44511</v>
      </c>
      <c r="G30">
        <v>188102</v>
      </c>
      <c r="H30">
        <v>79</v>
      </c>
      <c r="I30" s="1" t="s">
        <v>12549</v>
      </c>
      <c r="J30" s="11">
        <v>44729.520879629628</v>
      </c>
      <c r="K30" s="1" t="s">
        <v>1546</v>
      </c>
      <c r="L30" s="1">
        <f>0.77</f>
        <v>0.77</v>
      </c>
      <c r="M30" s="1" t="b">
        <f>0.3=2</f>
        <v>0</v>
      </c>
      <c r="N30">
        <f>0</f>
        <v>0</v>
      </c>
      <c r="O30" s="1">
        <v>-7.9109999999999996</v>
      </c>
      <c r="P30">
        <f>0</f>
        <v>0</v>
      </c>
      <c r="Q30" s="1" t="b">
        <f>0=466</f>
        <v>0</v>
      </c>
      <c r="R30" s="1">
        <f>0.946</f>
        <v>0.94599999999999995</v>
      </c>
      <c r="S30" s="1" t="b">
        <f>0=0=0=0=338</f>
        <v>0</v>
      </c>
      <c r="T30" s="1">
        <f>0.125</f>
        <v>0.125</v>
      </c>
      <c r="U30" s="1">
        <f>0.821</f>
        <v>0.82099999999999995</v>
      </c>
      <c r="V30" s="1" t="s">
        <v>12704</v>
      </c>
      <c r="W30">
        <v>4</v>
      </c>
    </row>
    <row r="31" spans="1:23" x14ac:dyDescent="0.25">
      <c r="A31" s="1" t="s">
        <v>12656</v>
      </c>
      <c r="B31" s="1" t="s">
        <v>12657</v>
      </c>
      <c r="C31" s="1" t="s">
        <v>1547</v>
      </c>
      <c r="D31" s="1" t="s">
        <v>12658</v>
      </c>
      <c r="E31" s="1" t="s">
        <v>1548</v>
      </c>
      <c r="F31" s="10">
        <v>44687</v>
      </c>
      <c r="G31">
        <v>258298</v>
      </c>
      <c r="H31">
        <v>98</v>
      </c>
      <c r="I31" s="1" t="s">
        <v>12549</v>
      </c>
      <c r="J31" s="11">
        <v>44729.520879629628</v>
      </c>
      <c r="K31" s="1" t="s">
        <v>1549</v>
      </c>
      <c r="L31" s="1">
        <f>0.647</f>
        <v>0.64700000000000002</v>
      </c>
      <c r="M31" s="1">
        <f>0.686</f>
        <v>0.68600000000000005</v>
      </c>
      <c r="N31">
        <v>3</v>
      </c>
      <c r="O31" s="1">
        <v>-5.7450000000000001</v>
      </c>
      <c r="P31">
        <f>0</f>
        <v>0</v>
      </c>
      <c r="Q31" s="1" t="b">
        <f>0=413</f>
        <v>0</v>
      </c>
      <c r="R31" s="1" t="b">
        <f>0=8</f>
        <v>0</v>
      </c>
      <c r="S31" s="1" t="b">
        <f>0=0=0=0=0=134</f>
        <v>0</v>
      </c>
      <c r="T31" s="1">
        <f>0.528</f>
        <v>0.52800000000000002</v>
      </c>
      <c r="U31" s="1">
        <f>0.268</f>
        <v>0.26800000000000002</v>
      </c>
      <c r="V31" s="1">
        <v>79.927999999999997</v>
      </c>
      <c r="W31">
        <v>4</v>
      </c>
    </row>
    <row r="32" spans="1:23" x14ac:dyDescent="0.25">
      <c r="A32" s="1" t="s">
        <v>12556</v>
      </c>
      <c r="B32" s="1" t="s">
        <v>11710</v>
      </c>
      <c r="C32" s="1" t="s">
        <v>1550</v>
      </c>
      <c r="D32" s="1" t="s">
        <v>12557</v>
      </c>
      <c r="E32" s="1" t="s">
        <v>414</v>
      </c>
      <c r="F32" s="10">
        <v>44596</v>
      </c>
      <c r="G32">
        <v>177689</v>
      </c>
      <c r="H32">
        <v>87</v>
      </c>
      <c r="I32" s="1" t="s">
        <v>12549</v>
      </c>
      <c r="J32" s="11">
        <v>44729.520879629628</v>
      </c>
      <c r="K32" s="1" t="s">
        <v>415</v>
      </c>
      <c r="L32" s="1">
        <f>0.763</f>
        <v>0.76300000000000001</v>
      </c>
      <c r="M32" s="1">
        <f>0.782</f>
        <v>0.78200000000000003</v>
      </c>
      <c r="N32">
        <v>7</v>
      </c>
      <c r="O32" s="1">
        <v>-4.5410000000000004</v>
      </c>
      <c r="P32">
        <f>0</f>
        <v>0</v>
      </c>
      <c r="Q32" s="1" t="b">
        <f>0=346</f>
        <v>0</v>
      </c>
      <c r="R32" s="1">
        <f>0.182</f>
        <v>0.182</v>
      </c>
      <c r="S32" s="1" t="b">
        <f>0=0=0=0=0=7=8</f>
        <v>0</v>
      </c>
      <c r="T32" s="1">
        <f>0.293</f>
        <v>0.29299999999999998</v>
      </c>
      <c r="U32" s="1" t="b">
        <f>0.5=2</f>
        <v>0</v>
      </c>
      <c r="V32" s="1" t="s">
        <v>12609</v>
      </c>
      <c r="W32">
        <v>4</v>
      </c>
    </row>
    <row r="33" spans="1:23" x14ac:dyDescent="0.25">
      <c r="A33" s="1" t="s">
        <v>11286</v>
      </c>
      <c r="B33" s="1" t="s">
        <v>11287</v>
      </c>
      <c r="C33" s="1" t="s">
        <v>88</v>
      </c>
      <c r="D33" s="1" t="s">
        <v>11288</v>
      </c>
      <c r="E33" s="1" t="s">
        <v>89</v>
      </c>
      <c r="F33" s="10">
        <v>44596</v>
      </c>
      <c r="G33">
        <v>230945</v>
      </c>
      <c r="H33">
        <v>79</v>
      </c>
      <c r="I33" s="1" t="s">
        <v>12549</v>
      </c>
      <c r="J33" s="11">
        <v>44729.520879629628</v>
      </c>
      <c r="K33" s="1" t="s">
        <v>90</v>
      </c>
      <c r="L33" s="1">
        <f>0.656</f>
        <v>0.65600000000000003</v>
      </c>
      <c r="M33" s="1">
        <f>0.655</f>
        <v>0.65500000000000003</v>
      </c>
      <c r="N33">
        <v>7</v>
      </c>
      <c r="O33" s="1">
        <v>-6.766</v>
      </c>
      <c r="P33">
        <f>0</f>
        <v>0</v>
      </c>
      <c r="Q33" s="1" t="b">
        <f>0=24</f>
        <v>0</v>
      </c>
      <c r="R33" s="1" t="b">
        <f>0=2</f>
        <v>0</v>
      </c>
      <c r="S33" s="1" t="b">
        <f>0=0=816</f>
        <v>0</v>
      </c>
      <c r="T33" s="1" t="b">
        <f>0.1=3</f>
        <v>0</v>
      </c>
      <c r="U33" s="1">
        <f>0.555</f>
        <v>0.55500000000000005</v>
      </c>
      <c r="V33" s="1" t="s">
        <v>11836</v>
      </c>
      <c r="W33">
        <v>4</v>
      </c>
    </row>
    <row r="34" spans="1:23" x14ac:dyDescent="0.25">
      <c r="A34" s="1" t="s">
        <v>12659</v>
      </c>
      <c r="B34" s="1" t="s">
        <v>12660</v>
      </c>
      <c r="C34" s="1" t="s">
        <v>1551</v>
      </c>
      <c r="D34" s="1" t="s">
        <v>1551</v>
      </c>
      <c r="E34" s="1" t="s">
        <v>1552</v>
      </c>
      <c r="F34" s="10">
        <v>44666</v>
      </c>
      <c r="G34">
        <v>160421</v>
      </c>
      <c r="H34">
        <v>61</v>
      </c>
      <c r="I34" s="1" t="s">
        <v>12549</v>
      </c>
      <c r="J34" s="11">
        <v>44729.520879629628</v>
      </c>
      <c r="K34" s="1" t="s">
        <v>1553</v>
      </c>
      <c r="L34" s="1">
        <f>0.853</f>
        <v>0.85299999999999998</v>
      </c>
      <c r="M34" s="1">
        <f>0.619</f>
        <v>0.61899999999999999</v>
      </c>
      <c r="N34">
        <v>5</v>
      </c>
      <c r="O34" s="1">
        <v>-5.8419999999999996</v>
      </c>
      <c r="P34">
        <v>1</v>
      </c>
      <c r="Q34" s="1">
        <f>0.154</f>
        <v>0.154</v>
      </c>
      <c r="R34" s="1">
        <f>0.499</f>
        <v>0.499</v>
      </c>
      <c r="S34" s="1" t="b">
        <f>0=124</f>
        <v>0</v>
      </c>
      <c r="T34" s="1" t="b">
        <f>0.1=2</f>
        <v>0</v>
      </c>
      <c r="U34" s="1">
        <f>0.755</f>
        <v>0.755</v>
      </c>
      <c r="V34" s="1">
        <v>94.988</v>
      </c>
      <c r="W34">
        <v>4</v>
      </c>
    </row>
    <row r="35" spans="1:23" x14ac:dyDescent="0.25">
      <c r="A35" s="1" t="s">
        <v>12661</v>
      </c>
      <c r="B35" s="1" t="s">
        <v>12662</v>
      </c>
      <c r="C35" s="1" t="s">
        <v>1554</v>
      </c>
      <c r="D35" s="1" t="s">
        <v>1554</v>
      </c>
      <c r="E35" s="1" t="s">
        <v>1555</v>
      </c>
      <c r="F35" s="10">
        <v>44547</v>
      </c>
      <c r="G35">
        <v>148944</v>
      </c>
      <c r="H35">
        <v>74</v>
      </c>
      <c r="I35" s="1" t="s">
        <v>12549</v>
      </c>
      <c r="J35" s="11">
        <v>44729.520879629628</v>
      </c>
      <c r="K35" s="1" t="s">
        <v>1556</v>
      </c>
      <c r="L35" s="1">
        <f>0.812</f>
        <v>0.81200000000000006</v>
      </c>
      <c r="M35" s="1">
        <f>0.712</f>
        <v>0.71199999999999997</v>
      </c>
      <c r="N35">
        <f>0</f>
        <v>0</v>
      </c>
      <c r="O35" s="1">
        <v>-5.9930000000000003</v>
      </c>
      <c r="P35">
        <f>0</f>
        <v>0</v>
      </c>
      <c r="Q35" s="1" t="b">
        <f>0=452</f>
        <v>0</v>
      </c>
      <c r="R35" s="1" t="b">
        <f>0=1</f>
        <v>0</v>
      </c>
      <c r="S35" s="1">
        <f>0</f>
        <v>0</v>
      </c>
      <c r="T35" s="1" t="b">
        <f>0.1=8</f>
        <v>0</v>
      </c>
      <c r="U35" s="1">
        <f>0.85</f>
        <v>0.85</v>
      </c>
      <c r="V35" s="1" t="s">
        <v>12705</v>
      </c>
      <c r="W35">
        <v>4</v>
      </c>
    </row>
    <row r="36" spans="1:23" x14ac:dyDescent="0.25">
      <c r="A36" s="1" t="s">
        <v>12585</v>
      </c>
      <c r="B36" s="1" t="s">
        <v>12586</v>
      </c>
      <c r="C36" s="1" t="s">
        <v>1557</v>
      </c>
      <c r="D36" s="1" t="s">
        <v>1557</v>
      </c>
      <c r="E36" s="1" t="s">
        <v>1558</v>
      </c>
      <c r="F36" s="10">
        <v>44512</v>
      </c>
      <c r="G36">
        <v>186140</v>
      </c>
      <c r="H36">
        <v>79</v>
      </c>
      <c r="I36" s="1" t="s">
        <v>12549</v>
      </c>
      <c r="J36" s="11">
        <v>44729.520879629628</v>
      </c>
      <c r="K36" s="1" t="s">
        <v>1559</v>
      </c>
      <c r="L36" s="1">
        <f>0.539</f>
        <v>0.53900000000000003</v>
      </c>
      <c r="M36" s="1" t="b">
        <f>0.7=8</f>
        <v>0</v>
      </c>
      <c r="N36">
        <v>5</v>
      </c>
      <c r="O36" s="1">
        <v>-6.1890000000000001</v>
      </c>
      <c r="P36">
        <v>1</v>
      </c>
      <c r="Q36" s="1" t="b">
        <f>0=976</f>
        <v>0</v>
      </c>
      <c r="R36" s="1" t="b">
        <f>0=129</f>
        <v>0</v>
      </c>
      <c r="S36" s="1">
        <f>0</f>
        <v>0</v>
      </c>
      <c r="T36" s="1">
        <f>0.14</f>
        <v>0.14000000000000001</v>
      </c>
      <c r="U36" s="1">
        <f>0.381</f>
        <v>0.38100000000000001</v>
      </c>
      <c r="V36" s="1" t="s">
        <v>12610</v>
      </c>
      <c r="W36">
        <v>4</v>
      </c>
    </row>
    <row r="37" spans="1:23" x14ac:dyDescent="0.25">
      <c r="A37" s="1" t="s">
        <v>11280</v>
      </c>
      <c r="B37" s="1" t="s">
        <v>11281</v>
      </c>
      <c r="C37" s="1" t="s">
        <v>82</v>
      </c>
      <c r="D37" s="1" t="s">
        <v>82</v>
      </c>
      <c r="E37" s="1" t="s">
        <v>83</v>
      </c>
      <c r="F37" s="10">
        <v>44498</v>
      </c>
      <c r="G37">
        <v>157444</v>
      </c>
      <c r="H37">
        <v>84</v>
      </c>
      <c r="I37" s="1" t="s">
        <v>12549</v>
      </c>
      <c r="J37" s="11">
        <v>44729.520879629628</v>
      </c>
      <c r="K37" s="1" t="s">
        <v>84</v>
      </c>
      <c r="L37" s="1">
        <f>0.848</f>
        <v>0.84799999999999998</v>
      </c>
      <c r="M37" s="1">
        <f>0.821</f>
        <v>0.82099999999999995</v>
      </c>
      <c r="N37">
        <v>2</v>
      </c>
      <c r="O37" s="1" t="s">
        <v>11833</v>
      </c>
      <c r="P37">
        <f>0</f>
        <v>0</v>
      </c>
      <c r="Q37" s="1" t="b">
        <f>0=527</f>
        <v>0</v>
      </c>
      <c r="R37" s="1" t="b">
        <f>0=169</f>
        <v>0</v>
      </c>
      <c r="S37" s="1" t="b">
        <f>0=0=0=4=3</f>
        <v>0</v>
      </c>
      <c r="T37" s="1" t="b">
        <f>0=962</f>
        <v>0</v>
      </c>
      <c r="U37" s="1">
        <f>0.249</f>
        <v>0.249</v>
      </c>
      <c r="V37" s="1" t="s">
        <v>11834</v>
      </c>
      <c r="W37">
        <v>4</v>
      </c>
    </row>
    <row r="38" spans="1:23" x14ac:dyDescent="0.25">
      <c r="A38" s="1" t="s">
        <v>11293</v>
      </c>
      <c r="B38" s="1" t="s">
        <v>11294</v>
      </c>
      <c r="C38" s="1" t="s">
        <v>93</v>
      </c>
      <c r="D38" s="1" t="s">
        <v>93</v>
      </c>
      <c r="E38" s="1" t="s">
        <v>94</v>
      </c>
      <c r="F38" s="10">
        <v>44659</v>
      </c>
      <c r="G38">
        <v>169756</v>
      </c>
      <c r="H38">
        <v>85</v>
      </c>
      <c r="I38" s="1" t="s">
        <v>12549</v>
      </c>
      <c r="J38" s="11">
        <v>44729.520879629628</v>
      </c>
      <c r="K38" s="1" t="s">
        <v>95</v>
      </c>
      <c r="L38" s="1" t="b">
        <f>0.6=1</f>
        <v>0</v>
      </c>
      <c r="M38" s="1">
        <f>0.713</f>
        <v>0.71299999999999997</v>
      </c>
      <c r="N38">
        <v>4</v>
      </c>
      <c r="O38" s="1">
        <v>-3.758</v>
      </c>
      <c r="P38">
        <f>0</f>
        <v>0</v>
      </c>
      <c r="Q38" s="1" t="b">
        <f>0=449</f>
        <v>0</v>
      </c>
      <c r="R38" s="1" t="b">
        <f>0=282</f>
        <v>0</v>
      </c>
      <c r="S38" s="1">
        <f>0</f>
        <v>0</v>
      </c>
      <c r="T38" s="1">
        <f>0.158</f>
        <v>0.158</v>
      </c>
      <c r="U38" s="1">
        <f>0.464</f>
        <v>0.46400000000000002</v>
      </c>
      <c r="V38" s="1">
        <v>122.872</v>
      </c>
      <c r="W38">
        <v>4</v>
      </c>
    </row>
    <row r="39" spans="1:23" x14ac:dyDescent="0.25">
      <c r="A39" s="1" t="s">
        <v>12663</v>
      </c>
      <c r="B39" s="1" t="s">
        <v>12664</v>
      </c>
      <c r="C39" s="1" t="s">
        <v>1560</v>
      </c>
      <c r="D39" s="1" t="s">
        <v>1560</v>
      </c>
      <c r="E39" s="1" t="s">
        <v>1561</v>
      </c>
      <c r="F39" s="10">
        <v>44553</v>
      </c>
      <c r="G39">
        <v>187111</v>
      </c>
      <c r="H39">
        <v>82</v>
      </c>
      <c r="I39" s="1" t="s">
        <v>12549</v>
      </c>
      <c r="J39" s="11">
        <v>44729.520879629628</v>
      </c>
      <c r="K39" s="1" t="s">
        <v>1562</v>
      </c>
      <c r="L39" s="1">
        <f>0.956</f>
        <v>0.95599999999999996</v>
      </c>
      <c r="M39" s="1">
        <f>0.417</f>
        <v>0.41699999999999998</v>
      </c>
      <c r="N39">
        <v>7</v>
      </c>
      <c r="O39" s="1">
        <v>-7.8920000000000003</v>
      </c>
      <c r="P39">
        <f>0</f>
        <v>0</v>
      </c>
      <c r="Q39" s="1" t="b">
        <f>0=926</f>
        <v>0</v>
      </c>
      <c r="R39" s="1">
        <f>0.572</f>
        <v>0.57199999999999995</v>
      </c>
      <c r="S39" s="1" t="b">
        <f>0=0=0=71</f>
        <v>0</v>
      </c>
      <c r="T39" s="1" t="b">
        <f>0=782</f>
        <v>0</v>
      </c>
      <c r="U39" s="1">
        <f>0.714</f>
        <v>0.71399999999999997</v>
      </c>
      <c r="V39" s="1" t="s">
        <v>12706</v>
      </c>
      <c r="W39">
        <v>4</v>
      </c>
    </row>
    <row r="40" spans="1:23" x14ac:dyDescent="0.25">
      <c r="A40" s="1" t="s">
        <v>12665</v>
      </c>
      <c r="B40" s="1" t="s">
        <v>12666</v>
      </c>
      <c r="C40" s="1" t="s">
        <v>1563</v>
      </c>
      <c r="D40" s="1" t="s">
        <v>1563</v>
      </c>
      <c r="E40" s="1" t="s">
        <v>1564</v>
      </c>
      <c r="F40" s="10">
        <v>44672</v>
      </c>
      <c r="G40">
        <v>172235</v>
      </c>
      <c r="H40">
        <v>92</v>
      </c>
      <c r="I40" s="1" t="s">
        <v>12549</v>
      </c>
      <c r="J40" s="11">
        <v>44729.520879629628</v>
      </c>
      <c r="K40" s="1" t="s">
        <v>1565</v>
      </c>
      <c r="L40" s="1">
        <f>0.695</f>
        <v>0.69499999999999995</v>
      </c>
      <c r="M40" s="1">
        <f>0.636</f>
        <v>0.63600000000000001</v>
      </c>
      <c r="N40">
        <v>5</v>
      </c>
      <c r="O40" s="1">
        <v>-4.6539999999999999</v>
      </c>
      <c r="P40">
        <v>1</v>
      </c>
      <c r="Q40" s="1">
        <f>0.317</f>
        <v>0.317</v>
      </c>
      <c r="R40" s="1">
        <f>0.234</f>
        <v>0.23400000000000001</v>
      </c>
      <c r="S40" s="1">
        <f>0</f>
        <v>0</v>
      </c>
      <c r="T40" s="1" t="b">
        <f>0=81</f>
        <v>0</v>
      </c>
      <c r="U40" s="1">
        <f>0.575</f>
        <v>0.57499999999999996</v>
      </c>
      <c r="V40" s="1">
        <v>174.14</v>
      </c>
      <c r="W40">
        <v>4</v>
      </c>
    </row>
    <row r="41" spans="1:23" x14ac:dyDescent="0.25">
      <c r="A41" s="1" t="s">
        <v>12667</v>
      </c>
      <c r="B41" s="1" t="s">
        <v>12668</v>
      </c>
      <c r="C41" s="1" t="s">
        <v>1566</v>
      </c>
      <c r="D41" s="1" t="s">
        <v>1566</v>
      </c>
      <c r="E41" s="1" t="s">
        <v>1567</v>
      </c>
      <c r="F41" s="10">
        <v>44575</v>
      </c>
      <c r="G41">
        <v>147410</v>
      </c>
      <c r="H41">
        <v>56</v>
      </c>
      <c r="I41" s="1" t="s">
        <v>12549</v>
      </c>
      <c r="J41" s="11">
        <v>44729.520879629628</v>
      </c>
      <c r="K41" s="1" t="s">
        <v>50</v>
      </c>
      <c r="L41" s="1">
        <f>0.552</f>
        <v>0.55200000000000005</v>
      </c>
      <c r="M41" s="1">
        <f>0.748</f>
        <v>0.748</v>
      </c>
      <c r="N41">
        <f>0</f>
        <v>0</v>
      </c>
      <c r="O41" s="1">
        <v>-3.2959999999999998</v>
      </c>
      <c r="P41">
        <v>1</v>
      </c>
      <c r="Q41" s="1">
        <f>0.145</f>
        <v>0.14499999999999999</v>
      </c>
      <c r="R41" s="1" t="b">
        <f>0=549</f>
        <v>0</v>
      </c>
      <c r="S41" s="1">
        <f>0</f>
        <v>0</v>
      </c>
      <c r="T41" s="1">
        <f>0.129</f>
        <v>0.129</v>
      </c>
      <c r="U41" s="1">
        <f>0.387</f>
        <v>0.38700000000000001</v>
      </c>
      <c r="V41" s="1">
        <v>172.14599999999999</v>
      </c>
      <c r="W41">
        <v>4</v>
      </c>
    </row>
    <row r="42" spans="1:23" x14ac:dyDescent="0.25">
      <c r="A42" s="1" t="s">
        <v>12669</v>
      </c>
      <c r="B42" s="1" t="s">
        <v>12670</v>
      </c>
      <c r="C42" s="1" t="s">
        <v>1568</v>
      </c>
      <c r="D42" s="1" t="s">
        <v>1568</v>
      </c>
      <c r="E42" s="1" t="s">
        <v>1569</v>
      </c>
      <c r="F42" s="10">
        <v>44680</v>
      </c>
      <c r="G42">
        <v>167500</v>
      </c>
      <c r="H42">
        <v>73</v>
      </c>
      <c r="I42" s="1" t="s">
        <v>12549</v>
      </c>
      <c r="J42" s="11">
        <v>44729.520879629628</v>
      </c>
      <c r="K42" s="1" t="s">
        <v>1570</v>
      </c>
      <c r="L42" s="1">
        <f>0.694</f>
        <v>0.69399999999999995</v>
      </c>
      <c r="M42" s="1">
        <f>0.7</f>
        <v>0.7</v>
      </c>
      <c r="N42">
        <f>0</f>
        <v>0</v>
      </c>
      <c r="O42" s="1">
        <v>-5.53</v>
      </c>
      <c r="P42">
        <f>0</f>
        <v>0</v>
      </c>
      <c r="Q42" s="1" t="b">
        <f>0=488</f>
        <v>0</v>
      </c>
      <c r="R42" s="1">
        <f>0.191</f>
        <v>0.191</v>
      </c>
      <c r="S42" s="1">
        <f>0</f>
        <v>0</v>
      </c>
      <c r="T42" s="1" t="b">
        <f>0=719</f>
        <v>0</v>
      </c>
      <c r="U42" s="1">
        <f>0.261</f>
        <v>0.26100000000000001</v>
      </c>
      <c r="V42" s="1">
        <v>127.965</v>
      </c>
      <c r="W42">
        <v>4</v>
      </c>
    </row>
    <row r="43" spans="1:23" x14ac:dyDescent="0.25">
      <c r="A43" s="1" t="s">
        <v>12671</v>
      </c>
      <c r="B43" s="1" t="s">
        <v>12672</v>
      </c>
      <c r="C43" s="1" t="s">
        <v>1571</v>
      </c>
      <c r="D43" s="1" t="s">
        <v>1571</v>
      </c>
      <c r="E43" s="1" t="s">
        <v>1572</v>
      </c>
      <c r="F43" s="10">
        <v>44679</v>
      </c>
      <c r="G43">
        <v>165818</v>
      </c>
      <c r="H43">
        <v>58</v>
      </c>
      <c r="I43" s="1" t="s">
        <v>12549</v>
      </c>
      <c r="J43" s="11">
        <v>44729.520879629628</v>
      </c>
      <c r="K43" s="1" t="s">
        <v>1573</v>
      </c>
      <c r="L43" s="1">
        <f>0.691</f>
        <v>0.69099999999999995</v>
      </c>
      <c r="M43" s="1" t="b">
        <f>0.8=1</f>
        <v>0</v>
      </c>
      <c r="N43">
        <v>11</v>
      </c>
      <c r="O43" s="1">
        <v>-4.1719999999999997</v>
      </c>
      <c r="P43">
        <f>0</f>
        <v>0</v>
      </c>
      <c r="Q43" s="1" t="b">
        <f>0=623</f>
        <v>0</v>
      </c>
      <c r="R43" s="1">
        <f>0.231</f>
        <v>0.23100000000000001</v>
      </c>
      <c r="S43" s="1" t="b">
        <f>0=0=0=0=0=163</f>
        <v>0</v>
      </c>
      <c r="T43" s="1">
        <f>0.537</f>
        <v>0.53700000000000003</v>
      </c>
      <c r="U43" s="1">
        <f>0.594</f>
        <v>0.59399999999999997</v>
      </c>
      <c r="V43" s="1" t="s">
        <v>12707</v>
      </c>
      <c r="W43">
        <v>4</v>
      </c>
    </row>
    <row r="44" spans="1:23" x14ac:dyDescent="0.25">
      <c r="A44" s="1" t="s">
        <v>12673</v>
      </c>
      <c r="B44" s="1" t="s">
        <v>12674</v>
      </c>
      <c r="C44" s="1" t="s">
        <v>1574</v>
      </c>
      <c r="D44" s="1" t="s">
        <v>1574</v>
      </c>
      <c r="E44" s="1" t="s">
        <v>1575</v>
      </c>
      <c r="F44" s="10">
        <v>44708</v>
      </c>
      <c r="G44">
        <v>159850</v>
      </c>
      <c r="H44">
        <v>69</v>
      </c>
      <c r="I44" s="1" t="s">
        <v>12549</v>
      </c>
      <c r="J44" s="11">
        <v>44729.520879629628</v>
      </c>
      <c r="K44" s="1" t="s">
        <v>1576</v>
      </c>
      <c r="L44" s="1">
        <f>0.815</f>
        <v>0.81499999999999995</v>
      </c>
      <c r="M44" s="1">
        <f>0.771</f>
        <v>0.77100000000000002</v>
      </c>
      <c r="N44">
        <v>8</v>
      </c>
      <c r="O44" s="1" t="s">
        <v>12708</v>
      </c>
      <c r="P44">
        <f>0</f>
        <v>0</v>
      </c>
      <c r="Q44" s="1" t="b">
        <f>0=392</f>
        <v>0</v>
      </c>
      <c r="R44" s="1" t="b">
        <f>0.1=4</f>
        <v>0</v>
      </c>
      <c r="S44" s="1" t="b">
        <f>0=0=27</f>
        <v>0</v>
      </c>
      <c r="T44" s="1" t="b">
        <f>0=67</f>
        <v>0</v>
      </c>
      <c r="U44" s="1">
        <f>0.546</f>
        <v>0.54600000000000004</v>
      </c>
      <c r="V44" s="1">
        <v>117.941</v>
      </c>
      <c r="W44">
        <v>4</v>
      </c>
    </row>
    <row r="45" spans="1:23" x14ac:dyDescent="0.25">
      <c r="A45" s="1" t="s">
        <v>12675</v>
      </c>
      <c r="B45" s="1" t="s">
        <v>12676</v>
      </c>
      <c r="C45" s="1" t="s">
        <v>1577</v>
      </c>
      <c r="D45" s="1" t="s">
        <v>1577</v>
      </c>
      <c r="E45" s="1" t="s">
        <v>1578</v>
      </c>
      <c r="F45" s="10">
        <v>44652</v>
      </c>
      <c r="G45">
        <v>177634</v>
      </c>
      <c r="H45">
        <v>68</v>
      </c>
      <c r="I45" s="1" t="s">
        <v>12549</v>
      </c>
      <c r="J45" s="11">
        <v>44729.520879629628</v>
      </c>
      <c r="K45" s="1" t="s">
        <v>1579</v>
      </c>
      <c r="L45" s="1">
        <f>0.575</f>
        <v>0.57499999999999996</v>
      </c>
      <c r="M45" s="1">
        <f>0.75</f>
        <v>0.75</v>
      </c>
      <c r="N45">
        <v>3</v>
      </c>
      <c r="O45" s="1">
        <v>-6.6360000000000001</v>
      </c>
      <c r="P45">
        <v>1</v>
      </c>
      <c r="Q45" s="1" t="b">
        <f>0=589</f>
        <v>0</v>
      </c>
      <c r="R45" s="1">
        <f>0.294</f>
        <v>0.29399999999999998</v>
      </c>
      <c r="S45" s="1">
        <f>0</f>
        <v>0</v>
      </c>
      <c r="T45" s="1">
        <f>0.138</f>
        <v>0.13800000000000001</v>
      </c>
      <c r="U45" s="1">
        <f>0.298</f>
        <v>0.29799999999999999</v>
      </c>
      <c r="V45" s="1">
        <v>99.86</v>
      </c>
      <c r="W45">
        <v>4</v>
      </c>
    </row>
    <row r="46" spans="1:23" x14ac:dyDescent="0.25">
      <c r="A46" s="1" t="s">
        <v>12677</v>
      </c>
      <c r="B46" s="1" t="s">
        <v>12678</v>
      </c>
      <c r="C46" s="1" t="s">
        <v>1580</v>
      </c>
      <c r="D46" s="1" t="s">
        <v>1580</v>
      </c>
      <c r="E46" s="1" t="s">
        <v>1581</v>
      </c>
      <c r="F46" s="10">
        <v>43147</v>
      </c>
      <c r="G46">
        <v>201526</v>
      </c>
      <c r="H46">
        <v>69</v>
      </c>
      <c r="I46" s="1" t="s">
        <v>12549</v>
      </c>
      <c r="J46" s="11">
        <v>44729.520879629628</v>
      </c>
      <c r="K46" s="1" t="s">
        <v>1582</v>
      </c>
      <c r="L46" s="1">
        <f>0.792</f>
        <v>0.79200000000000004</v>
      </c>
      <c r="M46" s="1">
        <f>0.895</f>
        <v>0.89500000000000002</v>
      </c>
      <c r="N46">
        <v>1</v>
      </c>
      <c r="O46" s="1">
        <v>-3.1120000000000001</v>
      </c>
      <c r="P46">
        <f>0</f>
        <v>0</v>
      </c>
      <c r="Q46" s="1" t="b">
        <f>0=589</f>
        <v>0</v>
      </c>
      <c r="R46" s="1">
        <f>0.165</f>
        <v>0.16500000000000001</v>
      </c>
      <c r="S46" s="1">
        <f>0</f>
        <v>0</v>
      </c>
      <c r="T46" s="1" t="b">
        <f>0=5=1</f>
        <v>0</v>
      </c>
      <c r="U46" s="1">
        <f>0.794</f>
        <v>0.79400000000000004</v>
      </c>
      <c r="V46" s="1">
        <v>94.968000000000004</v>
      </c>
      <c r="W46">
        <v>4</v>
      </c>
    </row>
    <row r="47" spans="1:23" x14ac:dyDescent="0.25">
      <c r="A47" s="1" t="s">
        <v>12679</v>
      </c>
      <c r="B47" s="1" t="s">
        <v>12680</v>
      </c>
      <c r="C47" s="1" t="s">
        <v>1583</v>
      </c>
      <c r="D47" s="1" t="s">
        <v>1583</v>
      </c>
      <c r="E47" s="1" t="s">
        <v>1584</v>
      </c>
      <c r="F47" s="10">
        <v>44673</v>
      </c>
      <c r="G47">
        <v>210200</v>
      </c>
      <c r="H47">
        <v>95</v>
      </c>
      <c r="I47" s="1" t="s">
        <v>12549</v>
      </c>
      <c r="J47" s="11">
        <v>44729.520879629628</v>
      </c>
      <c r="K47" s="1" t="s">
        <v>1585</v>
      </c>
      <c r="L47" s="1">
        <f>0.87</f>
        <v>0.87</v>
      </c>
      <c r="M47" s="1">
        <f>0.516</f>
        <v>0.51600000000000001</v>
      </c>
      <c r="N47">
        <v>1</v>
      </c>
      <c r="O47" s="1" t="s">
        <v>12709</v>
      </c>
      <c r="P47">
        <v>1</v>
      </c>
      <c r="Q47" s="1" t="b">
        <f>0=541</f>
        <v>0</v>
      </c>
      <c r="R47" s="1">
        <f>0.656</f>
        <v>0.65600000000000003</v>
      </c>
      <c r="S47" s="1" t="b">
        <f>0=0=823</f>
        <v>0</v>
      </c>
      <c r="T47" s="1">
        <f>0.11</f>
        <v>0.11</v>
      </c>
      <c r="U47" s="1">
        <f>0.53</f>
        <v>0.53</v>
      </c>
      <c r="V47" s="1" t="s">
        <v>12710</v>
      </c>
      <c r="W47">
        <v>4</v>
      </c>
    </row>
    <row r="48" spans="1:23" x14ac:dyDescent="0.25">
      <c r="A48" s="1" t="s">
        <v>12681</v>
      </c>
      <c r="B48" s="1" t="s">
        <v>12682</v>
      </c>
      <c r="C48" s="1" t="s">
        <v>1586</v>
      </c>
      <c r="D48" s="1" t="s">
        <v>12683</v>
      </c>
      <c r="E48" s="1" t="s">
        <v>1587</v>
      </c>
      <c r="F48" s="10">
        <v>44729</v>
      </c>
      <c r="G48">
        <v>169911</v>
      </c>
      <c r="H48">
        <v>0</v>
      </c>
      <c r="I48" s="1" t="s">
        <v>12549</v>
      </c>
      <c r="J48" s="11">
        <v>44729.520879629628</v>
      </c>
      <c r="K48" s="1" t="s">
        <v>1588</v>
      </c>
      <c r="L48" s="1">
        <f>0.852</f>
        <v>0.85199999999999998</v>
      </c>
      <c r="M48" s="1">
        <f>0.584</f>
        <v>0.58399999999999996</v>
      </c>
      <c r="N48">
        <v>1</v>
      </c>
      <c r="O48" s="1" t="s">
        <v>12711</v>
      </c>
      <c r="P48">
        <f>0</f>
        <v>0</v>
      </c>
      <c r="Q48" s="1" t="b">
        <f>0=618</f>
        <v>0</v>
      </c>
      <c r="R48" s="1">
        <f>0.634</f>
        <v>0.63400000000000001</v>
      </c>
      <c r="S48" s="1" t="b">
        <f>0=643</f>
        <v>0</v>
      </c>
      <c r="T48" s="1">
        <f>0.135</f>
        <v>0.13500000000000001</v>
      </c>
      <c r="U48" s="1">
        <f>0.669</f>
        <v>0.66900000000000004</v>
      </c>
      <c r="V48" s="1">
        <v>112.99299999999999</v>
      </c>
      <c r="W48">
        <v>4</v>
      </c>
    </row>
    <row r="49" spans="1:23" x14ac:dyDescent="0.25">
      <c r="A49" s="1" t="s">
        <v>12684</v>
      </c>
      <c r="B49" s="1" t="s">
        <v>12685</v>
      </c>
      <c r="C49" s="1" t="s">
        <v>1589</v>
      </c>
      <c r="D49" s="1" t="s">
        <v>12658</v>
      </c>
      <c r="E49" s="1" t="s">
        <v>1590</v>
      </c>
      <c r="F49" s="10">
        <v>44687</v>
      </c>
      <c r="G49">
        <v>245939</v>
      </c>
      <c r="H49">
        <v>97</v>
      </c>
      <c r="I49" s="1" t="s">
        <v>12549</v>
      </c>
      <c r="J49" s="11">
        <v>44729.520879629628</v>
      </c>
      <c r="K49" s="1" t="s">
        <v>188</v>
      </c>
      <c r="L49" s="1" t="b">
        <f>0.8=4</f>
        <v>0</v>
      </c>
      <c r="M49" s="1">
        <f>0.674</f>
        <v>0.67400000000000004</v>
      </c>
      <c r="N49">
        <v>5</v>
      </c>
      <c r="O49" s="1">
        <v>-5.4530000000000003</v>
      </c>
      <c r="P49">
        <f>0</f>
        <v>0</v>
      </c>
      <c r="Q49" s="1" t="b">
        <f>0=333</f>
        <v>0</v>
      </c>
      <c r="R49" s="1">
        <f>0.294</f>
        <v>0.29399999999999998</v>
      </c>
      <c r="S49" s="1" t="b">
        <f>0=0=0=0=0=118</f>
        <v>0</v>
      </c>
      <c r="T49" s="1">
        <f>0.115</f>
        <v>0.115</v>
      </c>
      <c r="U49" s="1">
        <f>0.292</f>
        <v>0.29199999999999998</v>
      </c>
      <c r="V49" s="1">
        <v>99.968000000000004</v>
      </c>
      <c r="W49">
        <v>4</v>
      </c>
    </row>
    <row r="50" spans="1:23" x14ac:dyDescent="0.25">
      <c r="A50" s="1" t="s">
        <v>12686</v>
      </c>
      <c r="B50" s="1" t="s">
        <v>12687</v>
      </c>
      <c r="C50" s="1" t="s">
        <v>1591</v>
      </c>
      <c r="D50" s="1" t="s">
        <v>1591</v>
      </c>
      <c r="E50" s="1" t="s">
        <v>1592</v>
      </c>
      <c r="F50" s="10">
        <v>44673</v>
      </c>
      <c r="G50">
        <v>142677</v>
      </c>
      <c r="H50">
        <v>82</v>
      </c>
      <c r="I50" s="1" t="s">
        <v>12549</v>
      </c>
      <c r="J50" s="11">
        <v>44729.520879629628</v>
      </c>
      <c r="K50" s="1" t="s">
        <v>1593</v>
      </c>
      <c r="L50" s="1">
        <f>0.739</f>
        <v>0.73899999999999999</v>
      </c>
      <c r="M50" s="1">
        <f>0.586</f>
        <v>0.58599999999999997</v>
      </c>
      <c r="N50" t="s">
        <v>11825</v>
      </c>
      <c r="O50" s="1" t="s">
        <v>12712</v>
      </c>
      <c r="P50">
        <f>0</f>
        <v>0</v>
      </c>
      <c r="Q50" s="1" t="b">
        <f>0=472</f>
        <v>0</v>
      </c>
      <c r="R50" s="1" t="b">
        <f>0=245</f>
        <v>0</v>
      </c>
      <c r="S50" s="1" t="b">
        <f>0=0=0=252</f>
        <v>0</v>
      </c>
      <c r="T50" s="1" t="b">
        <f>0.3=8</f>
        <v>0</v>
      </c>
      <c r="U50" s="1">
        <f>0.444</f>
        <v>0.44400000000000001</v>
      </c>
      <c r="V50" s="1" t="s">
        <v>12713</v>
      </c>
      <c r="W50">
        <v>4</v>
      </c>
    </row>
    <row r="51" spans="1:23" x14ac:dyDescent="0.25">
      <c r="A51" s="1" t="s">
        <v>12688</v>
      </c>
      <c r="B51" s="1" t="s">
        <v>12689</v>
      </c>
      <c r="C51" s="1" t="s">
        <v>1594</v>
      </c>
      <c r="D51" s="1" t="s">
        <v>1594</v>
      </c>
      <c r="E51" s="1" t="s">
        <v>1595</v>
      </c>
      <c r="F51" s="10">
        <v>44694</v>
      </c>
      <c r="G51">
        <v>165600</v>
      </c>
      <c r="H51">
        <v>57</v>
      </c>
      <c r="I51" s="1" t="s">
        <v>12549</v>
      </c>
      <c r="J51" s="11">
        <v>44729.520879629628</v>
      </c>
      <c r="K51" s="1" t="s">
        <v>1596</v>
      </c>
      <c r="L51" s="1">
        <f>0.773</f>
        <v>0.77300000000000002</v>
      </c>
      <c r="M51" s="1" t="b">
        <f>0.8=2</f>
        <v>0</v>
      </c>
      <c r="N51" t="s">
        <v>11825</v>
      </c>
      <c r="O51" s="1" t="s">
        <v>12714</v>
      </c>
      <c r="P51">
        <f>0</f>
        <v>0</v>
      </c>
      <c r="Q51" s="1" t="b">
        <f>0=478</f>
        <v>0</v>
      </c>
      <c r="R51" s="1">
        <f>0.132</f>
        <v>0.13200000000000001</v>
      </c>
      <c r="S51" s="1" t="b">
        <f>0=0=222</f>
        <v>0</v>
      </c>
      <c r="T51" s="1">
        <f>0.212</f>
        <v>0.21199999999999999</v>
      </c>
      <c r="U51" s="1">
        <f>0.788</f>
        <v>0.78800000000000003</v>
      </c>
      <c r="V51" s="1">
        <v>124.995</v>
      </c>
      <c r="W51">
        <v>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C9856-0AF3-4A0F-8289-00E2D8908D2C}">
  <sheetPr codeName="Sheet31"/>
  <dimension ref="A1:W161"/>
  <sheetViews>
    <sheetView topLeftCell="J1" workbookViewId="0">
      <selection activeCell="L1" sqref="L1:W1048576"/>
    </sheetView>
  </sheetViews>
  <sheetFormatPr defaultRowHeight="15" x14ac:dyDescent="0.25"/>
  <cols>
    <col min="1" max="1" width="28.5703125" bestFit="1" customWidth="1"/>
    <col min="2" max="2" width="81.140625" bestFit="1" customWidth="1"/>
    <col min="3" max="5" width="52.28515625" bestFit="1" customWidth="1"/>
    <col min="6" max="6" width="14.85546875" bestFit="1" customWidth="1"/>
    <col min="7" max="7" width="15.5703125" bestFit="1" customWidth="1"/>
    <col min="8" max="8" width="12.42578125" bestFit="1" customWidth="1"/>
    <col min="9" max="9" width="23.5703125" bestFit="1" customWidth="1"/>
    <col min="10" max="10" width="15.85546875" bestFit="1" customWidth="1"/>
    <col min="11" max="11" width="81.140625" bestFit="1" customWidth="1"/>
    <col min="12" max="12" width="14.28515625" bestFit="1" customWidth="1"/>
    <col min="13" max="13" width="9.28515625" bestFit="1" customWidth="1"/>
    <col min="14" max="14" width="6.5703125" bestFit="1" customWidth="1"/>
    <col min="15" max="15" width="11.5703125" bestFit="1" customWidth="1"/>
    <col min="16" max="16" width="8.5703125" bestFit="1" customWidth="1"/>
    <col min="17" max="17" width="14.28515625" bestFit="1" customWidth="1"/>
    <col min="18" max="18" width="14.7109375" bestFit="1" customWidth="1"/>
    <col min="19" max="19" width="18.85546875" bestFit="1" customWidth="1"/>
    <col min="20" max="20" width="10.85546875" bestFit="1" customWidth="1"/>
    <col min="21" max="21" width="10.42578125" bestFit="1" customWidth="1"/>
    <col min="22" max="22" width="9.42578125" bestFit="1" customWidth="1"/>
    <col min="23" max="23" width="16.7109375" bestFit="1" customWidth="1"/>
  </cols>
  <sheetData>
    <row r="1" spans="1:23" x14ac:dyDescent="0.25">
      <c r="A1" t="s">
        <v>11055</v>
      </c>
      <c r="B1" t="s">
        <v>11056</v>
      </c>
      <c r="C1" t="s">
        <v>0</v>
      </c>
      <c r="D1" t="s">
        <v>11057</v>
      </c>
      <c r="E1" t="s">
        <v>1</v>
      </c>
      <c r="F1" t="s">
        <v>11058</v>
      </c>
      <c r="G1" t="s">
        <v>2</v>
      </c>
      <c r="H1" t="s">
        <v>3</v>
      </c>
      <c r="I1" t="s">
        <v>11059</v>
      </c>
      <c r="J1" t="s">
        <v>11060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</row>
    <row r="2" spans="1:23" x14ac:dyDescent="0.25">
      <c r="A2" s="1" t="s">
        <v>12715</v>
      </c>
      <c r="B2" s="1" t="s">
        <v>12716</v>
      </c>
      <c r="C2" s="1" t="s">
        <v>1172</v>
      </c>
      <c r="D2" s="1" t="s">
        <v>1172</v>
      </c>
      <c r="E2" s="1" t="s">
        <v>1173</v>
      </c>
      <c r="F2" s="10">
        <v>44504</v>
      </c>
      <c r="G2">
        <v>182168</v>
      </c>
      <c r="H2">
        <v>62</v>
      </c>
      <c r="I2" s="1" t="s">
        <v>12717</v>
      </c>
      <c r="J2" s="11">
        <v>44722.112071759257</v>
      </c>
      <c r="K2" s="1" t="s">
        <v>1174</v>
      </c>
      <c r="L2" s="1">
        <f>0.418</f>
        <v>0.41799999999999998</v>
      </c>
      <c r="M2" s="1">
        <f>0.865</f>
        <v>0.86499999999999999</v>
      </c>
      <c r="N2">
        <v>2</v>
      </c>
      <c r="O2" s="1" t="s">
        <v>13021</v>
      </c>
      <c r="P2">
        <v>1</v>
      </c>
      <c r="Q2" s="1">
        <f>0.148</f>
        <v>0.14799999999999999</v>
      </c>
      <c r="R2" s="1" t="b">
        <f>0=0=0=647</f>
        <v>0</v>
      </c>
      <c r="S2" s="1" t="b">
        <f>0=0=0=125</f>
        <v>0</v>
      </c>
      <c r="T2" s="1">
        <f>0.441</f>
        <v>0.441</v>
      </c>
      <c r="U2" s="1">
        <f>0.253</f>
        <v>0.253</v>
      </c>
      <c r="V2" s="1" t="s">
        <v>12434</v>
      </c>
      <c r="W2">
        <v>4</v>
      </c>
    </row>
    <row r="3" spans="1:23" x14ac:dyDescent="0.25">
      <c r="A3" s="1" t="s">
        <v>12718</v>
      </c>
      <c r="B3" s="1" t="s">
        <v>12719</v>
      </c>
      <c r="C3" s="1" t="s">
        <v>1175</v>
      </c>
      <c r="D3" s="1" t="s">
        <v>1175</v>
      </c>
      <c r="E3" s="1" t="s">
        <v>1176</v>
      </c>
      <c r="F3" s="10">
        <v>44658</v>
      </c>
      <c r="G3">
        <v>217500</v>
      </c>
      <c r="H3">
        <v>62</v>
      </c>
      <c r="I3" s="1" t="s">
        <v>12717</v>
      </c>
      <c r="J3" s="11">
        <v>44722.112071759257</v>
      </c>
      <c r="K3" s="1" t="s">
        <v>50</v>
      </c>
      <c r="L3" s="1">
        <f>0.557</f>
        <v>0.55700000000000005</v>
      </c>
      <c r="M3" s="1">
        <f>0.864</f>
        <v>0.86399999999999999</v>
      </c>
      <c r="N3">
        <v>11</v>
      </c>
      <c r="O3" s="1">
        <v>-4.5739999999999998</v>
      </c>
      <c r="P3">
        <f>0</f>
        <v>0</v>
      </c>
      <c r="Q3" s="1" t="b">
        <f>0=7=2</f>
        <v>0</v>
      </c>
      <c r="R3" s="1" t="b">
        <f>0=151</f>
        <v>0</v>
      </c>
      <c r="S3" s="1" t="b">
        <f>0=0=84</f>
        <v>0</v>
      </c>
      <c r="T3" s="1">
        <f>0.878</f>
        <v>0.878</v>
      </c>
      <c r="U3" s="1">
        <f>0.464</f>
        <v>0.46400000000000002</v>
      </c>
      <c r="V3" s="1" t="s">
        <v>13022</v>
      </c>
      <c r="W3">
        <v>4</v>
      </c>
    </row>
    <row r="4" spans="1:23" x14ac:dyDescent="0.25">
      <c r="A4" s="1" t="s">
        <v>12720</v>
      </c>
      <c r="B4" s="1" t="s">
        <v>12721</v>
      </c>
      <c r="C4" s="1" t="s">
        <v>1177</v>
      </c>
      <c r="D4" s="1" t="s">
        <v>1177</v>
      </c>
      <c r="E4" s="1" t="s">
        <v>1178</v>
      </c>
      <c r="F4" s="10">
        <v>44665</v>
      </c>
      <c r="G4">
        <v>191413</v>
      </c>
      <c r="H4">
        <v>58</v>
      </c>
      <c r="I4" s="1" t="s">
        <v>12717</v>
      </c>
      <c r="J4" s="11">
        <v>44722.112071759257</v>
      </c>
      <c r="K4" s="1" t="s">
        <v>1179</v>
      </c>
      <c r="L4" s="1">
        <f>0.584</f>
        <v>0.58399999999999996</v>
      </c>
      <c r="M4" s="1">
        <f>0.991</f>
        <v>0.99099999999999999</v>
      </c>
      <c r="N4">
        <v>8</v>
      </c>
      <c r="O4" s="1" t="s">
        <v>13023</v>
      </c>
      <c r="P4">
        <f>0</f>
        <v>0</v>
      </c>
      <c r="Q4" s="1" t="b">
        <f>0.1=5</f>
        <v>0</v>
      </c>
      <c r="R4" s="1">
        <f>0.149</f>
        <v>0.14899999999999999</v>
      </c>
      <c r="S4" s="1" t="b">
        <f>0=0=0=263</f>
        <v>0</v>
      </c>
      <c r="T4" s="1">
        <f>0.398</f>
        <v>0.39800000000000002</v>
      </c>
      <c r="U4" s="1">
        <f>0.753</f>
        <v>0.753</v>
      </c>
      <c r="V4" s="1">
        <v>154.99199999999999</v>
      </c>
      <c r="W4">
        <v>4</v>
      </c>
    </row>
    <row r="5" spans="1:23" x14ac:dyDescent="0.25">
      <c r="A5" s="1" t="s">
        <v>12722</v>
      </c>
      <c r="B5" s="1" t="s">
        <v>12209</v>
      </c>
      <c r="C5" s="1" t="s">
        <v>1180</v>
      </c>
      <c r="D5" s="1" t="s">
        <v>1180</v>
      </c>
      <c r="E5" s="1" t="s">
        <v>728</v>
      </c>
      <c r="F5" s="10">
        <v>44484</v>
      </c>
      <c r="G5">
        <v>193548</v>
      </c>
      <c r="H5">
        <v>56</v>
      </c>
      <c r="I5" s="1" t="s">
        <v>12717</v>
      </c>
      <c r="J5" s="11">
        <v>44722.112071759257</v>
      </c>
      <c r="K5" s="1" t="s">
        <v>729</v>
      </c>
      <c r="L5" s="1" t="b">
        <f>0.4=6</f>
        <v>0</v>
      </c>
      <c r="M5" s="1">
        <f>0.985</f>
        <v>0.98499999999999999</v>
      </c>
      <c r="N5">
        <v>8</v>
      </c>
      <c r="O5" s="1">
        <v>-1.5389999999999999</v>
      </c>
      <c r="P5">
        <f>0</f>
        <v>0</v>
      </c>
      <c r="Q5" s="1">
        <f>0.175</f>
        <v>0.17499999999999999</v>
      </c>
      <c r="R5" s="1" t="b">
        <f>0=0=282</f>
        <v>0</v>
      </c>
      <c r="S5" s="1" t="b">
        <f>0=456</f>
        <v>0</v>
      </c>
      <c r="T5" s="1">
        <f>0.147</f>
        <v>0.14699999999999999</v>
      </c>
      <c r="U5" s="1">
        <f>0.235</f>
        <v>0.23499999999999999</v>
      </c>
      <c r="V5" s="1">
        <v>154.99299999999999</v>
      </c>
      <c r="W5">
        <v>4</v>
      </c>
    </row>
    <row r="6" spans="1:23" x14ac:dyDescent="0.25">
      <c r="A6" s="1" t="s">
        <v>12723</v>
      </c>
      <c r="B6" s="1" t="s">
        <v>12724</v>
      </c>
      <c r="C6" s="1" t="s">
        <v>1181</v>
      </c>
      <c r="D6" s="1" t="s">
        <v>1181</v>
      </c>
      <c r="E6" s="1" t="s">
        <v>1182</v>
      </c>
      <c r="F6" s="10">
        <v>44498</v>
      </c>
      <c r="G6">
        <v>195135</v>
      </c>
      <c r="H6">
        <v>50</v>
      </c>
      <c r="I6" s="1" t="s">
        <v>12717</v>
      </c>
      <c r="J6" s="11">
        <v>44722.112071759257</v>
      </c>
      <c r="K6" s="1" t="s">
        <v>632</v>
      </c>
      <c r="L6" s="1">
        <f>0.464</f>
        <v>0.46400000000000002</v>
      </c>
      <c r="M6" s="1">
        <f>0.941</f>
        <v>0.94099999999999995</v>
      </c>
      <c r="N6">
        <v>11</v>
      </c>
      <c r="O6" s="1" t="s">
        <v>13024</v>
      </c>
      <c r="P6">
        <f>0</f>
        <v>0</v>
      </c>
      <c r="Q6" s="1">
        <f>0.386</f>
        <v>0.38600000000000001</v>
      </c>
      <c r="R6" s="1" t="b">
        <f>0=224</f>
        <v>0</v>
      </c>
      <c r="S6" s="1" t="b">
        <f>0=229</f>
        <v>0</v>
      </c>
      <c r="T6" s="1">
        <f>0.389</f>
        <v>0.38900000000000001</v>
      </c>
      <c r="U6" s="1">
        <f>0.266</f>
        <v>0.26600000000000001</v>
      </c>
      <c r="V6" s="1">
        <v>149.977</v>
      </c>
      <c r="W6">
        <v>4</v>
      </c>
    </row>
    <row r="7" spans="1:23" x14ac:dyDescent="0.25">
      <c r="A7" s="1" t="s">
        <v>12725</v>
      </c>
      <c r="B7" s="1" t="s">
        <v>12726</v>
      </c>
      <c r="C7" s="1" t="s">
        <v>1183</v>
      </c>
      <c r="D7" s="1" t="s">
        <v>1183</v>
      </c>
      <c r="E7" s="1" t="s">
        <v>1184</v>
      </c>
      <c r="F7" s="10">
        <v>44204</v>
      </c>
      <c r="G7">
        <v>224000</v>
      </c>
      <c r="H7">
        <v>58</v>
      </c>
      <c r="I7" s="1" t="s">
        <v>12717</v>
      </c>
      <c r="J7" s="11">
        <v>44722.112071759257</v>
      </c>
      <c r="K7" s="1" t="s">
        <v>1070</v>
      </c>
      <c r="L7" s="1">
        <f>0.484</f>
        <v>0.48399999999999999</v>
      </c>
      <c r="M7" s="1">
        <f>0.955</f>
        <v>0.95499999999999996</v>
      </c>
      <c r="N7">
        <v>6</v>
      </c>
      <c r="O7" s="1">
        <v>-2.9390000000000001</v>
      </c>
      <c r="P7">
        <f>0</f>
        <v>0</v>
      </c>
      <c r="Q7" s="1" t="b">
        <f>0=452</f>
        <v>0</v>
      </c>
      <c r="R7" s="1" t="b">
        <f>0=0=513</f>
        <v>0</v>
      </c>
      <c r="S7" s="1">
        <f>0.884</f>
        <v>0.88400000000000001</v>
      </c>
      <c r="T7" s="1" t="b">
        <f>0=91</f>
        <v>0</v>
      </c>
      <c r="U7" s="1">
        <f>0.261</f>
        <v>0.26100000000000001</v>
      </c>
      <c r="V7" s="1">
        <v>149.99100000000001</v>
      </c>
      <c r="W7">
        <v>4</v>
      </c>
    </row>
    <row r="8" spans="1:23" x14ac:dyDescent="0.25">
      <c r="A8" s="1" t="s">
        <v>12727</v>
      </c>
      <c r="B8" s="1" t="s">
        <v>12728</v>
      </c>
      <c r="C8" s="1" t="s">
        <v>1185</v>
      </c>
      <c r="D8" s="1" t="s">
        <v>1185</v>
      </c>
      <c r="E8" s="1" t="s">
        <v>1186</v>
      </c>
      <c r="F8" s="10">
        <v>44498</v>
      </c>
      <c r="G8">
        <v>246000</v>
      </c>
      <c r="H8">
        <v>49</v>
      </c>
      <c r="I8" s="1" t="s">
        <v>12717</v>
      </c>
      <c r="J8" s="11">
        <v>44722.112071759257</v>
      </c>
      <c r="K8" s="1" t="s">
        <v>1187</v>
      </c>
      <c r="L8" s="1">
        <f>0.583</f>
        <v>0.58299999999999996</v>
      </c>
      <c r="M8" s="1">
        <f>0.963</f>
        <v>0.96299999999999997</v>
      </c>
      <c r="N8">
        <v>2</v>
      </c>
      <c r="O8" s="1" t="s">
        <v>13025</v>
      </c>
      <c r="P8">
        <v>1</v>
      </c>
      <c r="Q8" s="1" t="b">
        <f>0=723</f>
        <v>0</v>
      </c>
      <c r="R8" s="1" t="b">
        <f>0=0=982</f>
        <v>0</v>
      </c>
      <c r="S8" s="1" t="b">
        <f>0=0=0=679</f>
        <v>0</v>
      </c>
      <c r="T8" s="1" t="b">
        <f>0.1=1</f>
        <v>0</v>
      </c>
      <c r="U8" s="1">
        <f>0.222</f>
        <v>0.222</v>
      </c>
      <c r="V8" s="1" t="s">
        <v>12452</v>
      </c>
      <c r="W8">
        <v>4</v>
      </c>
    </row>
    <row r="9" spans="1:23" x14ac:dyDescent="0.25">
      <c r="A9" s="1" t="s">
        <v>12729</v>
      </c>
      <c r="B9" s="1" t="s">
        <v>12730</v>
      </c>
      <c r="C9" s="1" t="s">
        <v>1188</v>
      </c>
      <c r="D9" s="1" t="s">
        <v>1188</v>
      </c>
      <c r="E9" s="1" t="s">
        <v>1189</v>
      </c>
      <c r="F9" s="10">
        <v>44715</v>
      </c>
      <c r="G9">
        <v>350077</v>
      </c>
      <c r="H9">
        <v>57</v>
      </c>
      <c r="I9" s="1" t="s">
        <v>12717</v>
      </c>
      <c r="J9" s="11">
        <v>44722.112071759257</v>
      </c>
      <c r="K9" s="1" t="s">
        <v>1190</v>
      </c>
      <c r="L9" s="1">
        <f>0.348</f>
        <v>0.34799999999999998</v>
      </c>
      <c r="M9" s="1">
        <f>0.934</f>
        <v>0.93400000000000005</v>
      </c>
      <c r="N9" t="s">
        <v>11825</v>
      </c>
      <c r="O9" s="1">
        <v>-4.2779999999999996</v>
      </c>
      <c r="P9">
        <f>0</f>
        <v>0</v>
      </c>
      <c r="Q9" s="1">
        <f>0.238</f>
        <v>0.23799999999999999</v>
      </c>
      <c r="R9" s="1" t="b">
        <f>0=1=3</f>
        <v>0</v>
      </c>
      <c r="S9" s="1" t="b">
        <f>0=0=0=0=744</f>
        <v>0</v>
      </c>
      <c r="T9" s="1" t="b">
        <f>0=691</f>
        <v>0</v>
      </c>
      <c r="U9" s="1">
        <f>0.252</f>
        <v>0.252</v>
      </c>
      <c r="V9" s="1" t="s">
        <v>13026</v>
      </c>
      <c r="W9">
        <v>4</v>
      </c>
    </row>
    <row r="10" spans="1:23" x14ac:dyDescent="0.25">
      <c r="A10" s="1" t="s">
        <v>12334</v>
      </c>
      <c r="B10" s="1" t="s">
        <v>12335</v>
      </c>
      <c r="C10" s="1" t="s">
        <v>856</v>
      </c>
      <c r="D10" s="1" t="s">
        <v>856</v>
      </c>
      <c r="E10" s="1" t="s">
        <v>857</v>
      </c>
      <c r="F10" s="10">
        <v>44246</v>
      </c>
      <c r="G10">
        <v>252236</v>
      </c>
      <c r="H10">
        <v>58</v>
      </c>
      <c r="I10" s="1" t="s">
        <v>12717</v>
      </c>
      <c r="J10" s="11">
        <v>44722.112071759257</v>
      </c>
      <c r="K10" s="1" t="s">
        <v>858</v>
      </c>
      <c r="L10" s="1">
        <f>0.487</f>
        <v>0.48699999999999999</v>
      </c>
      <c r="M10" s="1">
        <f>0.939</f>
        <v>0.93899999999999995</v>
      </c>
      <c r="N10">
        <v>8</v>
      </c>
      <c r="O10" s="1">
        <v>-3.1819999999999999</v>
      </c>
      <c r="P10">
        <f>0</f>
        <v>0</v>
      </c>
      <c r="Q10" s="1">
        <f>0.268</f>
        <v>0.26800000000000002</v>
      </c>
      <c r="R10" s="1" t="b">
        <f>0=261</f>
        <v>0</v>
      </c>
      <c r="S10" s="1">
        <f>0</f>
        <v>0</v>
      </c>
      <c r="T10" s="1" t="b">
        <f>0=699</f>
        <v>0</v>
      </c>
      <c r="U10" s="1">
        <f>0.156</f>
        <v>0.156</v>
      </c>
      <c r="V10" s="1" t="s">
        <v>12524</v>
      </c>
      <c r="W10">
        <v>4</v>
      </c>
    </row>
    <row r="11" spans="1:23" x14ac:dyDescent="0.25">
      <c r="A11" s="1" t="s">
        <v>12731</v>
      </c>
      <c r="B11" s="1" t="s">
        <v>12732</v>
      </c>
      <c r="C11" s="1" t="s">
        <v>1191</v>
      </c>
      <c r="D11" s="1" t="s">
        <v>12733</v>
      </c>
      <c r="E11" s="1" t="s">
        <v>1192</v>
      </c>
      <c r="F11" s="10">
        <v>44645</v>
      </c>
      <c r="G11">
        <v>222033</v>
      </c>
      <c r="H11">
        <v>51</v>
      </c>
      <c r="I11" s="1" t="s">
        <v>12717</v>
      </c>
      <c r="J11" s="11">
        <v>44722.112071759257</v>
      </c>
      <c r="K11" s="1" t="s">
        <v>673</v>
      </c>
      <c r="L11" s="1">
        <f>0.561</f>
        <v>0.56100000000000005</v>
      </c>
      <c r="M11" s="1">
        <f>0.946</f>
        <v>0.94599999999999995</v>
      </c>
      <c r="N11">
        <v>9</v>
      </c>
      <c r="O11" s="1">
        <v>-5.55</v>
      </c>
      <c r="P11">
        <v>1</v>
      </c>
      <c r="Q11" s="1">
        <f>0.131</f>
        <v>0.13100000000000001</v>
      </c>
      <c r="R11" s="1" t="b">
        <f>0=47</f>
        <v>0</v>
      </c>
      <c r="S11" s="1">
        <f>0</f>
        <v>0</v>
      </c>
      <c r="T11" s="1">
        <f>0.226</f>
        <v>0.22600000000000001</v>
      </c>
      <c r="U11" s="1">
        <f>0.181</f>
        <v>0.18099999999999999</v>
      </c>
      <c r="V11" s="1" t="s">
        <v>12423</v>
      </c>
      <c r="W11">
        <v>4</v>
      </c>
    </row>
    <row r="12" spans="1:23" x14ac:dyDescent="0.25">
      <c r="A12" s="1" t="s">
        <v>12734</v>
      </c>
      <c r="B12" s="1" t="s">
        <v>12735</v>
      </c>
      <c r="C12" s="1" t="s">
        <v>1193</v>
      </c>
      <c r="D12" s="1" t="s">
        <v>12736</v>
      </c>
      <c r="E12" s="1" t="s">
        <v>1194</v>
      </c>
      <c r="F12" s="10">
        <v>44547</v>
      </c>
      <c r="G12">
        <v>189166</v>
      </c>
      <c r="H12">
        <v>49</v>
      </c>
      <c r="I12" s="1" t="s">
        <v>12717</v>
      </c>
      <c r="J12" s="11">
        <v>44722.112071759257</v>
      </c>
      <c r="K12" s="1" t="s">
        <v>1195</v>
      </c>
      <c r="L12" s="1">
        <f>0.515</f>
        <v>0.51500000000000001</v>
      </c>
      <c r="M12" s="1">
        <f>0.998</f>
        <v>0.998</v>
      </c>
      <c r="N12">
        <v>8</v>
      </c>
      <c r="O12" s="1">
        <f>0.432</f>
        <v>0.432</v>
      </c>
      <c r="P12">
        <f>0</f>
        <v>0</v>
      </c>
      <c r="Q12" s="1">
        <f>0.342</f>
        <v>0.34200000000000003</v>
      </c>
      <c r="R12" s="1">
        <f>0.128</f>
        <v>0.128</v>
      </c>
      <c r="S12" s="1" t="b">
        <f>0=0=0=0=0=387</f>
        <v>0</v>
      </c>
      <c r="T12" s="1">
        <f>0.946</f>
        <v>0.94599999999999995</v>
      </c>
      <c r="U12" s="1">
        <f>0.172</f>
        <v>0.17199999999999999</v>
      </c>
      <c r="V12" s="1" t="s">
        <v>12445</v>
      </c>
      <c r="W12">
        <v>4</v>
      </c>
    </row>
    <row r="13" spans="1:23" x14ac:dyDescent="0.25">
      <c r="A13" s="1" t="s">
        <v>12737</v>
      </c>
      <c r="B13" s="1" t="s">
        <v>12738</v>
      </c>
      <c r="C13" s="1" t="s">
        <v>1196</v>
      </c>
      <c r="D13" s="1" t="s">
        <v>12739</v>
      </c>
      <c r="E13" s="1" t="s">
        <v>1197</v>
      </c>
      <c r="F13" s="10">
        <v>44540</v>
      </c>
      <c r="G13">
        <v>213689</v>
      </c>
      <c r="H13">
        <v>50</v>
      </c>
      <c r="I13" s="1" t="s">
        <v>12717</v>
      </c>
      <c r="J13" s="11">
        <v>44722.112071759257</v>
      </c>
      <c r="K13" s="1" t="s">
        <v>1198</v>
      </c>
      <c r="L13" s="1">
        <f>0.591</f>
        <v>0.59099999999999997</v>
      </c>
      <c r="M13" s="1">
        <f>0.971</f>
        <v>0.97099999999999997</v>
      </c>
      <c r="N13">
        <v>9</v>
      </c>
      <c r="O13" s="1" t="s">
        <v>13027</v>
      </c>
      <c r="P13">
        <v>1</v>
      </c>
      <c r="Q13" s="1">
        <f>0.188</f>
        <v>0.188</v>
      </c>
      <c r="R13" s="1" t="b">
        <f>0=353</f>
        <v>0</v>
      </c>
      <c r="S13" s="1" t="b">
        <f>0=0=0=1=6</f>
        <v>0</v>
      </c>
      <c r="T13" s="1">
        <f>0.422</f>
        <v>0.42199999999999999</v>
      </c>
      <c r="U13" s="1">
        <f>0.38</f>
        <v>0.38</v>
      </c>
      <c r="V13" s="1" t="s">
        <v>13028</v>
      </c>
      <c r="W13">
        <v>4</v>
      </c>
    </row>
    <row r="14" spans="1:23" x14ac:dyDescent="0.25">
      <c r="A14" s="1" t="s">
        <v>12740</v>
      </c>
      <c r="B14" s="1" t="s">
        <v>12732</v>
      </c>
      <c r="C14" s="1" t="s">
        <v>1199</v>
      </c>
      <c r="D14" s="1" t="s">
        <v>1199</v>
      </c>
      <c r="E14" s="1" t="s">
        <v>1192</v>
      </c>
      <c r="F14" s="10">
        <v>44623</v>
      </c>
      <c r="G14">
        <v>216376</v>
      </c>
      <c r="H14">
        <v>61</v>
      </c>
      <c r="I14" s="1" t="s">
        <v>12717</v>
      </c>
      <c r="J14" s="11">
        <v>44722.112071759257</v>
      </c>
      <c r="K14" s="1" t="s">
        <v>673</v>
      </c>
      <c r="L14" s="1">
        <f>0.499</f>
        <v>0.499</v>
      </c>
      <c r="M14" s="1">
        <f>0.761</f>
        <v>0.76100000000000001</v>
      </c>
      <c r="N14" t="s">
        <v>11825</v>
      </c>
      <c r="O14" s="1">
        <v>-6.3970000000000002</v>
      </c>
      <c r="P14">
        <f>0</f>
        <v>0</v>
      </c>
      <c r="Q14" s="1" t="b">
        <f>0=34</f>
        <v>0</v>
      </c>
      <c r="R14" s="1" t="b">
        <f>0.2=9</f>
        <v>0</v>
      </c>
      <c r="S14" s="1" t="b">
        <f>0=0=0=0=272</f>
        <v>0</v>
      </c>
      <c r="T14" s="1" t="b">
        <f>0=998</f>
        <v>0</v>
      </c>
      <c r="U14" s="1">
        <f>0.168</f>
        <v>0.16800000000000001</v>
      </c>
      <c r="V14" s="1">
        <v>149.96799999999999</v>
      </c>
      <c r="W14">
        <v>4</v>
      </c>
    </row>
    <row r="15" spans="1:23" x14ac:dyDescent="0.25">
      <c r="A15" s="1" t="s">
        <v>12741</v>
      </c>
      <c r="B15" s="1" t="s">
        <v>12742</v>
      </c>
      <c r="C15" s="1" t="s">
        <v>1200</v>
      </c>
      <c r="D15" s="1" t="s">
        <v>1200</v>
      </c>
      <c r="E15" s="1" t="s">
        <v>1201</v>
      </c>
      <c r="F15" s="10">
        <v>44497</v>
      </c>
      <c r="G15">
        <v>186410</v>
      </c>
      <c r="H15">
        <v>61</v>
      </c>
      <c r="I15" s="1" t="s">
        <v>12717</v>
      </c>
      <c r="J15" s="11">
        <v>44722.112071759257</v>
      </c>
      <c r="K15" s="1" t="s">
        <v>868</v>
      </c>
      <c r="L15" s="1">
        <f>0.631</f>
        <v>0.63100000000000001</v>
      </c>
      <c r="M15" s="1">
        <f>0.858</f>
        <v>0.85799999999999998</v>
      </c>
      <c r="N15">
        <v>2</v>
      </c>
      <c r="O15" s="1">
        <v>-4.8949999999999996</v>
      </c>
      <c r="P15">
        <v>1</v>
      </c>
      <c r="Q15" s="1">
        <f>0.178</f>
        <v>0.17799999999999999</v>
      </c>
      <c r="R15" s="1" t="b">
        <f>0=0=793</f>
        <v>0</v>
      </c>
      <c r="S15" s="1" t="b">
        <f>0=0=0=988</f>
        <v>0</v>
      </c>
      <c r="T15" s="1" t="b">
        <f>0.5=1</f>
        <v>0</v>
      </c>
      <c r="U15" s="1">
        <f>0.337</f>
        <v>0.33700000000000002</v>
      </c>
      <c r="V15" s="1" t="s">
        <v>13029</v>
      </c>
      <c r="W15">
        <v>4</v>
      </c>
    </row>
    <row r="16" spans="1:23" x14ac:dyDescent="0.25">
      <c r="A16" s="1" t="s">
        <v>12743</v>
      </c>
      <c r="B16" s="1" t="s">
        <v>12716</v>
      </c>
      <c r="C16" s="1" t="s">
        <v>1202</v>
      </c>
      <c r="D16" s="1" t="s">
        <v>1202</v>
      </c>
      <c r="E16" s="1" t="s">
        <v>1173</v>
      </c>
      <c r="F16" s="10">
        <v>44540</v>
      </c>
      <c r="G16">
        <v>184000</v>
      </c>
      <c r="H16">
        <v>61</v>
      </c>
      <c r="I16" s="1" t="s">
        <v>12717</v>
      </c>
      <c r="J16" s="11">
        <v>44722.112071759257</v>
      </c>
      <c r="K16" s="1" t="s">
        <v>1174</v>
      </c>
      <c r="L16" s="1">
        <f>0.292</f>
        <v>0.29199999999999998</v>
      </c>
      <c r="M16" s="1">
        <f>0.947</f>
        <v>0.94699999999999995</v>
      </c>
      <c r="N16">
        <v>1</v>
      </c>
      <c r="O16" s="1">
        <v>-4.4489999999999998</v>
      </c>
      <c r="P16">
        <v>1</v>
      </c>
      <c r="Q16" s="1" t="b">
        <f>0=9=6</f>
        <v>0</v>
      </c>
      <c r="R16" s="1" t="b">
        <f>0=0=171</f>
        <v>0</v>
      </c>
      <c r="S16" s="1">
        <f>0.593</f>
        <v>0.59299999999999997</v>
      </c>
      <c r="T16" s="1">
        <f>0.191</f>
        <v>0.191</v>
      </c>
      <c r="U16" s="1" t="b">
        <f>0=859</f>
        <v>0</v>
      </c>
      <c r="V16" s="1" t="s">
        <v>12466</v>
      </c>
      <c r="W16">
        <v>4</v>
      </c>
    </row>
    <row r="17" spans="1:23" x14ac:dyDescent="0.25">
      <c r="A17" s="1" t="s">
        <v>12744</v>
      </c>
      <c r="B17" s="1" t="s">
        <v>12745</v>
      </c>
      <c r="C17" s="1" t="s">
        <v>1203</v>
      </c>
      <c r="D17" s="1" t="s">
        <v>1203</v>
      </c>
      <c r="E17" s="1" t="s">
        <v>1204</v>
      </c>
      <c r="F17" s="10">
        <v>44407</v>
      </c>
      <c r="G17">
        <v>263642</v>
      </c>
      <c r="H17">
        <v>50</v>
      </c>
      <c r="I17" s="1" t="s">
        <v>12717</v>
      </c>
      <c r="J17" s="11">
        <v>44722.112071759257</v>
      </c>
      <c r="K17" s="1" t="s">
        <v>588</v>
      </c>
      <c r="L17" s="1">
        <f>0.349</f>
        <v>0.34899999999999998</v>
      </c>
      <c r="M17" s="1">
        <f>0.956</f>
        <v>0.95599999999999996</v>
      </c>
      <c r="N17">
        <v>11</v>
      </c>
      <c r="O17" s="1">
        <v>-1.855</v>
      </c>
      <c r="P17">
        <f>0</f>
        <v>0</v>
      </c>
      <c r="Q17" s="1">
        <f>0.561</f>
        <v>0.56100000000000005</v>
      </c>
      <c r="R17" s="1" t="b">
        <f>0=594</f>
        <v>0</v>
      </c>
      <c r="S17" s="1">
        <f>0</f>
        <v>0</v>
      </c>
      <c r="T17" s="1">
        <f>0.111</f>
        <v>0.111</v>
      </c>
      <c r="U17" s="1" t="b">
        <f>0=566</f>
        <v>0</v>
      </c>
      <c r="V17" s="1">
        <v>154.88399999999999</v>
      </c>
      <c r="W17">
        <v>4</v>
      </c>
    </row>
    <row r="18" spans="1:23" x14ac:dyDescent="0.25">
      <c r="A18" s="1" t="s">
        <v>12746</v>
      </c>
      <c r="B18" s="1" t="s">
        <v>12747</v>
      </c>
      <c r="C18" s="1" t="s">
        <v>1205</v>
      </c>
      <c r="D18" s="1" t="s">
        <v>1205</v>
      </c>
      <c r="E18" s="1" t="s">
        <v>1206</v>
      </c>
      <c r="F18" s="10">
        <v>43851</v>
      </c>
      <c r="G18">
        <v>236903</v>
      </c>
      <c r="H18">
        <v>64</v>
      </c>
      <c r="I18" s="1" t="s">
        <v>12717</v>
      </c>
      <c r="J18" s="11">
        <v>44722.112071759257</v>
      </c>
      <c r="K18" s="1" t="s">
        <v>1207</v>
      </c>
      <c r="L18" s="1">
        <f>0.459</f>
        <v>0.45900000000000002</v>
      </c>
      <c r="M18" s="1">
        <f>0.941</f>
        <v>0.94099999999999995</v>
      </c>
      <c r="N18">
        <v>9</v>
      </c>
      <c r="O18" s="1" t="s">
        <v>13030</v>
      </c>
      <c r="P18">
        <f>0</f>
        <v>0</v>
      </c>
      <c r="Q18" s="1" t="b">
        <f>0=777</f>
        <v>0</v>
      </c>
      <c r="R18" s="1" t="b">
        <f>0=191</f>
        <v>0</v>
      </c>
      <c r="S18" s="1">
        <f>0</f>
        <v>0</v>
      </c>
      <c r="T18" s="1">
        <f>0.371</f>
        <v>0.371</v>
      </c>
      <c r="U18" s="1">
        <f>0.399</f>
        <v>0.39900000000000002</v>
      </c>
      <c r="V18" s="1" t="s">
        <v>13031</v>
      </c>
      <c r="W18">
        <v>4</v>
      </c>
    </row>
    <row r="19" spans="1:23" x14ac:dyDescent="0.25">
      <c r="A19" s="1" t="s">
        <v>12748</v>
      </c>
      <c r="B19" s="1" t="s">
        <v>12730</v>
      </c>
      <c r="C19" s="1" t="s">
        <v>1208</v>
      </c>
      <c r="D19" s="1" t="s">
        <v>1208</v>
      </c>
      <c r="E19" s="1" t="s">
        <v>1189</v>
      </c>
      <c r="F19" s="10">
        <v>44250</v>
      </c>
      <c r="G19">
        <v>217600</v>
      </c>
      <c r="H19">
        <v>51</v>
      </c>
      <c r="I19" s="1" t="s">
        <v>12717</v>
      </c>
      <c r="J19" s="11">
        <v>44722.112071759257</v>
      </c>
      <c r="K19" s="1" t="s">
        <v>1190</v>
      </c>
      <c r="L19" s="1">
        <f>0.39</f>
        <v>0.39</v>
      </c>
      <c r="M19" s="1">
        <f>0.965</f>
        <v>0.96499999999999997</v>
      </c>
      <c r="N19">
        <v>9</v>
      </c>
      <c r="O19" s="1">
        <v>-2.617</v>
      </c>
      <c r="P19">
        <f>0</f>
        <v>0</v>
      </c>
      <c r="Q19" s="1">
        <f>0.131</f>
        <v>0.13100000000000001</v>
      </c>
      <c r="R19" s="1" t="b">
        <f>0=0=713</f>
        <v>0</v>
      </c>
      <c r="S19" s="1" t="b">
        <f>0=0=0=345</f>
        <v>0</v>
      </c>
      <c r="T19" s="1">
        <f>0.111</f>
        <v>0.111</v>
      </c>
      <c r="U19" s="1">
        <f>0.121</f>
        <v>0.121</v>
      </c>
      <c r="V19" s="1">
        <v>149.916</v>
      </c>
      <c r="W19">
        <v>4</v>
      </c>
    </row>
    <row r="20" spans="1:23" x14ac:dyDescent="0.25">
      <c r="A20" s="1" t="s">
        <v>12749</v>
      </c>
      <c r="B20" s="1" t="s">
        <v>12750</v>
      </c>
      <c r="C20" s="1" t="s">
        <v>1209</v>
      </c>
      <c r="D20" s="1" t="s">
        <v>12751</v>
      </c>
      <c r="E20" s="1" t="s">
        <v>1210</v>
      </c>
      <c r="F20" s="10">
        <v>44519</v>
      </c>
      <c r="G20">
        <v>201000</v>
      </c>
      <c r="H20">
        <v>47</v>
      </c>
      <c r="I20" s="1" t="s">
        <v>12717</v>
      </c>
      <c r="J20" s="11">
        <v>44722.112071759257</v>
      </c>
      <c r="K20" s="1" t="s">
        <v>1190</v>
      </c>
      <c r="L20" s="1">
        <f>0.248</f>
        <v>0.248</v>
      </c>
      <c r="M20" s="1">
        <f>0.942</f>
        <v>0.94199999999999995</v>
      </c>
      <c r="N20" t="s">
        <v>11825</v>
      </c>
      <c r="O20" s="1">
        <v>-3.6160000000000001</v>
      </c>
      <c r="P20">
        <f>0</f>
        <v>0</v>
      </c>
      <c r="Q20" s="1" t="b">
        <f>0.3=3</f>
        <v>0</v>
      </c>
      <c r="R20" s="1" t="b">
        <f>0=762</f>
        <v>0</v>
      </c>
      <c r="S20" s="1" t="b">
        <f>0=4=7</f>
        <v>0</v>
      </c>
      <c r="T20" s="1" t="b">
        <f>0=932</f>
        <v>0</v>
      </c>
      <c r="U20" s="1" t="b">
        <f>0=394</f>
        <v>0</v>
      </c>
      <c r="V20" s="1" t="s">
        <v>13032</v>
      </c>
      <c r="W20">
        <v>4</v>
      </c>
    </row>
    <row r="21" spans="1:23" x14ac:dyDescent="0.25">
      <c r="A21" s="1" t="s">
        <v>12752</v>
      </c>
      <c r="B21" s="1" t="s">
        <v>12753</v>
      </c>
      <c r="C21" s="1" t="s">
        <v>1211</v>
      </c>
      <c r="D21" s="1" t="s">
        <v>1211</v>
      </c>
      <c r="E21" s="1" t="s">
        <v>1212</v>
      </c>
      <c r="F21" s="10">
        <v>42594</v>
      </c>
      <c r="G21">
        <v>169839</v>
      </c>
      <c r="H21">
        <v>56</v>
      </c>
      <c r="I21" s="1" t="s">
        <v>12717</v>
      </c>
      <c r="J21" s="11">
        <v>44722.112071759257</v>
      </c>
      <c r="K21" s="1" t="s">
        <v>610</v>
      </c>
      <c r="L21" s="1">
        <f>0.563</f>
        <v>0.56299999999999994</v>
      </c>
      <c r="M21" s="1">
        <f>0.873</f>
        <v>0.873</v>
      </c>
      <c r="N21">
        <v>11</v>
      </c>
      <c r="O21" s="1">
        <v>-2.9729999999999999</v>
      </c>
      <c r="P21">
        <f>0</f>
        <v>0</v>
      </c>
      <c r="Q21" s="1" t="b">
        <f>0=413</f>
        <v>0</v>
      </c>
      <c r="R21" s="1" t="b">
        <f>0=449</f>
        <v>0</v>
      </c>
      <c r="S21" s="1" t="b">
        <f>0=852</f>
        <v>0</v>
      </c>
      <c r="T21" s="1" t="b">
        <f>0=898</f>
        <v>0</v>
      </c>
      <c r="U21" s="1" t="b">
        <f>0.4=3</f>
        <v>0</v>
      </c>
      <c r="V21" s="1">
        <v>149.97499999999999</v>
      </c>
      <c r="W21">
        <v>4</v>
      </c>
    </row>
    <row r="22" spans="1:23" x14ac:dyDescent="0.25">
      <c r="A22" s="1" t="s">
        <v>12754</v>
      </c>
      <c r="B22" s="1" t="s">
        <v>12407</v>
      </c>
      <c r="C22" s="1" t="s">
        <v>1213</v>
      </c>
      <c r="D22" s="1" t="s">
        <v>1213</v>
      </c>
      <c r="E22" s="1" t="s">
        <v>906</v>
      </c>
      <c r="F22" s="10">
        <v>44546</v>
      </c>
      <c r="G22">
        <v>262587</v>
      </c>
      <c r="H22">
        <v>50</v>
      </c>
      <c r="I22" s="1" t="s">
        <v>12717</v>
      </c>
      <c r="J22" s="11">
        <v>44722.112071759257</v>
      </c>
      <c r="K22" s="1" t="s">
        <v>807</v>
      </c>
      <c r="L22" s="1">
        <f>0.482</f>
        <v>0.48199999999999998</v>
      </c>
      <c r="M22" s="1">
        <f>0.935</f>
        <v>0.93500000000000005</v>
      </c>
      <c r="N22">
        <v>8</v>
      </c>
      <c r="O22" s="1" t="s">
        <v>13033</v>
      </c>
      <c r="P22">
        <f>0</f>
        <v>0</v>
      </c>
      <c r="Q22" s="1" t="b">
        <f>0.1=8</f>
        <v>0</v>
      </c>
      <c r="R22" s="1" t="b">
        <f>0=113</f>
        <v>0</v>
      </c>
      <c r="S22" s="1" t="b">
        <f>0=0=0=65</f>
        <v>0</v>
      </c>
      <c r="T22" s="1">
        <f>0.118</f>
        <v>0.11799999999999999</v>
      </c>
      <c r="U22" s="1">
        <f>0.331</f>
        <v>0.33100000000000002</v>
      </c>
      <c r="V22" s="1" t="s">
        <v>13034</v>
      </c>
      <c r="W22">
        <v>4</v>
      </c>
    </row>
    <row r="23" spans="1:23" x14ac:dyDescent="0.25">
      <c r="A23" s="1" t="s">
        <v>12755</v>
      </c>
      <c r="B23" s="1" t="s">
        <v>12756</v>
      </c>
      <c r="C23" s="1" t="s">
        <v>1214</v>
      </c>
      <c r="D23" s="1" t="s">
        <v>1214</v>
      </c>
      <c r="E23" s="1" t="s">
        <v>1215</v>
      </c>
      <c r="F23" s="10">
        <v>43840</v>
      </c>
      <c r="G23">
        <v>192014</v>
      </c>
      <c r="H23">
        <v>7</v>
      </c>
      <c r="I23" s="1" t="s">
        <v>12717</v>
      </c>
      <c r="J23" s="11">
        <v>44722.112071759257</v>
      </c>
      <c r="K23" s="1" t="s">
        <v>1216</v>
      </c>
      <c r="L23" s="1">
        <f>0.319</f>
        <v>0.31900000000000001</v>
      </c>
      <c r="M23" s="1">
        <f>0.865</f>
        <v>0.86499999999999999</v>
      </c>
      <c r="N23">
        <v>2</v>
      </c>
      <c r="O23" s="1">
        <v>-2.528</v>
      </c>
      <c r="P23">
        <f>0</f>
        <v>0</v>
      </c>
      <c r="Q23" s="1" t="b">
        <f>0=415</f>
        <v>0</v>
      </c>
      <c r="R23" s="1">
        <f>0.132</f>
        <v>0.13200000000000001</v>
      </c>
      <c r="S23" s="1">
        <f>0</f>
        <v>0</v>
      </c>
      <c r="T23" s="1">
        <f>0.152</f>
        <v>0.152</v>
      </c>
      <c r="U23" s="1" t="b">
        <f>0=845</f>
        <v>0</v>
      </c>
      <c r="V23" s="1">
        <v>155.17400000000001</v>
      </c>
      <c r="W23">
        <v>4</v>
      </c>
    </row>
    <row r="24" spans="1:23" x14ac:dyDescent="0.25">
      <c r="A24" s="1" t="s">
        <v>12757</v>
      </c>
      <c r="B24" s="1" t="s">
        <v>12407</v>
      </c>
      <c r="C24" s="1" t="s">
        <v>1217</v>
      </c>
      <c r="D24" s="1" t="s">
        <v>1217</v>
      </c>
      <c r="E24" s="1" t="s">
        <v>906</v>
      </c>
      <c r="F24" s="10">
        <v>44588</v>
      </c>
      <c r="G24">
        <v>201985</v>
      </c>
      <c r="H24">
        <v>49</v>
      </c>
      <c r="I24" s="1" t="s">
        <v>12717</v>
      </c>
      <c r="J24" s="11">
        <v>44722.112071759257</v>
      </c>
      <c r="K24" s="1" t="s">
        <v>807</v>
      </c>
      <c r="L24" s="1">
        <f>0.464</f>
        <v>0.46400000000000002</v>
      </c>
      <c r="M24" s="1" t="b">
        <f>0.8=2</f>
        <v>0</v>
      </c>
      <c r="N24">
        <v>5</v>
      </c>
      <c r="O24" s="1" t="s">
        <v>13035</v>
      </c>
      <c r="P24">
        <f>0</f>
        <v>0</v>
      </c>
      <c r="Q24" s="1" t="b">
        <f>0=561</f>
        <v>0</v>
      </c>
      <c r="R24" s="1" t="b">
        <f>0=0=929</f>
        <v>0</v>
      </c>
      <c r="S24" s="1" t="b">
        <f>0=0=0=0=113</f>
        <v>0</v>
      </c>
      <c r="T24" s="1">
        <f>0.126</f>
        <v>0.126</v>
      </c>
      <c r="U24" s="1">
        <f>0.382</f>
        <v>0.38200000000000001</v>
      </c>
      <c r="V24" s="1" t="s">
        <v>13036</v>
      </c>
      <c r="W24">
        <v>4</v>
      </c>
    </row>
    <row r="25" spans="1:23" x14ac:dyDescent="0.25">
      <c r="A25" s="1" t="s">
        <v>12758</v>
      </c>
      <c r="B25" s="1" t="s">
        <v>12759</v>
      </c>
      <c r="C25" s="1" t="s">
        <v>1218</v>
      </c>
      <c r="D25" s="1" t="s">
        <v>12760</v>
      </c>
      <c r="E25" s="1" t="s">
        <v>1219</v>
      </c>
      <c r="F25" s="10">
        <v>44281</v>
      </c>
      <c r="G25">
        <v>158158</v>
      </c>
      <c r="H25">
        <v>54</v>
      </c>
      <c r="I25" s="1" t="s">
        <v>12717</v>
      </c>
      <c r="J25" s="11">
        <v>44722.112071759257</v>
      </c>
      <c r="K25" s="1" t="s">
        <v>1220</v>
      </c>
      <c r="L25" s="1">
        <f>0.496</f>
        <v>0.496</v>
      </c>
      <c r="M25" s="1">
        <f>0.98</f>
        <v>0.98</v>
      </c>
      <c r="N25">
        <v>11</v>
      </c>
      <c r="O25" s="1">
        <v>-3.4340000000000002</v>
      </c>
      <c r="P25">
        <f>0</f>
        <v>0</v>
      </c>
      <c r="Q25" s="1" t="b">
        <f>0=474</f>
        <v>0</v>
      </c>
      <c r="R25" s="1" t="b">
        <f>0=0=0=291</f>
        <v>0</v>
      </c>
      <c r="S25" s="1">
        <f>0.318</f>
        <v>0.318</v>
      </c>
      <c r="T25" s="1">
        <f>0.353</f>
        <v>0.35299999999999998</v>
      </c>
      <c r="U25" s="1">
        <f>0.391</f>
        <v>0.39100000000000001</v>
      </c>
      <c r="V25" s="1" t="s">
        <v>13037</v>
      </c>
      <c r="W25">
        <v>4</v>
      </c>
    </row>
    <row r="26" spans="1:23" x14ac:dyDescent="0.25">
      <c r="A26" s="1" t="s">
        <v>12761</v>
      </c>
      <c r="B26" s="1" t="s">
        <v>12762</v>
      </c>
      <c r="C26" s="1" t="s">
        <v>1221</v>
      </c>
      <c r="D26" s="1" t="s">
        <v>1221</v>
      </c>
      <c r="E26" s="1" t="s">
        <v>1222</v>
      </c>
      <c r="F26" s="10">
        <v>44357</v>
      </c>
      <c r="G26">
        <v>194921</v>
      </c>
      <c r="H26">
        <v>47</v>
      </c>
      <c r="I26" s="1" t="s">
        <v>12717</v>
      </c>
      <c r="J26" s="11">
        <v>44722.112071759257</v>
      </c>
      <c r="K26" s="1" t="s">
        <v>1223</v>
      </c>
      <c r="L26" s="1">
        <f>0.319</f>
        <v>0.31900000000000001</v>
      </c>
      <c r="M26" s="1">
        <f>0.861</f>
        <v>0.86099999999999999</v>
      </c>
      <c r="N26">
        <v>5</v>
      </c>
      <c r="O26" s="1">
        <v>-4.1100000000000003</v>
      </c>
      <c r="P26">
        <v>1</v>
      </c>
      <c r="Q26" s="1" t="b">
        <f>0=544</f>
        <v>0</v>
      </c>
      <c r="R26" s="1" t="b">
        <f>0=368</f>
        <v>0</v>
      </c>
      <c r="S26" s="1" t="b">
        <f>0=0=0=0=748</f>
        <v>0</v>
      </c>
      <c r="T26" s="1">
        <f>0.252</f>
        <v>0.252</v>
      </c>
      <c r="U26" s="1" t="b">
        <f>0.2=2</f>
        <v>0</v>
      </c>
      <c r="V26" s="1">
        <v>149.65199999999999</v>
      </c>
      <c r="W26">
        <v>4</v>
      </c>
    </row>
    <row r="27" spans="1:23" x14ac:dyDescent="0.25">
      <c r="A27" s="1" t="s">
        <v>12763</v>
      </c>
      <c r="B27" s="1" t="s">
        <v>12764</v>
      </c>
      <c r="C27" s="1" t="s">
        <v>1224</v>
      </c>
      <c r="D27" s="1" t="s">
        <v>1224</v>
      </c>
      <c r="E27" s="1" t="s">
        <v>1225</v>
      </c>
      <c r="F27" s="10">
        <v>44651</v>
      </c>
      <c r="G27">
        <v>241500</v>
      </c>
      <c r="H27">
        <v>52</v>
      </c>
      <c r="I27" s="1" t="s">
        <v>12717</v>
      </c>
      <c r="J27" s="11">
        <v>44722.112071759257</v>
      </c>
      <c r="K27" s="1" t="s">
        <v>588</v>
      </c>
      <c r="L27" s="1">
        <f>0.2</f>
        <v>0.2</v>
      </c>
      <c r="M27" s="1">
        <f>0.961</f>
        <v>0.96099999999999997</v>
      </c>
      <c r="N27">
        <v>5</v>
      </c>
      <c r="O27" s="1" t="s">
        <v>13038</v>
      </c>
      <c r="P27">
        <f>0</f>
        <v>0</v>
      </c>
      <c r="Q27" s="1">
        <f>0.288</f>
        <v>0.28799999999999998</v>
      </c>
      <c r="R27" s="1" t="b">
        <f>0=295</f>
        <v>0</v>
      </c>
      <c r="S27" s="1">
        <f>0</f>
        <v>0</v>
      </c>
      <c r="T27" s="1">
        <f>0.44</f>
        <v>0.44</v>
      </c>
      <c r="U27" s="1" t="b">
        <f>0=397</f>
        <v>0</v>
      </c>
      <c r="V27" s="1">
        <v>159.85300000000001</v>
      </c>
      <c r="W27">
        <v>4</v>
      </c>
    </row>
    <row r="28" spans="1:23" x14ac:dyDescent="0.25">
      <c r="A28" s="1" t="s">
        <v>12765</v>
      </c>
      <c r="B28" s="1" t="s">
        <v>12766</v>
      </c>
      <c r="C28" s="1" t="s">
        <v>1226</v>
      </c>
      <c r="D28" s="1" t="s">
        <v>1226</v>
      </c>
      <c r="E28" s="1" t="s">
        <v>1227</v>
      </c>
      <c r="F28" s="10">
        <v>44669</v>
      </c>
      <c r="G28">
        <v>196965</v>
      </c>
      <c r="H28">
        <v>41</v>
      </c>
      <c r="I28" s="1" t="s">
        <v>12717</v>
      </c>
      <c r="J28" s="11">
        <v>44722.112071759257</v>
      </c>
      <c r="K28" s="1" t="s">
        <v>1017</v>
      </c>
      <c r="L28" s="1">
        <f>0.487</f>
        <v>0.48699999999999999</v>
      </c>
      <c r="M28" s="1">
        <f>0.867</f>
        <v>0.86699999999999999</v>
      </c>
      <c r="N28">
        <v>5</v>
      </c>
      <c r="O28" s="1" t="s">
        <v>13039</v>
      </c>
      <c r="P28">
        <f>0</f>
        <v>0</v>
      </c>
      <c r="Q28" s="1" t="b">
        <f>0=3=7</f>
        <v>0</v>
      </c>
      <c r="R28" s="1" t="b">
        <f>0=0=19</f>
        <v>0</v>
      </c>
      <c r="S28" s="1" t="b">
        <f>0=0=0=678</f>
        <v>0</v>
      </c>
      <c r="T28" s="1" t="b">
        <f>0=561</f>
        <v>0</v>
      </c>
      <c r="U28" s="1">
        <f>0.336</f>
        <v>0.33600000000000002</v>
      </c>
      <c r="V28" s="1">
        <v>144.94800000000001</v>
      </c>
      <c r="W28">
        <v>3</v>
      </c>
    </row>
    <row r="29" spans="1:23" x14ac:dyDescent="0.25">
      <c r="A29" s="1" t="s">
        <v>12113</v>
      </c>
      <c r="B29" s="1" t="s">
        <v>12114</v>
      </c>
      <c r="C29" s="1" t="s">
        <v>638</v>
      </c>
      <c r="D29" s="1" t="s">
        <v>638</v>
      </c>
      <c r="E29" s="1" t="s">
        <v>639</v>
      </c>
      <c r="F29" s="10">
        <v>43528</v>
      </c>
      <c r="G29">
        <v>241600</v>
      </c>
      <c r="H29">
        <v>58</v>
      </c>
      <c r="I29" s="1" t="s">
        <v>12717</v>
      </c>
      <c r="J29" s="11">
        <v>44722.112071759257</v>
      </c>
      <c r="K29" s="1" t="s">
        <v>632</v>
      </c>
      <c r="L29" s="1">
        <f>0.535</f>
        <v>0.53500000000000003</v>
      </c>
      <c r="M29" s="1">
        <f>0.877</f>
        <v>0.877</v>
      </c>
      <c r="N29">
        <v>3</v>
      </c>
      <c r="O29" s="1">
        <v>-2.181</v>
      </c>
      <c r="P29">
        <f>0</f>
        <v>0</v>
      </c>
      <c r="Q29" s="1" t="b">
        <f>0=465</f>
        <v>0</v>
      </c>
      <c r="R29" s="1" t="b">
        <f>0=33</f>
        <v>0</v>
      </c>
      <c r="S29" s="1" t="b">
        <f>0=0=0=167</f>
        <v>0</v>
      </c>
      <c r="T29" s="1">
        <f>0.144</f>
        <v>0.14399999999999999</v>
      </c>
      <c r="U29" s="1">
        <f>0.115</f>
        <v>0.115</v>
      </c>
      <c r="V29" s="1" t="s">
        <v>12465</v>
      </c>
      <c r="W29">
        <v>4</v>
      </c>
    </row>
    <row r="30" spans="1:23" x14ac:dyDescent="0.25">
      <c r="A30" s="1" t="s">
        <v>12767</v>
      </c>
      <c r="B30" s="1" t="s">
        <v>12768</v>
      </c>
      <c r="C30" s="1" t="s">
        <v>1228</v>
      </c>
      <c r="D30" s="1" t="s">
        <v>12769</v>
      </c>
      <c r="E30" s="1" t="s">
        <v>1229</v>
      </c>
      <c r="F30" s="10">
        <v>44169</v>
      </c>
      <c r="G30">
        <v>189679</v>
      </c>
      <c r="H30">
        <v>76</v>
      </c>
      <c r="I30" s="1" t="s">
        <v>12717</v>
      </c>
      <c r="J30" s="11">
        <v>44722.112071759257</v>
      </c>
      <c r="K30" s="1" t="s">
        <v>50</v>
      </c>
      <c r="L30" s="1">
        <f>0.294</f>
        <v>0.29399999999999998</v>
      </c>
      <c r="M30" s="1" t="b">
        <f>0.7=7</f>
        <v>0</v>
      </c>
      <c r="N30">
        <v>2</v>
      </c>
      <c r="O30" s="1">
        <v>-5.4180000000000001</v>
      </c>
      <c r="P30">
        <v>1</v>
      </c>
      <c r="Q30" s="1" t="b">
        <f>0=389</f>
        <v>0</v>
      </c>
      <c r="R30" s="1" t="b">
        <f>0=4=8</f>
        <v>0</v>
      </c>
      <c r="S30" s="1" t="b">
        <f>0.1=6</f>
        <v>0</v>
      </c>
      <c r="T30" s="1" t="b">
        <f>0=7=5</f>
        <v>0</v>
      </c>
      <c r="U30" s="1" t="b">
        <f>0=395</f>
        <v>0</v>
      </c>
      <c r="V30" s="1">
        <v>149.94</v>
      </c>
      <c r="W30">
        <v>4</v>
      </c>
    </row>
    <row r="31" spans="1:23" x14ac:dyDescent="0.25">
      <c r="A31" s="1" t="s">
        <v>12770</v>
      </c>
      <c r="B31" s="1" t="s">
        <v>12771</v>
      </c>
      <c r="C31" s="1" t="s">
        <v>1230</v>
      </c>
      <c r="D31" s="1" t="s">
        <v>1230</v>
      </c>
      <c r="E31" s="1" t="s">
        <v>1231</v>
      </c>
      <c r="F31" s="10">
        <v>43889</v>
      </c>
      <c r="G31">
        <v>316800</v>
      </c>
      <c r="H31">
        <v>0</v>
      </c>
      <c r="I31" s="1" t="s">
        <v>12717</v>
      </c>
      <c r="J31" s="11">
        <v>44722.112071759257</v>
      </c>
      <c r="K31" s="1" t="s">
        <v>632</v>
      </c>
      <c r="L31" s="1">
        <f>0.297</f>
        <v>0.29699999999999999</v>
      </c>
      <c r="M31" s="1">
        <f>0.935</f>
        <v>0.93500000000000005</v>
      </c>
      <c r="N31">
        <v>11</v>
      </c>
      <c r="O31" s="1">
        <v>-2.1880000000000002</v>
      </c>
      <c r="P31">
        <f>0</f>
        <v>0</v>
      </c>
      <c r="Q31" s="1" t="b">
        <f>0=758</f>
        <v>0</v>
      </c>
      <c r="R31" s="1" t="b">
        <f>0=251</f>
        <v>0</v>
      </c>
      <c r="S31" s="1" t="b">
        <f>0=0=0=0=1=4</f>
        <v>0</v>
      </c>
      <c r="T31" s="1">
        <f>0.157</f>
        <v>0.157</v>
      </c>
      <c r="U31" s="1">
        <f>0.147</f>
        <v>0.14699999999999999</v>
      </c>
      <c r="V31" s="1" t="s">
        <v>13040</v>
      </c>
      <c r="W31">
        <v>3</v>
      </c>
    </row>
    <row r="32" spans="1:23" x14ac:dyDescent="0.25">
      <c r="A32" s="1" t="s">
        <v>12772</v>
      </c>
      <c r="B32" s="1" t="s">
        <v>12773</v>
      </c>
      <c r="C32" s="1" t="s">
        <v>1232</v>
      </c>
      <c r="D32" s="1" t="s">
        <v>12774</v>
      </c>
      <c r="E32" s="1" t="s">
        <v>1233</v>
      </c>
      <c r="F32" s="10">
        <v>44476</v>
      </c>
      <c r="G32">
        <v>263453</v>
      </c>
      <c r="H32">
        <v>55</v>
      </c>
      <c r="I32" s="1" t="s">
        <v>12717</v>
      </c>
      <c r="J32" s="11">
        <v>44722.112071759257</v>
      </c>
      <c r="K32" s="1" t="s">
        <v>1234</v>
      </c>
      <c r="L32" s="1" t="b">
        <f>0.2=4</f>
        <v>0</v>
      </c>
      <c r="M32" s="1">
        <f>0.817</f>
        <v>0.81699999999999995</v>
      </c>
      <c r="N32">
        <v>9</v>
      </c>
      <c r="O32" s="1" t="s">
        <v>13041</v>
      </c>
      <c r="P32">
        <f>0</f>
        <v>0</v>
      </c>
      <c r="Q32" s="1" t="b">
        <f>0=5=5</f>
        <v>0</v>
      </c>
      <c r="R32" s="1" t="b">
        <f>0=196</f>
        <v>0</v>
      </c>
      <c r="S32" s="1" t="b">
        <f>0=0=0=0=29</f>
        <v>0</v>
      </c>
      <c r="T32" s="1" t="b">
        <f>0=678</f>
        <v>0</v>
      </c>
      <c r="U32" s="1">
        <f>0.195</f>
        <v>0.19500000000000001</v>
      </c>
      <c r="V32" s="1">
        <v>149.68600000000001</v>
      </c>
      <c r="W32">
        <v>4</v>
      </c>
    </row>
    <row r="33" spans="1:23" x14ac:dyDescent="0.25">
      <c r="A33" s="1" t="s">
        <v>12775</v>
      </c>
      <c r="B33" s="1" t="s">
        <v>12776</v>
      </c>
      <c r="C33" s="1" t="s">
        <v>1235</v>
      </c>
      <c r="D33" s="1" t="s">
        <v>1235</v>
      </c>
      <c r="E33" s="1" t="s">
        <v>1236</v>
      </c>
      <c r="F33" s="10">
        <v>44372</v>
      </c>
      <c r="G33">
        <v>196645</v>
      </c>
      <c r="H33">
        <v>57</v>
      </c>
      <c r="I33" s="1" t="s">
        <v>12717</v>
      </c>
      <c r="J33" s="11">
        <v>44722.112071759257</v>
      </c>
      <c r="K33" s="1" t="s">
        <v>1237</v>
      </c>
      <c r="L33" s="1">
        <f>0.596</f>
        <v>0.59599999999999997</v>
      </c>
      <c r="M33" s="1">
        <f>0.965</f>
        <v>0.96499999999999997</v>
      </c>
      <c r="N33">
        <v>7</v>
      </c>
      <c r="O33" s="1">
        <v>-5.5519999999999996</v>
      </c>
      <c r="P33">
        <v>1</v>
      </c>
      <c r="Q33" s="1">
        <f>0.227</f>
        <v>0.22700000000000001</v>
      </c>
      <c r="R33" s="1" t="b">
        <f>0=343</f>
        <v>0</v>
      </c>
      <c r="S33" s="1" t="b">
        <f>0=0=0=0=448</f>
        <v>0</v>
      </c>
      <c r="T33" s="1" t="b">
        <f>0=798</f>
        <v>0</v>
      </c>
      <c r="U33" s="1">
        <f>0.338</f>
        <v>0.33800000000000002</v>
      </c>
      <c r="V33" s="1">
        <v>154.976</v>
      </c>
      <c r="W33">
        <v>4</v>
      </c>
    </row>
    <row r="34" spans="1:23" x14ac:dyDescent="0.25">
      <c r="A34" s="1" t="s">
        <v>12777</v>
      </c>
      <c r="B34" s="1" t="s">
        <v>12778</v>
      </c>
      <c r="C34" s="1" t="s">
        <v>1238</v>
      </c>
      <c r="D34" s="1" t="s">
        <v>1238</v>
      </c>
      <c r="E34" s="1" t="s">
        <v>1239</v>
      </c>
      <c r="F34" s="10">
        <v>44127</v>
      </c>
      <c r="G34">
        <v>189000</v>
      </c>
      <c r="H34">
        <v>59</v>
      </c>
      <c r="I34" s="1" t="s">
        <v>12717</v>
      </c>
      <c r="J34" s="11">
        <v>44722.112071759257</v>
      </c>
      <c r="K34" s="1" t="s">
        <v>1240</v>
      </c>
      <c r="L34" s="1">
        <f>0.393</f>
        <v>0.39300000000000002</v>
      </c>
      <c r="M34" s="1">
        <f>0.895</f>
        <v>0.89500000000000002</v>
      </c>
      <c r="N34">
        <v>6</v>
      </c>
      <c r="O34" s="1">
        <v>-4.9349999999999996</v>
      </c>
      <c r="P34">
        <f>0</f>
        <v>0</v>
      </c>
      <c r="Q34" s="1" t="b">
        <f>0=493</f>
        <v>0</v>
      </c>
      <c r="R34" s="1" t="b">
        <f>0=0=259</f>
        <v>0</v>
      </c>
      <c r="S34" s="1" t="b">
        <f>0=0=0=4=7</f>
        <v>0</v>
      </c>
      <c r="T34" s="1">
        <f>0.151</f>
        <v>0.151</v>
      </c>
      <c r="U34" s="1">
        <f>0.183</f>
        <v>0.183</v>
      </c>
      <c r="V34" s="1" t="s">
        <v>13042</v>
      </c>
      <c r="W34">
        <v>4</v>
      </c>
    </row>
    <row r="35" spans="1:23" x14ac:dyDescent="0.25">
      <c r="A35" s="1" t="s">
        <v>12779</v>
      </c>
      <c r="B35" s="1" t="s">
        <v>12780</v>
      </c>
      <c r="C35" s="1" t="s">
        <v>1241</v>
      </c>
      <c r="D35" s="1" t="s">
        <v>1241</v>
      </c>
      <c r="E35" s="1" t="s">
        <v>1242</v>
      </c>
      <c r="F35" s="10">
        <v>44609</v>
      </c>
      <c r="G35">
        <v>251460</v>
      </c>
      <c r="H35">
        <v>51</v>
      </c>
      <c r="I35" s="1" t="s">
        <v>12717</v>
      </c>
      <c r="J35" s="11">
        <v>44722.112071759257</v>
      </c>
      <c r="K35" s="1" t="s">
        <v>632</v>
      </c>
      <c r="L35" s="1">
        <f>0.536</f>
        <v>0.53600000000000003</v>
      </c>
      <c r="M35" s="1">
        <f>0.984</f>
        <v>0.98399999999999999</v>
      </c>
      <c r="N35">
        <f>0</f>
        <v>0</v>
      </c>
      <c r="O35" s="1">
        <v>-3.48</v>
      </c>
      <c r="P35">
        <v>1</v>
      </c>
      <c r="Q35" s="1">
        <f>0.115</f>
        <v>0.115</v>
      </c>
      <c r="R35" s="1" t="b">
        <f>0=0=0=362</f>
        <v>0</v>
      </c>
      <c r="S35" s="1" t="b">
        <f>0=0=0=0=31</f>
        <v>0</v>
      </c>
      <c r="T35" s="1">
        <f>0.281</f>
        <v>0.28100000000000003</v>
      </c>
      <c r="U35" s="1">
        <f>0.265</f>
        <v>0.26500000000000001</v>
      </c>
      <c r="V35" s="1">
        <v>149.99600000000001</v>
      </c>
      <c r="W35">
        <v>4</v>
      </c>
    </row>
    <row r="36" spans="1:23" x14ac:dyDescent="0.25">
      <c r="A36" s="1" t="s">
        <v>12781</v>
      </c>
      <c r="B36" s="1" t="s">
        <v>12782</v>
      </c>
      <c r="C36" s="1" t="s">
        <v>1243</v>
      </c>
      <c r="D36" s="1" t="s">
        <v>12783</v>
      </c>
      <c r="E36" s="1" t="s">
        <v>1244</v>
      </c>
      <c r="F36" s="10">
        <v>44379</v>
      </c>
      <c r="G36">
        <v>230400</v>
      </c>
      <c r="H36">
        <v>66</v>
      </c>
      <c r="I36" s="1" t="s">
        <v>12717</v>
      </c>
      <c r="J36" s="11">
        <v>44722.112071759257</v>
      </c>
      <c r="K36" s="1" t="s">
        <v>1245</v>
      </c>
      <c r="L36" s="1">
        <f>0.693</f>
        <v>0.69299999999999995</v>
      </c>
      <c r="M36" s="1">
        <f>0.864</f>
        <v>0.86399999999999999</v>
      </c>
      <c r="N36">
        <v>4</v>
      </c>
      <c r="O36" s="1">
        <v>-4.17</v>
      </c>
      <c r="P36">
        <f>0</f>
        <v>0</v>
      </c>
      <c r="Q36" s="1" t="b">
        <f>0=483</f>
        <v>0</v>
      </c>
      <c r="R36" s="1">
        <f>0.278</f>
        <v>0.27800000000000002</v>
      </c>
      <c r="S36" s="1" t="b">
        <f>0=388</f>
        <v>0</v>
      </c>
      <c r="T36" s="1" t="b">
        <f>0=777</f>
        <v>0</v>
      </c>
      <c r="U36" s="1">
        <f>0.142</f>
        <v>0.14199999999999999</v>
      </c>
      <c r="V36" s="1">
        <v>149.99799999999999</v>
      </c>
      <c r="W36">
        <v>4</v>
      </c>
    </row>
    <row r="37" spans="1:23" x14ac:dyDescent="0.25">
      <c r="A37" s="1" t="s">
        <v>12784</v>
      </c>
      <c r="B37" s="1" t="s">
        <v>12728</v>
      </c>
      <c r="C37" s="1" t="s">
        <v>1246</v>
      </c>
      <c r="D37" s="1" t="s">
        <v>1246</v>
      </c>
      <c r="E37" s="1" t="s">
        <v>1186</v>
      </c>
      <c r="F37" s="10">
        <v>43969</v>
      </c>
      <c r="G37">
        <v>241548</v>
      </c>
      <c r="H37">
        <v>54</v>
      </c>
      <c r="I37" s="1" t="s">
        <v>12717</v>
      </c>
      <c r="J37" s="11">
        <v>44722.112071759257</v>
      </c>
      <c r="K37" s="1" t="s">
        <v>1187</v>
      </c>
      <c r="L37" s="1">
        <f>0.498</f>
        <v>0.498</v>
      </c>
      <c r="M37" s="1">
        <f>0.936</f>
        <v>0.93600000000000005</v>
      </c>
      <c r="N37">
        <v>11</v>
      </c>
      <c r="O37" s="1">
        <v>-4.4790000000000001</v>
      </c>
      <c r="P37">
        <f>0</f>
        <v>0</v>
      </c>
      <c r="Q37" s="1" t="b">
        <f>0=766</f>
        <v>0</v>
      </c>
      <c r="R37" s="1" t="b">
        <f>0=0=5=7</f>
        <v>0</v>
      </c>
      <c r="S37" s="1" t="b">
        <f>0=0=0=0=0=284</f>
        <v>0</v>
      </c>
      <c r="T37" s="1">
        <f>0.12</f>
        <v>0.12</v>
      </c>
      <c r="U37" s="1">
        <f>0.334</f>
        <v>0.33400000000000002</v>
      </c>
      <c r="V37" s="1">
        <v>154.87200000000001</v>
      </c>
      <c r="W37">
        <v>4</v>
      </c>
    </row>
    <row r="38" spans="1:23" x14ac:dyDescent="0.25">
      <c r="A38" s="1" t="s">
        <v>12785</v>
      </c>
      <c r="B38" s="1" t="s">
        <v>12786</v>
      </c>
      <c r="C38" s="1" t="s">
        <v>1247</v>
      </c>
      <c r="D38" s="1" t="s">
        <v>12787</v>
      </c>
      <c r="E38" s="1" t="s">
        <v>1248</v>
      </c>
      <c r="F38" s="10">
        <v>44483</v>
      </c>
      <c r="G38">
        <v>188800</v>
      </c>
      <c r="H38">
        <v>42</v>
      </c>
      <c r="I38" s="1" t="s">
        <v>12717</v>
      </c>
      <c r="J38" s="11">
        <v>44722.112071759257</v>
      </c>
      <c r="K38" s="1" t="s">
        <v>1249</v>
      </c>
      <c r="L38" s="1">
        <f>0.324</f>
        <v>0.32400000000000001</v>
      </c>
      <c r="M38" s="1">
        <f>0.817</f>
        <v>0.81699999999999995</v>
      </c>
      <c r="N38">
        <v>11</v>
      </c>
      <c r="O38" s="1">
        <v>-3.3740000000000001</v>
      </c>
      <c r="P38">
        <f>0</f>
        <v>0</v>
      </c>
      <c r="Q38" s="1" t="b">
        <f>0=58</f>
        <v>0</v>
      </c>
      <c r="R38" s="1" t="b">
        <f>0=0=0=758</f>
        <v>0</v>
      </c>
      <c r="S38" s="1" t="b">
        <f>0=0=0=0=0=328</f>
        <v>0</v>
      </c>
      <c r="T38" s="1" t="b">
        <f>0=823</f>
        <v>0</v>
      </c>
      <c r="U38" s="1">
        <f>0.399</f>
        <v>0.39900000000000002</v>
      </c>
      <c r="V38" s="1" t="s">
        <v>13043</v>
      </c>
      <c r="W38">
        <v>4</v>
      </c>
    </row>
    <row r="39" spans="1:23" x14ac:dyDescent="0.25">
      <c r="A39" s="1" t="s">
        <v>12788</v>
      </c>
      <c r="B39" s="1" t="s">
        <v>12789</v>
      </c>
      <c r="C39" s="1" t="s">
        <v>1250</v>
      </c>
      <c r="D39" s="1" t="s">
        <v>12790</v>
      </c>
      <c r="E39" s="1" t="s">
        <v>1251</v>
      </c>
      <c r="F39" s="10">
        <v>44511</v>
      </c>
      <c r="G39">
        <v>218000</v>
      </c>
      <c r="H39">
        <v>52</v>
      </c>
      <c r="I39" s="1" t="s">
        <v>12717</v>
      </c>
      <c r="J39" s="11">
        <v>44722.112071759257</v>
      </c>
      <c r="K39" s="1" t="s">
        <v>1252</v>
      </c>
      <c r="L39" s="1">
        <f>0.191</f>
        <v>0.191</v>
      </c>
      <c r="M39" s="1">
        <f>0.877</f>
        <v>0.877</v>
      </c>
      <c r="N39">
        <f>0</f>
        <v>0</v>
      </c>
      <c r="O39" s="1">
        <v>-3.6859999999999999</v>
      </c>
      <c r="P39">
        <f>0</f>
        <v>0</v>
      </c>
      <c r="Q39" s="1" t="b">
        <f>0.1=9</f>
        <v>0</v>
      </c>
      <c r="R39" s="1" t="b">
        <f>0=0=348</f>
        <v>0</v>
      </c>
      <c r="S39" s="1" t="b">
        <f>0=0=267</f>
        <v>0</v>
      </c>
      <c r="T39" s="1">
        <f>0.138</f>
        <v>0.13800000000000001</v>
      </c>
      <c r="U39" s="1">
        <f>0.271</f>
        <v>0.27100000000000002</v>
      </c>
      <c r="V39" s="1" t="s">
        <v>12481</v>
      </c>
      <c r="W39">
        <v>4</v>
      </c>
    </row>
    <row r="40" spans="1:23" x14ac:dyDescent="0.25">
      <c r="A40" s="1" t="s">
        <v>12791</v>
      </c>
      <c r="B40" s="1" t="s">
        <v>12792</v>
      </c>
      <c r="C40" s="1" t="s">
        <v>1253</v>
      </c>
      <c r="D40" s="1" t="s">
        <v>1253</v>
      </c>
      <c r="E40" s="1" t="s">
        <v>1254</v>
      </c>
      <c r="F40" s="10">
        <v>44603</v>
      </c>
      <c r="G40">
        <v>230709</v>
      </c>
      <c r="H40">
        <v>49</v>
      </c>
      <c r="I40" s="1" t="s">
        <v>12717</v>
      </c>
      <c r="J40" s="11">
        <v>44722.112071759257</v>
      </c>
      <c r="K40" s="1" t="s">
        <v>843</v>
      </c>
      <c r="L40" s="1">
        <f>0.499</f>
        <v>0.499</v>
      </c>
      <c r="M40" s="1">
        <f>0.988</f>
        <v>0.98799999999999999</v>
      </c>
      <c r="N40">
        <v>9</v>
      </c>
      <c r="O40" s="1" t="s">
        <v>13044</v>
      </c>
      <c r="P40">
        <f>0</f>
        <v>0</v>
      </c>
      <c r="Q40" s="1">
        <f>0.123</f>
        <v>0.123</v>
      </c>
      <c r="R40" s="1" t="b">
        <f>0=226</f>
        <v>0</v>
      </c>
      <c r="S40" s="1">
        <f>0</f>
        <v>0</v>
      </c>
      <c r="T40" s="1">
        <f>0.12</f>
        <v>0.12</v>
      </c>
      <c r="U40" s="1">
        <f>0.142</f>
        <v>0.14199999999999999</v>
      </c>
      <c r="V40" s="1" t="s">
        <v>13045</v>
      </c>
      <c r="W40">
        <v>4</v>
      </c>
    </row>
    <row r="41" spans="1:23" x14ac:dyDescent="0.25">
      <c r="A41" s="1" t="s">
        <v>12793</v>
      </c>
      <c r="B41" s="1" t="s">
        <v>12407</v>
      </c>
      <c r="C41" s="1" t="s">
        <v>1255</v>
      </c>
      <c r="D41" s="1" t="s">
        <v>1255</v>
      </c>
      <c r="E41" s="1" t="s">
        <v>906</v>
      </c>
      <c r="F41" s="10">
        <v>44392</v>
      </c>
      <c r="G41">
        <v>246566</v>
      </c>
      <c r="H41">
        <v>5</v>
      </c>
      <c r="I41" s="1" t="s">
        <v>12717</v>
      </c>
      <c r="J41" s="11">
        <v>44722.112071759257</v>
      </c>
      <c r="K41" s="1" t="s">
        <v>807</v>
      </c>
      <c r="L41" s="1">
        <f>0.434</f>
        <v>0.434</v>
      </c>
      <c r="M41" s="1">
        <f>0.794</f>
        <v>0.79400000000000004</v>
      </c>
      <c r="N41">
        <v>5</v>
      </c>
      <c r="O41" s="1">
        <v>-5.3</v>
      </c>
      <c r="P41">
        <f>0</f>
        <v>0</v>
      </c>
      <c r="Q41" s="1" t="b">
        <f>0=931</f>
        <v>0</v>
      </c>
      <c r="R41" s="1">
        <f>0.125</f>
        <v>0.125</v>
      </c>
      <c r="S41" s="1">
        <f>0</f>
        <v>0</v>
      </c>
      <c r="T41" s="1" t="b">
        <f>0.2=1</f>
        <v>0</v>
      </c>
      <c r="U41" s="1">
        <f>0.149</f>
        <v>0.14899999999999999</v>
      </c>
      <c r="V41" s="1">
        <v>149.96899999999999</v>
      </c>
      <c r="W41">
        <v>4</v>
      </c>
    </row>
    <row r="42" spans="1:23" x14ac:dyDescent="0.25">
      <c r="A42" s="1" t="s">
        <v>12794</v>
      </c>
      <c r="B42" s="1" t="s">
        <v>12716</v>
      </c>
      <c r="C42" s="1" t="s">
        <v>1256</v>
      </c>
      <c r="D42" s="1" t="s">
        <v>1256</v>
      </c>
      <c r="E42" s="1" t="s">
        <v>1173</v>
      </c>
      <c r="F42" s="10">
        <v>44630</v>
      </c>
      <c r="G42">
        <v>274910</v>
      </c>
      <c r="H42">
        <v>54</v>
      </c>
      <c r="I42" s="1" t="s">
        <v>12717</v>
      </c>
      <c r="J42" s="11">
        <v>44722.112071759257</v>
      </c>
      <c r="K42" s="1" t="s">
        <v>1174</v>
      </c>
      <c r="L42" s="1">
        <f>0.27</f>
        <v>0.27</v>
      </c>
      <c r="M42" s="1">
        <f>0.863</f>
        <v>0.86299999999999999</v>
      </c>
      <c r="N42" t="s">
        <v>11825</v>
      </c>
      <c r="O42" s="1">
        <v>-5.5739999999999998</v>
      </c>
      <c r="P42">
        <f>0</f>
        <v>0</v>
      </c>
      <c r="Q42" s="1">
        <f>0.128</f>
        <v>0.128</v>
      </c>
      <c r="R42" s="1" t="b">
        <f>0=0=0=2=1</f>
        <v>0</v>
      </c>
      <c r="S42" s="1" t="b">
        <f>0=0=498</f>
        <v>0</v>
      </c>
      <c r="T42" s="1">
        <f>0.137</f>
        <v>0.13700000000000001</v>
      </c>
      <c r="U42" s="1">
        <f>0.169</f>
        <v>0.16900000000000001</v>
      </c>
      <c r="V42" s="1">
        <v>149.68100000000001</v>
      </c>
      <c r="W42">
        <v>4</v>
      </c>
    </row>
    <row r="43" spans="1:23" x14ac:dyDescent="0.25">
      <c r="A43" s="1" t="s">
        <v>12795</v>
      </c>
      <c r="B43" s="1" t="s">
        <v>12796</v>
      </c>
      <c r="C43" s="1" t="s">
        <v>1257</v>
      </c>
      <c r="D43" s="1" t="s">
        <v>1257</v>
      </c>
      <c r="E43" s="1" t="s">
        <v>1258</v>
      </c>
      <c r="F43" s="10">
        <v>44393</v>
      </c>
      <c r="G43">
        <v>203599</v>
      </c>
      <c r="H43">
        <v>63</v>
      </c>
      <c r="I43" s="1" t="s">
        <v>12717</v>
      </c>
      <c r="J43" s="11">
        <v>44722.112071759257</v>
      </c>
      <c r="K43" s="1" t="s">
        <v>1259</v>
      </c>
      <c r="L43" s="1">
        <f>0.446</f>
        <v>0.44600000000000001</v>
      </c>
      <c r="M43" s="1">
        <f>0.878</f>
        <v>0.878</v>
      </c>
      <c r="N43">
        <v>11</v>
      </c>
      <c r="O43" s="1">
        <v>-3.8980000000000001</v>
      </c>
      <c r="P43">
        <f>0</f>
        <v>0</v>
      </c>
      <c r="Q43" s="1" t="b">
        <f>0=615</f>
        <v>0</v>
      </c>
      <c r="R43" s="1">
        <f>0.176</f>
        <v>0.17599999999999999</v>
      </c>
      <c r="S43" s="1">
        <f>0</f>
        <v>0</v>
      </c>
      <c r="T43" s="1" t="b">
        <f>0=918</f>
        <v>0</v>
      </c>
      <c r="U43" s="1">
        <f>0.233</f>
        <v>0.23300000000000001</v>
      </c>
      <c r="V43" s="1">
        <v>154.953</v>
      </c>
      <c r="W43">
        <v>4</v>
      </c>
    </row>
    <row r="44" spans="1:23" x14ac:dyDescent="0.25">
      <c r="A44" s="1" t="s">
        <v>12797</v>
      </c>
      <c r="B44" s="1" t="s">
        <v>12798</v>
      </c>
      <c r="C44" s="1" t="s">
        <v>1260</v>
      </c>
      <c r="D44" s="1" t="s">
        <v>1260</v>
      </c>
      <c r="E44" s="1" t="s">
        <v>1261</v>
      </c>
      <c r="F44" s="10">
        <v>44644</v>
      </c>
      <c r="G44">
        <v>185250</v>
      </c>
      <c r="H44">
        <v>44</v>
      </c>
      <c r="I44" s="1" t="s">
        <v>12717</v>
      </c>
      <c r="J44" s="11">
        <v>44722.112071759257</v>
      </c>
      <c r="K44" s="1" t="s">
        <v>843</v>
      </c>
      <c r="L44" s="1">
        <f>0.686</f>
        <v>0.68600000000000005</v>
      </c>
      <c r="M44" s="1">
        <f>0.952</f>
        <v>0.95199999999999996</v>
      </c>
      <c r="N44">
        <v>1</v>
      </c>
      <c r="O44" s="1" t="s">
        <v>13046</v>
      </c>
      <c r="P44">
        <v>1</v>
      </c>
      <c r="Q44" s="1" t="b">
        <f>0.2=3</f>
        <v>0</v>
      </c>
      <c r="R44" s="1" t="b">
        <f>0.1=3</f>
        <v>0</v>
      </c>
      <c r="S44" s="1" t="b">
        <f>0.6=9</f>
        <v>0</v>
      </c>
      <c r="T44" s="1">
        <f>0.369</f>
        <v>0.36899999999999999</v>
      </c>
      <c r="U44" s="1">
        <f>0.34</f>
        <v>0.34</v>
      </c>
      <c r="V44" s="1" t="s">
        <v>13047</v>
      </c>
      <c r="W44">
        <v>4</v>
      </c>
    </row>
    <row r="45" spans="1:23" x14ac:dyDescent="0.25">
      <c r="A45" s="1" t="s">
        <v>12799</v>
      </c>
      <c r="B45" s="1" t="s">
        <v>12800</v>
      </c>
      <c r="C45" s="1" t="s">
        <v>1262</v>
      </c>
      <c r="D45" s="1" t="s">
        <v>1262</v>
      </c>
      <c r="E45" s="1" t="s">
        <v>1263</v>
      </c>
      <c r="F45" s="10">
        <v>44196</v>
      </c>
      <c r="G45">
        <v>224500</v>
      </c>
      <c r="H45">
        <v>51</v>
      </c>
      <c r="I45" s="1" t="s">
        <v>12717</v>
      </c>
      <c r="J45" s="11">
        <v>44722.112071759257</v>
      </c>
      <c r="K45" s="1" t="s">
        <v>807</v>
      </c>
      <c r="L45" s="1">
        <f>0.511</f>
        <v>0.51100000000000001</v>
      </c>
      <c r="M45" s="1">
        <f>0.862</f>
        <v>0.86199999999999999</v>
      </c>
      <c r="N45">
        <v>11</v>
      </c>
      <c r="O45" s="1">
        <v>-4.7939999999999996</v>
      </c>
      <c r="P45">
        <f>0</f>
        <v>0</v>
      </c>
      <c r="Q45" s="1" t="b">
        <f>0=469</f>
        <v>0</v>
      </c>
      <c r="R45" s="1" t="b">
        <f>0=0=2=5</f>
        <v>0</v>
      </c>
      <c r="S45" s="1" t="b">
        <f>0=0=0=0=272</f>
        <v>0</v>
      </c>
      <c r="T45" s="1" t="b">
        <f>0=814</f>
        <v>0</v>
      </c>
      <c r="U45" s="1">
        <f>0.238</f>
        <v>0.23799999999999999</v>
      </c>
      <c r="V45" s="1">
        <v>152.94200000000001</v>
      </c>
      <c r="W45">
        <v>4</v>
      </c>
    </row>
    <row r="46" spans="1:23" x14ac:dyDescent="0.25">
      <c r="A46" s="1" t="s">
        <v>12801</v>
      </c>
      <c r="B46" s="1" t="s">
        <v>12802</v>
      </c>
      <c r="C46" s="1" t="s">
        <v>1264</v>
      </c>
      <c r="D46" s="1" t="s">
        <v>1264</v>
      </c>
      <c r="E46" s="1" t="s">
        <v>1265</v>
      </c>
      <c r="F46" s="10">
        <v>44666</v>
      </c>
      <c r="G46">
        <v>174967</v>
      </c>
      <c r="H46">
        <v>49</v>
      </c>
      <c r="I46" s="1" t="s">
        <v>12717</v>
      </c>
      <c r="J46" s="11">
        <v>44722.112071759257</v>
      </c>
      <c r="K46" s="1" t="s">
        <v>1266</v>
      </c>
      <c r="L46" s="1">
        <f>0.417</f>
        <v>0.41699999999999998</v>
      </c>
      <c r="M46" s="1">
        <f>0.942</f>
        <v>0.94199999999999995</v>
      </c>
      <c r="N46">
        <v>2</v>
      </c>
      <c r="O46" s="1">
        <v>-4.5199999999999996</v>
      </c>
      <c r="P46">
        <f>0</f>
        <v>0</v>
      </c>
      <c r="Q46" s="1">
        <f>0.158</f>
        <v>0.158</v>
      </c>
      <c r="R46" s="1" t="b">
        <f>0=143</f>
        <v>0</v>
      </c>
      <c r="S46" s="1" t="b">
        <f>0=0=2=7</f>
        <v>0</v>
      </c>
      <c r="T46" s="1">
        <f>0.435</f>
        <v>0.435</v>
      </c>
      <c r="U46" s="1" t="b">
        <f>0=543</f>
        <v>0</v>
      </c>
      <c r="V46" s="1" t="s">
        <v>13048</v>
      </c>
      <c r="W46">
        <v>4</v>
      </c>
    </row>
    <row r="47" spans="1:23" x14ac:dyDescent="0.25">
      <c r="A47" s="1" t="s">
        <v>12803</v>
      </c>
      <c r="B47" s="1" t="s">
        <v>12200</v>
      </c>
      <c r="C47" s="1" t="s">
        <v>1267</v>
      </c>
      <c r="D47" s="1" t="s">
        <v>1267</v>
      </c>
      <c r="E47" s="1" t="s">
        <v>721</v>
      </c>
      <c r="F47" s="10">
        <v>44448</v>
      </c>
      <c r="G47">
        <v>241032</v>
      </c>
      <c r="H47">
        <v>53</v>
      </c>
      <c r="I47" s="1" t="s">
        <v>12717</v>
      </c>
      <c r="J47" s="11">
        <v>44722.112071759257</v>
      </c>
      <c r="K47" s="1" t="s">
        <v>632</v>
      </c>
      <c r="L47" s="1">
        <f>0.486</f>
        <v>0.48599999999999999</v>
      </c>
      <c r="M47" s="1">
        <f>0.846</f>
        <v>0.84599999999999997</v>
      </c>
      <c r="N47">
        <f>0</f>
        <v>0</v>
      </c>
      <c r="O47" s="1">
        <v>-3.31</v>
      </c>
      <c r="P47">
        <v>1</v>
      </c>
      <c r="Q47" s="1" t="b">
        <f>0=777</f>
        <v>0</v>
      </c>
      <c r="R47" s="1" t="b">
        <f>0=622</f>
        <v>0</v>
      </c>
      <c r="S47" s="1" t="b">
        <f>0=0=4=3</f>
        <v>0</v>
      </c>
      <c r="T47" s="1">
        <f>0.345</f>
        <v>0.34499999999999997</v>
      </c>
      <c r="U47" s="1">
        <f>0.162</f>
        <v>0.16200000000000001</v>
      </c>
      <c r="V47" s="1" t="s">
        <v>13049</v>
      </c>
      <c r="W47">
        <v>4</v>
      </c>
    </row>
    <row r="48" spans="1:23" x14ac:dyDescent="0.25">
      <c r="A48" s="1" t="s">
        <v>12804</v>
      </c>
      <c r="B48" s="1" t="s">
        <v>12805</v>
      </c>
      <c r="C48" s="1" t="s">
        <v>1268</v>
      </c>
      <c r="D48" s="1" t="s">
        <v>12806</v>
      </c>
      <c r="E48" s="1" t="s">
        <v>1269</v>
      </c>
      <c r="F48" s="10">
        <v>44084</v>
      </c>
      <c r="G48">
        <v>213200</v>
      </c>
      <c r="H48">
        <v>48</v>
      </c>
      <c r="I48" s="1" t="s">
        <v>12717</v>
      </c>
      <c r="J48" s="11">
        <v>44722.112071759257</v>
      </c>
      <c r="K48" s="1" t="s">
        <v>632</v>
      </c>
      <c r="L48" s="1">
        <f>0.34</f>
        <v>0.34</v>
      </c>
      <c r="M48" s="1">
        <f>0.933</f>
        <v>0.93300000000000005</v>
      </c>
      <c r="N48">
        <v>9</v>
      </c>
      <c r="O48" s="1">
        <v>-4.5640000000000001</v>
      </c>
      <c r="P48">
        <f>0</f>
        <v>0</v>
      </c>
      <c r="Q48" s="1" t="b">
        <f>0=589</f>
        <v>0</v>
      </c>
      <c r="R48" s="1" t="b">
        <f>0=0=445</f>
        <v>0</v>
      </c>
      <c r="S48" s="1" t="b">
        <f>0=0=0=227</f>
        <v>0</v>
      </c>
      <c r="T48" s="1">
        <f>0.151</f>
        <v>0.151</v>
      </c>
      <c r="U48" s="1">
        <f>0.137</f>
        <v>0.13700000000000001</v>
      </c>
      <c r="V48" s="1">
        <v>149.977</v>
      </c>
      <c r="W48">
        <v>4</v>
      </c>
    </row>
    <row r="49" spans="1:23" x14ac:dyDescent="0.25">
      <c r="A49" s="1" t="s">
        <v>12807</v>
      </c>
      <c r="B49" s="1" t="s">
        <v>12808</v>
      </c>
      <c r="C49" s="1" t="s">
        <v>1270</v>
      </c>
      <c r="D49" s="1" t="s">
        <v>1270</v>
      </c>
      <c r="E49" s="1" t="s">
        <v>1271</v>
      </c>
      <c r="F49" s="10">
        <v>44070</v>
      </c>
      <c r="G49">
        <v>168135</v>
      </c>
      <c r="H49">
        <v>51</v>
      </c>
      <c r="I49" s="1" t="s">
        <v>12717</v>
      </c>
      <c r="J49" s="11">
        <v>44722.112071759257</v>
      </c>
      <c r="K49" s="1" t="s">
        <v>1272</v>
      </c>
      <c r="L49" s="1">
        <f>0.518</f>
        <v>0.51800000000000002</v>
      </c>
      <c r="M49" s="1">
        <f>0.846</f>
        <v>0.84599999999999997</v>
      </c>
      <c r="N49">
        <v>11</v>
      </c>
      <c r="O49" s="1">
        <v>-3.7170000000000001</v>
      </c>
      <c r="P49">
        <f>0</f>
        <v>0</v>
      </c>
      <c r="Q49" s="1" t="b">
        <f>0=494</f>
        <v>0</v>
      </c>
      <c r="R49" s="1" t="b">
        <f>0=0=9=4</f>
        <v>0</v>
      </c>
      <c r="S49" s="1" t="b">
        <f>0=0=0=0=0=118</f>
        <v>0</v>
      </c>
      <c r="T49" s="1">
        <f>0.12</f>
        <v>0.12</v>
      </c>
      <c r="U49" s="1">
        <f>0.249</f>
        <v>0.249</v>
      </c>
      <c r="V49" s="1">
        <v>149.947</v>
      </c>
      <c r="W49">
        <v>4</v>
      </c>
    </row>
    <row r="50" spans="1:23" x14ac:dyDescent="0.25">
      <c r="A50" s="1" t="s">
        <v>12809</v>
      </c>
      <c r="B50" s="1" t="s">
        <v>12810</v>
      </c>
      <c r="C50" s="1" t="s">
        <v>1273</v>
      </c>
      <c r="D50" s="1" t="s">
        <v>1273</v>
      </c>
      <c r="E50" s="1" t="s">
        <v>1274</v>
      </c>
      <c r="F50" s="10">
        <v>44176</v>
      </c>
      <c r="G50">
        <v>222122</v>
      </c>
      <c r="H50">
        <v>52</v>
      </c>
      <c r="I50" s="1" t="s">
        <v>12717</v>
      </c>
      <c r="J50" s="11">
        <v>44722.112071759257</v>
      </c>
      <c r="K50" s="1" t="s">
        <v>1275</v>
      </c>
      <c r="L50" s="1">
        <f>0.449</f>
        <v>0.44900000000000001</v>
      </c>
      <c r="M50" s="1">
        <f>0.985</f>
        <v>0.98499999999999999</v>
      </c>
      <c r="N50">
        <v>6</v>
      </c>
      <c r="O50" s="1" t="s">
        <v>13050</v>
      </c>
      <c r="P50">
        <v>1</v>
      </c>
      <c r="Q50" s="1" t="b">
        <f>0=613</f>
        <v>0</v>
      </c>
      <c r="R50" s="1" t="b">
        <f>0=0=193</f>
        <v>0</v>
      </c>
      <c r="S50" s="1">
        <f>0.136</f>
        <v>0.13600000000000001</v>
      </c>
      <c r="T50" s="1">
        <f>0.111</f>
        <v>0.111</v>
      </c>
      <c r="U50" s="1">
        <f>0.296</f>
        <v>0.29599999999999999</v>
      </c>
      <c r="V50" s="1" t="s">
        <v>13051</v>
      </c>
      <c r="W50">
        <v>4</v>
      </c>
    </row>
    <row r="51" spans="1:23" x14ac:dyDescent="0.25">
      <c r="A51" s="1" t="s">
        <v>12811</v>
      </c>
      <c r="B51" s="1" t="s">
        <v>12412</v>
      </c>
      <c r="C51" s="1" t="s">
        <v>910</v>
      </c>
      <c r="D51" s="1" t="s">
        <v>910</v>
      </c>
      <c r="E51" s="1" t="s">
        <v>911</v>
      </c>
      <c r="F51" s="10">
        <v>44084</v>
      </c>
      <c r="G51">
        <v>252800</v>
      </c>
      <c r="H51">
        <v>62</v>
      </c>
      <c r="I51" s="1" t="s">
        <v>12717</v>
      </c>
      <c r="J51" s="11">
        <v>44722.112071759257</v>
      </c>
      <c r="K51" s="1" t="s">
        <v>807</v>
      </c>
      <c r="L51" s="1">
        <f>0.268</f>
        <v>0.26800000000000002</v>
      </c>
      <c r="M51" s="1">
        <f>0.867</f>
        <v>0.86699999999999999</v>
      </c>
      <c r="N51" t="s">
        <v>11825</v>
      </c>
      <c r="O51" s="1">
        <v>-4.4390000000000001</v>
      </c>
      <c r="P51">
        <f>0</f>
        <v>0</v>
      </c>
      <c r="Q51" s="1" t="b">
        <f>0=922</f>
        <v>0</v>
      </c>
      <c r="R51" s="1" t="b">
        <f>0=171</f>
        <v>0</v>
      </c>
      <c r="S51" s="1">
        <f>0</f>
        <v>0</v>
      </c>
      <c r="T51" s="1" t="b">
        <f>0.1=8</f>
        <v>0</v>
      </c>
      <c r="U51" s="1" t="b">
        <f>0.3=1</f>
        <v>0</v>
      </c>
      <c r="V51" s="1">
        <v>149.953</v>
      </c>
      <c r="W51">
        <v>4</v>
      </c>
    </row>
    <row r="52" spans="1:23" x14ac:dyDescent="0.25">
      <c r="A52" s="1" t="s">
        <v>12812</v>
      </c>
      <c r="B52" s="1" t="s">
        <v>12813</v>
      </c>
      <c r="C52" s="1" t="s">
        <v>1276</v>
      </c>
      <c r="D52" s="1" t="s">
        <v>1276</v>
      </c>
      <c r="E52" s="1" t="s">
        <v>1277</v>
      </c>
      <c r="F52" s="10">
        <v>43991</v>
      </c>
      <c r="G52">
        <v>236800</v>
      </c>
      <c r="H52">
        <v>65</v>
      </c>
      <c r="I52" s="1" t="s">
        <v>12717</v>
      </c>
      <c r="J52" s="11">
        <v>44722.112071759257</v>
      </c>
      <c r="K52" s="1" t="s">
        <v>744</v>
      </c>
      <c r="L52" s="1">
        <f>0.515</f>
        <v>0.51500000000000001</v>
      </c>
      <c r="M52" s="1">
        <f>0.94</f>
        <v>0.94</v>
      </c>
      <c r="N52">
        <v>9</v>
      </c>
      <c r="O52" s="1">
        <v>-2.452</v>
      </c>
      <c r="P52">
        <f>0</f>
        <v>0</v>
      </c>
      <c r="Q52" s="1" t="b">
        <f>0=478</f>
        <v>0</v>
      </c>
      <c r="R52" s="1" t="b">
        <f>0=0=44</f>
        <v>0</v>
      </c>
      <c r="S52" s="1" t="b">
        <f>0=0=0=0=1=6</f>
        <v>0</v>
      </c>
      <c r="T52" s="1">
        <f>0.23</f>
        <v>0.23</v>
      </c>
      <c r="U52" s="1">
        <f>0.284</f>
        <v>0.28399999999999997</v>
      </c>
      <c r="V52" s="1" t="s">
        <v>13052</v>
      </c>
      <c r="W52">
        <v>4</v>
      </c>
    </row>
    <row r="53" spans="1:23" x14ac:dyDescent="0.25">
      <c r="A53" s="1" t="s">
        <v>12814</v>
      </c>
      <c r="B53" s="1" t="s">
        <v>12815</v>
      </c>
      <c r="C53" s="1" t="s">
        <v>1278</v>
      </c>
      <c r="D53" s="1" t="s">
        <v>1278</v>
      </c>
      <c r="E53" s="1" t="s">
        <v>1279</v>
      </c>
      <c r="F53" s="10">
        <v>43917</v>
      </c>
      <c r="G53">
        <v>236800</v>
      </c>
      <c r="H53">
        <v>53</v>
      </c>
      <c r="I53" s="1" t="s">
        <v>12717</v>
      </c>
      <c r="J53" s="11">
        <v>44722.112071759257</v>
      </c>
      <c r="K53" s="1" t="s">
        <v>807</v>
      </c>
      <c r="L53" s="1" t="b">
        <f>0.5=2</f>
        <v>0</v>
      </c>
      <c r="M53" s="1">
        <f>0.956</f>
        <v>0.95599999999999996</v>
      </c>
      <c r="N53">
        <v>1</v>
      </c>
      <c r="O53" s="1">
        <v>-4.4450000000000003</v>
      </c>
      <c r="P53">
        <f>0</f>
        <v>0</v>
      </c>
      <c r="Q53" s="1" t="b">
        <f>0=874</f>
        <v>0</v>
      </c>
      <c r="R53" s="1" t="b">
        <f>0=772</f>
        <v>0</v>
      </c>
      <c r="S53" s="1" t="b">
        <f>0=0=194</f>
        <v>0</v>
      </c>
      <c r="T53" s="1" t="b">
        <f>0=455</f>
        <v>0</v>
      </c>
      <c r="U53" s="1">
        <f>0.266</f>
        <v>0.26600000000000001</v>
      </c>
      <c r="V53" s="1" t="s">
        <v>13053</v>
      </c>
      <c r="W53">
        <v>4</v>
      </c>
    </row>
    <row r="54" spans="1:23" x14ac:dyDescent="0.25">
      <c r="A54" s="1" t="s">
        <v>12816</v>
      </c>
      <c r="B54" s="1" t="s">
        <v>12817</v>
      </c>
      <c r="C54" s="1" t="s">
        <v>1280</v>
      </c>
      <c r="D54" s="1" t="s">
        <v>1280</v>
      </c>
      <c r="E54" s="1" t="s">
        <v>1281</v>
      </c>
      <c r="F54" s="10">
        <v>43693</v>
      </c>
      <c r="G54">
        <v>212429</v>
      </c>
      <c r="H54">
        <v>0</v>
      </c>
      <c r="I54" s="1" t="s">
        <v>12717</v>
      </c>
      <c r="J54" s="11">
        <v>44722.112071759257</v>
      </c>
      <c r="K54" s="1" t="s">
        <v>1190</v>
      </c>
      <c r="L54" s="1">
        <f>0.558</f>
        <v>0.55800000000000005</v>
      </c>
      <c r="M54" s="1">
        <f>0.985</f>
        <v>0.98499999999999999</v>
      </c>
      <c r="N54">
        <v>1</v>
      </c>
      <c r="O54" s="1">
        <v>-3.1909999999999998</v>
      </c>
      <c r="P54">
        <v>1</v>
      </c>
      <c r="Q54" s="1" t="b">
        <f>0=818</f>
        <v>0</v>
      </c>
      <c r="R54" s="1" t="b">
        <f>0=0=469</f>
        <v>0</v>
      </c>
      <c r="S54" s="1" t="b">
        <f>0=0=0=0=529</f>
        <v>0</v>
      </c>
      <c r="T54" s="1">
        <f>0.297</f>
        <v>0.29699999999999999</v>
      </c>
      <c r="U54" s="1">
        <f>0.612</f>
        <v>0.61199999999999999</v>
      </c>
      <c r="V54" s="1">
        <v>149.99199999999999</v>
      </c>
      <c r="W54">
        <v>4</v>
      </c>
    </row>
    <row r="55" spans="1:23" x14ac:dyDescent="0.25">
      <c r="A55" s="1" t="s">
        <v>12818</v>
      </c>
      <c r="B55" s="1" t="s">
        <v>12819</v>
      </c>
      <c r="C55" s="1" t="s">
        <v>1282</v>
      </c>
      <c r="D55" s="1" t="s">
        <v>12820</v>
      </c>
      <c r="E55" s="1" t="s">
        <v>1283</v>
      </c>
      <c r="F55" s="10">
        <v>44285</v>
      </c>
      <c r="G55">
        <v>229634</v>
      </c>
      <c r="H55">
        <v>44</v>
      </c>
      <c r="I55" s="1" t="s">
        <v>12717</v>
      </c>
      <c r="J55" s="11">
        <v>44722.112071759257</v>
      </c>
      <c r="K55" s="1" t="s">
        <v>1272</v>
      </c>
      <c r="L55" s="1">
        <f>0.564</f>
        <v>0.56399999999999995</v>
      </c>
      <c r="M55" s="1">
        <f>0.946</f>
        <v>0.94599999999999995</v>
      </c>
      <c r="N55">
        <v>11</v>
      </c>
      <c r="O55" s="1">
        <v>-4.2560000000000002</v>
      </c>
      <c r="P55">
        <f>0</f>
        <v>0</v>
      </c>
      <c r="Q55" s="1">
        <f>0.239</f>
        <v>0.23899999999999999</v>
      </c>
      <c r="R55" s="1" t="b">
        <f>0=0=948</f>
        <v>0</v>
      </c>
      <c r="S55" s="1" t="b">
        <f>0=0=0=0=0=543</f>
        <v>0</v>
      </c>
      <c r="T55" s="1">
        <f>0.21</f>
        <v>0.21</v>
      </c>
      <c r="U55" s="1" t="b">
        <f>0=71</f>
        <v>0</v>
      </c>
      <c r="V55" s="1">
        <v>154.93799999999999</v>
      </c>
      <c r="W55">
        <v>4</v>
      </c>
    </row>
    <row r="56" spans="1:23" x14ac:dyDescent="0.25">
      <c r="A56" s="1" t="s">
        <v>12821</v>
      </c>
      <c r="B56" s="1" t="s">
        <v>12292</v>
      </c>
      <c r="C56" s="1" t="s">
        <v>1284</v>
      </c>
      <c r="D56" s="1" t="s">
        <v>12822</v>
      </c>
      <c r="E56" s="1" t="s">
        <v>803</v>
      </c>
      <c r="F56" s="10">
        <v>43952</v>
      </c>
      <c r="G56">
        <v>295646</v>
      </c>
      <c r="H56">
        <v>0</v>
      </c>
      <c r="I56" s="1" t="s">
        <v>12717</v>
      </c>
      <c r="J56" s="11">
        <v>44722.112071759257</v>
      </c>
      <c r="K56" s="1" t="s">
        <v>804</v>
      </c>
      <c r="L56" s="1">
        <f>0.577</f>
        <v>0.57699999999999996</v>
      </c>
      <c r="M56" s="1">
        <f>0.978</f>
        <v>0.97799999999999998</v>
      </c>
      <c r="N56">
        <v>8</v>
      </c>
      <c r="O56" s="1">
        <v>-1.5609999999999999</v>
      </c>
      <c r="P56">
        <f>0</f>
        <v>0</v>
      </c>
      <c r="Q56" s="1">
        <f>0.416</f>
        <v>0.41599999999999998</v>
      </c>
      <c r="R56" s="1" t="b">
        <f>0=321</f>
        <v>0</v>
      </c>
      <c r="S56" s="1">
        <f>0</f>
        <v>0</v>
      </c>
      <c r="T56" s="1">
        <f>0.34</f>
        <v>0.34</v>
      </c>
      <c r="U56" s="1">
        <f>0.365</f>
        <v>0.36499999999999999</v>
      </c>
      <c r="V56" s="1">
        <v>155.23400000000001</v>
      </c>
      <c r="W56">
        <v>4</v>
      </c>
    </row>
    <row r="57" spans="1:23" x14ac:dyDescent="0.25">
      <c r="A57" s="1" t="s">
        <v>12823</v>
      </c>
      <c r="B57" s="1" t="s">
        <v>12824</v>
      </c>
      <c r="C57" s="1" t="s">
        <v>1285</v>
      </c>
      <c r="D57" s="1" t="s">
        <v>12825</v>
      </c>
      <c r="E57" s="1" t="s">
        <v>1286</v>
      </c>
      <c r="F57" s="10">
        <v>42093</v>
      </c>
      <c r="G57">
        <v>267200</v>
      </c>
      <c r="H57">
        <v>39</v>
      </c>
      <c r="I57" s="1" t="s">
        <v>12717</v>
      </c>
      <c r="J57" s="11">
        <v>44722.112071759257</v>
      </c>
      <c r="K57" s="1" t="s">
        <v>1070</v>
      </c>
      <c r="L57" s="1">
        <f>0.635</f>
        <v>0.63500000000000001</v>
      </c>
      <c r="M57" s="1">
        <f>0.933</f>
        <v>0.93300000000000005</v>
      </c>
      <c r="N57">
        <f>0</f>
        <v>0</v>
      </c>
      <c r="O57" s="1">
        <v>-4.2640000000000002</v>
      </c>
      <c r="P57">
        <v>1</v>
      </c>
      <c r="Q57" s="1">
        <f>0.221</f>
        <v>0.221</v>
      </c>
      <c r="R57" s="1" t="b">
        <f>0=0=678</f>
        <v>0</v>
      </c>
      <c r="S57" s="1" t="b">
        <f>0=236</f>
        <v>0</v>
      </c>
      <c r="T57" s="1">
        <f>0.343</f>
        <v>0.34300000000000003</v>
      </c>
      <c r="U57" s="1">
        <f>0.151</f>
        <v>0.151</v>
      </c>
      <c r="V57" s="1" t="s">
        <v>12546</v>
      </c>
      <c r="W57">
        <v>4</v>
      </c>
    </row>
    <row r="58" spans="1:23" x14ac:dyDescent="0.25">
      <c r="A58" s="1" t="s">
        <v>12208</v>
      </c>
      <c r="B58" s="1" t="s">
        <v>12209</v>
      </c>
      <c r="C58" s="1" t="s">
        <v>727</v>
      </c>
      <c r="D58" s="1" t="s">
        <v>727</v>
      </c>
      <c r="E58" s="1" t="s">
        <v>728</v>
      </c>
      <c r="F58" s="10">
        <v>43958</v>
      </c>
      <c r="G58">
        <v>202495</v>
      </c>
      <c r="H58">
        <v>48</v>
      </c>
      <c r="I58" s="1" t="s">
        <v>12717</v>
      </c>
      <c r="J58" s="11">
        <v>44722.112071759257</v>
      </c>
      <c r="K58" s="1" t="s">
        <v>729</v>
      </c>
      <c r="L58" s="1">
        <f>0.47</f>
        <v>0.47</v>
      </c>
      <c r="M58" s="1">
        <f>0.974</f>
        <v>0.97399999999999998</v>
      </c>
      <c r="N58">
        <v>6</v>
      </c>
      <c r="O58" s="1">
        <v>-2.9159999999999999</v>
      </c>
      <c r="P58">
        <f>0</f>
        <v>0</v>
      </c>
      <c r="Q58" s="1">
        <f>0.116</f>
        <v>0.11600000000000001</v>
      </c>
      <c r="R58" s="1" t="b">
        <f>0=0=0=764</f>
        <v>0</v>
      </c>
      <c r="S58" s="1" t="b">
        <f>0=0=0=0=0=819</f>
        <v>0</v>
      </c>
      <c r="T58" s="1">
        <f>0.4</f>
        <v>0.4</v>
      </c>
      <c r="U58" s="1">
        <f>0.321</f>
        <v>0.32100000000000001</v>
      </c>
      <c r="V58" s="1">
        <v>154.989</v>
      </c>
      <c r="W58">
        <v>4</v>
      </c>
    </row>
    <row r="59" spans="1:23" x14ac:dyDescent="0.25">
      <c r="A59" s="1" t="s">
        <v>12826</v>
      </c>
      <c r="B59" s="1" t="s">
        <v>12827</v>
      </c>
      <c r="C59" s="1" t="s">
        <v>1287</v>
      </c>
      <c r="D59" s="1" t="s">
        <v>1287</v>
      </c>
      <c r="E59" s="1" t="s">
        <v>1288</v>
      </c>
      <c r="F59" s="10">
        <v>44045</v>
      </c>
      <c r="G59">
        <v>226000</v>
      </c>
      <c r="H59">
        <v>42</v>
      </c>
      <c r="I59" s="1" t="s">
        <v>12717</v>
      </c>
      <c r="J59" s="11">
        <v>44722.112071759257</v>
      </c>
      <c r="K59" s="1" t="s">
        <v>1289</v>
      </c>
      <c r="L59" s="1">
        <f>0.449</f>
        <v>0.44900000000000001</v>
      </c>
      <c r="M59" s="1">
        <f>0.754</f>
        <v>0.754</v>
      </c>
      <c r="N59">
        <v>1</v>
      </c>
      <c r="O59" s="1">
        <v>-11.513</v>
      </c>
      <c r="P59">
        <f>0</f>
        <v>0</v>
      </c>
      <c r="Q59" s="1" t="b">
        <f>0=831</f>
        <v>0</v>
      </c>
      <c r="R59" s="1" t="b">
        <f>0=0=0=649</f>
        <v>0</v>
      </c>
      <c r="S59" s="1" t="b">
        <f>0=0=0=0=324</f>
        <v>0</v>
      </c>
      <c r="T59" s="1">
        <f>0.794</f>
        <v>0.79400000000000004</v>
      </c>
      <c r="U59" s="1">
        <f>0.232</f>
        <v>0.23200000000000001</v>
      </c>
      <c r="V59" s="1">
        <v>149.86099999999999</v>
      </c>
      <c r="W59">
        <v>4</v>
      </c>
    </row>
    <row r="60" spans="1:23" x14ac:dyDescent="0.25">
      <c r="A60" s="1" t="s">
        <v>12828</v>
      </c>
      <c r="B60" s="1" t="s">
        <v>12829</v>
      </c>
      <c r="C60" s="1" t="s">
        <v>1290</v>
      </c>
      <c r="D60" s="1" t="s">
        <v>1290</v>
      </c>
      <c r="E60" s="1" t="s">
        <v>1291</v>
      </c>
      <c r="F60" s="10">
        <v>44407</v>
      </c>
      <c r="G60">
        <v>182639</v>
      </c>
      <c r="H60">
        <v>46</v>
      </c>
      <c r="I60" s="1" t="s">
        <v>12717</v>
      </c>
      <c r="J60" s="11">
        <v>44722.112071759257</v>
      </c>
      <c r="K60" s="1" t="s">
        <v>503</v>
      </c>
      <c r="L60" s="1">
        <f>0.338</f>
        <v>0.33800000000000002</v>
      </c>
      <c r="M60" s="1">
        <f>0.975</f>
        <v>0.97499999999999998</v>
      </c>
      <c r="N60" t="s">
        <v>11825</v>
      </c>
      <c r="O60" s="1">
        <v>-4.843</v>
      </c>
      <c r="P60">
        <f>0</f>
        <v>0</v>
      </c>
      <c r="Q60" s="1">
        <f>0.123</f>
        <v>0.123</v>
      </c>
      <c r="R60" s="1" t="b">
        <f>0=0=382</f>
        <v>0</v>
      </c>
      <c r="S60" s="1">
        <f>0.784</f>
        <v>0.78400000000000003</v>
      </c>
      <c r="T60" s="1">
        <f>0.379</f>
        <v>0.379</v>
      </c>
      <c r="U60" s="1">
        <f>0.447</f>
        <v>0.44700000000000001</v>
      </c>
      <c r="V60" s="1" t="s">
        <v>13054</v>
      </c>
      <c r="W60">
        <v>4</v>
      </c>
    </row>
    <row r="61" spans="1:23" x14ac:dyDescent="0.25">
      <c r="A61" s="1" t="s">
        <v>12830</v>
      </c>
      <c r="B61" s="1" t="s">
        <v>12831</v>
      </c>
      <c r="C61" s="1" t="s">
        <v>1292</v>
      </c>
      <c r="D61" s="1" t="s">
        <v>12832</v>
      </c>
      <c r="E61" s="1" t="s">
        <v>1293</v>
      </c>
      <c r="F61" s="10">
        <v>44344</v>
      </c>
      <c r="G61">
        <v>177095</v>
      </c>
      <c r="H61">
        <v>42</v>
      </c>
      <c r="I61" s="1" t="s">
        <v>12717</v>
      </c>
      <c r="J61" s="11">
        <v>44722.112071759257</v>
      </c>
      <c r="K61" s="1" t="s">
        <v>1294</v>
      </c>
      <c r="L61" s="1">
        <f>0.625</f>
        <v>0.625</v>
      </c>
      <c r="M61" s="1">
        <f>0.966</f>
        <v>0.96599999999999997</v>
      </c>
      <c r="N61" t="s">
        <v>11825</v>
      </c>
      <c r="O61" s="1">
        <v>-4.3150000000000004</v>
      </c>
      <c r="P61">
        <f>0</f>
        <v>0</v>
      </c>
      <c r="Q61" s="1" t="b">
        <f>0=657</f>
        <v>0</v>
      </c>
      <c r="R61" s="1" t="b">
        <f>0=882</f>
        <v>0</v>
      </c>
      <c r="S61" s="1" t="b">
        <f>0=0=0=0=144</f>
        <v>0</v>
      </c>
      <c r="T61" s="1">
        <f>0.323</f>
        <v>0.32300000000000001</v>
      </c>
      <c r="U61" s="1">
        <f>0.837</f>
        <v>0.83699999999999997</v>
      </c>
      <c r="V61" s="1" t="s">
        <v>13055</v>
      </c>
      <c r="W61">
        <v>4</v>
      </c>
    </row>
    <row r="62" spans="1:23" x14ac:dyDescent="0.25">
      <c r="A62" s="1" t="s">
        <v>12833</v>
      </c>
      <c r="B62" s="1" t="s">
        <v>12834</v>
      </c>
      <c r="C62" s="1" t="s">
        <v>1295</v>
      </c>
      <c r="D62" s="1" t="s">
        <v>12835</v>
      </c>
      <c r="E62" s="1" t="s">
        <v>1296</v>
      </c>
      <c r="F62" s="10">
        <v>42227</v>
      </c>
      <c r="G62">
        <v>201691</v>
      </c>
      <c r="H62">
        <v>0</v>
      </c>
      <c r="I62" s="1" t="s">
        <v>12717</v>
      </c>
      <c r="J62" s="11">
        <v>44722.112071759257</v>
      </c>
      <c r="K62" s="1" t="s">
        <v>1297</v>
      </c>
      <c r="L62" s="1">
        <f>0.514</f>
        <v>0.51400000000000001</v>
      </c>
      <c r="M62" s="1">
        <f>0.785</f>
        <v>0.78500000000000003</v>
      </c>
      <c r="N62">
        <v>1</v>
      </c>
      <c r="O62" s="1">
        <v>-4.2380000000000004</v>
      </c>
      <c r="P62">
        <f>0</f>
        <v>0</v>
      </c>
      <c r="Q62" s="1" t="b">
        <f>0=286</f>
        <v>0</v>
      </c>
      <c r="R62" s="1" t="b">
        <f>0=0=84</f>
        <v>0</v>
      </c>
      <c r="S62" s="1" t="b">
        <f>0=0=0=0=0=123</f>
        <v>0</v>
      </c>
      <c r="T62" s="1">
        <f>0.343</f>
        <v>0.34300000000000003</v>
      </c>
      <c r="U62" s="1" t="b">
        <f>0.2=1</f>
        <v>0</v>
      </c>
      <c r="V62" s="1">
        <v>149.98400000000001</v>
      </c>
      <c r="W62">
        <v>4</v>
      </c>
    </row>
    <row r="63" spans="1:23" x14ac:dyDescent="0.25">
      <c r="A63" s="1" t="s">
        <v>12836</v>
      </c>
      <c r="B63" s="1" t="s">
        <v>12837</v>
      </c>
      <c r="C63" s="1" t="s">
        <v>1298</v>
      </c>
      <c r="D63" s="1" t="s">
        <v>12838</v>
      </c>
      <c r="E63" s="1" t="s">
        <v>1299</v>
      </c>
      <c r="F63" s="10">
        <v>43388</v>
      </c>
      <c r="G63">
        <v>222400</v>
      </c>
      <c r="H63">
        <v>52</v>
      </c>
      <c r="I63" s="1" t="s">
        <v>12717</v>
      </c>
      <c r="J63" s="11">
        <v>44722.112071759257</v>
      </c>
      <c r="K63" s="1" t="s">
        <v>807</v>
      </c>
      <c r="L63" s="1">
        <f>0.524</f>
        <v>0.52400000000000002</v>
      </c>
      <c r="M63" s="1">
        <f>0.885</f>
        <v>0.88500000000000001</v>
      </c>
      <c r="N63">
        <v>4</v>
      </c>
      <c r="O63" s="1">
        <v>-3.6859999999999999</v>
      </c>
      <c r="P63">
        <f>0</f>
        <v>0</v>
      </c>
      <c r="Q63" s="1" t="b">
        <f>0=387</f>
        <v>0</v>
      </c>
      <c r="R63" s="1" t="b">
        <f>0=782</f>
        <v>0</v>
      </c>
      <c r="S63" s="1" t="b">
        <f>0=0=0=0=253</f>
        <v>0</v>
      </c>
      <c r="T63" s="1">
        <f>0.126</f>
        <v>0.126</v>
      </c>
      <c r="U63" s="1">
        <f>0.186</f>
        <v>0.186</v>
      </c>
      <c r="V63" s="1">
        <v>149.89599999999999</v>
      </c>
      <c r="W63">
        <v>4</v>
      </c>
    </row>
    <row r="64" spans="1:23" x14ac:dyDescent="0.25">
      <c r="A64" s="1" t="s">
        <v>12839</v>
      </c>
      <c r="B64" s="1" t="s">
        <v>12840</v>
      </c>
      <c r="C64" s="1" t="s">
        <v>1300</v>
      </c>
      <c r="D64" s="1" t="s">
        <v>1300</v>
      </c>
      <c r="E64" s="1" t="s">
        <v>1301</v>
      </c>
      <c r="F64" s="10">
        <v>44414</v>
      </c>
      <c r="G64">
        <v>199042</v>
      </c>
      <c r="H64">
        <v>46</v>
      </c>
      <c r="I64" s="1" t="s">
        <v>12717</v>
      </c>
      <c r="J64" s="11">
        <v>44722.112071759257</v>
      </c>
      <c r="K64" s="1" t="s">
        <v>1302</v>
      </c>
      <c r="L64" s="1">
        <f>0.461</f>
        <v>0.46100000000000002</v>
      </c>
      <c r="M64" s="1">
        <f>0.846</f>
        <v>0.84599999999999997</v>
      </c>
      <c r="N64">
        <v>1</v>
      </c>
      <c r="O64" s="1">
        <v>-7.181</v>
      </c>
      <c r="P64">
        <v>1</v>
      </c>
      <c r="Q64" s="1">
        <f>0.514</f>
        <v>0.51400000000000001</v>
      </c>
      <c r="R64" s="1" t="b">
        <f>0=0=385</f>
        <v>0</v>
      </c>
      <c r="S64" s="1">
        <f>0</f>
        <v>0</v>
      </c>
      <c r="T64" s="1" t="b">
        <f>0.7=5</f>
        <v>0</v>
      </c>
      <c r="U64" s="1">
        <f>0.326</f>
        <v>0.32600000000000001</v>
      </c>
      <c r="V64" s="1">
        <v>154.95500000000001</v>
      </c>
      <c r="W64">
        <v>4</v>
      </c>
    </row>
    <row r="65" spans="1:23" x14ac:dyDescent="0.25">
      <c r="A65" s="1" t="s">
        <v>12841</v>
      </c>
      <c r="B65" s="1" t="s">
        <v>12842</v>
      </c>
      <c r="C65" s="1" t="s">
        <v>1303</v>
      </c>
      <c r="D65" s="1" t="s">
        <v>12843</v>
      </c>
      <c r="E65" s="1" t="s">
        <v>1304</v>
      </c>
      <c r="F65" s="10">
        <v>40872</v>
      </c>
      <c r="G65">
        <v>183266</v>
      </c>
      <c r="H65">
        <v>55</v>
      </c>
      <c r="I65" s="1" t="s">
        <v>12717</v>
      </c>
      <c r="J65" s="11">
        <v>44722.112071759257</v>
      </c>
      <c r="K65" s="1" t="s">
        <v>632</v>
      </c>
      <c r="L65" s="1">
        <f>0.522</f>
        <v>0.52200000000000002</v>
      </c>
      <c r="M65" s="1">
        <f>0.819</f>
        <v>0.81899999999999995</v>
      </c>
      <c r="N65">
        <f>0</f>
        <v>0</v>
      </c>
      <c r="O65" s="1">
        <v>-4.4930000000000003</v>
      </c>
      <c r="P65">
        <v>1</v>
      </c>
      <c r="Q65" s="1" t="b">
        <f>0=365</f>
        <v>0</v>
      </c>
      <c r="R65" s="1" t="b">
        <f>0=0=243</f>
        <v>0</v>
      </c>
      <c r="S65" s="1" t="b">
        <f>0=0=343</f>
        <v>0</v>
      </c>
      <c r="T65" s="1" t="b">
        <f>0.3=7</f>
        <v>0</v>
      </c>
      <c r="U65" s="1">
        <f>0.374</f>
        <v>0.374</v>
      </c>
      <c r="V65" s="1" t="s">
        <v>13056</v>
      </c>
      <c r="W65">
        <v>4</v>
      </c>
    </row>
    <row r="66" spans="1:23" x14ac:dyDescent="0.25">
      <c r="A66" s="1" t="s">
        <v>12844</v>
      </c>
      <c r="B66" s="1" t="s">
        <v>12730</v>
      </c>
      <c r="C66" s="1" t="s">
        <v>1305</v>
      </c>
      <c r="D66" s="1" t="s">
        <v>12845</v>
      </c>
      <c r="E66" s="1" t="s">
        <v>1189</v>
      </c>
      <c r="F66" s="10">
        <v>42990</v>
      </c>
      <c r="G66">
        <v>179200</v>
      </c>
      <c r="H66">
        <v>53</v>
      </c>
      <c r="I66" s="1" t="s">
        <v>12717</v>
      </c>
      <c r="J66" s="11">
        <v>44722.112071759257</v>
      </c>
      <c r="K66" s="1" t="s">
        <v>1190</v>
      </c>
      <c r="L66" s="1">
        <f>0.485</f>
        <v>0.48499999999999999</v>
      </c>
      <c r="M66" s="1">
        <f>0.772</f>
        <v>0.77200000000000002</v>
      </c>
      <c r="N66">
        <v>4</v>
      </c>
      <c r="O66" s="1">
        <v>-2.9660000000000002</v>
      </c>
      <c r="P66">
        <f>0</f>
        <v>0</v>
      </c>
      <c r="Q66" s="1" t="b">
        <f>0=293</f>
        <v>0</v>
      </c>
      <c r="R66" s="1" t="b">
        <f>0=951</f>
        <v>0</v>
      </c>
      <c r="S66" s="1" t="b">
        <f>0=0=0=0=0=2</f>
        <v>0</v>
      </c>
      <c r="T66" s="1" t="b">
        <f>0.1=5</f>
        <v>0</v>
      </c>
      <c r="U66" s="1" t="b">
        <f>0.2=3</f>
        <v>0</v>
      </c>
      <c r="V66" s="1" t="s">
        <v>13057</v>
      </c>
      <c r="W66">
        <v>4</v>
      </c>
    </row>
    <row r="67" spans="1:23" x14ac:dyDescent="0.25">
      <c r="A67" s="1" t="s">
        <v>12846</v>
      </c>
      <c r="B67" s="1" t="s">
        <v>12847</v>
      </c>
      <c r="C67" s="1" t="s">
        <v>1306</v>
      </c>
      <c r="D67" s="1" t="s">
        <v>1306</v>
      </c>
      <c r="E67" s="1" t="s">
        <v>1307</v>
      </c>
      <c r="F67" s="10">
        <v>41540</v>
      </c>
      <c r="G67">
        <v>192500</v>
      </c>
      <c r="H67">
        <v>58</v>
      </c>
      <c r="I67" s="1" t="s">
        <v>12717</v>
      </c>
      <c r="J67" s="11">
        <v>44722.112071759257</v>
      </c>
      <c r="K67" s="1" t="s">
        <v>632</v>
      </c>
      <c r="L67" s="1">
        <f>0.552</f>
        <v>0.55200000000000005</v>
      </c>
      <c r="M67" s="1">
        <f>0.594</f>
        <v>0.59399999999999997</v>
      </c>
      <c r="N67">
        <v>2</v>
      </c>
      <c r="O67" s="1">
        <v>-6.4489999999999998</v>
      </c>
      <c r="P67">
        <v>1</v>
      </c>
      <c r="Q67" s="1" t="b">
        <f>0=3=6</f>
        <v>0</v>
      </c>
      <c r="R67" s="1">
        <f>0.298</f>
        <v>0.29799999999999999</v>
      </c>
      <c r="S67" s="1" t="b">
        <f>0=0=0=0=617</f>
        <v>0</v>
      </c>
      <c r="T67" s="1">
        <f>0.262</f>
        <v>0.26200000000000001</v>
      </c>
      <c r="U67" s="1">
        <f>0.287</f>
        <v>0.28699999999999998</v>
      </c>
      <c r="V67" s="1" t="s">
        <v>13058</v>
      </c>
      <c r="W67">
        <v>4</v>
      </c>
    </row>
    <row r="68" spans="1:23" x14ac:dyDescent="0.25">
      <c r="A68" s="1" t="s">
        <v>12848</v>
      </c>
      <c r="B68" s="1" t="s">
        <v>12849</v>
      </c>
      <c r="C68" s="1" t="s">
        <v>1308</v>
      </c>
      <c r="D68" s="1" t="s">
        <v>12850</v>
      </c>
      <c r="E68" s="1" t="s">
        <v>1309</v>
      </c>
      <c r="F68" s="10">
        <v>44547</v>
      </c>
      <c r="G68">
        <v>164000</v>
      </c>
      <c r="H68">
        <v>40</v>
      </c>
      <c r="I68" s="1" t="s">
        <v>12717</v>
      </c>
      <c r="J68" s="11">
        <v>44722.112071759257</v>
      </c>
      <c r="K68" s="1" t="s">
        <v>1310</v>
      </c>
      <c r="L68" s="1" t="b">
        <f>0.5=9</f>
        <v>0</v>
      </c>
      <c r="M68" s="1">
        <f>0.888</f>
        <v>0.88800000000000001</v>
      </c>
      <c r="N68">
        <v>7</v>
      </c>
      <c r="O68" s="1">
        <v>-2.5529999999999999</v>
      </c>
      <c r="P68">
        <v>1</v>
      </c>
      <c r="Q68" s="1" t="b">
        <f>0=757</f>
        <v>0</v>
      </c>
      <c r="R68" s="1" t="b">
        <f>0=118</f>
        <v>0</v>
      </c>
      <c r="S68" s="1">
        <f>0</f>
        <v>0</v>
      </c>
      <c r="T68" s="1">
        <f>0.365</f>
        <v>0.36499999999999999</v>
      </c>
      <c r="U68" s="1">
        <f>0.194</f>
        <v>0.19400000000000001</v>
      </c>
      <c r="V68" s="1">
        <v>149.99199999999999</v>
      </c>
      <c r="W68">
        <v>4</v>
      </c>
    </row>
    <row r="69" spans="1:23" x14ac:dyDescent="0.25">
      <c r="A69" s="1" t="s">
        <v>12851</v>
      </c>
      <c r="B69" s="1" t="s">
        <v>12852</v>
      </c>
      <c r="C69" s="1" t="s">
        <v>1311</v>
      </c>
      <c r="D69" s="1" t="s">
        <v>1311</v>
      </c>
      <c r="E69" s="1" t="s">
        <v>1312</v>
      </c>
      <c r="F69" s="10">
        <v>42553</v>
      </c>
      <c r="G69">
        <v>192004</v>
      </c>
      <c r="H69">
        <v>40</v>
      </c>
      <c r="I69" s="1" t="s">
        <v>12717</v>
      </c>
      <c r="J69" s="11">
        <v>44722.112071759257</v>
      </c>
      <c r="K69" s="1" t="s">
        <v>1053</v>
      </c>
      <c r="L69" s="1">
        <f>0.587</f>
        <v>0.58699999999999997</v>
      </c>
      <c r="M69" s="1">
        <f>0.788</f>
        <v>0.78800000000000003</v>
      </c>
      <c r="N69">
        <v>1</v>
      </c>
      <c r="O69" s="1">
        <v>-4.5810000000000004</v>
      </c>
      <c r="P69">
        <v>1</v>
      </c>
      <c r="Q69" s="1" t="b">
        <f>0=419</f>
        <v>0</v>
      </c>
      <c r="R69" s="1" t="b">
        <f>0=147</f>
        <v>0</v>
      </c>
      <c r="S69" s="1" t="b">
        <f>0=0=0=0=784</f>
        <v>0</v>
      </c>
      <c r="T69" s="1">
        <f>0.179</f>
        <v>0.17899999999999999</v>
      </c>
      <c r="U69" s="1">
        <f>0.171</f>
        <v>0.17100000000000001</v>
      </c>
      <c r="V69" s="1" t="s">
        <v>13059</v>
      </c>
      <c r="W69">
        <v>4</v>
      </c>
    </row>
    <row r="70" spans="1:23" x14ac:dyDescent="0.25">
      <c r="A70" s="1" t="s">
        <v>12853</v>
      </c>
      <c r="B70" s="1" t="s">
        <v>12854</v>
      </c>
      <c r="C70" s="1" t="s">
        <v>1313</v>
      </c>
      <c r="D70" s="1" t="s">
        <v>12855</v>
      </c>
      <c r="E70" s="1" t="s">
        <v>1314</v>
      </c>
      <c r="F70" s="10">
        <v>42170</v>
      </c>
      <c r="G70">
        <v>238420</v>
      </c>
      <c r="H70">
        <v>52</v>
      </c>
      <c r="I70" s="1" t="s">
        <v>12717</v>
      </c>
      <c r="J70" s="11">
        <v>44722.112071759257</v>
      </c>
      <c r="K70" s="1" t="s">
        <v>1315</v>
      </c>
      <c r="L70" s="1">
        <f>0.483</f>
        <v>0.48299999999999998</v>
      </c>
      <c r="M70" s="1">
        <f>0.683</f>
        <v>0.68300000000000005</v>
      </c>
      <c r="N70">
        <v>2</v>
      </c>
      <c r="O70" s="1" t="s">
        <v>13060</v>
      </c>
      <c r="P70">
        <f>0</f>
        <v>0</v>
      </c>
      <c r="Q70" s="1" t="b">
        <f>0=364</f>
        <v>0</v>
      </c>
      <c r="R70" s="1" t="b">
        <f>0=1=5</f>
        <v>0</v>
      </c>
      <c r="S70" s="1" t="b">
        <f>0=0=0=149</f>
        <v>0</v>
      </c>
      <c r="T70" s="1" t="b">
        <f>0.1=6</f>
        <v>0</v>
      </c>
      <c r="U70" s="1">
        <f>0.12</f>
        <v>0.12</v>
      </c>
      <c r="V70" s="1">
        <v>149.84100000000001</v>
      </c>
      <c r="W70">
        <v>4</v>
      </c>
    </row>
    <row r="71" spans="1:23" x14ac:dyDescent="0.25">
      <c r="A71" s="1" t="s">
        <v>12856</v>
      </c>
      <c r="B71" s="1" t="s">
        <v>12857</v>
      </c>
      <c r="C71" s="1" t="s">
        <v>1316</v>
      </c>
      <c r="D71" s="1" t="s">
        <v>1316</v>
      </c>
      <c r="E71" s="1" t="s">
        <v>1317</v>
      </c>
      <c r="F71" s="10">
        <v>42956</v>
      </c>
      <c r="G71">
        <v>164000</v>
      </c>
      <c r="H71">
        <v>52</v>
      </c>
      <c r="I71" s="1" t="s">
        <v>12717</v>
      </c>
      <c r="J71" s="11">
        <v>44722.112071759257</v>
      </c>
      <c r="K71" s="1" t="s">
        <v>1223</v>
      </c>
      <c r="L71" s="1">
        <f>0.554</f>
        <v>0.55400000000000005</v>
      </c>
      <c r="M71" s="1">
        <f>0.869</f>
        <v>0.86899999999999999</v>
      </c>
      <c r="N71">
        <v>7</v>
      </c>
      <c r="O71" s="1">
        <v>-4.7690000000000001</v>
      </c>
      <c r="P71">
        <f>0</f>
        <v>0</v>
      </c>
      <c r="Q71" s="1" t="b">
        <f>0=471</f>
        <v>0</v>
      </c>
      <c r="R71" s="1" t="b">
        <f>0=0=925</f>
        <v>0</v>
      </c>
      <c r="S71" s="1" t="b">
        <f>0=0=0=492</f>
        <v>0</v>
      </c>
      <c r="T71" s="1">
        <f>0.356</f>
        <v>0.35599999999999998</v>
      </c>
      <c r="U71" s="1" t="b">
        <f>0=988</f>
        <v>0</v>
      </c>
      <c r="V71" s="1" t="s">
        <v>13061</v>
      </c>
      <c r="W71">
        <v>4</v>
      </c>
    </row>
    <row r="72" spans="1:23" x14ac:dyDescent="0.25">
      <c r="A72" s="1" t="s">
        <v>12858</v>
      </c>
      <c r="B72" s="1" t="s">
        <v>12859</v>
      </c>
      <c r="C72" s="1" t="s">
        <v>1318</v>
      </c>
      <c r="D72" s="1" t="s">
        <v>1318</v>
      </c>
      <c r="E72" s="1" t="s">
        <v>1319</v>
      </c>
      <c r="F72" s="10">
        <v>44687</v>
      </c>
      <c r="G72">
        <v>270786</v>
      </c>
      <c r="H72">
        <v>55</v>
      </c>
      <c r="I72" s="1" t="s">
        <v>12717</v>
      </c>
      <c r="J72" s="11">
        <v>44722.112071759257</v>
      </c>
      <c r="K72" s="1" t="s">
        <v>1174</v>
      </c>
      <c r="L72" s="1">
        <f>0.419</f>
        <v>0.41899999999999998</v>
      </c>
      <c r="M72" s="1">
        <f>0.826</f>
        <v>0.82599999999999996</v>
      </c>
      <c r="N72">
        <v>1</v>
      </c>
      <c r="O72" s="1">
        <v>-5.6920000000000002</v>
      </c>
      <c r="P72">
        <v>1</v>
      </c>
      <c r="Q72" s="1">
        <f>0.185</f>
        <v>0.185</v>
      </c>
      <c r="R72" s="1" t="b">
        <f>0=0=15</f>
        <v>0</v>
      </c>
      <c r="S72" s="1" t="b">
        <f>0=1=5</f>
        <v>0</v>
      </c>
      <c r="T72" s="1">
        <f>0.319</f>
        <v>0.31900000000000001</v>
      </c>
      <c r="U72" s="1">
        <f>0.212</f>
        <v>0.21199999999999999</v>
      </c>
      <c r="V72" s="1">
        <v>156.917</v>
      </c>
      <c r="W72">
        <v>4</v>
      </c>
    </row>
    <row r="73" spans="1:23" x14ac:dyDescent="0.25">
      <c r="A73" s="1" t="s">
        <v>12860</v>
      </c>
      <c r="B73" s="1" t="s">
        <v>12068</v>
      </c>
      <c r="C73" s="1" t="s">
        <v>1320</v>
      </c>
      <c r="D73" s="1" t="s">
        <v>12861</v>
      </c>
      <c r="E73" s="1" t="s">
        <v>599</v>
      </c>
      <c r="F73" s="10">
        <v>44105</v>
      </c>
      <c r="G73">
        <v>210163</v>
      </c>
      <c r="H73">
        <v>56</v>
      </c>
      <c r="I73" s="1" t="s">
        <v>12717</v>
      </c>
      <c r="J73" s="11">
        <v>44722.112071759257</v>
      </c>
      <c r="K73" s="1" t="s">
        <v>600</v>
      </c>
      <c r="L73" s="1">
        <f>0.244</f>
        <v>0.24399999999999999</v>
      </c>
      <c r="M73" s="1">
        <f>0.692</f>
        <v>0.69199999999999995</v>
      </c>
      <c r="N73">
        <v>9</v>
      </c>
      <c r="O73" s="1">
        <v>-6.2249999999999996</v>
      </c>
      <c r="P73">
        <f>0</f>
        <v>0</v>
      </c>
      <c r="Q73" s="1" t="b">
        <f>0=536</f>
        <v>0</v>
      </c>
      <c r="R73" s="1" t="b">
        <f>0=0=356</f>
        <v>0</v>
      </c>
      <c r="S73" s="1" t="b">
        <f>0=0=0=0=0=875</f>
        <v>0</v>
      </c>
      <c r="T73" s="1">
        <f>0.12</f>
        <v>0.12</v>
      </c>
      <c r="U73" s="1" t="b">
        <f>0=993</f>
        <v>0</v>
      </c>
      <c r="V73" s="1">
        <v>149.673</v>
      </c>
      <c r="W73">
        <v>4</v>
      </c>
    </row>
    <row r="74" spans="1:23" x14ac:dyDescent="0.25">
      <c r="A74" s="1" t="s">
        <v>12862</v>
      </c>
      <c r="B74" s="1" t="s">
        <v>12716</v>
      </c>
      <c r="C74" s="1" t="s">
        <v>1321</v>
      </c>
      <c r="D74" s="1" t="s">
        <v>1321</v>
      </c>
      <c r="E74" s="1" t="s">
        <v>1173</v>
      </c>
      <c r="F74" s="10">
        <v>43921</v>
      </c>
      <c r="G74">
        <v>247400</v>
      </c>
      <c r="H74">
        <v>59</v>
      </c>
      <c r="I74" s="1" t="s">
        <v>12717</v>
      </c>
      <c r="J74" s="11">
        <v>44722.112071759257</v>
      </c>
      <c r="K74" s="1" t="s">
        <v>1174</v>
      </c>
      <c r="L74" s="1">
        <f>0.36</f>
        <v>0.36</v>
      </c>
      <c r="M74" s="1">
        <f>0.896</f>
        <v>0.89600000000000002</v>
      </c>
      <c r="N74" t="s">
        <v>11825</v>
      </c>
      <c r="O74" s="1">
        <v>-4.2</v>
      </c>
      <c r="P74">
        <f>0</f>
        <v>0</v>
      </c>
      <c r="Q74" s="1" t="b">
        <f>0=958</f>
        <v>0</v>
      </c>
      <c r="R74" s="1" t="b">
        <f>0=185</f>
        <v>0</v>
      </c>
      <c r="S74" s="1" t="b">
        <f>0=0=0=895</f>
        <v>0</v>
      </c>
      <c r="T74" s="1">
        <f>0.579</f>
        <v>0.57899999999999996</v>
      </c>
      <c r="U74" s="1">
        <f>0.119</f>
        <v>0.11899999999999999</v>
      </c>
      <c r="V74" s="1" t="s">
        <v>13062</v>
      </c>
      <c r="W74">
        <v>4</v>
      </c>
    </row>
    <row r="75" spans="1:23" x14ac:dyDescent="0.25">
      <c r="A75" s="1" t="s">
        <v>12863</v>
      </c>
      <c r="B75" s="1" t="s">
        <v>12864</v>
      </c>
      <c r="C75" s="1" t="s">
        <v>1322</v>
      </c>
      <c r="D75" s="1" t="s">
        <v>12146</v>
      </c>
      <c r="E75" s="1" t="s">
        <v>1323</v>
      </c>
      <c r="F75" s="10">
        <v>43546</v>
      </c>
      <c r="G75">
        <v>214400</v>
      </c>
      <c r="H75">
        <v>47</v>
      </c>
      <c r="I75" s="1" t="s">
        <v>12717</v>
      </c>
      <c r="J75" s="11">
        <v>44722.112071759257</v>
      </c>
      <c r="K75" s="1" t="s">
        <v>1315</v>
      </c>
      <c r="L75" s="1">
        <f>0.578</f>
        <v>0.57799999999999996</v>
      </c>
      <c r="M75" s="1">
        <f>0.625</f>
        <v>0.625</v>
      </c>
      <c r="N75">
        <v>3</v>
      </c>
      <c r="O75" s="1">
        <v>-3.8849999999999998</v>
      </c>
      <c r="P75">
        <f>0</f>
        <v>0</v>
      </c>
      <c r="Q75" s="1" t="b">
        <f>0=292</f>
        <v>0</v>
      </c>
      <c r="R75" s="1">
        <f>0.122</f>
        <v>0.122</v>
      </c>
      <c r="S75" s="1">
        <f>0</f>
        <v>0</v>
      </c>
      <c r="T75" s="1" t="b">
        <f>0=962</f>
        <v>0</v>
      </c>
      <c r="U75" s="1">
        <f>0.124</f>
        <v>0.124</v>
      </c>
      <c r="V75" s="1" t="s">
        <v>13063</v>
      </c>
      <c r="W75">
        <v>4</v>
      </c>
    </row>
    <row r="76" spans="1:23" x14ac:dyDescent="0.25">
      <c r="A76" s="1" t="s">
        <v>12865</v>
      </c>
      <c r="B76" s="1" t="s">
        <v>12866</v>
      </c>
      <c r="C76" s="1" t="s">
        <v>1324</v>
      </c>
      <c r="D76" s="1" t="s">
        <v>12867</v>
      </c>
      <c r="E76" s="1" t="s">
        <v>1325</v>
      </c>
      <c r="F76" s="10">
        <v>43049</v>
      </c>
      <c r="G76">
        <v>195600</v>
      </c>
      <c r="H76">
        <v>0</v>
      </c>
      <c r="I76" s="1" t="s">
        <v>12717</v>
      </c>
      <c r="J76" s="11">
        <v>44722.112071759257</v>
      </c>
      <c r="K76" s="1" t="s">
        <v>1326</v>
      </c>
      <c r="L76" s="1" t="b">
        <f>0.5=7</f>
        <v>0</v>
      </c>
      <c r="M76" s="1">
        <f>0.72</f>
        <v>0.72</v>
      </c>
      <c r="N76">
        <v>9</v>
      </c>
      <c r="O76" s="1">
        <v>-5.9130000000000003</v>
      </c>
      <c r="P76">
        <f>0</f>
        <v>0</v>
      </c>
      <c r="Q76" s="1" t="b">
        <f>0=4=1</f>
        <v>0</v>
      </c>
      <c r="R76" s="1">
        <f>0.425</f>
        <v>0.42499999999999999</v>
      </c>
      <c r="S76" s="1">
        <f>0.113</f>
        <v>0.113</v>
      </c>
      <c r="T76" s="1" t="b">
        <f>0.1=4</f>
        <v>0</v>
      </c>
      <c r="U76" s="1" t="b">
        <f>0.2=8</f>
        <v>0</v>
      </c>
      <c r="V76" s="1" t="s">
        <v>13064</v>
      </c>
      <c r="W76">
        <v>4</v>
      </c>
    </row>
    <row r="77" spans="1:23" x14ac:dyDescent="0.25">
      <c r="A77" s="1" t="s">
        <v>12868</v>
      </c>
      <c r="B77" s="1" t="s">
        <v>12869</v>
      </c>
      <c r="C77" s="1" t="s">
        <v>1327</v>
      </c>
      <c r="D77" s="1" t="s">
        <v>1327</v>
      </c>
      <c r="E77" s="1" t="s">
        <v>1328</v>
      </c>
      <c r="F77" s="10">
        <v>43103</v>
      </c>
      <c r="G77">
        <v>244133</v>
      </c>
      <c r="H77">
        <v>54</v>
      </c>
      <c r="I77" s="1" t="s">
        <v>12717</v>
      </c>
      <c r="J77" s="11">
        <v>44722.112071759257</v>
      </c>
      <c r="K77" s="1" t="s">
        <v>1223</v>
      </c>
      <c r="L77" s="1" t="b">
        <f>0.3=2</f>
        <v>0</v>
      </c>
      <c r="M77" s="1">
        <f>0.865</f>
        <v>0.86499999999999999</v>
      </c>
      <c r="N77">
        <f>0</f>
        <v>0</v>
      </c>
      <c r="O77" s="1">
        <v>-3.2160000000000002</v>
      </c>
      <c r="P77">
        <v>1</v>
      </c>
      <c r="Q77" s="1" t="b">
        <f>0=348</f>
        <v>0</v>
      </c>
      <c r="R77" s="1" t="b">
        <f>0=199</f>
        <v>0</v>
      </c>
      <c r="S77" s="1" t="b">
        <f>0=0=0=0=0=725</f>
        <v>0</v>
      </c>
      <c r="T77" s="1">
        <f>0.328</f>
        <v>0.32800000000000001</v>
      </c>
      <c r="U77" s="1">
        <f>0.152</f>
        <v>0.152</v>
      </c>
      <c r="V77" s="1" t="s">
        <v>13065</v>
      </c>
      <c r="W77">
        <v>4</v>
      </c>
    </row>
    <row r="78" spans="1:23" x14ac:dyDescent="0.25">
      <c r="A78" s="1" t="s">
        <v>12870</v>
      </c>
      <c r="B78" s="1" t="s">
        <v>12871</v>
      </c>
      <c r="C78" s="1" t="s">
        <v>1329</v>
      </c>
      <c r="D78" s="1" t="s">
        <v>1329</v>
      </c>
      <c r="E78" s="1" t="s">
        <v>1330</v>
      </c>
      <c r="F78" s="10">
        <v>44700</v>
      </c>
      <c r="G78">
        <v>254901</v>
      </c>
      <c r="H78">
        <v>53</v>
      </c>
      <c r="I78" s="1" t="s">
        <v>12717</v>
      </c>
      <c r="J78" s="11">
        <v>44722.112071759257</v>
      </c>
      <c r="K78" s="1" t="s">
        <v>632</v>
      </c>
      <c r="L78" s="1">
        <f>0.492</f>
        <v>0.49199999999999999</v>
      </c>
      <c r="M78" s="1">
        <f>0.954</f>
        <v>0.95399999999999996</v>
      </c>
      <c r="N78">
        <v>1</v>
      </c>
      <c r="O78" s="1" t="s">
        <v>13066</v>
      </c>
      <c r="P78">
        <f>0</f>
        <v>0</v>
      </c>
      <c r="Q78" s="1">
        <f>0.21</f>
        <v>0.21</v>
      </c>
      <c r="R78" s="1" t="b">
        <f>0=21</f>
        <v>0</v>
      </c>
      <c r="S78" s="1" t="b">
        <f>0=0=0=496</f>
        <v>0</v>
      </c>
      <c r="T78" s="1" t="b">
        <f>0.2=3</f>
        <v>0</v>
      </c>
      <c r="U78" s="1">
        <f>0.316</f>
        <v>0.316</v>
      </c>
      <c r="V78" s="1">
        <v>152.98400000000001</v>
      </c>
      <c r="W78">
        <v>4</v>
      </c>
    </row>
    <row r="79" spans="1:23" x14ac:dyDescent="0.25">
      <c r="A79" s="1" t="s">
        <v>12872</v>
      </c>
      <c r="B79" s="1" t="s">
        <v>12873</v>
      </c>
      <c r="C79" s="1" t="s">
        <v>1331</v>
      </c>
      <c r="D79" s="1" t="s">
        <v>12874</v>
      </c>
      <c r="E79" s="1" t="s">
        <v>1332</v>
      </c>
      <c r="F79" s="10">
        <v>44165</v>
      </c>
      <c r="G79">
        <v>245392</v>
      </c>
      <c r="H79">
        <v>56</v>
      </c>
      <c r="I79" s="1" t="s">
        <v>12717</v>
      </c>
      <c r="J79" s="11">
        <v>44722.112071759257</v>
      </c>
      <c r="K79" s="1" t="s">
        <v>1333</v>
      </c>
      <c r="L79" s="1">
        <f>0.398</f>
        <v>0.39800000000000002</v>
      </c>
      <c r="M79" s="1">
        <f>0.799</f>
        <v>0.79900000000000004</v>
      </c>
      <c r="N79">
        <v>1</v>
      </c>
      <c r="O79" s="1">
        <v>-4.4240000000000004</v>
      </c>
      <c r="P79">
        <v>1</v>
      </c>
      <c r="Q79" s="1" t="b">
        <f>0=484</f>
        <v>0</v>
      </c>
      <c r="R79" s="1" t="b">
        <f>0=31</f>
        <v>0</v>
      </c>
      <c r="S79" s="1" t="b">
        <f>0=0=0=0=0=659</f>
        <v>0</v>
      </c>
      <c r="T79" s="1">
        <f>0.19</f>
        <v>0.19</v>
      </c>
      <c r="U79" s="1">
        <f>0.288</f>
        <v>0.28799999999999998</v>
      </c>
      <c r="V79" s="1" t="s">
        <v>13067</v>
      </c>
      <c r="W79">
        <v>4</v>
      </c>
    </row>
    <row r="80" spans="1:23" x14ac:dyDescent="0.25">
      <c r="A80" s="1" t="s">
        <v>12875</v>
      </c>
      <c r="B80" s="1" t="s">
        <v>12876</v>
      </c>
      <c r="C80" s="1" t="s">
        <v>1334</v>
      </c>
      <c r="D80" s="1" t="s">
        <v>12877</v>
      </c>
      <c r="E80" s="1" t="s">
        <v>1335</v>
      </c>
      <c r="F80" s="10">
        <v>43322</v>
      </c>
      <c r="G80">
        <v>218557</v>
      </c>
      <c r="H80">
        <v>55</v>
      </c>
      <c r="I80" s="1" t="s">
        <v>12717</v>
      </c>
      <c r="J80" s="11">
        <v>44722.112071759257</v>
      </c>
      <c r="K80" s="1" t="s">
        <v>1336</v>
      </c>
      <c r="L80" s="1">
        <f>0.522</f>
        <v>0.52200000000000002</v>
      </c>
      <c r="M80" s="1">
        <f>0.916</f>
        <v>0.91600000000000004</v>
      </c>
      <c r="N80" t="s">
        <v>11825</v>
      </c>
      <c r="O80" s="1">
        <v>-4.5590000000000002</v>
      </c>
      <c r="P80">
        <f>0</f>
        <v>0</v>
      </c>
      <c r="Q80" s="1" t="b">
        <f>0=47</f>
        <v>0</v>
      </c>
      <c r="R80" s="1" t="b">
        <f>0=186</f>
        <v>0</v>
      </c>
      <c r="S80" s="1">
        <f>0</f>
        <v>0</v>
      </c>
      <c r="T80" s="1">
        <f>0.177</f>
        <v>0.17699999999999999</v>
      </c>
      <c r="U80" s="1">
        <f>0.453</f>
        <v>0.45300000000000001</v>
      </c>
      <c r="V80" s="1" t="s">
        <v>13068</v>
      </c>
      <c r="W80">
        <v>4</v>
      </c>
    </row>
    <row r="81" spans="1:23" x14ac:dyDescent="0.25">
      <c r="A81" s="1" t="s">
        <v>12878</v>
      </c>
      <c r="B81" s="1" t="s">
        <v>12879</v>
      </c>
      <c r="C81" s="1" t="s">
        <v>1337</v>
      </c>
      <c r="D81" s="1" t="s">
        <v>12880</v>
      </c>
      <c r="E81" s="1" t="s">
        <v>1338</v>
      </c>
      <c r="F81" s="10">
        <v>42958</v>
      </c>
      <c r="G81">
        <v>222400</v>
      </c>
      <c r="H81">
        <v>58</v>
      </c>
      <c r="I81" s="1" t="s">
        <v>12717</v>
      </c>
      <c r="J81" s="11">
        <v>44722.112071759257</v>
      </c>
      <c r="K81" s="1" t="s">
        <v>1339</v>
      </c>
      <c r="L81" s="1">
        <f>0.478</f>
        <v>0.47799999999999998</v>
      </c>
      <c r="M81" s="1">
        <f>0.878</f>
        <v>0.878</v>
      </c>
      <c r="N81">
        <v>1</v>
      </c>
      <c r="O81" s="1">
        <v>-3.431</v>
      </c>
      <c r="P81">
        <f>0</f>
        <v>0</v>
      </c>
      <c r="Q81" s="1" t="b">
        <f>0=4=3</f>
        <v>0</v>
      </c>
      <c r="R81" s="1" t="b">
        <f>0=431</f>
        <v>0</v>
      </c>
      <c r="S81" s="1" t="b">
        <f>0=0=0=0=193</f>
        <v>0</v>
      </c>
      <c r="T81" s="1" t="b">
        <f>0=719</f>
        <v>0</v>
      </c>
      <c r="U81" s="1">
        <f>0.289</f>
        <v>0.28899999999999998</v>
      </c>
      <c r="V81" s="1">
        <v>149.67099999999999</v>
      </c>
      <c r="W81">
        <v>4</v>
      </c>
    </row>
    <row r="82" spans="1:23" x14ac:dyDescent="0.25">
      <c r="A82" s="1" t="s">
        <v>12881</v>
      </c>
      <c r="B82" s="1" t="s">
        <v>12771</v>
      </c>
      <c r="C82" s="1" t="s">
        <v>1340</v>
      </c>
      <c r="D82" s="1" t="s">
        <v>12845</v>
      </c>
      <c r="E82" s="1" t="s">
        <v>1231</v>
      </c>
      <c r="F82" s="10">
        <v>42990</v>
      </c>
      <c r="G82">
        <v>227200</v>
      </c>
      <c r="H82">
        <v>51</v>
      </c>
      <c r="I82" s="1" t="s">
        <v>12717</v>
      </c>
      <c r="J82" s="11">
        <v>44722.112071759257</v>
      </c>
      <c r="K82" s="1" t="s">
        <v>632</v>
      </c>
      <c r="L82" s="1">
        <f>0.495</f>
        <v>0.495</v>
      </c>
      <c r="M82" s="1">
        <f>0.944</f>
        <v>0.94399999999999995</v>
      </c>
      <c r="N82">
        <f>0</f>
        <v>0</v>
      </c>
      <c r="O82" s="1">
        <v>-1.7270000000000001</v>
      </c>
      <c r="P82">
        <f>0</f>
        <v>0</v>
      </c>
      <c r="Q82" s="1" t="b">
        <f>0=539</f>
        <v>0</v>
      </c>
      <c r="R82" s="1" t="b">
        <f>0=212</f>
        <v>0</v>
      </c>
      <c r="S82" s="1" t="b">
        <f>0=0=0=0=0=14</f>
        <v>0</v>
      </c>
      <c r="T82" s="1">
        <f>0.273</f>
        <v>0.27300000000000002</v>
      </c>
      <c r="U82" s="1">
        <f>0.381</f>
        <v>0.38100000000000001</v>
      </c>
      <c r="V82" s="1">
        <v>149.92400000000001</v>
      </c>
      <c r="W82">
        <v>4</v>
      </c>
    </row>
    <row r="83" spans="1:23" x14ac:dyDescent="0.25">
      <c r="A83" s="1" t="s">
        <v>12882</v>
      </c>
      <c r="B83" s="1" t="s">
        <v>12292</v>
      </c>
      <c r="C83" s="1" t="s">
        <v>1284</v>
      </c>
      <c r="D83" s="1" t="s">
        <v>1284</v>
      </c>
      <c r="E83" s="1" t="s">
        <v>803</v>
      </c>
      <c r="F83" s="10">
        <v>43325</v>
      </c>
      <c r="G83">
        <v>295646</v>
      </c>
      <c r="H83">
        <v>56</v>
      </c>
      <c r="I83" s="1" t="s">
        <v>12717</v>
      </c>
      <c r="J83" s="11">
        <v>44722.112071759257</v>
      </c>
      <c r="K83" s="1" t="s">
        <v>804</v>
      </c>
      <c r="L83" s="1">
        <f>0.575</f>
        <v>0.57499999999999996</v>
      </c>
      <c r="M83" s="1">
        <f>0.979</f>
        <v>0.97899999999999998</v>
      </c>
      <c r="N83">
        <v>8</v>
      </c>
      <c r="O83" s="1">
        <v>-1.5609999999999999</v>
      </c>
      <c r="P83">
        <f>0</f>
        <v>0</v>
      </c>
      <c r="Q83" s="1">
        <f>0.396</f>
        <v>0.39600000000000002</v>
      </c>
      <c r="R83" s="1" t="b">
        <f>0=321</f>
        <v>0</v>
      </c>
      <c r="S83" s="1">
        <f>0</f>
        <v>0</v>
      </c>
      <c r="T83" s="1">
        <f>0.34</f>
        <v>0.34</v>
      </c>
      <c r="U83" s="1">
        <f>0.366</f>
        <v>0.36599999999999999</v>
      </c>
      <c r="V83" s="1" t="s">
        <v>13069</v>
      </c>
      <c r="W83">
        <v>4</v>
      </c>
    </row>
    <row r="84" spans="1:23" x14ac:dyDescent="0.25">
      <c r="A84" s="1" t="s">
        <v>12883</v>
      </c>
      <c r="B84" s="1" t="s">
        <v>12884</v>
      </c>
      <c r="C84" s="1" t="s">
        <v>1341</v>
      </c>
      <c r="D84" s="1" t="s">
        <v>1341</v>
      </c>
      <c r="E84" s="1" t="s">
        <v>1342</v>
      </c>
      <c r="F84" s="10">
        <v>44666</v>
      </c>
      <c r="G84">
        <v>188804</v>
      </c>
      <c r="H84">
        <v>42</v>
      </c>
      <c r="I84" s="1" t="s">
        <v>12717</v>
      </c>
      <c r="J84" s="11">
        <v>44722.112071759257</v>
      </c>
      <c r="K84" s="1" t="s">
        <v>761</v>
      </c>
      <c r="L84" s="1">
        <f>0.461</f>
        <v>0.46100000000000002</v>
      </c>
      <c r="M84" s="1">
        <f>0.867</f>
        <v>0.86699999999999999</v>
      </c>
      <c r="N84">
        <v>7</v>
      </c>
      <c r="O84" s="1">
        <v>-3.65</v>
      </c>
      <c r="P84">
        <f>0</f>
        <v>0</v>
      </c>
      <c r="Q84" s="1" t="b">
        <f>0=588</f>
        <v>0</v>
      </c>
      <c r="R84" s="1" t="b">
        <f>0=116</f>
        <v>0</v>
      </c>
      <c r="S84" s="1" t="b">
        <f>0=0=495</f>
        <v>0</v>
      </c>
      <c r="T84" s="1">
        <f>0.354</f>
        <v>0.35399999999999998</v>
      </c>
      <c r="U84" s="1" t="b">
        <f>0=536</f>
        <v>0</v>
      </c>
      <c r="V84" s="1" t="s">
        <v>13070</v>
      </c>
      <c r="W84">
        <v>4</v>
      </c>
    </row>
    <row r="85" spans="1:23" x14ac:dyDescent="0.25">
      <c r="A85" s="1" t="s">
        <v>12126</v>
      </c>
      <c r="B85" s="1" t="s">
        <v>12127</v>
      </c>
      <c r="C85" s="1" t="s">
        <v>650</v>
      </c>
      <c r="D85" s="1" t="s">
        <v>650</v>
      </c>
      <c r="E85" s="1" t="s">
        <v>651</v>
      </c>
      <c r="F85" s="10">
        <v>41764</v>
      </c>
      <c r="G85">
        <v>275200</v>
      </c>
      <c r="H85">
        <v>48</v>
      </c>
      <c r="I85" s="1" t="s">
        <v>12717</v>
      </c>
      <c r="J85" s="11">
        <v>44722.112071759257</v>
      </c>
      <c r="K85" s="1" t="s">
        <v>632</v>
      </c>
      <c r="L85" s="1">
        <f>0.567</f>
        <v>0.56699999999999995</v>
      </c>
      <c r="M85" s="1">
        <f>0.978</f>
        <v>0.97799999999999998</v>
      </c>
      <c r="N85">
        <v>2</v>
      </c>
      <c r="O85" s="1">
        <v>-1.7669999999999999</v>
      </c>
      <c r="P85">
        <v>1</v>
      </c>
      <c r="Q85" s="1">
        <f>0.125</f>
        <v>0.125</v>
      </c>
      <c r="R85" s="1" t="b">
        <f>0=0=42</f>
        <v>0</v>
      </c>
      <c r="S85" s="1" t="b">
        <f>0=0=0=0=0=297</f>
        <v>0</v>
      </c>
      <c r="T85" s="1">
        <f>0.117</f>
        <v>0.11700000000000001</v>
      </c>
      <c r="U85" s="1" t="b">
        <f>0.4=7</f>
        <v>0</v>
      </c>
      <c r="V85" s="1" t="s">
        <v>12468</v>
      </c>
      <c r="W85">
        <v>4</v>
      </c>
    </row>
    <row r="86" spans="1:23" x14ac:dyDescent="0.25">
      <c r="A86" s="1" t="s">
        <v>12081</v>
      </c>
      <c r="B86" s="1" t="s">
        <v>12082</v>
      </c>
      <c r="C86" s="1" t="s">
        <v>611</v>
      </c>
      <c r="D86" s="1" t="s">
        <v>12074</v>
      </c>
      <c r="E86" s="1" t="s">
        <v>612</v>
      </c>
      <c r="F86" s="10">
        <v>43161</v>
      </c>
      <c r="G86">
        <v>268800</v>
      </c>
      <c r="H86">
        <v>57</v>
      </c>
      <c r="I86" s="1" t="s">
        <v>12717</v>
      </c>
      <c r="J86" s="11">
        <v>44722.112071759257</v>
      </c>
      <c r="K86" s="1" t="s">
        <v>600</v>
      </c>
      <c r="L86" s="1">
        <f>0.477</f>
        <v>0.47699999999999998</v>
      </c>
      <c r="M86" s="1">
        <f>0.957</f>
        <v>0.95699999999999996</v>
      </c>
      <c r="N86">
        <v>6</v>
      </c>
      <c r="O86" s="1">
        <v>-3.468</v>
      </c>
      <c r="P86">
        <f>0</f>
        <v>0</v>
      </c>
      <c r="Q86" s="1">
        <f>0.26</f>
        <v>0.26</v>
      </c>
      <c r="R86" s="1" t="b">
        <f>0=0=877</f>
        <v>0</v>
      </c>
      <c r="S86" s="1" t="b">
        <f>0=496</f>
        <v>0</v>
      </c>
      <c r="T86" s="1" t="b">
        <f>0.3=4</f>
        <v>0</v>
      </c>
      <c r="U86" s="1">
        <f>0.117</f>
        <v>0.11700000000000001</v>
      </c>
      <c r="V86" s="1" t="s">
        <v>12454</v>
      </c>
      <c r="W86">
        <v>4</v>
      </c>
    </row>
    <row r="87" spans="1:23" x14ac:dyDescent="0.25">
      <c r="A87" s="1" t="s">
        <v>12885</v>
      </c>
      <c r="B87" s="1" t="s">
        <v>12192</v>
      </c>
      <c r="C87" s="1" t="s">
        <v>1343</v>
      </c>
      <c r="D87" s="1" t="s">
        <v>12886</v>
      </c>
      <c r="E87" s="1" t="s">
        <v>717</v>
      </c>
      <c r="F87" s="10">
        <v>42430</v>
      </c>
      <c r="G87">
        <v>223050</v>
      </c>
      <c r="H87">
        <v>48</v>
      </c>
      <c r="I87" s="1" t="s">
        <v>12717</v>
      </c>
      <c r="J87" s="11">
        <v>44722.112071759257</v>
      </c>
      <c r="K87" s="1" t="s">
        <v>718</v>
      </c>
      <c r="L87" s="1">
        <f>0.512</f>
        <v>0.51200000000000001</v>
      </c>
      <c r="M87" s="1">
        <f>0.892</f>
        <v>0.89200000000000002</v>
      </c>
      <c r="N87">
        <v>3</v>
      </c>
      <c r="O87" s="1">
        <v>-3.4889999999999999</v>
      </c>
      <c r="P87">
        <v>1</v>
      </c>
      <c r="Q87" s="1" t="b">
        <f>0=324</f>
        <v>0</v>
      </c>
      <c r="R87" s="1" t="b">
        <f>0=0=326</f>
        <v>0</v>
      </c>
      <c r="S87" s="1">
        <f>0</f>
        <v>0</v>
      </c>
      <c r="T87" s="1">
        <f>0.195</f>
        <v>0.19500000000000001</v>
      </c>
      <c r="U87" s="1">
        <f>0.445</f>
        <v>0.44500000000000001</v>
      </c>
      <c r="V87" s="1">
        <v>149.982</v>
      </c>
      <c r="W87">
        <v>4</v>
      </c>
    </row>
    <row r="88" spans="1:23" x14ac:dyDescent="0.25">
      <c r="A88" s="1" t="s">
        <v>12887</v>
      </c>
      <c r="B88" s="1" t="s">
        <v>12888</v>
      </c>
      <c r="C88" s="1" t="s">
        <v>1344</v>
      </c>
      <c r="D88" s="1" t="s">
        <v>1344</v>
      </c>
      <c r="E88" s="1" t="s">
        <v>1345</v>
      </c>
      <c r="F88" s="10">
        <v>44575</v>
      </c>
      <c r="G88">
        <v>211400</v>
      </c>
      <c r="H88">
        <v>42</v>
      </c>
      <c r="I88" s="1" t="s">
        <v>12717</v>
      </c>
      <c r="J88" s="11">
        <v>44722.112071759257</v>
      </c>
      <c r="K88" s="1" t="s">
        <v>503</v>
      </c>
      <c r="L88" s="1" t="b">
        <f>0.6=6</f>
        <v>0</v>
      </c>
      <c r="M88" s="1">
        <f>0.893</f>
        <v>0.89300000000000002</v>
      </c>
      <c r="N88">
        <v>3</v>
      </c>
      <c r="O88" s="1">
        <v>-4.8380000000000001</v>
      </c>
      <c r="P88">
        <v>1</v>
      </c>
      <c r="Q88" s="1" t="b">
        <f>0=468</f>
        <v>0</v>
      </c>
      <c r="R88" s="1" t="b">
        <f>0=0=676</f>
        <v>0</v>
      </c>
      <c r="S88" s="1" t="b">
        <f>0=464</f>
        <v>0</v>
      </c>
      <c r="T88" s="1" t="b">
        <f>0=642</f>
        <v>0</v>
      </c>
      <c r="U88" s="1">
        <f>0.154</f>
        <v>0.154</v>
      </c>
      <c r="V88" s="1">
        <v>149.988</v>
      </c>
      <c r="W88">
        <v>4</v>
      </c>
    </row>
    <row r="89" spans="1:23" x14ac:dyDescent="0.25">
      <c r="A89" s="1" t="s">
        <v>12889</v>
      </c>
      <c r="B89" s="1" t="s">
        <v>12834</v>
      </c>
      <c r="C89" s="1" t="s">
        <v>1346</v>
      </c>
      <c r="D89" s="1" t="s">
        <v>12890</v>
      </c>
      <c r="E89" s="1" t="s">
        <v>1296</v>
      </c>
      <c r="F89" s="10">
        <v>41218</v>
      </c>
      <c r="G89">
        <v>203037</v>
      </c>
      <c r="H89">
        <v>0</v>
      </c>
      <c r="I89" s="1" t="s">
        <v>12717</v>
      </c>
      <c r="J89" s="11">
        <v>44722.112071759257</v>
      </c>
      <c r="K89" s="1" t="s">
        <v>1297</v>
      </c>
      <c r="L89" s="1">
        <f>0.544</f>
        <v>0.54400000000000004</v>
      </c>
      <c r="M89" s="1">
        <f>0.873</f>
        <v>0.873</v>
      </c>
      <c r="N89">
        <v>1</v>
      </c>
      <c r="O89" s="1">
        <v>-6.8109999999999999</v>
      </c>
      <c r="P89">
        <f>0</f>
        <v>0</v>
      </c>
      <c r="Q89" s="1" t="b">
        <f>0=348</f>
        <v>0</v>
      </c>
      <c r="R89" s="1">
        <f>0.141</f>
        <v>0.14099999999999999</v>
      </c>
      <c r="S89" s="1">
        <f>0.146</f>
        <v>0.14599999999999999</v>
      </c>
      <c r="T89" s="1" t="b">
        <f>0=9</f>
        <v>0</v>
      </c>
      <c r="U89" s="1">
        <f>0.658</f>
        <v>0.65800000000000003</v>
      </c>
      <c r="V89" s="1" t="s">
        <v>13071</v>
      </c>
      <c r="W89">
        <v>4</v>
      </c>
    </row>
    <row r="90" spans="1:23" x14ac:dyDescent="0.25">
      <c r="A90" s="1" t="s">
        <v>12891</v>
      </c>
      <c r="B90" s="1" t="s">
        <v>12892</v>
      </c>
      <c r="C90" s="1" t="s">
        <v>1347</v>
      </c>
      <c r="D90" s="1" t="s">
        <v>1347</v>
      </c>
      <c r="E90" s="1" t="s">
        <v>1348</v>
      </c>
      <c r="F90" s="10">
        <v>44028</v>
      </c>
      <c r="G90">
        <v>208617</v>
      </c>
      <c r="H90">
        <v>42</v>
      </c>
      <c r="I90" s="1" t="s">
        <v>12717</v>
      </c>
      <c r="J90" s="11">
        <v>44722.112071759257</v>
      </c>
      <c r="K90" s="1" t="s">
        <v>1349</v>
      </c>
      <c r="L90" s="1">
        <f>0.545</f>
        <v>0.54500000000000004</v>
      </c>
      <c r="M90" s="1">
        <f>0.865</f>
        <v>0.86499999999999999</v>
      </c>
      <c r="N90">
        <f>0</f>
        <v>0</v>
      </c>
      <c r="O90" s="1">
        <v>-4.8940000000000001</v>
      </c>
      <c r="P90">
        <f>0</f>
        <v>0</v>
      </c>
      <c r="Q90" s="1" t="b">
        <f>0=5=2</f>
        <v>0</v>
      </c>
      <c r="R90" s="1" t="b">
        <f>0=0=448</f>
        <v>0</v>
      </c>
      <c r="S90" s="1">
        <f>0</f>
        <v>0</v>
      </c>
      <c r="T90" s="1" t="b">
        <f>0=657</f>
        <v>0</v>
      </c>
      <c r="U90" s="1">
        <f>0.237</f>
        <v>0.23699999999999999</v>
      </c>
      <c r="V90" s="1" t="s">
        <v>13072</v>
      </c>
      <c r="W90">
        <v>4</v>
      </c>
    </row>
    <row r="91" spans="1:23" x14ac:dyDescent="0.25">
      <c r="A91" s="1" t="s">
        <v>12893</v>
      </c>
      <c r="B91" s="1" t="s">
        <v>12894</v>
      </c>
      <c r="C91" s="1" t="s">
        <v>1350</v>
      </c>
      <c r="D91" s="1" t="s">
        <v>12895</v>
      </c>
      <c r="E91" s="1" t="s">
        <v>1351</v>
      </c>
      <c r="F91" s="10">
        <v>44036</v>
      </c>
      <c r="G91">
        <v>207369</v>
      </c>
      <c r="H91">
        <v>44</v>
      </c>
      <c r="I91" s="1" t="s">
        <v>12717</v>
      </c>
      <c r="J91" s="11">
        <v>44722.112071759257</v>
      </c>
      <c r="K91" s="1" t="s">
        <v>1352</v>
      </c>
      <c r="L91" s="1">
        <f>0.357</f>
        <v>0.35699999999999998</v>
      </c>
      <c r="M91" s="1">
        <f>0.871</f>
        <v>0.871</v>
      </c>
      <c r="N91">
        <v>1</v>
      </c>
      <c r="O91" s="1">
        <v>-3.6150000000000002</v>
      </c>
      <c r="P91">
        <v>1</v>
      </c>
      <c r="Q91" s="1" t="b">
        <f>0=399</f>
        <v>0</v>
      </c>
      <c r="R91" s="1" t="b">
        <f>0=0=0=679</f>
        <v>0</v>
      </c>
      <c r="S91" s="1">
        <f>0</f>
        <v>0</v>
      </c>
      <c r="T91" s="1" t="b">
        <f>0=483</f>
        <v>0</v>
      </c>
      <c r="U91" s="1">
        <f>0.312</f>
        <v>0.312</v>
      </c>
      <c r="V91" s="1">
        <v>154.94999999999999</v>
      </c>
      <c r="W91">
        <v>3</v>
      </c>
    </row>
    <row r="92" spans="1:23" x14ac:dyDescent="0.25">
      <c r="A92" s="1" t="s">
        <v>12896</v>
      </c>
      <c r="B92" s="1" t="s">
        <v>12897</v>
      </c>
      <c r="C92" s="1" t="s">
        <v>1353</v>
      </c>
      <c r="D92" s="1" t="s">
        <v>1353</v>
      </c>
      <c r="E92" s="1" t="s">
        <v>1354</v>
      </c>
      <c r="F92" s="10">
        <v>43325</v>
      </c>
      <c r="G92">
        <v>230400</v>
      </c>
      <c r="H92">
        <v>0</v>
      </c>
      <c r="I92" s="1" t="s">
        <v>12717</v>
      </c>
      <c r="J92" s="11">
        <v>44722.112071759257</v>
      </c>
      <c r="K92" s="1" t="s">
        <v>632</v>
      </c>
      <c r="L92" s="1">
        <f>0.44</f>
        <v>0.44</v>
      </c>
      <c r="M92" s="1">
        <f>0.898</f>
        <v>0.89800000000000002</v>
      </c>
      <c r="N92">
        <v>9</v>
      </c>
      <c r="O92" s="1">
        <v>-2.911</v>
      </c>
      <c r="P92">
        <f>0</f>
        <v>0</v>
      </c>
      <c r="Q92" s="1" t="b">
        <f>0=434</f>
        <v>0</v>
      </c>
      <c r="R92" s="1">
        <f>0.157</f>
        <v>0.157</v>
      </c>
      <c r="S92" s="1">
        <f>0</f>
        <v>0</v>
      </c>
      <c r="T92" s="1" t="b">
        <f>0=784</f>
        <v>0</v>
      </c>
      <c r="U92" s="1">
        <f>0.124</f>
        <v>0.124</v>
      </c>
      <c r="V92" s="1" t="s">
        <v>13073</v>
      </c>
      <c r="W92">
        <v>4</v>
      </c>
    </row>
    <row r="93" spans="1:23" x14ac:dyDescent="0.25">
      <c r="A93" s="1" t="s">
        <v>12257</v>
      </c>
      <c r="B93" s="1" t="s">
        <v>12258</v>
      </c>
      <c r="C93" s="1" t="s">
        <v>771</v>
      </c>
      <c r="D93" s="1" t="s">
        <v>12259</v>
      </c>
      <c r="E93" s="1" t="s">
        <v>772</v>
      </c>
      <c r="F93" s="10">
        <v>42923</v>
      </c>
      <c r="G93">
        <v>236000</v>
      </c>
      <c r="H93">
        <v>52</v>
      </c>
      <c r="I93" s="1" t="s">
        <v>12717</v>
      </c>
      <c r="J93" s="11">
        <v>44722.112071759257</v>
      </c>
      <c r="K93" s="1" t="s">
        <v>773</v>
      </c>
      <c r="L93" s="1">
        <f>0.276</f>
        <v>0.27600000000000002</v>
      </c>
      <c r="M93" s="1">
        <f>0.942</f>
        <v>0.94199999999999995</v>
      </c>
      <c r="N93">
        <v>11</v>
      </c>
      <c r="O93" s="1">
        <v>-5.8819999999999997</v>
      </c>
      <c r="P93">
        <f>0</f>
        <v>0</v>
      </c>
      <c r="Q93" s="1">
        <f>0.172</f>
        <v>0.17199999999999999</v>
      </c>
      <c r="R93" s="1" t="b">
        <f>0=0=351</f>
        <v>0</v>
      </c>
      <c r="S93" s="1" t="b">
        <f>0=511</f>
        <v>0</v>
      </c>
      <c r="T93" s="1">
        <f>0.454</f>
        <v>0.45400000000000001</v>
      </c>
      <c r="U93" s="1" t="b">
        <f>0=5=9</f>
        <v>0</v>
      </c>
      <c r="V93" s="1">
        <v>149.982</v>
      </c>
      <c r="W93">
        <v>4</v>
      </c>
    </row>
    <row r="94" spans="1:23" x14ac:dyDescent="0.25">
      <c r="A94" s="1" t="s">
        <v>12898</v>
      </c>
      <c r="B94" s="1" t="s">
        <v>12899</v>
      </c>
      <c r="C94" s="1" t="s">
        <v>1355</v>
      </c>
      <c r="D94" s="1" t="s">
        <v>1355</v>
      </c>
      <c r="E94" s="1" t="s">
        <v>1356</v>
      </c>
      <c r="F94" s="10">
        <v>43668</v>
      </c>
      <c r="G94">
        <v>181846</v>
      </c>
      <c r="H94">
        <v>46</v>
      </c>
      <c r="I94" s="1" t="s">
        <v>12717</v>
      </c>
      <c r="J94" s="11">
        <v>44722.112071759257</v>
      </c>
      <c r="K94" s="1" t="s">
        <v>1357</v>
      </c>
      <c r="L94" s="1">
        <f>0.697</f>
        <v>0.69699999999999995</v>
      </c>
      <c r="M94" s="1">
        <f>0.966</f>
        <v>0.96599999999999997</v>
      </c>
      <c r="N94">
        <v>8</v>
      </c>
      <c r="O94" s="1">
        <v>-3.3959999999999999</v>
      </c>
      <c r="P94">
        <v>1</v>
      </c>
      <c r="Q94" s="1">
        <f>0.119</f>
        <v>0.11899999999999999</v>
      </c>
      <c r="R94" s="1" t="b">
        <f>0=0=0=652</f>
        <v>0</v>
      </c>
      <c r="S94" s="1" t="b">
        <f>0=672</f>
        <v>0</v>
      </c>
      <c r="T94" s="1" t="b">
        <f>0.1=6</f>
        <v>0</v>
      </c>
      <c r="U94" s="1">
        <f>0.353</f>
        <v>0.35299999999999998</v>
      </c>
      <c r="V94" s="1" t="s">
        <v>13074</v>
      </c>
      <c r="W94">
        <v>4</v>
      </c>
    </row>
    <row r="95" spans="1:23" x14ac:dyDescent="0.25">
      <c r="A95" s="1" t="s">
        <v>12900</v>
      </c>
      <c r="B95" s="1" t="s">
        <v>12901</v>
      </c>
      <c r="C95" s="1" t="s">
        <v>1358</v>
      </c>
      <c r="D95" s="1" t="s">
        <v>12902</v>
      </c>
      <c r="E95" s="1" t="s">
        <v>1359</v>
      </c>
      <c r="F95" s="10">
        <v>43504</v>
      </c>
      <c r="G95">
        <v>212804</v>
      </c>
      <c r="H95">
        <v>49</v>
      </c>
      <c r="I95" s="1" t="s">
        <v>12717</v>
      </c>
      <c r="J95" s="11">
        <v>44722.112071759257</v>
      </c>
      <c r="K95" s="1" t="s">
        <v>1289</v>
      </c>
      <c r="L95" s="1">
        <f>0.312</f>
        <v>0.312</v>
      </c>
      <c r="M95" s="1">
        <f>0.813</f>
        <v>0.81299999999999994</v>
      </c>
      <c r="N95">
        <v>3</v>
      </c>
      <c r="O95" s="1">
        <v>-6.4809999999999999</v>
      </c>
      <c r="P95">
        <v>1</v>
      </c>
      <c r="Q95" s="1" t="b">
        <f>0=395</f>
        <v>0</v>
      </c>
      <c r="R95" s="1" t="b">
        <f>0=6=9</f>
        <v>0</v>
      </c>
      <c r="S95" s="1" t="b">
        <f>0=124</f>
        <v>0</v>
      </c>
      <c r="T95" s="1">
        <f>0.4</f>
        <v>0.4</v>
      </c>
      <c r="U95" s="1" t="b">
        <f>0.2=2</f>
        <v>0</v>
      </c>
      <c r="V95" s="1" t="s">
        <v>13075</v>
      </c>
      <c r="W95">
        <v>4</v>
      </c>
    </row>
    <row r="96" spans="1:23" x14ac:dyDescent="0.25">
      <c r="A96" s="1" t="s">
        <v>12903</v>
      </c>
      <c r="B96" s="1" t="s">
        <v>12771</v>
      </c>
      <c r="C96" s="1" t="s">
        <v>1360</v>
      </c>
      <c r="D96" s="1" t="s">
        <v>12904</v>
      </c>
      <c r="E96" s="1" t="s">
        <v>1231</v>
      </c>
      <c r="F96" s="10">
        <v>40081</v>
      </c>
      <c r="G96">
        <v>280895</v>
      </c>
      <c r="H96">
        <v>47</v>
      </c>
      <c r="I96" s="1" t="s">
        <v>12717</v>
      </c>
      <c r="J96" s="11">
        <v>44722.112071759257</v>
      </c>
      <c r="K96" s="1" t="s">
        <v>632</v>
      </c>
      <c r="L96" s="1" t="b">
        <f>0.6=2</f>
        <v>0</v>
      </c>
      <c r="M96" s="1">
        <f>0.875</f>
        <v>0.875</v>
      </c>
      <c r="N96" t="s">
        <v>11825</v>
      </c>
      <c r="O96" s="1">
        <v>-5.8559999999999999</v>
      </c>
      <c r="P96">
        <f>0</f>
        <v>0</v>
      </c>
      <c r="Q96" s="1" t="b">
        <f>0=387</f>
        <v>0</v>
      </c>
      <c r="R96" s="1" t="b">
        <f>0=0=228</f>
        <v>0</v>
      </c>
      <c r="S96" s="1" t="b">
        <f>0.9=6</f>
        <v>0</v>
      </c>
      <c r="T96" s="1">
        <f>0.395</f>
        <v>0.39500000000000002</v>
      </c>
      <c r="U96" s="1">
        <f>0.218</f>
        <v>0.218</v>
      </c>
      <c r="V96" s="1" t="s">
        <v>13076</v>
      </c>
      <c r="W96">
        <v>4</v>
      </c>
    </row>
    <row r="97" spans="1:23" x14ac:dyDescent="0.25">
      <c r="A97" s="1" t="s">
        <v>12905</v>
      </c>
      <c r="B97" s="1" t="s">
        <v>12073</v>
      </c>
      <c r="C97" s="1" t="s">
        <v>1361</v>
      </c>
      <c r="D97" s="1" t="s">
        <v>12906</v>
      </c>
      <c r="E97" s="1" t="s">
        <v>605</v>
      </c>
      <c r="F97" s="10">
        <v>40924</v>
      </c>
      <c r="G97">
        <v>358400</v>
      </c>
      <c r="H97">
        <v>42</v>
      </c>
      <c r="I97" s="1" t="s">
        <v>12717</v>
      </c>
      <c r="J97" s="11">
        <v>44722.112071759257</v>
      </c>
      <c r="K97" s="1" t="s">
        <v>600</v>
      </c>
      <c r="L97" s="1">
        <f>0.468</f>
        <v>0.46800000000000003</v>
      </c>
      <c r="M97" s="1">
        <f>0.942</f>
        <v>0.94199999999999995</v>
      </c>
      <c r="N97">
        <v>6</v>
      </c>
      <c r="O97" s="1">
        <v>-2.6459999999999999</v>
      </c>
      <c r="P97">
        <f>0</f>
        <v>0</v>
      </c>
      <c r="Q97" s="1" t="b">
        <f>0=913</f>
        <v>0</v>
      </c>
      <c r="R97" s="1" t="b">
        <f>0=723</f>
        <v>0</v>
      </c>
      <c r="S97" s="1" t="b">
        <f>0=0=175</f>
        <v>0</v>
      </c>
      <c r="T97" s="1" t="b">
        <f>0=86</f>
        <v>0</v>
      </c>
      <c r="U97" s="1">
        <f>0.294</f>
        <v>0.29399999999999998</v>
      </c>
      <c r="V97" s="1" t="s">
        <v>13070</v>
      </c>
      <c r="W97">
        <v>4</v>
      </c>
    </row>
    <row r="98" spans="1:23" x14ac:dyDescent="0.25">
      <c r="A98" s="1" t="s">
        <v>12907</v>
      </c>
      <c r="B98" s="1" t="s">
        <v>12908</v>
      </c>
      <c r="C98" s="1" t="s">
        <v>1362</v>
      </c>
      <c r="D98" s="1" t="s">
        <v>12405</v>
      </c>
      <c r="E98" s="1" t="s">
        <v>1363</v>
      </c>
      <c r="F98" s="10">
        <v>43864</v>
      </c>
      <c r="G98">
        <v>182079</v>
      </c>
      <c r="H98">
        <v>48</v>
      </c>
      <c r="I98" s="1" t="s">
        <v>12717</v>
      </c>
      <c r="J98" s="11">
        <v>44722.112071759257</v>
      </c>
      <c r="K98" s="1" t="s">
        <v>632</v>
      </c>
      <c r="L98" s="1">
        <f>0.53</f>
        <v>0.53</v>
      </c>
      <c r="M98" s="1">
        <f>0.866</f>
        <v>0.86599999999999999</v>
      </c>
      <c r="N98">
        <f>0</f>
        <v>0</v>
      </c>
      <c r="O98" s="1" t="s">
        <v>13077</v>
      </c>
      <c r="P98">
        <v>1</v>
      </c>
      <c r="Q98" s="1" t="b">
        <f>0=35</f>
        <v>0</v>
      </c>
      <c r="R98" s="1" t="b">
        <f>0=0=9=9</f>
        <v>0</v>
      </c>
      <c r="S98" s="1" t="b">
        <f>0=0=142</f>
        <v>0</v>
      </c>
      <c r="T98" s="1">
        <f>0.352</f>
        <v>0.35199999999999998</v>
      </c>
      <c r="U98" s="1">
        <f>0.377</f>
        <v>0.377</v>
      </c>
      <c r="V98" s="1" t="s">
        <v>13078</v>
      </c>
      <c r="W98">
        <v>4</v>
      </c>
    </row>
    <row r="99" spans="1:23" x14ac:dyDescent="0.25">
      <c r="A99" s="1" t="s">
        <v>12909</v>
      </c>
      <c r="B99" s="1" t="s">
        <v>12137</v>
      </c>
      <c r="C99" s="1" t="s">
        <v>1364</v>
      </c>
      <c r="D99" s="1" t="s">
        <v>12405</v>
      </c>
      <c r="E99" s="1" t="s">
        <v>661</v>
      </c>
      <c r="F99" s="10">
        <v>43864</v>
      </c>
      <c r="G99">
        <v>437450</v>
      </c>
      <c r="H99">
        <v>41</v>
      </c>
      <c r="I99" s="1" t="s">
        <v>12717</v>
      </c>
      <c r="J99" s="11">
        <v>44722.112071759257</v>
      </c>
      <c r="K99" s="1" t="s">
        <v>600</v>
      </c>
      <c r="L99" s="1">
        <f>0.489</f>
        <v>0.48899999999999999</v>
      </c>
      <c r="M99" s="1">
        <f>0.875</f>
        <v>0.875</v>
      </c>
      <c r="N99">
        <v>7</v>
      </c>
      <c r="O99" s="1">
        <v>-5.4160000000000004</v>
      </c>
      <c r="P99">
        <v>1</v>
      </c>
      <c r="Q99" s="1">
        <f>0.112</f>
        <v>0.112</v>
      </c>
      <c r="R99" s="1" t="b">
        <f>0=0=3=6</f>
        <v>0</v>
      </c>
      <c r="S99" s="1" t="b">
        <f>0=5=2</f>
        <v>0</v>
      </c>
      <c r="T99" s="1" t="b">
        <f>0=647</f>
        <v>0</v>
      </c>
      <c r="U99" s="1">
        <f>0.188</f>
        <v>0.188</v>
      </c>
      <c r="V99" s="1">
        <v>149.98400000000001</v>
      </c>
      <c r="W99">
        <v>4</v>
      </c>
    </row>
    <row r="100" spans="1:23" x14ac:dyDescent="0.25">
      <c r="A100" s="1" t="s">
        <v>12910</v>
      </c>
      <c r="B100" s="1" t="s">
        <v>12847</v>
      </c>
      <c r="C100" s="1" t="s">
        <v>1306</v>
      </c>
      <c r="D100" s="1" t="s">
        <v>12405</v>
      </c>
      <c r="E100" s="1" t="s">
        <v>1307</v>
      </c>
      <c r="F100" s="10">
        <v>43864</v>
      </c>
      <c r="G100">
        <v>192500</v>
      </c>
      <c r="H100">
        <v>41</v>
      </c>
      <c r="I100" s="1" t="s">
        <v>12717</v>
      </c>
      <c r="J100" s="11">
        <v>44722.112071759257</v>
      </c>
      <c r="K100" s="1" t="s">
        <v>632</v>
      </c>
      <c r="L100" s="1">
        <f>0.552</f>
        <v>0.55200000000000005</v>
      </c>
      <c r="M100" s="1">
        <f>0.594</f>
        <v>0.59399999999999997</v>
      </c>
      <c r="N100">
        <v>2</v>
      </c>
      <c r="O100" s="1">
        <v>-6.4489999999999998</v>
      </c>
      <c r="P100">
        <v>1</v>
      </c>
      <c r="Q100" s="1" t="b">
        <f>0=3=6</f>
        <v>0</v>
      </c>
      <c r="R100" s="1">
        <f>0.298</f>
        <v>0.29799999999999999</v>
      </c>
      <c r="S100" s="1" t="b">
        <f>0=0=0=0=617</f>
        <v>0</v>
      </c>
      <c r="T100" s="1">
        <f>0.262</f>
        <v>0.26200000000000001</v>
      </c>
      <c r="U100" s="1">
        <f>0.287</f>
        <v>0.28699999999999998</v>
      </c>
      <c r="V100" s="1" t="s">
        <v>13058</v>
      </c>
      <c r="W100">
        <v>4</v>
      </c>
    </row>
    <row r="101" spans="1:23" x14ac:dyDescent="0.25">
      <c r="A101" s="1" t="s">
        <v>12911</v>
      </c>
      <c r="B101" s="1" t="s">
        <v>12137</v>
      </c>
      <c r="C101" s="1" t="s">
        <v>1365</v>
      </c>
      <c r="D101" s="1" t="s">
        <v>12912</v>
      </c>
      <c r="E101" s="1" t="s">
        <v>661</v>
      </c>
      <c r="F101" s="10">
        <v>39888</v>
      </c>
      <c r="G101">
        <v>354091</v>
      </c>
      <c r="H101">
        <v>48</v>
      </c>
      <c r="I101" s="1" t="s">
        <v>12717</v>
      </c>
      <c r="J101" s="11">
        <v>44722.112071759257</v>
      </c>
      <c r="K101" s="1" t="s">
        <v>600</v>
      </c>
      <c r="L101" s="1" t="b">
        <f>0.7=3</f>
        <v>0</v>
      </c>
      <c r="M101" s="1">
        <f>0.994</f>
        <v>0.99399999999999999</v>
      </c>
      <c r="N101">
        <v>9</v>
      </c>
      <c r="O101" s="1">
        <v>-6.3760000000000003</v>
      </c>
      <c r="P101">
        <f>0</f>
        <v>0</v>
      </c>
      <c r="Q101" s="1">
        <f>0.193</f>
        <v>0.193</v>
      </c>
      <c r="R101" s="1" t="b">
        <f>0=355</f>
        <v>0</v>
      </c>
      <c r="S101" s="1">
        <f>0.727</f>
        <v>0.72699999999999998</v>
      </c>
      <c r="T101" s="1">
        <f>0.864</f>
        <v>0.86399999999999999</v>
      </c>
      <c r="U101" s="1" t="b">
        <f>0=733</f>
        <v>0</v>
      </c>
      <c r="V101" s="1" t="s">
        <v>13079</v>
      </c>
      <c r="W101">
        <v>4</v>
      </c>
    </row>
    <row r="102" spans="1:23" x14ac:dyDescent="0.25">
      <c r="A102" s="1" t="s">
        <v>12913</v>
      </c>
      <c r="B102" s="1" t="s">
        <v>12292</v>
      </c>
      <c r="C102" s="1" t="s">
        <v>101</v>
      </c>
      <c r="D102" s="1" t="s">
        <v>101</v>
      </c>
      <c r="E102" s="1" t="s">
        <v>803</v>
      </c>
      <c r="F102" s="10">
        <v>43252</v>
      </c>
      <c r="G102">
        <v>289548</v>
      </c>
      <c r="H102">
        <v>60</v>
      </c>
      <c r="I102" s="1" t="s">
        <v>12717</v>
      </c>
      <c r="J102" s="11">
        <v>44722.112071759257</v>
      </c>
      <c r="K102" s="1" t="s">
        <v>804</v>
      </c>
      <c r="L102" s="1">
        <f>0.436</f>
        <v>0.436</v>
      </c>
      <c r="M102" s="1">
        <f>0.869</f>
        <v>0.86899999999999999</v>
      </c>
      <c r="N102">
        <v>4</v>
      </c>
      <c r="O102" s="1">
        <v>-2.4729999999999999</v>
      </c>
      <c r="P102">
        <f>0</f>
        <v>0</v>
      </c>
      <c r="Q102" s="1" t="b">
        <f>0=615</f>
        <v>0</v>
      </c>
      <c r="R102" s="1" t="b">
        <f>0=542</f>
        <v>0</v>
      </c>
      <c r="S102" s="1">
        <f>0</f>
        <v>0</v>
      </c>
      <c r="T102" s="1" t="b">
        <f>0=979</f>
        <v>0</v>
      </c>
      <c r="U102" s="1" t="b">
        <f>0=383</f>
        <v>0</v>
      </c>
      <c r="V102" s="1" t="s">
        <v>12513</v>
      </c>
      <c r="W102">
        <v>4</v>
      </c>
    </row>
    <row r="103" spans="1:23" x14ac:dyDescent="0.25">
      <c r="A103" s="1" t="s">
        <v>12914</v>
      </c>
      <c r="B103" s="1" t="s">
        <v>12915</v>
      </c>
      <c r="C103" s="1" t="s">
        <v>1366</v>
      </c>
      <c r="D103" s="1" t="s">
        <v>1366</v>
      </c>
      <c r="E103" s="1" t="s">
        <v>1367</v>
      </c>
      <c r="F103" s="10">
        <v>44699</v>
      </c>
      <c r="G103">
        <v>226009</v>
      </c>
      <c r="H103">
        <v>50</v>
      </c>
      <c r="I103" s="1" t="s">
        <v>12717</v>
      </c>
      <c r="J103" s="11">
        <v>44722.112071759257</v>
      </c>
      <c r="K103" s="1" t="s">
        <v>1368</v>
      </c>
      <c r="L103" s="1">
        <f>0.364</f>
        <v>0.36399999999999999</v>
      </c>
      <c r="M103" s="1">
        <f>0.964</f>
        <v>0.96399999999999997</v>
      </c>
      <c r="N103" t="s">
        <v>11825</v>
      </c>
      <c r="O103" s="1">
        <v>-2.9319999999999999</v>
      </c>
      <c r="P103">
        <f>0</f>
        <v>0</v>
      </c>
      <c r="Q103" s="1">
        <f>0.431</f>
        <v>0.43099999999999999</v>
      </c>
      <c r="R103" s="1" t="b">
        <f>0=139</f>
        <v>0</v>
      </c>
      <c r="S103" s="1">
        <f>0</f>
        <v>0</v>
      </c>
      <c r="T103" s="1">
        <f>0.583</f>
        <v>0.58299999999999996</v>
      </c>
      <c r="U103" s="1">
        <f>0.177</f>
        <v>0.17699999999999999</v>
      </c>
      <c r="V103" s="1" t="s">
        <v>13080</v>
      </c>
      <c r="W103">
        <v>4</v>
      </c>
    </row>
    <row r="104" spans="1:23" x14ac:dyDescent="0.25">
      <c r="A104" s="1" t="s">
        <v>12916</v>
      </c>
      <c r="B104" s="1" t="s">
        <v>12917</v>
      </c>
      <c r="C104" s="1" t="s">
        <v>1369</v>
      </c>
      <c r="D104" s="1" t="s">
        <v>1369</v>
      </c>
      <c r="E104" s="1" t="s">
        <v>1370</v>
      </c>
      <c r="F104" s="10">
        <v>44694</v>
      </c>
      <c r="G104">
        <v>261182</v>
      </c>
      <c r="H104">
        <v>61</v>
      </c>
      <c r="I104" s="1" t="s">
        <v>12717</v>
      </c>
      <c r="J104" s="11">
        <v>44722.112071759257</v>
      </c>
      <c r="K104" s="1" t="s">
        <v>1371</v>
      </c>
      <c r="L104" s="1">
        <f>0.546</f>
        <v>0.54600000000000004</v>
      </c>
      <c r="M104" s="1">
        <f>0.961</f>
        <v>0.96099999999999997</v>
      </c>
      <c r="N104">
        <v>6</v>
      </c>
      <c r="O104" s="1">
        <v>-3.5739999999999998</v>
      </c>
      <c r="P104">
        <f>0</f>
        <v>0</v>
      </c>
      <c r="Q104" s="1" t="b">
        <f>0=884</f>
        <v>0</v>
      </c>
      <c r="R104" s="1" t="b">
        <f>0=119</f>
        <v>0</v>
      </c>
      <c r="S104" s="1" t="b">
        <f>0=0=0=0=911</f>
        <v>0</v>
      </c>
      <c r="T104" s="1">
        <f>0.37</f>
        <v>0.37</v>
      </c>
      <c r="U104" s="1">
        <f>0.492</f>
        <v>0.49199999999999999</v>
      </c>
      <c r="V104" s="1" t="s">
        <v>13081</v>
      </c>
      <c r="W104">
        <v>4</v>
      </c>
    </row>
    <row r="105" spans="1:23" x14ac:dyDescent="0.25">
      <c r="A105" s="1" t="s">
        <v>12918</v>
      </c>
      <c r="B105" s="1" t="s">
        <v>12209</v>
      </c>
      <c r="C105" s="1" t="s">
        <v>1372</v>
      </c>
      <c r="D105" s="1" t="s">
        <v>1372</v>
      </c>
      <c r="E105" s="1" t="s">
        <v>728</v>
      </c>
      <c r="F105" s="10">
        <v>44302</v>
      </c>
      <c r="G105">
        <v>244645</v>
      </c>
      <c r="H105">
        <v>45</v>
      </c>
      <c r="I105" s="1" t="s">
        <v>12717</v>
      </c>
      <c r="J105" s="11">
        <v>44722.112071759257</v>
      </c>
      <c r="K105" s="1" t="s">
        <v>729</v>
      </c>
      <c r="L105" s="1">
        <f>0.544</f>
        <v>0.54400000000000004</v>
      </c>
      <c r="M105" s="1">
        <f>0.981</f>
        <v>0.98099999999999998</v>
      </c>
      <c r="N105">
        <v>1</v>
      </c>
      <c r="O105" s="1">
        <v>-2.5169999999999999</v>
      </c>
      <c r="P105">
        <v>1</v>
      </c>
      <c r="Q105" s="1" t="b">
        <f>0.1=7</f>
        <v>0</v>
      </c>
      <c r="R105" s="1" t="b">
        <f>0=0=598</f>
        <v>0</v>
      </c>
      <c r="S105" s="1" t="b">
        <f>0=0=0=0=517</f>
        <v>0</v>
      </c>
      <c r="T105" s="1" t="b">
        <f>0=751</f>
        <v>0</v>
      </c>
      <c r="U105" s="1">
        <f>0.318</f>
        <v>0.318</v>
      </c>
      <c r="V105" s="1" t="s">
        <v>13082</v>
      </c>
      <c r="W105">
        <v>4</v>
      </c>
    </row>
    <row r="106" spans="1:23" x14ac:dyDescent="0.25">
      <c r="A106" s="1" t="s">
        <v>12919</v>
      </c>
      <c r="B106" s="1" t="s">
        <v>12920</v>
      </c>
      <c r="C106" s="1" t="s">
        <v>1373</v>
      </c>
      <c r="D106" s="1" t="s">
        <v>1373</v>
      </c>
      <c r="E106" s="1" t="s">
        <v>1374</v>
      </c>
      <c r="F106" s="10">
        <v>44519</v>
      </c>
      <c r="G106">
        <v>230556</v>
      </c>
      <c r="H106">
        <v>50</v>
      </c>
      <c r="I106" s="1" t="s">
        <v>12717</v>
      </c>
      <c r="J106" s="11">
        <v>44722.112071759257</v>
      </c>
      <c r="K106" s="1" t="s">
        <v>572</v>
      </c>
      <c r="L106" s="1">
        <f>0.472</f>
        <v>0.47199999999999998</v>
      </c>
      <c r="M106" s="1">
        <f>0.944</f>
        <v>0.94399999999999995</v>
      </c>
      <c r="N106" t="s">
        <v>11825</v>
      </c>
      <c r="O106" s="1">
        <v>-2.5510000000000002</v>
      </c>
      <c r="P106">
        <f>0</f>
        <v>0</v>
      </c>
      <c r="Q106" s="1" t="b">
        <f>0=777</f>
        <v>0</v>
      </c>
      <c r="R106" s="1" t="b">
        <f>0=129</f>
        <v>0</v>
      </c>
      <c r="S106" s="1">
        <f>0</f>
        <v>0</v>
      </c>
      <c r="T106" s="1" t="b">
        <f>0.1=2</f>
        <v>0</v>
      </c>
      <c r="U106" s="1">
        <f>0.184</f>
        <v>0.184</v>
      </c>
      <c r="V106" s="1" t="s">
        <v>13083</v>
      </c>
      <c r="W106">
        <v>4</v>
      </c>
    </row>
    <row r="107" spans="1:23" x14ac:dyDescent="0.25">
      <c r="A107" s="1" t="s">
        <v>12921</v>
      </c>
      <c r="B107" s="1" t="s">
        <v>12922</v>
      </c>
      <c r="C107" s="1" t="s">
        <v>1375</v>
      </c>
      <c r="D107" s="1" t="s">
        <v>12923</v>
      </c>
      <c r="E107" s="1" t="s">
        <v>1376</v>
      </c>
      <c r="F107" s="10">
        <v>43725</v>
      </c>
      <c r="G107">
        <v>258004</v>
      </c>
      <c r="H107">
        <v>39</v>
      </c>
      <c r="I107" s="1" t="s">
        <v>12717</v>
      </c>
      <c r="J107" s="11">
        <v>44722.112071759257</v>
      </c>
      <c r="K107" s="1" t="s">
        <v>50</v>
      </c>
      <c r="L107" s="1" t="b">
        <f>0.5=9</f>
        <v>0</v>
      </c>
      <c r="M107" s="1">
        <f>0.851</f>
        <v>0.85099999999999998</v>
      </c>
      <c r="N107">
        <v>8</v>
      </c>
      <c r="O107" s="1">
        <v>-8.5619999999999994</v>
      </c>
      <c r="P107">
        <f>0</f>
        <v>0</v>
      </c>
      <c r="Q107" s="1" t="b">
        <f>0=518</f>
        <v>0</v>
      </c>
      <c r="R107" s="1" t="b">
        <f>0=499</f>
        <v>0</v>
      </c>
      <c r="S107" s="1">
        <f>0.774</f>
        <v>0.77400000000000002</v>
      </c>
      <c r="T107" s="1">
        <f>0.286</f>
        <v>0.28599999999999998</v>
      </c>
      <c r="U107" s="1" t="b">
        <f>0.5=5</f>
        <v>0</v>
      </c>
      <c r="V107" s="1">
        <v>149.98099999999999</v>
      </c>
      <c r="W107">
        <v>4</v>
      </c>
    </row>
    <row r="108" spans="1:23" x14ac:dyDescent="0.25">
      <c r="A108" s="1" t="s">
        <v>12924</v>
      </c>
      <c r="B108" s="1" t="s">
        <v>12925</v>
      </c>
      <c r="C108" s="1" t="s">
        <v>1377</v>
      </c>
      <c r="D108" s="1" t="s">
        <v>1377</v>
      </c>
      <c r="E108" s="1" t="s">
        <v>1378</v>
      </c>
      <c r="F108" s="10">
        <v>44666</v>
      </c>
      <c r="G108">
        <v>176000</v>
      </c>
      <c r="H108">
        <v>43</v>
      </c>
      <c r="I108" s="1" t="s">
        <v>12717</v>
      </c>
      <c r="J108" s="11">
        <v>44722.112071759257</v>
      </c>
      <c r="K108" s="1" t="s">
        <v>503</v>
      </c>
      <c r="L108" s="1">
        <f>0.466</f>
        <v>0.46600000000000003</v>
      </c>
      <c r="M108" s="1">
        <f>0.85</f>
        <v>0.85</v>
      </c>
      <c r="N108">
        <v>5</v>
      </c>
      <c r="O108" s="1">
        <v>-3.9849999999999999</v>
      </c>
      <c r="P108">
        <f>0</f>
        <v>0</v>
      </c>
      <c r="Q108" s="1" t="b">
        <f>0=525</f>
        <v>0</v>
      </c>
      <c r="R108" s="1" t="b">
        <f>0=0=39</f>
        <v>0</v>
      </c>
      <c r="S108" s="1" t="b">
        <f>0=0=0=112</f>
        <v>0</v>
      </c>
      <c r="T108" s="1">
        <f>0.167</f>
        <v>0.16700000000000001</v>
      </c>
      <c r="U108" s="1">
        <f>0.548</f>
        <v>0.54800000000000004</v>
      </c>
      <c r="V108" s="1">
        <v>149.99700000000001</v>
      </c>
      <c r="W108">
        <v>4</v>
      </c>
    </row>
    <row r="109" spans="1:23" x14ac:dyDescent="0.25">
      <c r="A109" s="1" t="s">
        <v>12926</v>
      </c>
      <c r="B109" s="1" t="s">
        <v>12768</v>
      </c>
      <c r="C109" s="1" t="s">
        <v>1379</v>
      </c>
      <c r="D109" s="1" t="s">
        <v>7576</v>
      </c>
      <c r="E109" s="1" t="s">
        <v>1229</v>
      </c>
      <c r="F109" s="10">
        <v>43678</v>
      </c>
      <c r="G109">
        <v>181156</v>
      </c>
      <c r="H109">
        <v>71</v>
      </c>
      <c r="I109" s="1" t="s">
        <v>12717</v>
      </c>
      <c r="J109" s="11">
        <v>44722.112071759257</v>
      </c>
      <c r="K109" s="1" t="s">
        <v>50</v>
      </c>
      <c r="L109" s="1">
        <f>0.435</f>
        <v>0.435</v>
      </c>
      <c r="M109" s="1">
        <f>0.543</f>
        <v>0.54300000000000004</v>
      </c>
      <c r="N109">
        <v>11</v>
      </c>
      <c r="O109" s="1">
        <v>-9.1329999999999991</v>
      </c>
      <c r="P109">
        <f>0</f>
        <v>0</v>
      </c>
      <c r="Q109" s="1" t="b">
        <f>0=489</f>
        <v>0</v>
      </c>
      <c r="R109" s="1" t="b">
        <f>0=7=8</f>
        <v>0</v>
      </c>
      <c r="S109" s="1" t="b">
        <f>0=0=0=0=569</f>
        <v>0</v>
      </c>
      <c r="T109" s="1">
        <f>0.27</f>
        <v>0.27</v>
      </c>
      <c r="U109" s="1" t="b">
        <f>0.2=5</f>
        <v>0</v>
      </c>
      <c r="V109" s="1">
        <v>154.136</v>
      </c>
      <c r="W109">
        <v>3</v>
      </c>
    </row>
    <row r="110" spans="1:23" x14ac:dyDescent="0.25">
      <c r="A110" s="1" t="s">
        <v>12927</v>
      </c>
      <c r="B110" s="1" t="s">
        <v>12928</v>
      </c>
      <c r="C110" s="1" t="s">
        <v>1380</v>
      </c>
      <c r="D110" s="1" t="s">
        <v>12405</v>
      </c>
      <c r="E110" s="1" t="s">
        <v>1381</v>
      </c>
      <c r="F110" s="10">
        <v>43864</v>
      </c>
      <c r="G110">
        <v>334554</v>
      </c>
      <c r="H110">
        <v>39</v>
      </c>
      <c r="I110" s="1" t="s">
        <v>12717</v>
      </c>
      <c r="J110" s="11">
        <v>44722.112071759257</v>
      </c>
      <c r="K110" s="1" t="s">
        <v>1223</v>
      </c>
      <c r="L110" s="1">
        <f>0.557</f>
        <v>0.55700000000000005</v>
      </c>
      <c r="M110" s="1">
        <f>0.925</f>
        <v>0.92500000000000004</v>
      </c>
      <c r="N110">
        <v>8</v>
      </c>
      <c r="O110" s="1">
        <v>-4.4249999999999998</v>
      </c>
      <c r="P110">
        <v>1</v>
      </c>
      <c r="Q110" s="1" t="b">
        <f>0=847</f>
        <v>0</v>
      </c>
      <c r="R110" s="1" t="b">
        <f>0=131</f>
        <v>0</v>
      </c>
      <c r="S110" s="1">
        <f>0.657</f>
        <v>0.65700000000000003</v>
      </c>
      <c r="T110" s="1">
        <f>0.366</f>
        <v>0.36599999999999999</v>
      </c>
      <c r="U110" s="1" t="b">
        <f>0=571</f>
        <v>0</v>
      </c>
      <c r="V110" s="1">
        <v>149.96600000000001</v>
      </c>
      <c r="W110">
        <v>4</v>
      </c>
    </row>
    <row r="111" spans="1:23" x14ac:dyDescent="0.25">
      <c r="A111" s="1" t="s">
        <v>12929</v>
      </c>
      <c r="B111" s="1" t="s">
        <v>12930</v>
      </c>
      <c r="C111" s="1" t="s">
        <v>1382</v>
      </c>
      <c r="D111" s="1" t="s">
        <v>12931</v>
      </c>
      <c r="E111" s="1" t="s">
        <v>1383</v>
      </c>
      <c r="F111" s="10">
        <v>44644</v>
      </c>
      <c r="G111">
        <v>186604</v>
      </c>
      <c r="H111">
        <v>49</v>
      </c>
      <c r="I111" s="1" t="s">
        <v>12717</v>
      </c>
      <c r="J111" s="11">
        <v>44722.112071759257</v>
      </c>
      <c r="K111" s="1" t="s">
        <v>632</v>
      </c>
      <c r="L111" s="1">
        <f>0.469</f>
        <v>0.46899999999999997</v>
      </c>
      <c r="M111" s="1">
        <f>0.92</f>
        <v>0.92</v>
      </c>
      <c r="N111">
        <v>4</v>
      </c>
      <c r="O111" s="1">
        <v>-3.9510000000000001</v>
      </c>
      <c r="P111">
        <f>0</f>
        <v>0</v>
      </c>
      <c r="Q111" s="1" t="b">
        <f>0=386</f>
        <v>0</v>
      </c>
      <c r="R111" s="1" t="b">
        <f>0=0=0=65</f>
        <v>0</v>
      </c>
      <c r="S111" s="1">
        <f>0</f>
        <v>0</v>
      </c>
      <c r="T111" s="1">
        <f>0.231</f>
        <v>0.23100000000000001</v>
      </c>
      <c r="U111" s="1">
        <f>0.187</f>
        <v>0.187</v>
      </c>
      <c r="V111" s="1" t="s">
        <v>13084</v>
      </c>
      <c r="W111">
        <v>4</v>
      </c>
    </row>
    <row r="112" spans="1:23" x14ac:dyDescent="0.25">
      <c r="A112" s="1" t="s">
        <v>12932</v>
      </c>
      <c r="B112" s="1" t="s">
        <v>12933</v>
      </c>
      <c r="C112" s="1" t="s">
        <v>1384</v>
      </c>
      <c r="D112" s="1" t="s">
        <v>1384</v>
      </c>
      <c r="E112" s="1" t="s">
        <v>1385</v>
      </c>
      <c r="F112" s="10">
        <v>44383</v>
      </c>
      <c r="G112">
        <v>176303</v>
      </c>
      <c r="H112">
        <v>45</v>
      </c>
      <c r="I112" s="1" t="s">
        <v>12717</v>
      </c>
      <c r="J112" s="11">
        <v>44722.112071759257</v>
      </c>
      <c r="K112" s="1" t="s">
        <v>1386</v>
      </c>
      <c r="L112" s="1">
        <f>0.478</f>
        <v>0.47799999999999998</v>
      </c>
      <c r="M112" s="1">
        <f>0.825</f>
        <v>0.82499999999999996</v>
      </c>
      <c r="N112">
        <v>1</v>
      </c>
      <c r="O112" s="1">
        <v>-4.2279999999999998</v>
      </c>
      <c r="P112">
        <v>1</v>
      </c>
      <c r="Q112" s="1" t="b">
        <f>0=552</f>
        <v>0</v>
      </c>
      <c r="R112" s="1" t="b">
        <f>0=867</f>
        <v>0</v>
      </c>
      <c r="S112" s="1" t="b">
        <f>0=0=0=483</f>
        <v>0</v>
      </c>
      <c r="T112" s="1" t="b">
        <f>0=894</f>
        <v>0</v>
      </c>
      <c r="U112" s="1">
        <f>0.2</f>
        <v>0.2</v>
      </c>
      <c r="V112" s="1">
        <v>169.947</v>
      </c>
      <c r="W112">
        <v>4</v>
      </c>
    </row>
    <row r="113" spans="1:23" x14ac:dyDescent="0.25">
      <c r="A113" s="1" t="s">
        <v>12934</v>
      </c>
      <c r="B113" s="1" t="s">
        <v>12935</v>
      </c>
      <c r="C113" s="1" t="s">
        <v>1387</v>
      </c>
      <c r="D113" s="1" t="s">
        <v>1387</v>
      </c>
      <c r="E113" s="1" t="s">
        <v>1388</v>
      </c>
      <c r="F113" s="10">
        <v>44477</v>
      </c>
      <c r="G113">
        <v>178838</v>
      </c>
      <c r="H113">
        <v>39</v>
      </c>
      <c r="I113" s="1" t="s">
        <v>12717</v>
      </c>
      <c r="J113" s="11">
        <v>44722.112071759257</v>
      </c>
      <c r="K113" s="1" t="s">
        <v>1198</v>
      </c>
      <c r="L113" s="1" t="b">
        <f>0.6=6</f>
        <v>0</v>
      </c>
      <c r="M113" s="1">
        <f>0.923</f>
        <v>0.92300000000000004</v>
      </c>
      <c r="N113">
        <f>0</f>
        <v>0</v>
      </c>
      <c r="O113" s="1">
        <v>-3.2610000000000001</v>
      </c>
      <c r="P113">
        <v>1</v>
      </c>
      <c r="Q113" s="1" t="b">
        <f>0=618</f>
        <v>0</v>
      </c>
      <c r="R113" s="1" t="b">
        <f>0=978</f>
        <v>0</v>
      </c>
      <c r="S113" s="1">
        <f>0</f>
        <v>0</v>
      </c>
      <c r="T113" s="1">
        <f>0.324</f>
        <v>0.32400000000000001</v>
      </c>
      <c r="U113" s="1">
        <f>0.217</f>
        <v>0.217</v>
      </c>
      <c r="V113" s="1">
        <v>154.994</v>
      </c>
      <c r="W113">
        <v>4</v>
      </c>
    </row>
    <row r="114" spans="1:23" x14ac:dyDescent="0.25">
      <c r="A114" s="1" t="s">
        <v>12936</v>
      </c>
      <c r="B114" s="1" t="s">
        <v>12937</v>
      </c>
      <c r="C114" s="1" t="s">
        <v>1389</v>
      </c>
      <c r="D114" s="1" t="s">
        <v>1389</v>
      </c>
      <c r="E114" s="1" t="s">
        <v>1390</v>
      </c>
      <c r="F114" s="10">
        <v>44636</v>
      </c>
      <c r="G114">
        <v>208807</v>
      </c>
      <c r="H114">
        <v>45</v>
      </c>
      <c r="I114" s="1" t="s">
        <v>12717</v>
      </c>
      <c r="J114" s="11">
        <v>44722.112071759257</v>
      </c>
      <c r="K114" s="1" t="s">
        <v>632</v>
      </c>
      <c r="L114" s="1" t="b">
        <f>0.4=4</f>
        <v>0</v>
      </c>
      <c r="M114" s="1">
        <f>0.815</f>
        <v>0.81499999999999995</v>
      </c>
      <c r="N114">
        <v>1</v>
      </c>
      <c r="O114" s="1">
        <v>-4.6180000000000003</v>
      </c>
      <c r="P114">
        <v>1</v>
      </c>
      <c r="Q114" s="1" t="b">
        <f>0=591</f>
        <v>0</v>
      </c>
      <c r="R114" s="1" t="b">
        <f>0=0=332</f>
        <v>0</v>
      </c>
      <c r="S114" s="1" t="b">
        <f>0=0=0=0=0=159</f>
        <v>0</v>
      </c>
      <c r="T114" s="1">
        <f>0.413</f>
        <v>0.41299999999999998</v>
      </c>
      <c r="U114" s="1">
        <f>0.12</f>
        <v>0.12</v>
      </c>
      <c r="V114" s="1">
        <v>154.94</v>
      </c>
      <c r="W114">
        <v>4</v>
      </c>
    </row>
    <row r="115" spans="1:23" x14ac:dyDescent="0.25">
      <c r="A115" s="1" t="s">
        <v>12938</v>
      </c>
      <c r="B115" s="1" t="s">
        <v>12939</v>
      </c>
      <c r="C115" s="1" t="s">
        <v>1391</v>
      </c>
      <c r="D115" s="1" t="s">
        <v>12940</v>
      </c>
      <c r="E115" s="1" t="s">
        <v>1392</v>
      </c>
      <c r="F115" s="10">
        <v>44217</v>
      </c>
      <c r="G115">
        <v>173600</v>
      </c>
      <c r="H115">
        <v>37</v>
      </c>
      <c r="I115" s="1" t="s">
        <v>12717</v>
      </c>
      <c r="J115" s="11">
        <v>44722.112071759257</v>
      </c>
      <c r="K115" s="1" t="s">
        <v>761</v>
      </c>
      <c r="L115" s="1">
        <f>0.516</f>
        <v>0.51600000000000001</v>
      </c>
      <c r="M115" s="1">
        <f>0.785</f>
        <v>0.78500000000000003</v>
      </c>
      <c r="N115">
        <v>6</v>
      </c>
      <c r="O115" s="1">
        <v>-4.6429999999999998</v>
      </c>
      <c r="P115">
        <f>0</f>
        <v>0</v>
      </c>
      <c r="Q115" s="1" t="b">
        <f>0=66</f>
        <v>0</v>
      </c>
      <c r="R115" s="1" t="b">
        <f>0=592</f>
        <v>0</v>
      </c>
      <c r="S115" s="1">
        <f>0</f>
        <v>0</v>
      </c>
      <c r="T115" s="1">
        <f>0.27</f>
        <v>0.27</v>
      </c>
      <c r="U115" s="1" t="b">
        <f>0.2=9</f>
        <v>0</v>
      </c>
      <c r="V115" s="1" t="s">
        <v>13085</v>
      </c>
      <c r="W115">
        <v>4</v>
      </c>
    </row>
    <row r="116" spans="1:23" x14ac:dyDescent="0.25">
      <c r="A116" s="1" t="s">
        <v>12941</v>
      </c>
      <c r="B116" s="1" t="s">
        <v>12942</v>
      </c>
      <c r="C116" s="1" t="s">
        <v>1393</v>
      </c>
      <c r="D116" s="1" t="s">
        <v>1393</v>
      </c>
      <c r="E116" s="1" t="s">
        <v>1394</v>
      </c>
      <c r="F116" s="10">
        <v>44000</v>
      </c>
      <c r="G116">
        <v>192000</v>
      </c>
      <c r="H116">
        <v>47</v>
      </c>
      <c r="I116" s="1" t="s">
        <v>12717</v>
      </c>
      <c r="J116" s="11">
        <v>44722.112071759257</v>
      </c>
      <c r="K116" s="1" t="s">
        <v>1395</v>
      </c>
      <c r="L116" s="1">
        <f>0.555</f>
        <v>0.55500000000000005</v>
      </c>
      <c r="M116" s="1">
        <f>0.763</f>
        <v>0.76300000000000001</v>
      </c>
      <c r="N116">
        <v>11</v>
      </c>
      <c r="O116" s="1">
        <v>-5.617</v>
      </c>
      <c r="P116">
        <v>1</v>
      </c>
      <c r="Q116" s="1" t="b">
        <f>0=448</f>
        <v>0</v>
      </c>
      <c r="R116" s="1" t="b">
        <f>0=123</f>
        <v>0</v>
      </c>
      <c r="S116" s="1" t="b">
        <f>0=0=0=0=0=155</f>
        <v>0</v>
      </c>
      <c r="T116" s="1" t="b">
        <f>0=986</f>
        <v>0</v>
      </c>
      <c r="U116" s="1">
        <f>0.21</f>
        <v>0.21</v>
      </c>
      <c r="V116" s="1">
        <v>154.94999999999999</v>
      </c>
      <c r="W116">
        <v>4</v>
      </c>
    </row>
    <row r="117" spans="1:23" x14ac:dyDescent="0.25">
      <c r="A117" s="1" t="s">
        <v>12943</v>
      </c>
      <c r="B117" s="1" t="s">
        <v>12944</v>
      </c>
      <c r="C117" s="1" t="s">
        <v>1396</v>
      </c>
      <c r="D117" s="1" t="s">
        <v>12945</v>
      </c>
      <c r="E117" s="1" t="s">
        <v>1397</v>
      </c>
      <c r="F117" s="10">
        <v>41589</v>
      </c>
      <c r="G117">
        <v>192000</v>
      </c>
      <c r="H117">
        <v>49</v>
      </c>
      <c r="I117" s="1" t="s">
        <v>12717</v>
      </c>
      <c r="J117" s="11">
        <v>44722.112071759257</v>
      </c>
      <c r="K117" s="1" t="s">
        <v>1223</v>
      </c>
      <c r="L117" s="1">
        <f>0.478</f>
        <v>0.47799999999999998</v>
      </c>
      <c r="M117" s="1">
        <f>0.957</f>
        <v>0.95699999999999996</v>
      </c>
      <c r="N117">
        <f>0</f>
        <v>0</v>
      </c>
      <c r="O117" s="1">
        <v>-2.9940000000000002</v>
      </c>
      <c r="P117">
        <f>0</f>
        <v>0</v>
      </c>
      <c r="Q117" s="1" t="b">
        <f>0=451</f>
        <v>0</v>
      </c>
      <c r="R117" s="1" t="b">
        <f>0=148</f>
        <v>0</v>
      </c>
      <c r="S117" s="1" t="b">
        <f>0=0=0=351</f>
        <v>0</v>
      </c>
      <c r="T117" s="1" t="b">
        <f>0.3=9</f>
        <v>0</v>
      </c>
      <c r="U117" s="1">
        <f>0.278</f>
        <v>0.27800000000000002</v>
      </c>
      <c r="V117" s="1">
        <v>149.99199999999999</v>
      </c>
      <c r="W117">
        <v>4</v>
      </c>
    </row>
    <row r="118" spans="1:23" x14ac:dyDescent="0.25">
      <c r="A118" s="1" t="s">
        <v>12291</v>
      </c>
      <c r="B118" s="1" t="s">
        <v>12292</v>
      </c>
      <c r="C118" s="1" t="s">
        <v>101</v>
      </c>
      <c r="D118" s="1" t="s">
        <v>101</v>
      </c>
      <c r="E118" s="1" t="s">
        <v>803</v>
      </c>
      <c r="F118" s="10">
        <v>42961</v>
      </c>
      <c r="G118">
        <v>289548</v>
      </c>
      <c r="H118">
        <v>0</v>
      </c>
      <c r="I118" s="1" t="s">
        <v>12717</v>
      </c>
      <c r="J118" s="11">
        <v>44722.112071759257</v>
      </c>
      <c r="K118" s="1" t="s">
        <v>804</v>
      </c>
      <c r="L118" s="1">
        <f>0.436</f>
        <v>0.436</v>
      </c>
      <c r="M118" s="1">
        <f>0.869</f>
        <v>0.86899999999999999</v>
      </c>
      <c r="N118">
        <v>4</v>
      </c>
      <c r="O118" s="1">
        <v>-2.4729999999999999</v>
      </c>
      <c r="P118">
        <f>0</f>
        <v>0</v>
      </c>
      <c r="Q118" s="1" t="b">
        <f>0=615</f>
        <v>0</v>
      </c>
      <c r="R118" s="1" t="b">
        <f>0=542</f>
        <v>0</v>
      </c>
      <c r="S118" s="1">
        <f>0</f>
        <v>0</v>
      </c>
      <c r="T118" s="1" t="b">
        <f>0=979</f>
        <v>0</v>
      </c>
      <c r="U118" s="1" t="b">
        <f>0=383</f>
        <v>0</v>
      </c>
      <c r="V118" s="1" t="s">
        <v>12513</v>
      </c>
      <c r="W118">
        <v>4</v>
      </c>
    </row>
    <row r="119" spans="1:23" x14ac:dyDescent="0.25">
      <c r="A119" s="1" t="s">
        <v>12946</v>
      </c>
      <c r="B119" s="1" t="s">
        <v>12947</v>
      </c>
      <c r="C119" s="1" t="s">
        <v>1398</v>
      </c>
      <c r="D119" s="1" t="s">
        <v>1398</v>
      </c>
      <c r="E119" s="1" t="s">
        <v>1399</v>
      </c>
      <c r="F119" s="10">
        <v>44602</v>
      </c>
      <c r="G119">
        <v>170322</v>
      </c>
      <c r="H119">
        <v>40</v>
      </c>
      <c r="I119" s="1" t="s">
        <v>12717</v>
      </c>
      <c r="J119" s="11">
        <v>44722.112071759257</v>
      </c>
      <c r="K119" s="1" t="s">
        <v>843</v>
      </c>
      <c r="L119" s="1">
        <f>0.546</f>
        <v>0.54600000000000004</v>
      </c>
      <c r="M119" s="1">
        <f>0.88</f>
        <v>0.88</v>
      </c>
      <c r="N119">
        <v>9</v>
      </c>
      <c r="O119" s="1" t="s">
        <v>13086</v>
      </c>
      <c r="P119">
        <f>0</f>
        <v>0</v>
      </c>
      <c r="Q119" s="1" t="b">
        <f>0=856</f>
        <v>0</v>
      </c>
      <c r="R119" s="1" t="b">
        <f>0=542</f>
        <v>0</v>
      </c>
      <c r="S119" s="1" t="b">
        <f>0=61</f>
        <v>0</v>
      </c>
      <c r="T119" s="1" t="b">
        <f>0=89</f>
        <v>0</v>
      </c>
      <c r="U119" s="1">
        <f>0.513</f>
        <v>0.51300000000000001</v>
      </c>
      <c r="V119" s="1" t="s">
        <v>13087</v>
      </c>
      <c r="W119">
        <v>4</v>
      </c>
    </row>
    <row r="120" spans="1:23" x14ac:dyDescent="0.25">
      <c r="A120" s="1" t="s">
        <v>12948</v>
      </c>
      <c r="B120" s="1" t="s">
        <v>12949</v>
      </c>
      <c r="C120" s="1" t="s">
        <v>1400</v>
      </c>
      <c r="D120" s="1" t="s">
        <v>12950</v>
      </c>
      <c r="E120" s="1" t="s">
        <v>1401</v>
      </c>
      <c r="F120" s="10">
        <v>42142</v>
      </c>
      <c r="G120">
        <v>358535</v>
      </c>
      <c r="H120">
        <v>0</v>
      </c>
      <c r="I120" s="1" t="s">
        <v>12717</v>
      </c>
      <c r="J120" s="11">
        <v>44722.112071759257</v>
      </c>
      <c r="K120" s="1" t="s">
        <v>804</v>
      </c>
      <c r="L120" s="1" t="b">
        <f>0.4=4</f>
        <v>0</v>
      </c>
      <c r="M120" s="1">
        <f>0.957</f>
        <v>0.95699999999999996</v>
      </c>
      <c r="N120">
        <v>5</v>
      </c>
      <c r="O120" s="1">
        <v>-3.2749999999999999</v>
      </c>
      <c r="P120">
        <f>0</f>
        <v>0</v>
      </c>
      <c r="Q120" s="1" t="b">
        <f>0=874</f>
        <v>0</v>
      </c>
      <c r="R120" s="1" t="b">
        <f>0=1=3</f>
        <v>0</v>
      </c>
      <c r="S120" s="1" t="b">
        <f>0=0=954</f>
        <v>0</v>
      </c>
      <c r="T120" s="1">
        <f>0.293</f>
        <v>0.29299999999999998</v>
      </c>
      <c r="U120" s="1">
        <f>0.15</f>
        <v>0.15</v>
      </c>
      <c r="V120" s="1" t="s">
        <v>13088</v>
      </c>
      <c r="W120">
        <v>4</v>
      </c>
    </row>
    <row r="121" spans="1:23" x14ac:dyDescent="0.25">
      <c r="A121" s="1" t="s">
        <v>12951</v>
      </c>
      <c r="B121" s="1" t="s">
        <v>12745</v>
      </c>
      <c r="C121" s="1" t="s">
        <v>1402</v>
      </c>
      <c r="D121" s="1" t="s">
        <v>1402</v>
      </c>
      <c r="E121" s="1" t="s">
        <v>1204</v>
      </c>
      <c r="F121" s="10">
        <v>44027</v>
      </c>
      <c r="G121">
        <v>182903</v>
      </c>
      <c r="H121">
        <v>42</v>
      </c>
      <c r="I121" s="1" t="s">
        <v>12717</v>
      </c>
      <c r="J121" s="11">
        <v>44722.112071759257</v>
      </c>
      <c r="K121" s="1" t="s">
        <v>588</v>
      </c>
      <c r="L121" s="1">
        <f>0.353</f>
        <v>0.35299999999999998</v>
      </c>
      <c r="M121" s="1">
        <f>0.915</f>
        <v>0.91500000000000004</v>
      </c>
      <c r="N121">
        <v>8</v>
      </c>
      <c r="O121" s="1">
        <v>-2.6909999999999998</v>
      </c>
      <c r="P121">
        <v>1</v>
      </c>
      <c r="Q121" s="1">
        <f>0.145</f>
        <v>0.14499999999999999</v>
      </c>
      <c r="R121" s="1">
        <f>0.225</f>
        <v>0.22500000000000001</v>
      </c>
      <c r="S121" s="1" t="b">
        <f>0=0=0=0=761</f>
        <v>0</v>
      </c>
      <c r="T121" s="1">
        <f>0.116</f>
        <v>0.11600000000000001</v>
      </c>
      <c r="U121" s="1">
        <f>0.371</f>
        <v>0.371</v>
      </c>
      <c r="V121" s="1">
        <v>154.85900000000001</v>
      </c>
      <c r="W121">
        <v>4</v>
      </c>
    </row>
    <row r="122" spans="1:23" x14ac:dyDescent="0.25">
      <c r="A122" s="1" t="s">
        <v>12952</v>
      </c>
      <c r="B122" s="1" t="s">
        <v>12953</v>
      </c>
      <c r="C122" s="1" t="s">
        <v>1403</v>
      </c>
      <c r="D122" s="1" t="s">
        <v>11355</v>
      </c>
      <c r="E122" s="1" t="s">
        <v>1404</v>
      </c>
      <c r="F122" s="10">
        <v>42566</v>
      </c>
      <c r="G122">
        <v>206515</v>
      </c>
      <c r="H122">
        <v>0</v>
      </c>
      <c r="I122" s="1" t="s">
        <v>12717</v>
      </c>
      <c r="J122" s="11">
        <v>44722.112071759257</v>
      </c>
      <c r="K122" s="1" t="s">
        <v>1272</v>
      </c>
      <c r="L122" s="1">
        <f>0.44</f>
        <v>0.44</v>
      </c>
      <c r="M122" s="1">
        <f>0.88</f>
        <v>0.88</v>
      </c>
      <c r="N122">
        <f>0</f>
        <v>0</v>
      </c>
      <c r="O122" s="1">
        <v>-5.7480000000000002</v>
      </c>
      <c r="P122">
        <v>1</v>
      </c>
      <c r="Q122" s="1" t="b">
        <f>0=919</f>
        <v>0</v>
      </c>
      <c r="R122" s="1" t="b">
        <f>0=0=445</f>
        <v>0</v>
      </c>
      <c r="S122" s="1" t="b">
        <f>0=0=0=0=334</f>
        <v>0</v>
      </c>
      <c r="T122" s="1" t="b">
        <f>0=638</f>
        <v>0</v>
      </c>
      <c r="U122" s="1">
        <f>0.287</f>
        <v>0.28699999999999998</v>
      </c>
      <c r="V122" s="1">
        <v>149.744</v>
      </c>
      <c r="W122">
        <v>4</v>
      </c>
    </row>
    <row r="123" spans="1:23" x14ac:dyDescent="0.25">
      <c r="A123" s="1" t="s">
        <v>12954</v>
      </c>
      <c r="B123" s="1" t="s">
        <v>12955</v>
      </c>
      <c r="C123" s="1" t="s">
        <v>1405</v>
      </c>
      <c r="D123" s="1" t="s">
        <v>1405</v>
      </c>
      <c r="E123" s="1" t="s">
        <v>1406</v>
      </c>
      <c r="F123" s="10">
        <v>44518</v>
      </c>
      <c r="G123">
        <v>227767</v>
      </c>
      <c r="H123">
        <v>50</v>
      </c>
      <c r="I123" s="1" t="s">
        <v>12717</v>
      </c>
      <c r="J123" s="11">
        <v>44722.112071759257</v>
      </c>
      <c r="K123" s="1" t="s">
        <v>632</v>
      </c>
      <c r="L123" s="1">
        <f>0.563</f>
        <v>0.56299999999999994</v>
      </c>
      <c r="M123" s="1">
        <f>0.983</f>
        <v>0.98299999999999998</v>
      </c>
      <c r="N123">
        <v>2</v>
      </c>
      <c r="O123" s="1">
        <v>-4.1689999999999996</v>
      </c>
      <c r="P123">
        <v>1</v>
      </c>
      <c r="Q123" s="1" t="b">
        <f>0=797</f>
        <v>0</v>
      </c>
      <c r="R123" s="1" t="b">
        <f>0=216</f>
        <v>0</v>
      </c>
      <c r="S123" s="1" t="b">
        <f>0=0=0=0=821</f>
        <v>0</v>
      </c>
      <c r="T123" s="1">
        <f>0.347</f>
        <v>0.34699999999999998</v>
      </c>
      <c r="U123" s="1" t="b">
        <f>0.6=6</f>
        <v>0</v>
      </c>
      <c r="V123" s="1">
        <v>154.97499999999999</v>
      </c>
      <c r="W123">
        <v>4</v>
      </c>
    </row>
    <row r="124" spans="1:23" x14ac:dyDescent="0.25">
      <c r="A124" s="1" t="s">
        <v>12956</v>
      </c>
      <c r="B124" s="1" t="s">
        <v>12716</v>
      </c>
      <c r="C124" s="1" t="s">
        <v>1407</v>
      </c>
      <c r="D124" s="1" t="s">
        <v>1407</v>
      </c>
      <c r="E124" s="1" t="s">
        <v>1173</v>
      </c>
      <c r="F124" s="10">
        <v>44658</v>
      </c>
      <c r="G124">
        <v>197939</v>
      </c>
      <c r="H124">
        <v>56</v>
      </c>
      <c r="I124" s="1" t="s">
        <v>12717</v>
      </c>
      <c r="J124" s="11">
        <v>44722.112071759257</v>
      </c>
      <c r="K124" s="1" t="s">
        <v>1174</v>
      </c>
      <c r="L124" s="1">
        <f>0.24</f>
        <v>0.24</v>
      </c>
      <c r="M124" s="1">
        <f>0.657</f>
        <v>0.65700000000000003</v>
      </c>
      <c r="N124">
        <v>2</v>
      </c>
      <c r="O124" s="1">
        <v>-5.7809999999999997</v>
      </c>
      <c r="P124">
        <f>0</f>
        <v>0</v>
      </c>
      <c r="Q124" s="1" t="b">
        <f>0=44</f>
        <v>0</v>
      </c>
      <c r="R124" s="1" t="b">
        <f>0=0=0=389</f>
        <v>0</v>
      </c>
      <c r="S124" s="1" t="b">
        <f>0=0=0=717</f>
        <v>0</v>
      </c>
      <c r="T124" s="1">
        <f>0.256</f>
        <v>0.25600000000000001</v>
      </c>
      <c r="U124" s="1">
        <f>0.112</f>
        <v>0.112</v>
      </c>
      <c r="V124" s="1" t="s">
        <v>13089</v>
      </c>
      <c r="W124">
        <v>4</v>
      </c>
    </row>
    <row r="125" spans="1:23" x14ac:dyDescent="0.25">
      <c r="A125" s="1" t="s">
        <v>12957</v>
      </c>
      <c r="B125" s="1" t="s">
        <v>12958</v>
      </c>
      <c r="C125" s="1" t="s">
        <v>1408</v>
      </c>
      <c r="D125" s="1" t="s">
        <v>323</v>
      </c>
      <c r="E125" s="1" t="s">
        <v>1409</v>
      </c>
      <c r="F125" s="10">
        <v>42167</v>
      </c>
      <c r="G125">
        <v>205344</v>
      </c>
      <c r="H125">
        <v>49</v>
      </c>
      <c r="I125" s="1" t="s">
        <v>12717</v>
      </c>
      <c r="J125" s="11">
        <v>44722.112071759257</v>
      </c>
      <c r="K125" s="1" t="s">
        <v>1410</v>
      </c>
      <c r="L125" s="1">
        <f>0.535</f>
        <v>0.53500000000000003</v>
      </c>
      <c r="M125" s="1">
        <f>0.812</f>
        <v>0.81200000000000006</v>
      </c>
      <c r="N125">
        <f>0</f>
        <v>0</v>
      </c>
      <c r="O125" s="1">
        <v>-3.8250000000000002</v>
      </c>
      <c r="P125">
        <f>0</f>
        <v>0</v>
      </c>
      <c r="Q125" s="1" t="b">
        <f>0=45</f>
        <v>0</v>
      </c>
      <c r="R125" s="1" t="b">
        <f>0=343</f>
        <v>0</v>
      </c>
      <c r="S125" s="1" t="b">
        <f>0=0=0=0=0=125</f>
        <v>0</v>
      </c>
      <c r="T125" s="1" t="b">
        <f>0.2=5</f>
        <v>0</v>
      </c>
      <c r="U125" s="1">
        <f>0.499</f>
        <v>0.499</v>
      </c>
      <c r="V125" s="1" t="s">
        <v>13090</v>
      </c>
      <c r="W125">
        <v>4</v>
      </c>
    </row>
    <row r="126" spans="1:23" x14ac:dyDescent="0.25">
      <c r="A126" s="1" t="s">
        <v>12959</v>
      </c>
      <c r="B126" s="1" t="s">
        <v>12960</v>
      </c>
      <c r="C126" s="1" t="s">
        <v>1411</v>
      </c>
      <c r="D126" s="1" t="s">
        <v>12961</v>
      </c>
      <c r="E126" s="1" t="s">
        <v>1412</v>
      </c>
      <c r="F126" s="10">
        <v>44673</v>
      </c>
      <c r="G126">
        <v>223511</v>
      </c>
      <c r="H126">
        <v>51</v>
      </c>
      <c r="I126" s="1" t="s">
        <v>12717</v>
      </c>
      <c r="J126" s="11">
        <v>44722.112071759257</v>
      </c>
      <c r="K126" s="1" t="s">
        <v>1187</v>
      </c>
      <c r="L126" s="1">
        <f>0.371</f>
        <v>0.371</v>
      </c>
      <c r="M126" s="1">
        <f>0.958</f>
        <v>0.95799999999999996</v>
      </c>
      <c r="N126">
        <v>6</v>
      </c>
      <c r="O126" s="1">
        <v>-3.2890000000000001</v>
      </c>
      <c r="P126">
        <f>0</f>
        <v>0</v>
      </c>
      <c r="Q126" s="1" t="b">
        <f>0.2=3</f>
        <v>0</v>
      </c>
      <c r="R126" s="1" t="b">
        <f>0=0=2=7</f>
        <v>0</v>
      </c>
      <c r="S126" s="1" t="b">
        <f>0=0=0=0=0=261</f>
        <v>0</v>
      </c>
      <c r="T126" s="1" t="b">
        <f>0.3=1</f>
        <v>0</v>
      </c>
      <c r="U126" s="1">
        <f>0.139</f>
        <v>0.13900000000000001</v>
      </c>
      <c r="V126" s="1" t="s">
        <v>13091</v>
      </c>
      <c r="W126">
        <v>4</v>
      </c>
    </row>
    <row r="127" spans="1:23" x14ac:dyDescent="0.25">
      <c r="A127" s="1" t="s">
        <v>12962</v>
      </c>
      <c r="B127" s="1" t="s">
        <v>12963</v>
      </c>
      <c r="C127" s="1" t="s">
        <v>1413</v>
      </c>
      <c r="D127" s="1" t="s">
        <v>1413</v>
      </c>
      <c r="E127" s="1" t="s">
        <v>1414</v>
      </c>
      <c r="F127" s="10">
        <v>44291</v>
      </c>
      <c r="G127">
        <v>167237</v>
      </c>
      <c r="H127">
        <v>53</v>
      </c>
      <c r="I127" s="1" t="s">
        <v>12717</v>
      </c>
      <c r="J127" s="11">
        <v>44722.112071759257</v>
      </c>
      <c r="K127" s="1" t="s">
        <v>843</v>
      </c>
      <c r="L127" s="1" t="b">
        <f>0.3=7</f>
        <v>0</v>
      </c>
      <c r="M127" s="1">
        <f>0.776</f>
        <v>0.77600000000000002</v>
      </c>
      <c r="N127">
        <v>9</v>
      </c>
      <c r="O127" s="1">
        <v>-2.2400000000000002</v>
      </c>
      <c r="P127">
        <v>1</v>
      </c>
      <c r="Q127" s="1" t="b">
        <f>0=376</f>
        <v>0</v>
      </c>
      <c r="R127" s="1">
        <f>0.119</f>
        <v>0.11899999999999999</v>
      </c>
      <c r="S127" s="1" t="b">
        <f>0=0=0=0=0=24</f>
        <v>0</v>
      </c>
      <c r="T127" s="1">
        <f>0.178</f>
        <v>0.17799999999999999</v>
      </c>
      <c r="U127" s="1">
        <f>0.128</f>
        <v>0.128</v>
      </c>
      <c r="V127" s="1">
        <v>75.358999999999995</v>
      </c>
      <c r="W127">
        <v>4</v>
      </c>
    </row>
    <row r="128" spans="1:23" x14ac:dyDescent="0.25">
      <c r="A128" s="1" t="s">
        <v>12964</v>
      </c>
      <c r="B128" s="1" t="s">
        <v>12965</v>
      </c>
      <c r="C128" s="1" t="s">
        <v>1415</v>
      </c>
      <c r="D128" s="1" t="s">
        <v>1415</v>
      </c>
      <c r="E128" s="1" t="s">
        <v>1416</v>
      </c>
      <c r="F128" s="10">
        <v>44119</v>
      </c>
      <c r="G128">
        <v>202838</v>
      </c>
      <c r="H128">
        <v>40</v>
      </c>
      <c r="I128" s="1" t="s">
        <v>12717</v>
      </c>
      <c r="J128" s="11">
        <v>44722.112071759257</v>
      </c>
      <c r="K128" s="1" t="s">
        <v>588</v>
      </c>
      <c r="L128" s="1">
        <f>0.484</f>
        <v>0.48399999999999999</v>
      </c>
      <c r="M128" s="1">
        <f>0.958</f>
        <v>0.95799999999999996</v>
      </c>
      <c r="N128">
        <v>6</v>
      </c>
      <c r="O128" s="1">
        <v>-2.964</v>
      </c>
      <c r="P128">
        <v>1</v>
      </c>
      <c r="Q128" s="1">
        <f>0.156</f>
        <v>0.156</v>
      </c>
      <c r="R128" s="1">
        <f>0.187</f>
        <v>0.187</v>
      </c>
      <c r="S128" s="1" t="b">
        <f>0=0=0=135</f>
        <v>0</v>
      </c>
      <c r="T128" s="1" t="b">
        <f>0.4=4</f>
        <v>0</v>
      </c>
      <c r="U128" s="1">
        <f>0.253</f>
        <v>0.253</v>
      </c>
      <c r="V128" s="1" t="s">
        <v>13092</v>
      </c>
      <c r="W128">
        <v>4</v>
      </c>
    </row>
    <row r="129" spans="1:23" x14ac:dyDescent="0.25">
      <c r="A129" s="1" t="s">
        <v>12966</v>
      </c>
      <c r="B129" s="1" t="s">
        <v>12967</v>
      </c>
      <c r="C129" s="1" t="s">
        <v>114</v>
      </c>
      <c r="D129" s="1" t="s">
        <v>114</v>
      </c>
      <c r="E129" s="1" t="s">
        <v>1417</v>
      </c>
      <c r="F129" s="10">
        <v>44637</v>
      </c>
      <c r="G129">
        <v>239812</v>
      </c>
      <c r="H129">
        <v>60</v>
      </c>
      <c r="I129" s="1" t="s">
        <v>12717</v>
      </c>
      <c r="J129" s="11">
        <v>44722.112071759257</v>
      </c>
      <c r="K129" s="1" t="s">
        <v>1418</v>
      </c>
      <c r="L129" s="1">
        <f>0.152</f>
        <v>0.152</v>
      </c>
      <c r="M129" s="1">
        <f>0.932</f>
        <v>0.93200000000000005</v>
      </c>
      <c r="N129">
        <v>11</v>
      </c>
      <c r="O129" s="1">
        <v>-2.9350000000000001</v>
      </c>
      <c r="P129">
        <f>0</f>
        <v>0</v>
      </c>
      <c r="Q129" s="1">
        <f>0.157</f>
        <v>0.157</v>
      </c>
      <c r="R129" s="1" t="b">
        <f>0=938</f>
        <v>0</v>
      </c>
      <c r="S129" s="1">
        <f>0</f>
        <v>0</v>
      </c>
      <c r="T129" s="1" t="b">
        <f>0=967</f>
        <v>0</v>
      </c>
      <c r="U129" s="1">
        <f>0.318</f>
        <v>0.318</v>
      </c>
      <c r="V129" s="1">
        <v>199.71299999999999</v>
      </c>
      <c r="W129">
        <v>4</v>
      </c>
    </row>
    <row r="130" spans="1:23" x14ac:dyDescent="0.25">
      <c r="A130" s="1" t="s">
        <v>12968</v>
      </c>
      <c r="B130" s="1" t="s">
        <v>12969</v>
      </c>
      <c r="C130" s="1" t="s">
        <v>1419</v>
      </c>
      <c r="D130" s="1" t="s">
        <v>1419</v>
      </c>
      <c r="E130" s="1" t="s">
        <v>1420</v>
      </c>
      <c r="F130" s="10">
        <v>44708</v>
      </c>
      <c r="G130">
        <v>223741</v>
      </c>
      <c r="H130">
        <v>42</v>
      </c>
      <c r="I130" s="1" t="s">
        <v>12717</v>
      </c>
      <c r="J130" s="11">
        <v>44722.112071759257</v>
      </c>
      <c r="K130" s="1" t="s">
        <v>1421</v>
      </c>
      <c r="L130" s="1">
        <f>0.555</f>
        <v>0.55500000000000005</v>
      </c>
      <c r="M130" s="1">
        <f>0.972</f>
        <v>0.97199999999999998</v>
      </c>
      <c r="N130">
        <v>3</v>
      </c>
      <c r="O130" s="1">
        <v>-2.7970000000000002</v>
      </c>
      <c r="P130">
        <f>0</f>
        <v>0</v>
      </c>
      <c r="Q130" s="1">
        <f>0.327</f>
        <v>0.32700000000000001</v>
      </c>
      <c r="R130" s="1" t="b">
        <f>0=17</f>
        <v>0</v>
      </c>
      <c r="S130" s="1" t="b">
        <f>0=694</f>
        <v>0</v>
      </c>
      <c r="T130" s="1">
        <f>0.266</f>
        <v>0.26600000000000001</v>
      </c>
      <c r="U130" s="1">
        <f>0.222</f>
        <v>0.222</v>
      </c>
      <c r="V130" s="1">
        <v>154.97200000000001</v>
      </c>
      <c r="W130">
        <v>4</v>
      </c>
    </row>
    <row r="131" spans="1:23" x14ac:dyDescent="0.25">
      <c r="A131" s="1" t="s">
        <v>12970</v>
      </c>
      <c r="B131" s="1" t="s">
        <v>12971</v>
      </c>
      <c r="C131" s="1" t="s">
        <v>1422</v>
      </c>
      <c r="D131" s="1" t="s">
        <v>1422</v>
      </c>
      <c r="E131" s="1" t="s">
        <v>1423</v>
      </c>
      <c r="F131" s="10">
        <v>44490</v>
      </c>
      <c r="G131">
        <v>251166</v>
      </c>
      <c r="H131">
        <v>40</v>
      </c>
      <c r="I131" s="1" t="s">
        <v>12717</v>
      </c>
      <c r="J131" s="11">
        <v>44722.112071759257</v>
      </c>
      <c r="K131" s="1" t="s">
        <v>632</v>
      </c>
      <c r="L131" s="1">
        <f>0.434</f>
        <v>0.434</v>
      </c>
      <c r="M131" s="1">
        <f>0.983</f>
        <v>0.98299999999999998</v>
      </c>
      <c r="N131">
        <v>9</v>
      </c>
      <c r="O131" s="1">
        <v>-2.1</v>
      </c>
      <c r="P131">
        <f>0</f>
        <v>0</v>
      </c>
      <c r="Q131" s="1">
        <f>0.298</f>
        <v>0.29799999999999999</v>
      </c>
      <c r="R131" s="1">
        <f>0.166</f>
        <v>0.16600000000000001</v>
      </c>
      <c r="S131" s="1" t="b">
        <f>0=488</f>
        <v>0</v>
      </c>
      <c r="T131" s="1">
        <f>0.465</f>
        <v>0.46500000000000002</v>
      </c>
      <c r="U131" s="1">
        <f>0.243</f>
        <v>0.24299999999999999</v>
      </c>
      <c r="V131" s="1">
        <v>154.99199999999999</v>
      </c>
      <c r="W131">
        <v>4</v>
      </c>
    </row>
    <row r="132" spans="1:23" x14ac:dyDescent="0.25">
      <c r="A132" s="1" t="s">
        <v>12972</v>
      </c>
      <c r="B132" s="1" t="s">
        <v>12973</v>
      </c>
      <c r="C132" s="1" t="s">
        <v>1424</v>
      </c>
      <c r="D132" s="1" t="s">
        <v>1424</v>
      </c>
      <c r="E132" s="1" t="s">
        <v>1425</v>
      </c>
      <c r="F132" s="10">
        <v>44659</v>
      </c>
      <c r="G132">
        <v>236862</v>
      </c>
      <c r="H132">
        <v>44</v>
      </c>
      <c r="I132" s="1" t="s">
        <v>12717</v>
      </c>
      <c r="J132" s="11">
        <v>44722.112071759257</v>
      </c>
      <c r="K132" s="1" t="s">
        <v>588</v>
      </c>
      <c r="L132" s="1">
        <f>0.553</f>
        <v>0.55300000000000005</v>
      </c>
      <c r="M132" s="1">
        <f>0.917</f>
        <v>0.91700000000000004</v>
      </c>
      <c r="N132">
        <v>11</v>
      </c>
      <c r="O132" s="1">
        <v>-3.1640000000000001</v>
      </c>
      <c r="P132">
        <f>0</f>
        <v>0</v>
      </c>
      <c r="Q132" s="1" t="b">
        <f>0=878</f>
        <v>0</v>
      </c>
      <c r="R132" s="1">
        <f>0.117</f>
        <v>0.11700000000000001</v>
      </c>
      <c r="S132" s="1" t="b">
        <f>0=0=0=0=691</f>
        <v>0</v>
      </c>
      <c r="T132" s="1">
        <f>0.414</f>
        <v>0.41399999999999998</v>
      </c>
      <c r="U132" s="1">
        <f>0.399</f>
        <v>0.39900000000000002</v>
      </c>
      <c r="V132" s="1" t="s">
        <v>13093</v>
      </c>
      <c r="W132">
        <v>4</v>
      </c>
    </row>
    <row r="133" spans="1:23" x14ac:dyDescent="0.25">
      <c r="A133" s="1" t="s">
        <v>12974</v>
      </c>
      <c r="B133" s="1" t="s">
        <v>12975</v>
      </c>
      <c r="C133" s="1" t="s">
        <v>1426</v>
      </c>
      <c r="D133" s="1" t="s">
        <v>1426</v>
      </c>
      <c r="E133" s="1" t="s">
        <v>1427</v>
      </c>
      <c r="F133" s="10">
        <v>44211</v>
      </c>
      <c r="G133">
        <v>205653</v>
      </c>
      <c r="H133">
        <v>44</v>
      </c>
      <c r="I133" s="1" t="s">
        <v>12717</v>
      </c>
      <c r="J133" s="11">
        <v>44722.112071759257</v>
      </c>
      <c r="K133" s="1" t="s">
        <v>1428</v>
      </c>
      <c r="L133" s="1">
        <f>0.532</f>
        <v>0.53200000000000003</v>
      </c>
      <c r="M133" s="1">
        <f>0.942</f>
        <v>0.94199999999999995</v>
      </c>
      <c r="N133">
        <v>9</v>
      </c>
      <c r="O133" s="1">
        <v>-2.7770000000000001</v>
      </c>
      <c r="P133">
        <v>1</v>
      </c>
      <c r="Q133" s="1">
        <f>0.22</f>
        <v>0.22</v>
      </c>
      <c r="R133" s="1" t="b">
        <f>0=917</f>
        <v>0</v>
      </c>
      <c r="S133" s="1">
        <f>0</f>
        <v>0</v>
      </c>
      <c r="T133" s="1">
        <f>0.122</f>
        <v>0.122</v>
      </c>
      <c r="U133" s="1">
        <f>0.358</f>
        <v>0.35799999999999998</v>
      </c>
      <c r="V133" s="1">
        <v>159.929</v>
      </c>
      <c r="W133">
        <v>4</v>
      </c>
    </row>
    <row r="134" spans="1:23" x14ac:dyDescent="0.25">
      <c r="A134" s="1" t="s">
        <v>12758</v>
      </c>
      <c r="B134" s="1" t="s">
        <v>12759</v>
      </c>
      <c r="C134" s="1" t="s">
        <v>1218</v>
      </c>
      <c r="D134" s="1" t="s">
        <v>12760</v>
      </c>
      <c r="E134" s="1" t="s">
        <v>1219</v>
      </c>
      <c r="F134" s="10">
        <v>44281</v>
      </c>
      <c r="G134">
        <v>158158</v>
      </c>
      <c r="H134">
        <v>54</v>
      </c>
      <c r="I134" s="1" t="s">
        <v>12717</v>
      </c>
      <c r="J134" s="11">
        <v>44722.112071759257</v>
      </c>
      <c r="K134" s="1" t="s">
        <v>1220</v>
      </c>
      <c r="L134" s="1">
        <f>0.496</f>
        <v>0.496</v>
      </c>
      <c r="M134" s="1">
        <f>0.98</f>
        <v>0.98</v>
      </c>
      <c r="N134">
        <v>11</v>
      </c>
      <c r="O134" s="1">
        <v>-3.4340000000000002</v>
      </c>
      <c r="P134">
        <f>0</f>
        <v>0</v>
      </c>
      <c r="Q134" s="1" t="b">
        <f>0=474</f>
        <v>0</v>
      </c>
      <c r="R134" s="1" t="b">
        <f>0=0=0=291</f>
        <v>0</v>
      </c>
      <c r="S134" s="1">
        <f>0.318</f>
        <v>0.318</v>
      </c>
      <c r="T134" s="1">
        <f>0.353</f>
        <v>0.35299999999999998</v>
      </c>
      <c r="U134" s="1">
        <f>0.391</f>
        <v>0.39100000000000001</v>
      </c>
      <c r="V134" s="1" t="s">
        <v>13037</v>
      </c>
      <c r="W134">
        <v>4</v>
      </c>
    </row>
    <row r="135" spans="1:23" x14ac:dyDescent="0.25">
      <c r="A135" s="1" t="s">
        <v>12976</v>
      </c>
      <c r="B135" s="1" t="s">
        <v>12977</v>
      </c>
      <c r="C135" s="1" t="s">
        <v>1429</v>
      </c>
      <c r="D135" s="1" t="s">
        <v>1429</v>
      </c>
      <c r="E135" s="1" t="s">
        <v>1430</v>
      </c>
      <c r="F135" s="10">
        <v>44610</v>
      </c>
      <c r="G135">
        <v>182762</v>
      </c>
      <c r="H135">
        <v>39</v>
      </c>
      <c r="I135" s="1" t="s">
        <v>12717</v>
      </c>
      <c r="J135" s="11">
        <v>44722.112071759257</v>
      </c>
      <c r="K135" s="1" t="s">
        <v>50</v>
      </c>
      <c r="L135" s="1">
        <f>0.356</f>
        <v>0.35599999999999998</v>
      </c>
      <c r="M135" s="1">
        <f>0.938</f>
        <v>0.93799999999999994</v>
      </c>
      <c r="N135" t="s">
        <v>11825</v>
      </c>
      <c r="O135" s="1" t="s">
        <v>11817</v>
      </c>
      <c r="P135">
        <f>0</f>
        <v>0</v>
      </c>
      <c r="Q135" s="1">
        <f>0.12</f>
        <v>0.12</v>
      </c>
      <c r="R135" s="1" t="b">
        <f>0=0=111</f>
        <v>0</v>
      </c>
      <c r="S135" s="1" t="b">
        <f>0=0=0=18</f>
        <v>0</v>
      </c>
      <c r="T135" s="1">
        <f>0.919</f>
        <v>0.91900000000000004</v>
      </c>
      <c r="U135" s="1">
        <f>0.418</f>
        <v>0.41799999999999998</v>
      </c>
      <c r="V135" s="1" t="s">
        <v>1431</v>
      </c>
      <c r="W135">
        <v>4</v>
      </c>
    </row>
    <row r="136" spans="1:23" x14ac:dyDescent="0.25">
      <c r="A136" s="1" t="s">
        <v>12978</v>
      </c>
      <c r="B136" s="1" t="s">
        <v>12979</v>
      </c>
      <c r="C136" s="1" t="s">
        <v>1432</v>
      </c>
      <c r="D136" s="1" t="s">
        <v>1432</v>
      </c>
      <c r="E136" s="1" t="s">
        <v>1433</v>
      </c>
      <c r="F136" s="10">
        <v>44666</v>
      </c>
      <c r="G136">
        <v>204000</v>
      </c>
      <c r="H136">
        <v>38</v>
      </c>
      <c r="I136" s="1" t="s">
        <v>12717</v>
      </c>
      <c r="J136" s="11">
        <v>44722.112071759257</v>
      </c>
      <c r="K136" s="1" t="s">
        <v>1140</v>
      </c>
      <c r="L136" s="1">
        <f>0.394</f>
        <v>0.39400000000000002</v>
      </c>
      <c r="M136" s="1">
        <f>0.778</f>
        <v>0.77800000000000002</v>
      </c>
      <c r="N136">
        <v>3</v>
      </c>
      <c r="O136" s="1">
        <v>-6.2240000000000002</v>
      </c>
      <c r="P136">
        <v>1</v>
      </c>
      <c r="Q136" s="1" t="b">
        <f>0=549</f>
        <v>0</v>
      </c>
      <c r="R136" s="1" t="b">
        <f>0=131</f>
        <v>0</v>
      </c>
      <c r="S136" s="1" t="b">
        <f>0=0=0=429</f>
        <v>0</v>
      </c>
      <c r="T136" s="1">
        <f>0.133</f>
        <v>0.13300000000000001</v>
      </c>
      <c r="U136" s="1">
        <f>0.163</f>
        <v>0.16300000000000001</v>
      </c>
      <c r="V136" s="1" t="s">
        <v>13094</v>
      </c>
      <c r="W136">
        <v>4</v>
      </c>
    </row>
    <row r="137" spans="1:23" x14ac:dyDescent="0.25">
      <c r="A137" s="1" t="s">
        <v>12980</v>
      </c>
      <c r="B137" s="1" t="s">
        <v>12981</v>
      </c>
      <c r="C137" s="1" t="s">
        <v>1434</v>
      </c>
      <c r="D137" s="1" t="s">
        <v>1434</v>
      </c>
      <c r="E137" s="1" t="s">
        <v>1435</v>
      </c>
      <c r="F137" s="10">
        <v>44665</v>
      </c>
      <c r="G137">
        <v>221701</v>
      </c>
      <c r="H137">
        <v>51</v>
      </c>
      <c r="I137" s="1" t="s">
        <v>12717</v>
      </c>
      <c r="J137" s="11">
        <v>44722.112071759257</v>
      </c>
      <c r="K137" s="1" t="s">
        <v>1187</v>
      </c>
      <c r="L137" s="1">
        <f>0.414</f>
        <v>0.41399999999999998</v>
      </c>
      <c r="M137" s="1">
        <f>0.931</f>
        <v>0.93100000000000005</v>
      </c>
      <c r="N137">
        <v>6</v>
      </c>
      <c r="O137" s="1">
        <v>-4.2539999999999996</v>
      </c>
      <c r="P137">
        <f>0</f>
        <v>0</v>
      </c>
      <c r="Q137" s="1" t="b">
        <f>0=751</f>
        <v>0</v>
      </c>
      <c r="R137" s="1" t="b">
        <f>0=0=153</f>
        <v>0</v>
      </c>
      <c r="S137" s="1">
        <f>0</f>
        <v>0</v>
      </c>
      <c r="T137" s="1">
        <f>0.689</f>
        <v>0.68899999999999995</v>
      </c>
      <c r="U137" s="1">
        <f>0.295</f>
        <v>0.29499999999999998</v>
      </c>
      <c r="V137" s="1" t="s">
        <v>12445</v>
      </c>
      <c r="W137">
        <v>4</v>
      </c>
    </row>
    <row r="138" spans="1:23" x14ac:dyDescent="0.25">
      <c r="A138" s="1" t="s">
        <v>12982</v>
      </c>
      <c r="B138" s="1" t="s">
        <v>12817</v>
      </c>
      <c r="C138" s="1" t="s">
        <v>1436</v>
      </c>
      <c r="D138" s="1" t="s">
        <v>1436</v>
      </c>
      <c r="E138" s="1" t="s">
        <v>1281</v>
      </c>
      <c r="F138" s="10">
        <v>44638</v>
      </c>
      <c r="G138">
        <v>212891</v>
      </c>
      <c r="H138">
        <v>50</v>
      </c>
      <c r="I138" s="1" t="s">
        <v>12717</v>
      </c>
      <c r="J138" s="11">
        <v>44722.112071759257</v>
      </c>
      <c r="K138" s="1" t="s">
        <v>1190</v>
      </c>
      <c r="L138" s="1">
        <f>0.684</f>
        <v>0.68400000000000005</v>
      </c>
      <c r="M138" s="1">
        <f>0.991</f>
        <v>0.99099999999999999</v>
      </c>
      <c r="N138">
        <v>1</v>
      </c>
      <c r="O138" s="1">
        <v>-3.694</v>
      </c>
      <c r="P138">
        <v>1</v>
      </c>
      <c r="Q138" s="1">
        <f>0.257</f>
        <v>0.25700000000000001</v>
      </c>
      <c r="R138" s="1" t="b">
        <f>0=13</f>
        <v>0</v>
      </c>
      <c r="S138" s="1" t="b">
        <f>0=0=521</f>
        <v>0</v>
      </c>
      <c r="T138" s="1" t="b">
        <f>0=818</f>
        <v>0</v>
      </c>
      <c r="U138" s="1">
        <f>0.191</f>
        <v>0.191</v>
      </c>
      <c r="V138" s="1">
        <v>154.941</v>
      </c>
      <c r="W138">
        <v>4</v>
      </c>
    </row>
    <row r="139" spans="1:23" x14ac:dyDescent="0.25">
      <c r="A139" s="1" t="s">
        <v>12983</v>
      </c>
      <c r="B139" s="1" t="s">
        <v>12984</v>
      </c>
      <c r="C139" s="1" t="s">
        <v>1437</v>
      </c>
      <c r="D139" s="1" t="s">
        <v>1437</v>
      </c>
      <c r="E139" s="1" t="s">
        <v>1438</v>
      </c>
      <c r="F139" s="10">
        <v>44678</v>
      </c>
      <c r="G139">
        <v>167612</v>
      </c>
      <c r="H139">
        <v>36</v>
      </c>
      <c r="I139" s="1" t="s">
        <v>12717</v>
      </c>
      <c r="J139" s="11">
        <v>44722.112071759257</v>
      </c>
      <c r="K139" s="1" t="s">
        <v>1439</v>
      </c>
      <c r="L139" s="1">
        <f>0.511</f>
        <v>0.51100000000000001</v>
      </c>
      <c r="M139" s="1">
        <f>0.895</f>
        <v>0.89500000000000002</v>
      </c>
      <c r="N139">
        <v>1</v>
      </c>
      <c r="O139" s="1">
        <v>-2.363</v>
      </c>
      <c r="P139">
        <v>1</v>
      </c>
      <c r="Q139" s="1" t="b">
        <f>0=483</f>
        <v>0</v>
      </c>
      <c r="R139" s="1" t="b">
        <f>0=519</f>
        <v>0</v>
      </c>
      <c r="S139" s="1">
        <f>0</f>
        <v>0</v>
      </c>
      <c r="T139" s="1">
        <f>0.715</f>
        <v>0.71499999999999997</v>
      </c>
      <c r="U139" s="1">
        <f>0.23</f>
        <v>0.23</v>
      </c>
      <c r="V139" s="1" t="s">
        <v>13095</v>
      </c>
      <c r="W139">
        <v>4</v>
      </c>
    </row>
    <row r="140" spans="1:23" x14ac:dyDescent="0.25">
      <c r="A140" s="1" t="s">
        <v>12985</v>
      </c>
      <c r="B140" s="1" t="s">
        <v>12986</v>
      </c>
      <c r="C140" s="1" t="s">
        <v>1440</v>
      </c>
      <c r="D140" s="1" t="s">
        <v>1440</v>
      </c>
      <c r="E140" s="1" t="s">
        <v>1441</v>
      </c>
      <c r="F140" s="10">
        <v>42942</v>
      </c>
      <c r="G140">
        <v>197647</v>
      </c>
      <c r="H140">
        <v>52</v>
      </c>
      <c r="I140" s="1" t="s">
        <v>12717</v>
      </c>
      <c r="J140" s="11">
        <v>44722.112071759257</v>
      </c>
      <c r="K140" s="1" t="s">
        <v>1442</v>
      </c>
      <c r="L140" s="1">
        <f>0.555</f>
        <v>0.55500000000000005</v>
      </c>
      <c r="M140" s="1">
        <f>0.954</f>
        <v>0.95399999999999996</v>
      </c>
      <c r="N140">
        <v>5</v>
      </c>
      <c r="O140" s="1" t="s">
        <v>13096</v>
      </c>
      <c r="P140">
        <v>1</v>
      </c>
      <c r="Q140" s="1" t="b">
        <f>0=849</f>
        <v>0</v>
      </c>
      <c r="R140" s="1" t="b">
        <f>0=0=0=597</f>
        <v>0</v>
      </c>
      <c r="S140" s="1">
        <f>0.276</f>
        <v>0.27600000000000002</v>
      </c>
      <c r="T140" s="1" t="b">
        <f>0=292</f>
        <v>0</v>
      </c>
      <c r="U140" s="1">
        <f>0.4</f>
        <v>0.4</v>
      </c>
      <c r="V140" s="1">
        <v>169.95599999999999</v>
      </c>
      <c r="W140">
        <v>4</v>
      </c>
    </row>
    <row r="141" spans="1:23" x14ac:dyDescent="0.25">
      <c r="A141" s="1" t="s">
        <v>12987</v>
      </c>
      <c r="B141" s="1" t="s">
        <v>12988</v>
      </c>
      <c r="C141" s="1" t="s">
        <v>1443</v>
      </c>
      <c r="D141" s="1" t="s">
        <v>12989</v>
      </c>
      <c r="E141" s="1" t="s">
        <v>1444</v>
      </c>
      <c r="F141" s="10">
        <v>43707</v>
      </c>
      <c r="G141">
        <v>204906</v>
      </c>
      <c r="H141">
        <v>57</v>
      </c>
      <c r="I141" s="1" t="s">
        <v>12717</v>
      </c>
      <c r="J141" s="11">
        <v>44722.112071759257</v>
      </c>
      <c r="K141" s="1" t="s">
        <v>1445</v>
      </c>
      <c r="L141" s="1">
        <f>0.467</f>
        <v>0.46700000000000003</v>
      </c>
      <c r="M141" s="1">
        <f>0.965</f>
        <v>0.96499999999999997</v>
      </c>
      <c r="N141">
        <v>7</v>
      </c>
      <c r="O141" s="1">
        <v>-1.5640000000000001</v>
      </c>
      <c r="P141">
        <v>1</v>
      </c>
      <c r="Q141" s="1">
        <f>0.119</f>
        <v>0.11899999999999999</v>
      </c>
      <c r="R141" s="1" t="b">
        <f>0=155</f>
        <v>0</v>
      </c>
      <c r="S141" s="1" t="b">
        <f>0=0=155</f>
        <v>0</v>
      </c>
      <c r="T141" s="1">
        <f>0.116</f>
        <v>0.11600000000000001</v>
      </c>
      <c r="U141" s="1">
        <f>0.174</f>
        <v>0.17399999999999999</v>
      </c>
      <c r="V141" s="1">
        <v>164.96100000000001</v>
      </c>
      <c r="W141">
        <v>4</v>
      </c>
    </row>
    <row r="142" spans="1:23" x14ac:dyDescent="0.25">
      <c r="A142" s="1" t="s">
        <v>12990</v>
      </c>
      <c r="B142" s="1" t="s">
        <v>12977</v>
      </c>
      <c r="C142" s="1" t="s">
        <v>1446</v>
      </c>
      <c r="D142" s="1" t="s">
        <v>1446</v>
      </c>
      <c r="E142" s="1" t="s">
        <v>1430</v>
      </c>
      <c r="F142" s="10">
        <v>44701</v>
      </c>
      <c r="G142">
        <v>214370</v>
      </c>
      <c r="H142">
        <v>38</v>
      </c>
      <c r="I142" s="1" t="s">
        <v>12717</v>
      </c>
      <c r="J142" s="11">
        <v>44722.112071759257</v>
      </c>
      <c r="K142" s="1" t="s">
        <v>50</v>
      </c>
      <c r="L142" s="1">
        <f>0.346</f>
        <v>0.34599999999999997</v>
      </c>
      <c r="M142" s="1">
        <f>0.982</f>
        <v>0.98199999999999998</v>
      </c>
      <c r="N142">
        <v>3</v>
      </c>
      <c r="O142" s="1">
        <v>-3.4510000000000001</v>
      </c>
      <c r="P142">
        <v>1</v>
      </c>
      <c r="Q142" s="1" t="b">
        <f>0.3=6</f>
        <v>0</v>
      </c>
      <c r="R142" s="1" t="b">
        <f>0=0=111</f>
        <v>0</v>
      </c>
      <c r="S142" s="1" t="b">
        <f>0=0=0=0=0=421</f>
        <v>0</v>
      </c>
      <c r="T142" s="1">
        <f>0.384</f>
        <v>0.38400000000000001</v>
      </c>
      <c r="U142" s="1">
        <f>0.127</f>
        <v>0.127</v>
      </c>
      <c r="V142" s="1" t="s">
        <v>13097</v>
      </c>
      <c r="W142">
        <v>4</v>
      </c>
    </row>
    <row r="143" spans="1:23" x14ac:dyDescent="0.25">
      <c r="A143" s="1" t="s">
        <v>12725</v>
      </c>
      <c r="B143" s="1" t="s">
        <v>12726</v>
      </c>
      <c r="C143" s="1" t="s">
        <v>1183</v>
      </c>
      <c r="D143" s="1" t="s">
        <v>1183</v>
      </c>
      <c r="E143" s="1" t="s">
        <v>1184</v>
      </c>
      <c r="F143" s="10">
        <v>44204</v>
      </c>
      <c r="G143">
        <v>224000</v>
      </c>
      <c r="H143">
        <v>58</v>
      </c>
      <c r="I143" s="1" t="s">
        <v>12717</v>
      </c>
      <c r="J143" s="11">
        <v>44722.112071759257</v>
      </c>
      <c r="K143" s="1" t="s">
        <v>1070</v>
      </c>
      <c r="L143" s="1">
        <f>0.484</f>
        <v>0.48399999999999999</v>
      </c>
      <c r="M143" s="1">
        <f>0.955</f>
        <v>0.95499999999999996</v>
      </c>
      <c r="N143">
        <v>6</v>
      </c>
      <c r="O143" s="1">
        <v>-2.9390000000000001</v>
      </c>
      <c r="P143">
        <f>0</f>
        <v>0</v>
      </c>
      <c r="Q143" s="1" t="b">
        <f>0=452</f>
        <v>0</v>
      </c>
      <c r="R143" s="1" t="b">
        <f>0=0=513</f>
        <v>0</v>
      </c>
      <c r="S143" s="1">
        <f>0.884</f>
        <v>0.88400000000000001</v>
      </c>
      <c r="T143" s="1" t="b">
        <f>0=91</f>
        <v>0</v>
      </c>
      <c r="U143" s="1">
        <f>0.261</f>
        <v>0.26100000000000001</v>
      </c>
      <c r="V143" s="1">
        <v>149.99100000000001</v>
      </c>
      <c r="W143">
        <v>4</v>
      </c>
    </row>
    <row r="144" spans="1:23" x14ac:dyDescent="0.25">
      <c r="A144" s="1" t="s">
        <v>12991</v>
      </c>
      <c r="B144" s="1" t="s">
        <v>12992</v>
      </c>
      <c r="C144" s="1" t="s">
        <v>1447</v>
      </c>
      <c r="D144" s="1" t="s">
        <v>1447</v>
      </c>
      <c r="E144" s="1" t="s">
        <v>1448</v>
      </c>
      <c r="F144" s="10">
        <v>44127</v>
      </c>
      <c r="G144">
        <v>230741</v>
      </c>
      <c r="H144">
        <v>42</v>
      </c>
      <c r="I144" s="1" t="s">
        <v>12717</v>
      </c>
      <c r="J144" s="11">
        <v>44722.112071759257</v>
      </c>
      <c r="K144" s="1" t="s">
        <v>1140</v>
      </c>
      <c r="L144" s="1" t="b">
        <f>0.4=8</f>
        <v>0</v>
      </c>
      <c r="M144" s="1">
        <f>0.942</f>
        <v>0.94199999999999995</v>
      </c>
      <c r="N144">
        <v>9</v>
      </c>
      <c r="O144" s="1">
        <v>-2.2450000000000001</v>
      </c>
      <c r="P144">
        <f>0</f>
        <v>0</v>
      </c>
      <c r="Q144" s="1" t="b">
        <f>0=7=3</f>
        <v>0</v>
      </c>
      <c r="R144" s="1" t="b">
        <f>0=0=369</f>
        <v>0</v>
      </c>
      <c r="S144" s="1">
        <f>0</f>
        <v>0</v>
      </c>
      <c r="T144" s="1" t="b">
        <f>0=527</f>
        <v>0</v>
      </c>
      <c r="U144" s="1" t="b">
        <f>0=782</f>
        <v>0</v>
      </c>
      <c r="V144" s="1" t="s">
        <v>13098</v>
      </c>
      <c r="W144">
        <v>4</v>
      </c>
    </row>
    <row r="145" spans="1:23" x14ac:dyDescent="0.25">
      <c r="A145" s="1" t="s">
        <v>12993</v>
      </c>
      <c r="B145" s="1" t="s">
        <v>12994</v>
      </c>
      <c r="C145" s="1" t="s">
        <v>1449</v>
      </c>
      <c r="D145" s="1" t="s">
        <v>1449</v>
      </c>
      <c r="E145" s="1" t="s">
        <v>1450</v>
      </c>
      <c r="F145" s="10">
        <v>44589</v>
      </c>
      <c r="G145">
        <v>243178</v>
      </c>
      <c r="H145">
        <v>41</v>
      </c>
      <c r="I145" s="1" t="s">
        <v>12717</v>
      </c>
      <c r="J145" s="11">
        <v>44722.112071759257</v>
      </c>
      <c r="K145" s="1" t="s">
        <v>1223</v>
      </c>
      <c r="L145" s="1" t="b">
        <f>0.3=1</f>
        <v>0</v>
      </c>
      <c r="M145" s="1">
        <f>0.64</f>
        <v>0.64</v>
      </c>
      <c r="N145">
        <v>2</v>
      </c>
      <c r="O145" s="1" t="s">
        <v>13099</v>
      </c>
      <c r="P145">
        <f>0</f>
        <v>0</v>
      </c>
      <c r="Q145" s="1" t="b">
        <f>0=352</f>
        <v>0</v>
      </c>
      <c r="R145" s="1">
        <f>0.216</f>
        <v>0.216</v>
      </c>
      <c r="S145" s="1" t="b">
        <f>0=416</f>
        <v>0</v>
      </c>
      <c r="T145" s="1" t="b">
        <f>0=921</f>
        <v>0</v>
      </c>
      <c r="U145" s="1" t="b">
        <f>0=4=8</f>
        <v>0</v>
      </c>
      <c r="V145" s="1" t="s">
        <v>13100</v>
      </c>
      <c r="W145">
        <v>4</v>
      </c>
    </row>
    <row r="146" spans="1:23" x14ac:dyDescent="0.25">
      <c r="A146" s="1" t="s">
        <v>12995</v>
      </c>
      <c r="B146" s="1" t="s">
        <v>12996</v>
      </c>
      <c r="C146" s="1" t="s">
        <v>1451</v>
      </c>
      <c r="D146" s="1" t="s">
        <v>1451</v>
      </c>
      <c r="E146" s="1" t="s">
        <v>1452</v>
      </c>
      <c r="F146" s="10">
        <v>44701</v>
      </c>
      <c r="G146">
        <v>222113</v>
      </c>
      <c r="H146">
        <v>46</v>
      </c>
      <c r="I146" s="1" t="s">
        <v>12717</v>
      </c>
      <c r="J146" s="11">
        <v>44722.112071759257</v>
      </c>
      <c r="K146" s="1" t="s">
        <v>1453</v>
      </c>
      <c r="L146" s="1">
        <f>0.487</f>
        <v>0.48699999999999999</v>
      </c>
      <c r="M146" s="1">
        <f>0.911</f>
        <v>0.91100000000000003</v>
      </c>
      <c r="N146">
        <v>6</v>
      </c>
      <c r="O146" s="1">
        <v>-4.3339999999999996</v>
      </c>
      <c r="P146">
        <f>0</f>
        <v>0</v>
      </c>
      <c r="Q146" s="1" t="b">
        <f>0.2=5</f>
        <v>0</v>
      </c>
      <c r="R146" s="1" t="b">
        <f>0=277</f>
        <v>0</v>
      </c>
      <c r="S146" s="1" t="b">
        <f>0=0=0=0=0=288</f>
        <v>0</v>
      </c>
      <c r="T146" s="1">
        <f>0.361</f>
        <v>0.36099999999999999</v>
      </c>
      <c r="U146" s="1">
        <f>0.389</f>
        <v>0.38900000000000001</v>
      </c>
      <c r="V146" s="1">
        <v>154.95599999999999</v>
      </c>
      <c r="W146">
        <v>4</v>
      </c>
    </row>
    <row r="147" spans="1:23" x14ac:dyDescent="0.25">
      <c r="A147" s="1" t="s">
        <v>12997</v>
      </c>
      <c r="B147" s="1" t="s">
        <v>12998</v>
      </c>
      <c r="C147" s="1" t="s">
        <v>1454</v>
      </c>
      <c r="D147" s="1" t="s">
        <v>1454</v>
      </c>
      <c r="E147" s="1" t="s">
        <v>1455</v>
      </c>
      <c r="F147" s="10">
        <v>44651</v>
      </c>
      <c r="G147">
        <v>153000</v>
      </c>
      <c r="H147">
        <v>38</v>
      </c>
      <c r="I147" s="1" t="s">
        <v>12717</v>
      </c>
      <c r="J147" s="11">
        <v>44722.112071759257</v>
      </c>
      <c r="K147" s="1" t="s">
        <v>1140</v>
      </c>
      <c r="L147" s="1">
        <f>0.361</f>
        <v>0.36099999999999999</v>
      </c>
      <c r="M147" s="1">
        <f>0.815</f>
        <v>0.81499999999999995</v>
      </c>
      <c r="N147">
        <f>0</f>
        <v>0</v>
      </c>
      <c r="O147" s="1">
        <v>-4.4930000000000003</v>
      </c>
      <c r="P147">
        <v>1</v>
      </c>
      <c r="Q147" s="1" t="b">
        <f>0=788</f>
        <v>0</v>
      </c>
      <c r="R147" s="1" t="b">
        <f>0=269</f>
        <v>0</v>
      </c>
      <c r="S147" s="1">
        <f>0</f>
        <v>0</v>
      </c>
      <c r="T147" s="1">
        <f>0.338</f>
        <v>0.33800000000000002</v>
      </c>
      <c r="U147" s="1">
        <f>0.572</f>
        <v>0.57199999999999995</v>
      </c>
      <c r="V147" s="1">
        <v>159.93100000000001</v>
      </c>
      <c r="W147">
        <v>4</v>
      </c>
    </row>
    <row r="148" spans="1:23" x14ac:dyDescent="0.25">
      <c r="A148" s="1" t="s">
        <v>12999</v>
      </c>
      <c r="B148" s="1" t="s">
        <v>12732</v>
      </c>
      <c r="C148" s="1" t="s">
        <v>1456</v>
      </c>
      <c r="D148" s="1" t="s">
        <v>12733</v>
      </c>
      <c r="E148" s="1" t="s">
        <v>1192</v>
      </c>
      <c r="F148" s="10">
        <v>44645</v>
      </c>
      <c r="G148">
        <v>239588</v>
      </c>
      <c r="H148">
        <v>45</v>
      </c>
      <c r="I148" s="1" t="s">
        <v>12717</v>
      </c>
      <c r="J148" s="11">
        <v>44722.112071759257</v>
      </c>
      <c r="K148" s="1" t="s">
        <v>673</v>
      </c>
      <c r="L148" s="1">
        <f>0.279</f>
        <v>0.27900000000000003</v>
      </c>
      <c r="M148" s="1">
        <f>0.95</f>
        <v>0.95</v>
      </c>
      <c r="N148">
        <v>9</v>
      </c>
      <c r="O148" s="1">
        <v>-4.2130000000000001</v>
      </c>
      <c r="P148">
        <v>1</v>
      </c>
      <c r="Q148" s="1" t="b">
        <f>0=973</f>
        <v>0</v>
      </c>
      <c r="R148" s="1" t="b">
        <f>0=0=16</f>
        <v>0</v>
      </c>
      <c r="S148" s="1" t="b">
        <f>0=198</f>
        <v>0</v>
      </c>
      <c r="T148" s="1">
        <f>0.321</f>
        <v>0.32100000000000001</v>
      </c>
      <c r="U148" s="1">
        <f>0.162</f>
        <v>0.16200000000000001</v>
      </c>
      <c r="V148" s="1" t="s">
        <v>13072</v>
      </c>
      <c r="W148">
        <v>4</v>
      </c>
    </row>
    <row r="149" spans="1:23" x14ac:dyDescent="0.25">
      <c r="A149" s="1" t="s">
        <v>13000</v>
      </c>
      <c r="B149" s="1" t="s">
        <v>12937</v>
      </c>
      <c r="C149" s="1" t="s">
        <v>1457</v>
      </c>
      <c r="D149" s="1" t="s">
        <v>1457</v>
      </c>
      <c r="E149" s="1" t="s">
        <v>1390</v>
      </c>
      <c r="F149" s="10">
        <v>44589</v>
      </c>
      <c r="G149">
        <v>150402</v>
      </c>
      <c r="H149">
        <v>47</v>
      </c>
      <c r="I149" s="1" t="s">
        <v>12717</v>
      </c>
      <c r="J149" s="11">
        <v>44722.112071759257</v>
      </c>
      <c r="K149" s="1" t="s">
        <v>632</v>
      </c>
      <c r="L149" s="1">
        <f>0.527</f>
        <v>0.52700000000000002</v>
      </c>
      <c r="M149" s="1">
        <f>0.92</f>
        <v>0.92</v>
      </c>
      <c r="N149">
        <v>2</v>
      </c>
      <c r="O149" s="1">
        <v>-3.4260000000000002</v>
      </c>
      <c r="P149">
        <f>0</f>
        <v>0</v>
      </c>
      <c r="Q149" s="1" t="b">
        <f>0=369</f>
        <v>0</v>
      </c>
      <c r="R149" s="1" t="b">
        <f>0=0=841</f>
        <v>0</v>
      </c>
      <c r="S149" s="1">
        <f>0</f>
        <v>0</v>
      </c>
      <c r="T149" s="1" t="b">
        <f>0=283</f>
        <v>0</v>
      </c>
      <c r="U149" s="1">
        <f>0.385</f>
        <v>0.38500000000000001</v>
      </c>
      <c r="V149" s="1" t="s">
        <v>13101</v>
      </c>
      <c r="W149">
        <v>4</v>
      </c>
    </row>
    <row r="150" spans="1:23" x14ac:dyDescent="0.25">
      <c r="A150" s="1" t="s">
        <v>13001</v>
      </c>
      <c r="B150" s="1" t="s">
        <v>12716</v>
      </c>
      <c r="C150" s="1" t="s">
        <v>1458</v>
      </c>
      <c r="D150" s="1" t="s">
        <v>1458</v>
      </c>
      <c r="E150" s="1" t="s">
        <v>1173</v>
      </c>
      <c r="F150" s="10">
        <v>44013</v>
      </c>
      <c r="G150">
        <v>242781</v>
      </c>
      <c r="H150">
        <v>57</v>
      </c>
      <c r="I150" s="1" t="s">
        <v>12717</v>
      </c>
      <c r="J150" s="11">
        <v>44722.112071759257</v>
      </c>
      <c r="K150" s="1" t="s">
        <v>1174</v>
      </c>
      <c r="L150" s="1">
        <f>0.496</f>
        <v>0.496</v>
      </c>
      <c r="M150" s="1">
        <f>0.949</f>
        <v>0.94899999999999995</v>
      </c>
      <c r="N150">
        <v>6</v>
      </c>
      <c r="O150" s="1">
        <v>-4.1870000000000003</v>
      </c>
      <c r="P150">
        <f>0</f>
        <v>0</v>
      </c>
      <c r="Q150" s="1">
        <f>0.12</f>
        <v>0.12</v>
      </c>
      <c r="R150" s="1" t="b">
        <f>0=0=0=8=7</f>
        <v>0</v>
      </c>
      <c r="S150" s="1" t="b">
        <f>0=0=0=0=0=997</f>
        <v>0</v>
      </c>
      <c r="T150" s="1">
        <f>0.153</f>
        <v>0.153</v>
      </c>
      <c r="U150" s="1">
        <f>0.344</f>
        <v>0.34399999999999997</v>
      </c>
      <c r="V150" s="1" t="s">
        <v>13087</v>
      </c>
      <c r="W150">
        <v>4</v>
      </c>
    </row>
    <row r="151" spans="1:23" x14ac:dyDescent="0.25">
      <c r="A151" s="1" t="s">
        <v>13002</v>
      </c>
      <c r="B151" s="1" t="s">
        <v>12407</v>
      </c>
      <c r="C151" s="1" t="s">
        <v>1213</v>
      </c>
      <c r="D151" s="1" t="s">
        <v>12733</v>
      </c>
      <c r="E151" s="1" t="s">
        <v>906</v>
      </c>
      <c r="F151" s="10">
        <v>44645</v>
      </c>
      <c r="G151">
        <v>262587</v>
      </c>
      <c r="H151">
        <v>41</v>
      </c>
      <c r="I151" s="1" t="s">
        <v>12717</v>
      </c>
      <c r="J151" s="11">
        <v>44722.112071759257</v>
      </c>
      <c r="K151" s="1" t="s">
        <v>807</v>
      </c>
      <c r="L151" s="1">
        <f>0.482</f>
        <v>0.48199999999999998</v>
      </c>
      <c r="M151" s="1">
        <f>0.935</f>
        <v>0.93500000000000005</v>
      </c>
      <c r="N151">
        <v>8</v>
      </c>
      <c r="O151" s="1" t="s">
        <v>13033</v>
      </c>
      <c r="P151">
        <f>0</f>
        <v>0</v>
      </c>
      <c r="Q151" s="1" t="b">
        <f>0.1=8</f>
        <v>0</v>
      </c>
      <c r="R151" s="1" t="b">
        <f>0=113</f>
        <v>0</v>
      </c>
      <c r="S151" s="1" t="b">
        <f>0=0=0=65</f>
        <v>0</v>
      </c>
      <c r="T151" s="1">
        <f>0.118</f>
        <v>0.11799999999999999</v>
      </c>
      <c r="U151" s="1">
        <f>0.331</f>
        <v>0.33100000000000002</v>
      </c>
      <c r="V151" s="1" t="s">
        <v>13034</v>
      </c>
      <c r="W151">
        <v>4</v>
      </c>
    </row>
    <row r="152" spans="1:23" x14ac:dyDescent="0.25">
      <c r="A152" s="1" t="s">
        <v>13003</v>
      </c>
      <c r="B152" s="1" t="s">
        <v>13004</v>
      </c>
      <c r="C152" s="1" t="s">
        <v>1459</v>
      </c>
      <c r="D152" s="1" t="s">
        <v>1459</v>
      </c>
      <c r="E152" s="1" t="s">
        <v>1460</v>
      </c>
      <c r="F152" s="10">
        <v>44666</v>
      </c>
      <c r="G152">
        <v>205600</v>
      </c>
      <c r="H152">
        <v>37</v>
      </c>
      <c r="I152" s="1" t="s">
        <v>12717</v>
      </c>
      <c r="J152" s="11">
        <v>44722.112071759257</v>
      </c>
      <c r="K152" s="1" t="s">
        <v>50</v>
      </c>
      <c r="L152" s="1">
        <f>0.628</f>
        <v>0.628</v>
      </c>
      <c r="M152" s="1">
        <f>0.898</f>
        <v>0.89800000000000002</v>
      </c>
      <c r="N152" t="s">
        <v>11825</v>
      </c>
      <c r="O152" s="1">
        <v>-3.69</v>
      </c>
      <c r="P152">
        <f>0</f>
        <v>0</v>
      </c>
      <c r="Q152" s="1" t="b">
        <f>0=43</f>
        <v>0</v>
      </c>
      <c r="R152" s="1" t="b">
        <f>0=122</f>
        <v>0</v>
      </c>
      <c r="S152" s="1" t="b">
        <f>0=0=0=0=564</f>
        <v>0</v>
      </c>
      <c r="T152" s="1">
        <f>0.313</f>
        <v>0.313</v>
      </c>
      <c r="U152" s="1">
        <f>0.487</f>
        <v>0.48699999999999999</v>
      </c>
      <c r="V152" s="1" t="s">
        <v>13102</v>
      </c>
      <c r="W152">
        <v>3</v>
      </c>
    </row>
    <row r="153" spans="1:23" x14ac:dyDescent="0.25">
      <c r="A153" s="1" t="s">
        <v>13005</v>
      </c>
      <c r="B153" s="1" t="s">
        <v>13006</v>
      </c>
      <c r="C153" s="1" t="s">
        <v>1461</v>
      </c>
      <c r="D153" s="1" t="s">
        <v>1461</v>
      </c>
      <c r="E153" s="1" t="s">
        <v>1462</v>
      </c>
      <c r="F153" s="10">
        <v>44652</v>
      </c>
      <c r="G153">
        <v>200000</v>
      </c>
      <c r="H153">
        <v>38</v>
      </c>
      <c r="I153" s="1" t="s">
        <v>12717</v>
      </c>
      <c r="J153" s="11">
        <v>44722.112071759257</v>
      </c>
      <c r="K153" s="1" t="s">
        <v>50</v>
      </c>
      <c r="L153" s="1">
        <f>0.492</f>
        <v>0.49199999999999999</v>
      </c>
      <c r="M153" s="1">
        <f>0.946</f>
        <v>0.94599999999999995</v>
      </c>
      <c r="N153">
        <v>5</v>
      </c>
      <c r="O153" s="1" t="s">
        <v>13103</v>
      </c>
      <c r="P153">
        <f>0</f>
        <v>0</v>
      </c>
      <c r="Q153" s="1" t="b">
        <f>0=723</f>
        <v>0</v>
      </c>
      <c r="R153" s="1" t="b">
        <f>0=0=437</f>
        <v>0</v>
      </c>
      <c r="S153" s="1">
        <f>0.283</f>
        <v>0.28299999999999997</v>
      </c>
      <c r="T153" s="1">
        <f>0.181</f>
        <v>0.18099999999999999</v>
      </c>
      <c r="U153" s="1">
        <f>0.353</f>
        <v>0.35299999999999998</v>
      </c>
      <c r="V153" s="1" t="s">
        <v>13048</v>
      </c>
      <c r="W153">
        <v>3</v>
      </c>
    </row>
    <row r="154" spans="1:23" x14ac:dyDescent="0.25">
      <c r="A154" s="1" t="s">
        <v>13007</v>
      </c>
      <c r="B154" s="1" t="s">
        <v>13008</v>
      </c>
      <c r="C154" s="1" t="s">
        <v>1463</v>
      </c>
      <c r="D154" s="1" t="s">
        <v>1463</v>
      </c>
      <c r="E154" s="1" t="s">
        <v>1464</v>
      </c>
      <c r="F154" s="10">
        <v>44579</v>
      </c>
      <c r="G154">
        <v>220616</v>
      </c>
      <c r="H154">
        <v>40</v>
      </c>
      <c r="I154" s="1" t="s">
        <v>12717</v>
      </c>
      <c r="J154" s="11">
        <v>44722.112071759257</v>
      </c>
      <c r="K154" s="1" t="s">
        <v>874</v>
      </c>
      <c r="L154" s="1">
        <f>0.552</f>
        <v>0.55200000000000005</v>
      </c>
      <c r="M154" s="1">
        <f>0.964</f>
        <v>0.96399999999999997</v>
      </c>
      <c r="N154">
        <v>1</v>
      </c>
      <c r="O154" s="1">
        <v>-3.4860000000000002</v>
      </c>
      <c r="P154">
        <v>1</v>
      </c>
      <c r="Q154" s="1">
        <f>0.19</f>
        <v>0.19</v>
      </c>
      <c r="R154" s="1" t="b">
        <f>0=0=27</f>
        <v>0</v>
      </c>
      <c r="S154" s="1" t="b">
        <f>0=0=0=174</f>
        <v>0</v>
      </c>
      <c r="T154" s="1" t="b">
        <f>0=419</f>
        <v>0</v>
      </c>
      <c r="U154" s="1">
        <f>0.514</f>
        <v>0.51400000000000001</v>
      </c>
      <c r="V154" s="1">
        <v>159.98699999999999</v>
      </c>
      <c r="W154">
        <v>4</v>
      </c>
    </row>
    <row r="155" spans="1:23" x14ac:dyDescent="0.25">
      <c r="A155" s="1" t="s">
        <v>13009</v>
      </c>
      <c r="B155" s="1" t="s">
        <v>13010</v>
      </c>
      <c r="C155" s="1" t="s">
        <v>1465</v>
      </c>
      <c r="D155" s="1" t="s">
        <v>1465</v>
      </c>
      <c r="E155" s="1" t="s">
        <v>1466</v>
      </c>
      <c r="F155" s="10">
        <v>44483</v>
      </c>
      <c r="G155">
        <v>333223</v>
      </c>
      <c r="H155">
        <v>48</v>
      </c>
      <c r="I155" s="1" t="s">
        <v>12717</v>
      </c>
      <c r="J155" s="11">
        <v>44722.112071759257</v>
      </c>
      <c r="K155" s="1" t="s">
        <v>804</v>
      </c>
      <c r="L155" s="1">
        <f>0.242</f>
        <v>0.24199999999999999</v>
      </c>
      <c r="M155" s="1">
        <f>0.952</f>
        <v>0.95199999999999996</v>
      </c>
      <c r="N155">
        <v>1</v>
      </c>
      <c r="O155" s="1">
        <v>-3.73</v>
      </c>
      <c r="P155">
        <f>0</f>
        <v>0</v>
      </c>
      <c r="Q155" s="1">
        <f>0.441</f>
        <v>0.441</v>
      </c>
      <c r="R155" s="1" t="b">
        <f>0=2=2</f>
        <v>0</v>
      </c>
      <c r="S155" s="1">
        <f>0</f>
        <v>0</v>
      </c>
      <c r="T155" s="1" t="b">
        <f>0=925</f>
        <v>0</v>
      </c>
      <c r="U155" s="1">
        <f>0.167</f>
        <v>0.16700000000000001</v>
      </c>
      <c r="V155" s="1">
        <v>155.142</v>
      </c>
      <c r="W155">
        <v>4</v>
      </c>
    </row>
    <row r="156" spans="1:23" x14ac:dyDescent="0.25">
      <c r="A156" s="1" t="s">
        <v>13011</v>
      </c>
      <c r="B156" s="1" t="s">
        <v>12771</v>
      </c>
      <c r="C156" s="1" t="s">
        <v>1467</v>
      </c>
      <c r="D156" s="1" t="s">
        <v>1467</v>
      </c>
      <c r="E156" s="1" t="s">
        <v>1231</v>
      </c>
      <c r="F156" s="10">
        <v>44061</v>
      </c>
      <c r="G156">
        <v>195200</v>
      </c>
      <c r="H156">
        <v>57</v>
      </c>
      <c r="I156" s="1" t="s">
        <v>12717</v>
      </c>
      <c r="J156" s="11">
        <v>44722.112071759257</v>
      </c>
      <c r="K156" s="1" t="s">
        <v>632</v>
      </c>
      <c r="L156" s="1">
        <f>0.549</f>
        <v>0.54900000000000004</v>
      </c>
      <c r="M156" s="1">
        <f>0.921</f>
        <v>0.92100000000000004</v>
      </c>
      <c r="N156">
        <f>0</f>
        <v>0</v>
      </c>
      <c r="O156" s="1">
        <v>-1.1850000000000001</v>
      </c>
      <c r="P156">
        <f>0</f>
        <v>0</v>
      </c>
      <c r="Q156" s="1" t="b">
        <f>0=636</f>
        <v>0</v>
      </c>
      <c r="R156" s="1" t="b">
        <f>0=0=734</f>
        <v>0</v>
      </c>
      <c r="S156" s="1" t="b">
        <f>0=0=0=0=737</f>
        <v>0</v>
      </c>
      <c r="T156" s="1">
        <f>0.184</f>
        <v>0.184</v>
      </c>
      <c r="U156" s="1">
        <f>0.261</f>
        <v>0.26100000000000001</v>
      </c>
      <c r="V156" s="1">
        <v>149.95500000000001</v>
      </c>
      <c r="W156">
        <v>4</v>
      </c>
    </row>
    <row r="157" spans="1:23" x14ac:dyDescent="0.25">
      <c r="A157" s="1" t="s">
        <v>13012</v>
      </c>
      <c r="B157" s="1" t="s">
        <v>12802</v>
      </c>
      <c r="C157" s="1" t="s">
        <v>1468</v>
      </c>
      <c r="D157" s="1" t="s">
        <v>13013</v>
      </c>
      <c r="E157" s="1" t="s">
        <v>1265</v>
      </c>
      <c r="F157" s="10">
        <v>43262</v>
      </c>
      <c r="G157">
        <v>197477</v>
      </c>
      <c r="H157">
        <v>48</v>
      </c>
      <c r="I157" s="1" t="s">
        <v>12717</v>
      </c>
      <c r="J157" s="11">
        <v>44722.112071759257</v>
      </c>
      <c r="K157" s="1" t="s">
        <v>1266</v>
      </c>
      <c r="L157" s="1">
        <f>0.438</f>
        <v>0.438</v>
      </c>
      <c r="M157" s="1">
        <f>0.949</f>
        <v>0.94899999999999995</v>
      </c>
      <c r="N157">
        <v>1</v>
      </c>
      <c r="O157" s="1">
        <v>-1.7190000000000001</v>
      </c>
      <c r="P157">
        <f>0</f>
        <v>0</v>
      </c>
      <c r="Q157" s="1" t="b">
        <f>0=47</f>
        <v>0</v>
      </c>
      <c r="R157" s="1" t="b">
        <f>0=146</f>
        <v>0</v>
      </c>
      <c r="S157" s="1" t="b">
        <f>0=0=0=6=7</f>
        <v>0</v>
      </c>
      <c r="T157" s="1" t="b">
        <f>0=989</f>
        <v>0</v>
      </c>
      <c r="U157" s="1">
        <f>0.154</f>
        <v>0.154</v>
      </c>
      <c r="V157" s="1" t="s">
        <v>13104</v>
      </c>
      <c r="W157">
        <v>4</v>
      </c>
    </row>
    <row r="158" spans="1:23" x14ac:dyDescent="0.25">
      <c r="A158" s="1" t="s">
        <v>13014</v>
      </c>
      <c r="B158" s="1" t="s">
        <v>13015</v>
      </c>
      <c r="C158" s="1" t="s">
        <v>1469</v>
      </c>
      <c r="D158" s="1" t="s">
        <v>1469</v>
      </c>
      <c r="E158" s="1" t="s">
        <v>1470</v>
      </c>
      <c r="F158" s="10">
        <v>44421</v>
      </c>
      <c r="G158">
        <v>187678</v>
      </c>
      <c r="H158">
        <v>47</v>
      </c>
      <c r="I158" s="1" t="s">
        <v>12717</v>
      </c>
      <c r="J158" s="11">
        <v>44722.112071759257</v>
      </c>
      <c r="K158" s="1" t="s">
        <v>1053</v>
      </c>
      <c r="L158" s="1">
        <f>0.162</f>
        <v>0.16200000000000001</v>
      </c>
      <c r="M158" s="1">
        <f>0.822</f>
        <v>0.82199999999999995</v>
      </c>
      <c r="N158">
        <v>1</v>
      </c>
      <c r="O158" s="1">
        <v>-3.8290000000000002</v>
      </c>
      <c r="P158">
        <v>1</v>
      </c>
      <c r="Q158" s="1" t="b">
        <f>0=669</f>
        <v>0</v>
      </c>
      <c r="R158" s="1" t="b">
        <f>0=125</f>
        <v>0</v>
      </c>
      <c r="S158" s="1">
        <f>0.665</f>
        <v>0.66500000000000004</v>
      </c>
      <c r="T158" s="1">
        <f>0.52</f>
        <v>0.52</v>
      </c>
      <c r="U158" s="1">
        <f>0.295</f>
        <v>0.29499999999999998</v>
      </c>
      <c r="V158" s="1" t="s">
        <v>13105</v>
      </c>
      <c r="W158">
        <v>4</v>
      </c>
    </row>
    <row r="159" spans="1:23" x14ac:dyDescent="0.25">
      <c r="A159" s="1" t="s">
        <v>13016</v>
      </c>
      <c r="B159" s="1" t="s">
        <v>13017</v>
      </c>
      <c r="C159" s="1" t="s">
        <v>1471</v>
      </c>
      <c r="D159" s="1" t="s">
        <v>1471</v>
      </c>
      <c r="E159" s="1" t="s">
        <v>1472</v>
      </c>
      <c r="F159" s="10">
        <v>44490</v>
      </c>
      <c r="G159">
        <v>252000</v>
      </c>
      <c r="H159">
        <v>41</v>
      </c>
      <c r="I159" s="1" t="s">
        <v>12717</v>
      </c>
      <c r="J159" s="11">
        <v>44722.112071759257</v>
      </c>
      <c r="K159" s="1" t="s">
        <v>1473</v>
      </c>
      <c r="L159" s="1">
        <f>0.456</f>
        <v>0.45600000000000002</v>
      </c>
      <c r="M159" s="1">
        <f>0.892</f>
        <v>0.89200000000000002</v>
      </c>
      <c r="N159">
        <v>6</v>
      </c>
      <c r="O159" s="1">
        <v>-4.7590000000000003</v>
      </c>
      <c r="P159">
        <f>0</f>
        <v>0</v>
      </c>
      <c r="Q159" s="1">
        <f>0.376</f>
        <v>0.376</v>
      </c>
      <c r="R159" s="1" t="b">
        <f>0=593</f>
        <v>0</v>
      </c>
      <c r="S159" s="1" t="b">
        <f>0=0=0=151</f>
        <v>0</v>
      </c>
      <c r="T159" s="1">
        <f>0.233</f>
        <v>0.23300000000000001</v>
      </c>
      <c r="U159" s="1">
        <f>0.258</f>
        <v>0.25800000000000001</v>
      </c>
      <c r="V159" s="1">
        <v>159.88300000000001</v>
      </c>
      <c r="W159">
        <v>4</v>
      </c>
    </row>
    <row r="160" spans="1:23" x14ac:dyDescent="0.25">
      <c r="A160" s="1" t="s">
        <v>13018</v>
      </c>
      <c r="B160" s="1" t="s">
        <v>12178</v>
      </c>
      <c r="C160" s="1" t="s">
        <v>1474</v>
      </c>
      <c r="D160" s="1" t="s">
        <v>1474</v>
      </c>
      <c r="E160" s="1" t="s">
        <v>702</v>
      </c>
      <c r="F160" s="10">
        <v>44575</v>
      </c>
      <c r="G160">
        <v>190739</v>
      </c>
      <c r="H160">
        <v>50</v>
      </c>
      <c r="I160" s="1" t="s">
        <v>12717</v>
      </c>
      <c r="J160" s="11">
        <v>44722.112071759257</v>
      </c>
      <c r="K160" s="1" t="s">
        <v>632</v>
      </c>
      <c r="L160" s="1" t="b">
        <f>0.5=1</f>
        <v>0</v>
      </c>
      <c r="M160" s="1">
        <f>0.889</f>
        <v>0.88900000000000001</v>
      </c>
      <c r="N160">
        <v>2</v>
      </c>
      <c r="O160" s="1">
        <v>-3.8620000000000001</v>
      </c>
      <c r="P160">
        <f>0</f>
        <v>0</v>
      </c>
      <c r="Q160" s="1" t="b">
        <f>0=432</f>
        <v>0</v>
      </c>
      <c r="R160" s="1" t="b">
        <f>0=117</f>
        <v>0</v>
      </c>
      <c r="S160" s="1">
        <f>0</f>
        <v>0</v>
      </c>
      <c r="T160" s="1">
        <f>0.121</f>
        <v>0.121</v>
      </c>
      <c r="U160" s="1">
        <f>0.323</f>
        <v>0.32300000000000001</v>
      </c>
      <c r="V160" s="1">
        <v>154.892</v>
      </c>
      <c r="W160">
        <v>4</v>
      </c>
    </row>
    <row r="161" spans="1:23" x14ac:dyDescent="0.25">
      <c r="A161" s="1" t="s">
        <v>13019</v>
      </c>
      <c r="B161" s="1" t="s">
        <v>13020</v>
      </c>
      <c r="C161" s="1" t="s">
        <v>1475</v>
      </c>
      <c r="D161" s="1" t="s">
        <v>1475</v>
      </c>
      <c r="E161" s="1" t="s">
        <v>1476</v>
      </c>
      <c r="F161" s="10">
        <v>44722</v>
      </c>
      <c r="G161">
        <v>204055</v>
      </c>
      <c r="H161">
        <v>26</v>
      </c>
      <c r="I161" s="1" t="s">
        <v>12717</v>
      </c>
      <c r="J161" s="11">
        <v>44723.044618055559</v>
      </c>
      <c r="K161" s="1" t="s">
        <v>1477</v>
      </c>
      <c r="L161" s="1">
        <f>0.485</f>
        <v>0.48499999999999999</v>
      </c>
      <c r="M161" s="1">
        <f>0.966</f>
        <v>0.96599999999999997</v>
      </c>
      <c r="N161">
        <v>6</v>
      </c>
      <c r="O161" s="1" t="s">
        <v>13106</v>
      </c>
      <c r="P161">
        <v>1</v>
      </c>
      <c r="Q161" s="1">
        <f>0.11</f>
        <v>0.11</v>
      </c>
      <c r="R161" s="1" t="b">
        <f>0=0=114</f>
        <v>0</v>
      </c>
      <c r="S161" s="1" t="b">
        <f>0=169</f>
        <v>0</v>
      </c>
      <c r="T161" s="1">
        <f>0.314</f>
        <v>0.314</v>
      </c>
      <c r="U161" s="1">
        <f>0.277</f>
        <v>0.27700000000000002</v>
      </c>
      <c r="V161" s="1">
        <v>159.964</v>
      </c>
      <c r="W161">
        <v>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C3DE9-3AD4-4506-9075-14472679F688}">
  <sheetPr codeName="Sheet33"/>
  <dimension ref="A1:W127"/>
  <sheetViews>
    <sheetView topLeftCell="J1" workbookViewId="0">
      <selection activeCell="L1" sqref="L1:W1048576"/>
    </sheetView>
  </sheetViews>
  <sheetFormatPr defaultRowHeight="15" x14ac:dyDescent="0.25"/>
  <cols>
    <col min="1" max="1" width="28.7109375" bestFit="1" customWidth="1"/>
    <col min="2" max="3" width="81.140625" bestFit="1" customWidth="1"/>
    <col min="4" max="4" width="73.85546875" bestFit="1" customWidth="1"/>
    <col min="5" max="5" width="81.140625" bestFit="1" customWidth="1"/>
    <col min="6" max="6" width="14.85546875" bestFit="1" customWidth="1"/>
    <col min="7" max="7" width="15.5703125" bestFit="1" customWidth="1"/>
    <col min="8" max="8" width="12.42578125" bestFit="1" customWidth="1"/>
    <col min="9" max="9" width="39.42578125" bestFit="1" customWidth="1"/>
    <col min="10" max="10" width="15.85546875" bestFit="1" customWidth="1"/>
    <col min="11" max="11" width="81.140625" bestFit="1" customWidth="1"/>
    <col min="12" max="12" width="14.28515625" bestFit="1" customWidth="1"/>
    <col min="13" max="13" width="9.28515625" bestFit="1" customWidth="1"/>
    <col min="14" max="14" width="6.5703125" bestFit="1" customWidth="1"/>
    <col min="15" max="15" width="11.5703125" bestFit="1" customWidth="1"/>
    <col min="16" max="16" width="8.5703125" bestFit="1" customWidth="1"/>
    <col min="17" max="17" width="14.28515625" bestFit="1" customWidth="1"/>
    <col min="18" max="18" width="14.7109375" bestFit="1" customWidth="1"/>
    <col min="19" max="19" width="18.85546875" bestFit="1" customWidth="1"/>
    <col min="20" max="20" width="10.85546875" bestFit="1" customWidth="1"/>
    <col min="21" max="21" width="10.42578125" bestFit="1" customWidth="1"/>
    <col min="22" max="22" width="9.42578125" bestFit="1" customWidth="1"/>
    <col min="23" max="23" width="16.7109375" bestFit="1" customWidth="1"/>
  </cols>
  <sheetData>
    <row r="1" spans="1:23" x14ac:dyDescent="0.25">
      <c r="A1" t="s">
        <v>11055</v>
      </c>
      <c r="B1" t="s">
        <v>11056</v>
      </c>
      <c r="C1" t="s">
        <v>0</v>
      </c>
      <c r="D1" t="s">
        <v>11057</v>
      </c>
      <c r="E1" t="s">
        <v>1</v>
      </c>
      <c r="F1" t="s">
        <v>11058</v>
      </c>
      <c r="G1" t="s">
        <v>2</v>
      </c>
      <c r="H1" t="s">
        <v>3</v>
      </c>
      <c r="I1" t="s">
        <v>11059</v>
      </c>
      <c r="J1" t="s">
        <v>11060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</row>
    <row r="2" spans="1:23" x14ac:dyDescent="0.25">
      <c r="A2" s="1" t="s">
        <v>13107</v>
      </c>
      <c r="B2" s="1" t="s">
        <v>13108</v>
      </c>
      <c r="C2" s="1" t="s">
        <v>1671</v>
      </c>
      <c r="D2" s="1" t="s">
        <v>13109</v>
      </c>
      <c r="E2" s="1" t="s">
        <v>1672</v>
      </c>
      <c r="F2" s="1" t="s">
        <v>13110</v>
      </c>
      <c r="G2">
        <v>282354</v>
      </c>
      <c r="H2">
        <v>50</v>
      </c>
      <c r="I2" s="1" t="s">
        <v>11063</v>
      </c>
      <c r="J2" s="11">
        <v>44289.971689814818</v>
      </c>
      <c r="K2" s="1" t="s">
        <v>1673</v>
      </c>
      <c r="L2" s="1">
        <f>0.459</f>
        <v>0.45900000000000002</v>
      </c>
      <c r="M2" s="1" t="b">
        <f>0=829</f>
        <v>0</v>
      </c>
      <c r="N2" t="s">
        <v>11825</v>
      </c>
      <c r="O2" s="1">
        <v>-24.866</v>
      </c>
      <c r="P2">
        <v>1</v>
      </c>
      <c r="Q2" s="1" t="b">
        <f>0=52</f>
        <v>0</v>
      </c>
      <c r="R2" s="1">
        <f>0.949</f>
        <v>0.94899999999999995</v>
      </c>
      <c r="S2" s="1">
        <f>0.952</f>
        <v>0.95199999999999996</v>
      </c>
      <c r="T2" s="1">
        <f>0.12</f>
        <v>0.12</v>
      </c>
      <c r="U2" s="1">
        <f>0.155</f>
        <v>0.155</v>
      </c>
      <c r="V2" s="1">
        <v>98.662000000000006</v>
      </c>
      <c r="W2">
        <v>4</v>
      </c>
    </row>
    <row r="3" spans="1:23" x14ac:dyDescent="0.25">
      <c r="A3" s="1" t="s">
        <v>13111</v>
      </c>
      <c r="B3" s="1" t="s">
        <v>13112</v>
      </c>
      <c r="C3" s="1" t="s">
        <v>1674</v>
      </c>
      <c r="D3" s="1" t="s">
        <v>13113</v>
      </c>
      <c r="E3" s="1" t="s">
        <v>1675</v>
      </c>
      <c r="F3" s="1" t="s">
        <v>13114</v>
      </c>
      <c r="G3">
        <v>314305</v>
      </c>
      <c r="H3">
        <v>60</v>
      </c>
      <c r="I3" s="1" t="s">
        <v>11063</v>
      </c>
      <c r="J3" s="11">
        <v>44289.971701388888</v>
      </c>
      <c r="K3" s="1" t="s">
        <v>50</v>
      </c>
      <c r="L3" s="1">
        <f>0.262</f>
        <v>0.26200000000000001</v>
      </c>
      <c r="M3" s="1" t="b">
        <f>0=167</f>
        <v>0</v>
      </c>
      <c r="N3">
        <v>1</v>
      </c>
      <c r="O3" s="1">
        <v>-29.46</v>
      </c>
      <c r="P3">
        <f>0</f>
        <v>0</v>
      </c>
      <c r="Q3" s="1" t="b">
        <f>0=533</f>
        <v>0</v>
      </c>
      <c r="R3" s="1">
        <f>0.994</f>
        <v>0.99399999999999999</v>
      </c>
      <c r="S3" s="1" t="b">
        <f>0.9=8</f>
        <v>0</v>
      </c>
      <c r="T3" s="1">
        <f>0.143</f>
        <v>0.14299999999999999</v>
      </c>
      <c r="U3" s="1">
        <f>0.114</f>
        <v>0.114</v>
      </c>
      <c r="V3" s="1">
        <v>79.841999999999999</v>
      </c>
      <c r="W3">
        <v>3</v>
      </c>
    </row>
    <row r="4" spans="1:23" x14ac:dyDescent="0.25">
      <c r="A4" s="1" t="s">
        <v>13115</v>
      </c>
      <c r="B4" s="1" t="s">
        <v>13112</v>
      </c>
      <c r="C4" s="1" t="s">
        <v>1676</v>
      </c>
      <c r="D4" s="1" t="s">
        <v>13113</v>
      </c>
      <c r="E4" s="1" t="s">
        <v>1675</v>
      </c>
      <c r="F4" s="1" t="s">
        <v>13114</v>
      </c>
      <c r="G4">
        <v>172979</v>
      </c>
      <c r="H4">
        <v>57</v>
      </c>
      <c r="I4" s="1" t="s">
        <v>11063</v>
      </c>
      <c r="J4" s="11">
        <v>44289.971724537034</v>
      </c>
      <c r="K4" s="1" t="s">
        <v>50</v>
      </c>
      <c r="L4" s="1">
        <f>0.263</f>
        <v>0.26300000000000001</v>
      </c>
      <c r="M4" s="1">
        <f>0.127</f>
        <v>0.127</v>
      </c>
      <c r="N4">
        <v>9</v>
      </c>
      <c r="O4" s="1" t="s">
        <v>13378</v>
      </c>
      <c r="P4">
        <f>0</f>
        <v>0</v>
      </c>
      <c r="Q4" s="1" t="b">
        <f>0=423</f>
        <v>0</v>
      </c>
      <c r="R4" s="1">
        <f>0.98</f>
        <v>0.98</v>
      </c>
      <c r="S4" s="1">
        <f>0.849</f>
        <v>0.84899999999999998</v>
      </c>
      <c r="T4" s="1" t="b">
        <f>0.1=9</f>
        <v>0</v>
      </c>
      <c r="U4" s="1" t="b">
        <f>0=9=6</f>
        <v>0</v>
      </c>
      <c r="V4" s="1" t="s">
        <v>13379</v>
      </c>
      <c r="W4">
        <v>4</v>
      </c>
    </row>
    <row r="5" spans="1:23" x14ac:dyDescent="0.25">
      <c r="A5" s="1" t="s">
        <v>13116</v>
      </c>
      <c r="B5" s="1" t="s">
        <v>13117</v>
      </c>
      <c r="C5" s="1" t="s">
        <v>1677</v>
      </c>
      <c r="D5" s="1" t="s">
        <v>1812</v>
      </c>
      <c r="E5" s="1" t="s">
        <v>1678</v>
      </c>
      <c r="F5" s="1" t="s">
        <v>13118</v>
      </c>
      <c r="G5">
        <v>234547</v>
      </c>
      <c r="H5">
        <v>42</v>
      </c>
      <c r="I5" s="1" t="s">
        <v>11063</v>
      </c>
      <c r="J5" s="11">
        <v>44289.971736111111</v>
      </c>
      <c r="K5" s="1" t="s">
        <v>1673</v>
      </c>
      <c r="L5" s="1">
        <f>0.345</f>
        <v>0.34499999999999997</v>
      </c>
      <c r="M5" s="1" t="b">
        <f>0=0=721</f>
        <v>0</v>
      </c>
      <c r="N5">
        <v>6</v>
      </c>
      <c r="O5" s="1">
        <v>-29.184999999999999</v>
      </c>
      <c r="P5">
        <f>0</f>
        <v>0</v>
      </c>
      <c r="Q5" s="1" t="b">
        <f>0=493</f>
        <v>0</v>
      </c>
      <c r="R5" s="1">
        <f>0.988</f>
        <v>0.98799999999999999</v>
      </c>
      <c r="S5" s="1">
        <f>0.951</f>
        <v>0.95099999999999996</v>
      </c>
      <c r="T5" s="1" t="b">
        <f>0.1=9</f>
        <v>0</v>
      </c>
      <c r="U5" s="1">
        <f>0.174</f>
        <v>0.17399999999999999</v>
      </c>
      <c r="V5" s="1" t="s">
        <v>13380</v>
      </c>
      <c r="W5">
        <v>4</v>
      </c>
    </row>
    <row r="6" spans="1:23" x14ac:dyDescent="0.25">
      <c r="A6" s="1" t="s">
        <v>13119</v>
      </c>
      <c r="B6" s="1" t="s">
        <v>13120</v>
      </c>
      <c r="C6" s="1" t="s">
        <v>1679</v>
      </c>
      <c r="D6" s="1" t="s">
        <v>13109</v>
      </c>
      <c r="E6" s="1" t="s">
        <v>1680</v>
      </c>
      <c r="F6" s="1" t="s">
        <v>13110</v>
      </c>
      <c r="G6">
        <v>299444</v>
      </c>
      <c r="H6">
        <v>45</v>
      </c>
      <c r="I6" s="1" t="s">
        <v>11063</v>
      </c>
      <c r="J6" s="11">
        <v>44289.971747685187</v>
      </c>
      <c r="K6" s="1" t="s">
        <v>1681</v>
      </c>
      <c r="L6" s="1">
        <f>0.458</f>
        <v>0.45800000000000002</v>
      </c>
      <c r="M6" s="1" t="b">
        <f>0=0=626</f>
        <v>0</v>
      </c>
      <c r="N6">
        <v>1</v>
      </c>
      <c r="O6" s="1">
        <v>-22.565999999999999</v>
      </c>
      <c r="P6">
        <v>1</v>
      </c>
      <c r="Q6" s="1" t="b">
        <f>0=524</f>
        <v>0</v>
      </c>
      <c r="R6" s="1">
        <f>0.992</f>
        <v>0.99199999999999999</v>
      </c>
      <c r="S6" s="1">
        <f>0.934</f>
        <v>0.93400000000000005</v>
      </c>
      <c r="T6" s="1" t="b">
        <f>0=838</f>
        <v>0</v>
      </c>
      <c r="U6" s="1" t="b">
        <f>0=659</f>
        <v>0</v>
      </c>
      <c r="V6" s="1" t="s">
        <v>13381</v>
      </c>
      <c r="W6">
        <v>3</v>
      </c>
    </row>
    <row r="7" spans="1:23" x14ac:dyDescent="0.25">
      <c r="A7" s="1" t="s">
        <v>13121</v>
      </c>
      <c r="B7" s="1" t="s">
        <v>13117</v>
      </c>
      <c r="C7" s="1" t="s">
        <v>1682</v>
      </c>
      <c r="D7" s="1" t="s">
        <v>1812</v>
      </c>
      <c r="E7" s="1" t="s">
        <v>1678</v>
      </c>
      <c r="F7" s="1" t="s">
        <v>13118</v>
      </c>
      <c r="G7">
        <v>240681</v>
      </c>
      <c r="H7">
        <v>40</v>
      </c>
      <c r="I7" s="1" t="s">
        <v>11063</v>
      </c>
      <c r="J7" s="11">
        <v>44289.97179398148</v>
      </c>
      <c r="K7" s="1" t="s">
        <v>1673</v>
      </c>
      <c r="L7" s="1">
        <f>0.253</f>
        <v>0.253</v>
      </c>
      <c r="M7" s="1" t="b">
        <f>0.1=5</f>
        <v>0</v>
      </c>
      <c r="N7">
        <v>1</v>
      </c>
      <c r="O7" s="1">
        <v>-23.526</v>
      </c>
      <c r="P7">
        <f>0</f>
        <v>0</v>
      </c>
      <c r="Q7" s="1" t="b">
        <f>0=432</f>
        <v>0</v>
      </c>
      <c r="R7" s="1">
        <f>0.982</f>
        <v>0.98199999999999998</v>
      </c>
      <c r="S7" s="1">
        <f>0.932</f>
        <v>0.93200000000000005</v>
      </c>
      <c r="T7" s="1">
        <f>0.447</f>
        <v>0.44700000000000001</v>
      </c>
      <c r="U7" s="1" t="b">
        <f>0.2=3</f>
        <v>0</v>
      </c>
      <c r="V7" s="1">
        <v>128.31200000000001</v>
      </c>
      <c r="W7">
        <v>3</v>
      </c>
    </row>
    <row r="8" spans="1:23" x14ac:dyDescent="0.25">
      <c r="A8" s="1" t="s">
        <v>13122</v>
      </c>
      <c r="B8" s="1" t="s">
        <v>13123</v>
      </c>
      <c r="C8" s="1" t="s">
        <v>1683</v>
      </c>
      <c r="D8" s="1" t="s">
        <v>13109</v>
      </c>
      <c r="E8" s="1" t="s">
        <v>1684</v>
      </c>
      <c r="F8" s="1" t="s">
        <v>13110</v>
      </c>
      <c r="G8">
        <v>134489</v>
      </c>
      <c r="H8">
        <v>45</v>
      </c>
      <c r="I8" s="1" t="s">
        <v>11063</v>
      </c>
      <c r="J8" s="11">
        <v>44289.971805555557</v>
      </c>
      <c r="K8" s="1" t="s">
        <v>1685</v>
      </c>
      <c r="L8" s="1">
        <f>0.386</f>
        <v>0.38600000000000001</v>
      </c>
      <c r="M8" s="1" t="b">
        <f>0=455</f>
        <v>0</v>
      </c>
      <c r="N8">
        <v>4</v>
      </c>
      <c r="O8" s="1">
        <v>-21.716000000000001</v>
      </c>
      <c r="P8">
        <f>0</f>
        <v>0</v>
      </c>
      <c r="Q8" s="1" t="b">
        <f>0=474</f>
        <v>0</v>
      </c>
      <c r="R8" s="1">
        <f>0.978</f>
        <v>0.97799999999999998</v>
      </c>
      <c r="S8" s="1">
        <f>0.925</f>
        <v>0.92500000000000004</v>
      </c>
      <c r="T8" s="1" t="b">
        <f>0=926</f>
        <v>0</v>
      </c>
      <c r="U8" s="1">
        <f>0.332</f>
        <v>0.33200000000000002</v>
      </c>
      <c r="V8" s="1">
        <v>191.85400000000001</v>
      </c>
      <c r="W8">
        <v>4</v>
      </c>
    </row>
    <row r="9" spans="1:23" x14ac:dyDescent="0.25">
      <c r="A9" s="1" t="s">
        <v>13124</v>
      </c>
      <c r="B9" s="1" t="s">
        <v>13112</v>
      </c>
      <c r="C9" s="1" t="s">
        <v>1686</v>
      </c>
      <c r="D9" s="1" t="s">
        <v>13113</v>
      </c>
      <c r="E9" s="1" t="s">
        <v>1675</v>
      </c>
      <c r="F9" s="1" t="s">
        <v>13114</v>
      </c>
      <c r="G9">
        <v>427247</v>
      </c>
      <c r="H9">
        <v>53</v>
      </c>
      <c r="I9" s="1" t="s">
        <v>11063</v>
      </c>
      <c r="J9" s="11">
        <v>44289.971828703703</v>
      </c>
      <c r="K9" s="1" t="s">
        <v>50</v>
      </c>
      <c r="L9" s="1">
        <f>0.242</f>
        <v>0.24199999999999999</v>
      </c>
      <c r="M9" s="1">
        <f>0.193</f>
        <v>0.193</v>
      </c>
      <c r="N9">
        <v>9</v>
      </c>
      <c r="O9" s="1">
        <v>-23.565999999999999</v>
      </c>
      <c r="P9">
        <v>1</v>
      </c>
      <c r="Q9" s="1" t="b">
        <f>0=37</f>
        <v>0</v>
      </c>
      <c r="R9" s="1">
        <f>0.968</f>
        <v>0.96799999999999997</v>
      </c>
      <c r="S9" s="1">
        <f>0.862</f>
        <v>0.86199999999999999</v>
      </c>
      <c r="T9" s="1" t="b">
        <f>0.1=5</f>
        <v>0</v>
      </c>
      <c r="U9" s="1">
        <f>0.113</f>
        <v>0.113</v>
      </c>
      <c r="V9" s="1">
        <v>155.86600000000001</v>
      </c>
      <c r="W9">
        <v>4</v>
      </c>
    </row>
    <row r="10" spans="1:23" x14ac:dyDescent="0.25">
      <c r="A10" s="1" t="s">
        <v>13125</v>
      </c>
      <c r="B10" s="1" t="s">
        <v>13126</v>
      </c>
      <c r="C10" s="1" t="s">
        <v>1687</v>
      </c>
      <c r="D10" s="1" t="s">
        <v>13127</v>
      </c>
      <c r="E10" s="1" t="s">
        <v>1688</v>
      </c>
      <c r="F10" s="1" t="s">
        <v>13128</v>
      </c>
      <c r="G10">
        <v>180248</v>
      </c>
      <c r="H10">
        <v>46</v>
      </c>
      <c r="I10" s="1" t="s">
        <v>11063</v>
      </c>
      <c r="J10" s="11">
        <v>44289.97184027778</v>
      </c>
      <c r="K10" s="1" t="s">
        <v>1689</v>
      </c>
      <c r="L10" s="1">
        <f>0.344</f>
        <v>0.34399999999999997</v>
      </c>
      <c r="M10" s="1">
        <f>0.121</f>
        <v>0.121</v>
      </c>
      <c r="N10">
        <v>9</v>
      </c>
      <c r="O10" s="1">
        <v>-23.437999999999999</v>
      </c>
      <c r="P10">
        <v>1</v>
      </c>
      <c r="Q10" s="1" t="b">
        <f>0=527</f>
        <v>0</v>
      </c>
      <c r="R10" s="1">
        <f>0.936</f>
        <v>0.93600000000000005</v>
      </c>
      <c r="S10" s="1">
        <f>0.896</f>
        <v>0.89600000000000002</v>
      </c>
      <c r="T10" s="1" t="b">
        <f>0.1=3</f>
        <v>0</v>
      </c>
      <c r="U10" s="1" t="b">
        <f>0=923</f>
        <v>0</v>
      </c>
      <c r="V10" s="1">
        <v>139.31800000000001</v>
      </c>
      <c r="W10">
        <v>4</v>
      </c>
    </row>
    <row r="11" spans="1:23" x14ac:dyDescent="0.25">
      <c r="A11" s="1" t="s">
        <v>13129</v>
      </c>
      <c r="B11" s="1" t="s">
        <v>13130</v>
      </c>
      <c r="C11" s="1" t="s">
        <v>1690</v>
      </c>
      <c r="D11" s="1" t="s">
        <v>13109</v>
      </c>
      <c r="E11" s="1" t="s">
        <v>1691</v>
      </c>
      <c r="F11" s="1" t="s">
        <v>13110</v>
      </c>
      <c r="G11">
        <v>187245</v>
      </c>
      <c r="H11">
        <v>45</v>
      </c>
      <c r="I11" s="1" t="s">
        <v>11063</v>
      </c>
      <c r="J11" s="11">
        <v>44289.971851851849</v>
      </c>
      <c r="K11" s="1" t="s">
        <v>1692</v>
      </c>
      <c r="L11" s="1" t="b">
        <f>0.4=1</f>
        <v>0</v>
      </c>
      <c r="M11" s="1" t="b">
        <f>0=455</f>
        <v>0</v>
      </c>
      <c r="N11">
        <v>2</v>
      </c>
      <c r="O11" s="1">
        <v>-22.911999999999999</v>
      </c>
      <c r="P11">
        <v>1</v>
      </c>
      <c r="Q11" s="1" t="b">
        <f>0=538</f>
        <v>0</v>
      </c>
      <c r="R11" s="1">
        <f>0.987</f>
        <v>0.98699999999999999</v>
      </c>
      <c r="S11" s="1">
        <f>0.94</f>
        <v>0.94</v>
      </c>
      <c r="T11" s="1" t="b">
        <f>0=831</f>
        <v>0</v>
      </c>
      <c r="U11" s="1">
        <f>0.112</f>
        <v>0.112</v>
      </c>
      <c r="V11" s="1" t="s">
        <v>13382</v>
      </c>
      <c r="W11">
        <v>4</v>
      </c>
    </row>
    <row r="12" spans="1:23" x14ac:dyDescent="0.25">
      <c r="A12" s="1" t="s">
        <v>13131</v>
      </c>
      <c r="B12" s="1" t="s">
        <v>13132</v>
      </c>
      <c r="C12" s="1" t="s">
        <v>1693</v>
      </c>
      <c r="D12" s="1" t="s">
        <v>13133</v>
      </c>
      <c r="E12" s="1" t="s">
        <v>1694</v>
      </c>
      <c r="F12" s="1" t="s">
        <v>13134</v>
      </c>
      <c r="G12">
        <v>150880</v>
      </c>
      <c r="H12">
        <v>46</v>
      </c>
      <c r="I12" s="1" t="s">
        <v>11063</v>
      </c>
      <c r="J12" s="11">
        <v>44289.971863425926</v>
      </c>
      <c r="K12" s="1" t="s">
        <v>50</v>
      </c>
      <c r="L12" s="1">
        <f>0.243</f>
        <v>0.24299999999999999</v>
      </c>
      <c r="M12" s="1" t="b">
        <f>0=848</f>
        <v>0</v>
      </c>
      <c r="N12">
        <f>0</f>
        <v>0</v>
      </c>
      <c r="O12" s="1">
        <v>-19.873000000000001</v>
      </c>
      <c r="P12">
        <v>1</v>
      </c>
      <c r="Q12" s="1" t="b">
        <f>0=4</f>
        <v>0</v>
      </c>
      <c r="R12" s="1">
        <f>0.987</f>
        <v>0.98699999999999999</v>
      </c>
      <c r="S12" s="1">
        <f>0.947</f>
        <v>0.94699999999999995</v>
      </c>
      <c r="T12" s="1" t="b">
        <f>0=692</f>
        <v>0</v>
      </c>
      <c r="U12" s="1" t="b">
        <f>0=826</f>
        <v>0</v>
      </c>
      <c r="V12" s="1">
        <v>173.96</v>
      </c>
      <c r="W12">
        <v>1</v>
      </c>
    </row>
    <row r="13" spans="1:23" x14ac:dyDescent="0.25">
      <c r="A13" s="1" t="s">
        <v>13135</v>
      </c>
      <c r="B13" s="1" t="s">
        <v>13136</v>
      </c>
      <c r="C13" s="1" t="s">
        <v>1695</v>
      </c>
      <c r="D13" s="1" t="s">
        <v>13109</v>
      </c>
      <c r="E13" s="1" t="s">
        <v>1696</v>
      </c>
      <c r="F13" s="1" t="s">
        <v>13110</v>
      </c>
      <c r="G13">
        <v>263035</v>
      </c>
      <c r="H13">
        <v>43</v>
      </c>
      <c r="I13" s="1" t="s">
        <v>11063</v>
      </c>
      <c r="J13" s="11">
        <v>44289.971875000003</v>
      </c>
      <c r="K13" s="1" t="s">
        <v>1697</v>
      </c>
      <c r="L13" s="1">
        <f>0.268</f>
        <v>0.26800000000000002</v>
      </c>
      <c r="M13" s="1" t="b">
        <f>0=39</f>
        <v>0</v>
      </c>
      <c r="N13">
        <v>8</v>
      </c>
      <c r="O13" s="1">
        <v>-23.718</v>
      </c>
      <c r="P13">
        <v>1</v>
      </c>
      <c r="Q13" s="1" t="b">
        <f>0=541</f>
        <v>0</v>
      </c>
      <c r="R13" s="1">
        <f>0.98</f>
        <v>0.98</v>
      </c>
      <c r="S13" s="1">
        <f>0.911</f>
        <v>0.91100000000000003</v>
      </c>
      <c r="T13" s="1" t="b">
        <f>0.1=1</f>
        <v>0</v>
      </c>
      <c r="U13" s="1" t="b">
        <f>0=369</f>
        <v>0</v>
      </c>
      <c r="V13" s="1" t="s">
        <v>13383</v>
      </c>
      <c r="W13">
        <v>3</v>
      </c>
    </row>
    <row r="14" spans="1:23" x14ac:dyDescent="0.25">
      <c r="A14" s="1" t="s">
        <v>13137</v>
      </c>
      <c r="B14" s="1" t="s">
        <v>13138</v>
      </c>
      <c r="C14" s="1" t="s">
        <v>1698</v>
      </c>
      <c r="D14" s="1" t="s">
        <v>1812</v>
      </c>
      <c r="E14" s="1" t="s">
        <v>1699</v>
      </c>
      <c r="F14" s="1" t="s">
        <v>13118</v>
      </c>
      <c r="G14">
        <v>225417</v>
      </c>
      <c r="H14">
        <v>40</v>
      </c>
      <c r="I14" s="1" t="s">
        <v>11063</v>
      </c>
      <c r="J14" s="11">
        <v>44289.971886574072</v>
      </c>
      <c r="K14" s="1" t="s">
        <v>1700</v>
      </c>
      <c r="L14" s="1">
        <f>0.421</f>
        <v>0.42099999999999999</v>
      </c>
      <c r="M14" s="1" t="b">
        <f>0=23</f>
        <v>0</v>
      </c>
      <c r="N14">
        <v>2</v>
      </c>
      <c r="O14" s="1">
        <v>-27.725000000000001</v>
      </c>
      <c r="P14">
        <v>1</v>
      </c>
      <c r="Q14" s="1" t="b">
        <f>0=415</f>
        <v>0</v>
      </c>
      <c r="R14" s="1">
        <f>0.995</f>
        <v>0.995</v>
      </c>
      <c r="S14" s="1">
        <f>0.944</f>
        <v>0.94399999999999995</v>
      </c>
      <c r="T14" s="1">
        <f>0.112</f>
        <v>0.112</v>
      </c>
      <c r="U14" s="1">
        <f>0.152</f>
        <v>0.152</v>
      </c>
      <c r="V14" s="1">
        <v>133.31399999999999</v>
      </c>
      <c r="W14">
        <v>4</v>
      </c>
    </row>
    <row r="15" spans="1:23" x14ac:dyDescent="0.25">
      <c r="A15" s="1" t="s">
        <v>13139</v>
      </c>
      <c r="B15" s="1" t="s">
        <v>13140</v>
      </c>
      <c r="C15" s="1" t="s">
        <v>1701</v>
      </c>
      <c r="D15" s="1" t="s">
        <v>13109</v>
      </c>
      <c r="E15" s="1" t="s">
        <v>1702</v>
      </c>
      <c r="F15" s="1" t="s">
        <v>13110</v>
      </c>
      <c r="G15">
        <v>192446</v>
      </c>
      <c r="H15">
        <v>44</v>
      </c>
      <c r="I15" s="1" t="s">
        <v>11063</v>
      </c>
      <c r="J15" s="11">
        <v>44289.971898148149</v>
      </c>
      <c r="K15" s="1" t="s">
        <v>1703</v>
      </c>
      <c r="L15" s="1">
        <f>0.685</f>
        <v>0.68500000000000005</v>
      </c>
      <c r="M15" s="1" t="b">
        <f>0=0=832</f>
        <v>0</v>
      </c>
      <c r="N15">
        <v>7</v>
      </c>
      <c r="O15" s="1" t="s">
        <v>13384</v>
      </c>
      <c r="P15">
        <v>1</v>
      </c>
      <c r="Q15" s="1" t="b">
        <f>0=693</f>
        <v>0</v>
      </c>
      <c r="R15" s="1">
        <f>0.992</f>
        <v>0.99199999999999999</v>
      </c>
      <c r="S15" s="1">
        <f>0.956</f>
        <v>0.95599999999999996</v>
      </c>
      <c r="T15" s="1" t="b">
        <f>0.1=3</f>
        <v>0</v>
      </c>
      <c r="U15" s="1">
        <f>0.351</f>
        <v>0.35099999999999998</v>
      </c>
      <c r="V15" s="1">
        <v>72.992999999999995</v>
      </c>
      <c r="W15">
        <v>3</v>
      </c>
    </row>
    <row r="16" spans="1:23" x14ac:dyDescent="0.25">
      <c r="A16" s="1" t="s">
        <v>13141</v>
      </c>
      <c r="B16" s="1" t="s">
        <v>13142</v>
      </c>
      <c r="C16" s="1" t="s">
        <v>1704</v>
      </c>
      <c r="D16" s="1" t="s">
        <v>1812</v>
      </c>
      <c r="E16" s="1" t="s">
        <v>1705</v>
      </c>
      <c r="F16" s="1" t="s">
        <v>13118</v>
      </c>
      <c r="G16">
        <v>354477</v>
      </c>
      <c r="H16">
        <v>38</v>
      </c>
      <c r="I16" s="1" t="s">
        <v>11063</v>
      </c>
      <c r="J16" s="11">
        <v>44289.971909722219</v>
      </c>
      <c r="K16" s="1" t="s">
        <v>1706</v>
      </c>
      <c r="L16" s="1" t="b">
        <f>0.5=2</f>
        <v>0</v>
      </c>
      <c r="M16" s="1" t="b">
        <f>0=196</f>
        <v>0</v>
      </c>
      <c r="N16">
        <v>4</v>
      </c>
      <c r="O16" s="1" t="s">
        <v>13385</v>
      </c>
      <c r="P16">
        <f>0</f>
        <v>0</v>
      </c>
      <c r="Q16" s="1" t="b">
        <f>0=65</f>
        <v>0</v>
      </c>
      <c r="R16" s="1">
        <f>0.993</f>
        <v>0.99299999999999999</v>
      </c>
      <c r="S16" s="1">
        <f>0.936</f>
        <v>0.93600000000000005</v>
      </c>
      <c r="T16" s="1" t="b">
        <f>0=889</f>
        <v>0</v>
      </c>
      <c r="U16" s="1">
        <f>0.125</f>
        <v>0.125</v>
      </c>
      <c r="V16" s="1">
        <v>131.52199999999999</v>
      </c>
      <c r="W16">
        <v>4</v>
      </c>
    </row>
    <row r="17" spans="1:23" x14ac:dyDescent="0.25">
      <c r="A17" s="1" t="s">
        <v>13143</v>
      </c>
      <c r="B17" s="1" t="s">
        <v>13144</v>
      </c>
      <c r="C17" s="1" t="s">
        <v>1707</v>
      </c>
      <c r="D17" s="1" t="s">
        <v>1812</v>
      </c>
      <c r="E17" s="1" t="s">
        <v>1708</v>
      </c>
      <c r="F17" s="1" t="s">
        <v>13118</v>
      </c>
      <c r="G17">
        <v>168648</v>
      </c>
      <c r="H17">
        <v>38</v>
      </c>
      <c r="I17" s="1" t="s">
        <v>11063</v>
      </c>
      <c r="J17" s="11">
        <v>44289.971921296295</v>
      </c>
      <c r="K17" s="1" t="s">
        <v>1709</v>
      </c>
      <c r="L17" s="1" t="b">
        <f>0.5=3</f>
        <v>0</v>
      </c>
      <c r="M17" s="1" t="b">
        <f>0=0=375</f>
        <v>0</v>
      </c>
      <c r="N17">
        <v>5</v>
      </c>
      <c r="O17" s="1" t="s">
        <v>13386</v>
      </c>
      <c r="P17">
        <v>1</v>
      </c>
      <c r="Q17" s="1" t="b">
        <f>0=721</f>
        <v>0</v>
      </c>
      <c r="R17" s="1">
        <f>0.995</f>
        <v>0.995</v>
      </c>
      <c r="S17" s="1">
        <f>0.962</f>
        <v>0.96199999999999997</v>
      </c>
      <c r="T17" s="1" t="b">
        <f>0=7=9</f>
        <v>0</v>
      </c>
      <c r="U17" s="1">
        <f>0.427</f>
        <v>0.42699999999999999</v>
      </c>
      <c r="V17" s="1" t="s">
        <v>13387</v>
      </c>
      <c r="W17">
        <v>4</v>
      </c>
    </row>
    <row r="18" spans="1:23" x14ac:dyDescent="0.25">
      <c r="A18" s="1" t="s">
        <v>13145</v>
      </c>
      <c r="B18" s="1" t="s">
        <v>13146</v>
      </c>
      <c r="C18" s="1" t="s">
        <v>1710</v>
      </c>
      <c r="D18" s="1" t="s">
        <v>1812</v>
      </c>
      <c r="E18" s="1" t="s">
        <v>1711</v>
      </c>
      <c r="F18" s="1" t="s">
        <v>13118</v>
      </c>
      <c r="G18">
        <v>286480</v>
      </c>
      <c r="H18">
        <v>37</v>
      </c>
      <c r="I18" s="1" t="s">
        <v>11063</v>
      </c>
      <c r="J18" s="11">
        <v>44289.971944444442</v>
      </c>
      <c r="K18" s="1" t="s">
        <v>1697</v>
      </c>
      <c r="L18" s="1">
        <f>0.34</f>
        <v>0.34</v>
      </c>
      <c r="M18" s="1">
        <f>0.247</f>
        <v>0.247</v>
      </c>
      <c r="N18">
        <v>8</v>
      </c>
      <c r="O18" s="1">
        <v>-23.742999999999999</v>
      </c>
      <c r="P18">
        <f>0</f>
        <v>0</v>
      </c>
      <c r="Q18" s="1" t="b">
        <f>0=451</f>
        <v>0</v>
      </c>
      <c r="R18" s="1">
        <f>0.982</f>
        <v>0.98199999999999998</v>
      </c>
      <c r="S18" s="1" t="b">
        <f>0.9=1</f>
        <v>0</v>
      </c>
      <c r="T18" s="1">
        <f>0.122</f>
        <v>0.122</v>
      </c>
      <c r="U18" s="1">
        <f>0.453</f>
        <v>0.45300000000000001</v>
      </c>
      <c r="V18" s="1" t="s">
        <v>13388</v>
      </c>
      <c r="W18">
        <v>4</v>
      </c>
    </row>
    <row r="19" spans="1:23" x14ac:dyDescent="0.25">
      <c r="A19" s="1" t="s">
        <v>13147</v>
      </c>
      <c r="B19" s="1" t="s">
        <v>13148</v>
      </c>
      <c r="C19" s="1" t="s">
        <v>1712</v>
      </c>
      <c r="D19" s="1" t="s">
        <v>1812</v>
      </c>
      <c r="E19" s="1" t="s">
        <v>1713</v>
      </c>
      <c r="F19" s="1" t="s">
        <v>13118</v>
      </c>
      <c r="G19">
        <v>118168</v>
      </c>
      <c r="H19">
        <v>38</v>
      </c>
      <c r="I19" s="1" t="s">
        <v>11063</v>
      </c>
      <c r="J19" s="11">
        <v>44289.971956018519</v>
      </c>
      <c r="K19" s="1" t="s">
        <v>1709</v>
      </c>
      <c r="L19" s="1">
        <f>0.455</f>
        <v>0.45500000000000002</v>
      </c>
      <c r="M19" s="1">
        <f>0.184</f>
        <v>0.184</v>
      </c>
      <c r="N19">
        <v>6</v>
      </c>
      <c r="O19" s="1">
        <v>-23.324000000000002</v>
      </c>
      <c r="P19">
        <f>0</f>
        <v>0</v>
      </c>
      <c r="Q19" s="1" t="b">
        <f>0=481</f>
        <v>0</v>
      </c>
      <c r="R19" s="1">
        <f>0.986</f>
        <v>0.98599999999999999</v>
      </c>
      <c r="S19" s="1">
        <f>0.933</f>
        <v>0.93300000000000005</v>
      </c>
      <c r="T19" s="1" t="b">
        <f>0.1=6</f>
        <v>0</v>
      </c>
      <c r="U19" s="1" t="b">
        <f>0.5=6</f>
        <v>0</v>
      </c>
      <c r="V19" s="1">
        <v>172.411</v>
      </c>
      <c r="W19">
        <v>3</v>
      </c>
    </row>
    <row r="20" spans="1:23" x14ac:dyDescent="0.25">
      <c r="A20" s="1" t="s">
        <v>13149</v>
      </c>
      <c r="B20" s="1" t="s">
        <v>13150</v>
      </c>
      <c r="C20" s="1" t="s">
        <v>1714</v>
      </c>
      <c r="D20" s="1" t="s">
        <v>1812</v>
      </c>
      <c r="E20" s="1" t="s">
        <v>1715</v>
      </c>
      <c r="F20" s="1" t="s">
        <v>13118</v>
      </c>
      <c r="G20">
        <v>242330</v>
      </c>
      <c r="H20">
        <v>37</v>
      </c>
      <c r="I20" s="1" t="s">
        <v>11063</v>
      </c>
      <c r="J20" s="11">
        <v>44289.971967592595</v>
      </c>
      <c r="K20" s="1" t="s">
        <v>1681</v>
      </c>
      <c r="L20" s="1">
        <f>0.292</f>
        <v>0.29199999999999998</v>
      </c>
      <c r="M20" s="1" t="b">
        <f>0=459</f>
        <v>0</v>
      </c>
      <c r="N20">
        <v>4</v>
      </c>
      <c r="O20" s="1">
        <v>-27.280999999999999</v>
      </c>
      <c r="P20">
        <v>1</v>
      </c>
      <c r="Q20" s="1" t="b">
        <f>0=46</f>
        <v>0</v>
      </c>
      <c r="R20" s="1">
        <f>0.981</f>
        <v>0.98099999999999998</v>
      </c>
      <c r="S20" s="1">
        <f>0.925</f>
        <v>0.92500000000000004</v>
      </c>
      <c r="T20" s="1">
        <f>0.113</f>
        <v>0.113</v>
      </c>
      <c r="U20" s="1">
        <f>0.139</f>
        <v>0.13900000000000001</v>
      </c>
      <c r="V20" s="1">
        <v>129.434</v>
      </c>
      <c r="W20">
        <v>3</v>
      </c>
    </row>
    <row r="21" spans="1:23" x14ac:dyDescent="0.25">
      <c r="A21" s="1" t="s">
        <v>13151</v>
      </c>
      <c r="B21" s="1" t="s">
        <v>13152</v>
      </c>
      <c r="C21" s="1" t="s">
        <v>1716</v>
      </c>
      <c r="D21" s="1" t="s">
        <v>13109</v>
      </c>
      <c r="E21" s="1" t="s">
        <v>1717</v>
      </c>
      <c r="F21" s="1" t="s">
        <v>13110</v>
      </c>
      <c r="G21">
        <v>170155</v>
      </c>
      <c r="H21">
        <v>42</v>
      </c>
      <c r="I21" s="1" t="s">
        <v>11063</v>
      </c>
      <c r="J21" s="11">
        <v>44289.971979166665</v>
      </c>
      <c r="K21" s="1" t="s">
        <v>50</v>
      </c>
      <c r="L21" s="1" t="b">
        <f>0.4=2</f>
        <v>0</v>
      </c>
      <c r="M21" s="1" t="b">
        <f>0=912</f>
        <v>0</v>
      </c>
      <c r="N21">
        <v>2</v>
      </c>
      <c r="O21" s="1">
        <v>-24.584</v>
      </c>
      <c r="P21">
        <v>1</v>
      </c>
      <c r="Q21" s="1" t="b">
        <f>0=471</f>
        <v>0</v>
      </c>
      <c r="R21" s="1">
        <f>0.937</f>
        <v>0.93700000000000006</v>
      </c>
      <c r="S21" s="1">
        <f>0.925</f>
        <v>0.92500000000000004</v>
      </c>
      <c r="T21" s="1" t="b">
        <f>0.1=5</f>
        <v>0</v>
      </c>
      <c r="U21" s="1">
        <f>0.159</f>
        <v>0.159</v>
      </c>
      <c r="V21" s="1">
        <v>133.43</v>
      </c>
      <c r="W21">
        <v>1</v>
      </c>
    </row>
    <row r="22" spans="1:23" x14ac:dyDescent="0.25">
      <c r="A22" s="1" t="s">
        <v>13153</v>
      </c>
      <c r="B22" s="1" t="s">
        <v>13150</v>
      </c>
      <c r="C22" s="1" t="s">
        <v>1718</v>
      </c>
      <c r="D22" s="1" t="s">
        <v>1812</v>
      </c>
      <c r="E22" s="1" t="s">
        <v>1715</v>
      </c>
      <c r="F22" s="1" t="s">
        <v>13118</v>
      </c>
      <c r="G22">
        <v>305498</v>
      </c>
      <c r="H22">
        <v>36</v>
      </c>
      <c r="I22" s="1" t="s">
        <v>11063</v>
      </c>
      <c r="J22" s="11">
        <v>44289.972002314818</v>
      </c>
      <c r="K22" s="1" t="s">
        <v>1681</v>
      </c>
      <c r="L22" s="1" t="b">
        <f>0.3=2</f>
        <v>0</v>
      </c>
      <c r="M22" s="1" t="b">
        <f>0=143</f>
        <v>0</v>
      </c>
      <c r="N22">
        <v>4</v>
      </c>
      <c r="O22" s="1" t="s">
        <v>13389</v>
      </c>
      <c r="P22">
        <v>1</v>
      </c>
      <c r="Q22" s="1" t="b">
        <f>0=424</f>
        <v>0</v>
      </c>
      <c r="R22" s="1">
        <f>0.989</f>
        <v>0.98899999999999999</v>
      </c>
      <c r="S22" s="1">
        <f>0.942</f>
        <v>0.94199999999999995</v>
      </c>
      <c r="T22" s="1" t="b">
        <f>0=845</f>
        <v>0</v>
      </c>
      <c r="U22" s="1">
        <f>0.117</f>
        <v>0.11700000000000001</v>
      </c>
      <c r="V22" s="1">
        <v>69.293999999999997</v>
      </c>
      <c r="W22">
        <v>3</v>
      </c>
    </row>
    <row r="23" spans="1:23" x14ac:dyDescent="0.25">
      <c r="A23" s="1" t="s">
        <v>13154</v>
      </c>
      <c r="B23" s="1" t="s">
        <v>13155</v>
      </c>
      <c r="C23" s="1" t="s">
        <v>1719</v>
      </c>
      <c r="D23" s="1" t="s">
        <v>13109</v>
      </c>
      <c r="E23" s="1" t="s">
        <v>1720</v>
      </c>
      <c r="F23" s="1" t="s">
        <v>13110</v>
      </c>
      <c r="G23">
        <v>211022</v>
      </c>
      <c r="H23">
        <v>41</v>
      </c>
      <c r="I23" s="1" t="s">
        <v>11063</v>
      </c>
      <c r="J23" s="11">
        <v>44289.972025462965</v>
      </c>
      <c r="K23" s="1" t="s">
        <v>1721</v>
      </c>
      <c r="L23" s="1">
        <f>0.244</f>
        <v>0.24399999999999999</v>
      </c>
      <c r="M23" s="1" t="b">
        <f>0=294</f>
        <v>0</v>
      </c>
      <c r="N23">
        <v>9</v>
      </c>
      <c r="O23" s="1" t="s">
        <v>13390</v>
      </c>
      <c r="P23">
        <f>0</f>
        <v>0</v>
      </c>
      <c r="Q23" s="1" t="b">
        <f>0=525</f>
        <v>0</v>
      </c>
      <c r="R23" s="1">
        <f>0.989</f>
        <v>0.98899999999999999</v>
      </c>
      <c r="S23" s="1" t="b">
        <f>0.9=5</f>
        <v>0</v>
      </c>
      <c r="T23" s="1" t="b">
        <f>0=886</f>
        <v>0</v>
      </c>
      <c r="U23" s="1" t="b">
        <f>0=55</f>
        <v>0</v>
      </c>
      <c r="V23" s="1" t="s">
        <v>13391</v>
      </c>
      <c r="W23">
        <v>4</v>
      </c>
    </row>
    <row r="24" spans="1:23" x14ac:dyDescent="0.25">
      <c r="A24" s="1" t="s">
        <v>13156</v>
      </c>
      <c r="B24" s="1" t="s">
        <v>13157</v>
      </c>
      <c r="C24" s="1" t="s">
        <v>1722</v>
      </c>
      <c r="D24" s="1" t="s">
        <v>1812</v>
      </c>
      <c r="E24" s="1" t="s">
        <v>1723</v>
      </c>
      <c r="F24" s="1" t="s">
        <v>13118</v>
      </c>
      <c r="G24">
        <v>206500</v>
      </c>
      <c r="H24">
        <v>37</v>
      </c>
      <c r="I24" s="1" t="s">
        <v>11063</v>
      </c>
      <c r="J24" s="11">
        <v>44289.972048611111</v>
      </c>
      <c r="K24" s="1" t="s">
        <v>1724</v>
      </c>
      <c r="L24" s="1">
        <f>0.582</f>
        <v>0.58199999999999996</v>
      </c>
      <c r="M24" s="1">
        <f>0.258</f>
        <v>0.25800000000000001</v>
      </c>
      <c r="N24">
        <v>9</v>
      </c>
      <c r="O24" s="1">
        <v>-16.248000000000001</v>
      </c>
      <c r="P24">
        <v>1</v>
      </c>
      <c r="Q24" s="1" t="b">
        <f>0=569</f>
        <v>0</v>
      </c>
      <c r="R24" s="1">
        <f>0.966</f>
        <v>0.96599999999999997</v>
      </c>
      <c r="S24" s="1">
        <f>0.887</f>
        <v>0.88700000000000001</v>
      </c>
      <c r="T24" s="1">
        <f>0.119</f>
        <v>0.11899999999999999</v>
      </c>
      <c r="U24" s="1">
        <f>0.771</f>
        <v>0.77100000000000002</v>
      </c>
      <c r="V24" s="1">
        <v>132.35499999999999</v>
      </c>
      <c r="W24">
        <v>4</v>
      </c>
    </row>
    <row r="25" spans="1:23" x14ac:dyDescent="0.25">
      <c r="A25" s="1" t="s">
        <v>13158</v>
      </c>
      <c r="B25" s="1" t="s">
        <v>13148</v>
      </c>
      <c r="C25" s="1" t="s">
        <v>1725</v>
      </c>
      <c r="D25" s="1" t="s">
        <v>1812</v>
      </c>
      <c r="E25" s="1" t="s">
        <v>1713</v>
      </c>
      <c r="F25" s="1" t="s">
        <v>13118</v>
      </c>
      <c r="G25">
        <v>193167</v>
      </c>
      <c r="H25">
        <v>35</v>
      </c>
      <c r="I25" s="1" t="s">
        <v>11063</v>
      </c>
      <c r="J25" s="11">
        <v>44289.972060185188</v>
      </c>
      <c r="K25" s="1" t="s">
        <v>1709</v>
      </c>
      <c r="L25" s="1">
        <f>0.311</f>
        <v>0.311</v>
      </c>
      <c r="M25" s="1" t="b">
        <f>0=561</f>
        <v>0</v>
      </c>
      <c r="N25">
        <v>6</v>
      </c>
      <c r="O25" s="1" t="s">
        <v>13392</v>
      </c>
      <c r="P25">
        <f>0</f>
        <v>0</v>
      </c>
      <c r="Q25" s="1" t="b">
        <f>0=437</f>
        <v>0</v>
      </c>
      <c r="R25" s="1">
        <f>0.981</f>
        <v>0.98099999999999998</v>
      </c>
      <c r="S25" s="1">
        <f>0.933</f>
        <v>0.93300000000000005</v>
      </c>
      <c r="T25" s="1">
        <f>0.118</f>
        <v>0.11799999999999999</v>
      </c>
      <c r="U25" s="1">
        <f>0.117</f>
        <v>0.11700000000000001</v>
      </c>
      <c r="V25" s="1">
        <v>86.917000000000002</v>
      </c>
      <c r="W25">
        <v>3</v>
      </c>
    </row>
    <row r="26" spans="1:23" x14ac:dyDescent="0.25">
      <c r="A26" s="1" t="s">
        <v>13159</v>
      </c>
      <c r="B26" s="1" t="s">
        <v>13160</v>
      </c>
      <c r="C26" s="1" t="s">
        <v>1726</v>
      </c>
      <c r="D26" s="1" t="s">
        <v>1812</v>
      </c>
      <c r="E26" s="1" t="s">
        <v>1727</v>
      </c>
      <c r="F26" s="1" t="s">
        <v>13118</v>
      </c>
      <c r="G26">
        <v>371733</v>
      </c>
      <c r="H26">
        <v>39</v>
      </c>
      <c r="I26" s="1" t="s">
        <v>11063</v>
      </c>
      <c r="J26" s="11">
        <v>44289.972071759257</v>
      </c>
      <c r="K26" s="1" t="s">
        <v>1728</v>
      </c>
      <c r="L26" s="1">
        <f>0.287</f>
        <v>0.28699999999999998</v>
      </c>
      <c r="M26" s="1">
        <f>0.183</f>
        <v>0.183</v>
      </c>
      <c r="N26">
        <v>7</v>
      </c>
      <c r="O26" s="1">
        <v>-18.77</v>
      </c>
      <c r="P26">
        <v>1</v>
      </c>
      <c r="Q26" s="1" t="b">
        <f>0=364</f>
        <v>0</v>
      </c>
      <c r="R26" s="1">
        <f>0.98</f>
        <v>0.98</v>
      </c>
      <c r="S26" s="1">
        <f>0.93</f>
        <v>0.93</v>
      </c>
      <c r="T26" s="1">
        <f>0.119</f>
        <v>0.11899999999999999</v>
      </c>
      <c r="U26" s="1">
        <f>0.351</f>
        <v>0.35099999999999998</v>
      </c>
      <c r="V26" s="1">
        <v>74.83</v>
      </c>
      <c r="W26">
        <v>4</v>
      </c>
    </row>
    <row r="27" spans="1:23" x14ac:dyDescent="0.25">
      <c r="A27" s="1" t="s">
        <v>13161</v>
      </c>
      <c r="B27" s="1" t="s">
        <v>13160</v>
      </c>
      <c r="C27" s="1" t="s">
        <v>1729</v>
      </c>
      <c r="D27" s="1" t="s">
        <v>1812</v>
      </c>
      <c r="E27" s="1" t="s">
        <v>1727</v>
      </c>
      <c r="F27" s="1" t="s">
        <v>13118</v>
      </c>
      <c r="G27">
        <v>453367</v>
      </c>
      <c r="H27">
        <v>39</v>
      </c>
      <c r="I27" s="1" t="s">
        <v>11063</v>
      </c>
      <c r="J27" s="11">
        <v>44289.972083333334</v>
      </c>
      <c r="K27" s="1" t="s">
        <v>1728</v>
      </c>
      <c r="L27" s="1">
        <f>0.345</f>
        <v>0.34499999999999997</v>
      </c>
      <c r="M27" s="1">
        <f>0.421</f>
        <v>0.42099999999999999</v>
      </c>
      <c r="N27">
        <v>7</v>
      </c>
      <c r="O27" s="1">
        <v>-17.198</v>
      </c>
      <c r="P27">
        <f>0</f>
        <v>0</v>
      </c>
      <c r="Q27" s="1" t="b">
        <f>0=4=1</f>
        <v>0</v>
      </c>
      <c r="R27" s="1">
        <f>0.964</f>
        <v>0.96399999999999997</v>
      </c>
      <c r="S27" s="1">
        <f>0.896</f>
        <v>0.89600000000000002</v>
      </c>
      <c r="T27" s="1">
        <f>0.133</f>
        <v>0.13300000000000001</v>
      </c>
      <c r="U27" s="1">
        <f>0.623</f>
        <v>0.623</v>
      </c>
      <c r="V27" s="1">
        <v>97.992000000000004</v>
      </c>
      <c r="W27">
        <v>1</v>
      </c>
    </row>
    <row r="28" spans="1:23" x14ac:dyDescent="0.25">
      <c r="A28" s="1" t="s">
        <v>13162</v>
      </c>
      <c r="B28" s="1" t="s">
        <v>13155</v>
      </c>
      <c r="C28" s="1" t="s">
        <v>1730</v>
      </c>
      <c r="D28" s="1" t="s">
        <v>13109</v>
      </c>
      <c r="E28" s="1" t="s">
        <v>1720</v>
      </c>
      <c r="F28" s="1" t="s">
        <v>13110</v>
      </c>
      <c r="G28">
        <v>319506</v>
      </c>
      <c r="H28">
        <v>41</v>
      </c>
      <c r="I28" s="1" t="s">
        <v>11063</v>
      </c>
      <c r="J28" s="11">
        <v>44289.972094907411</v>
      </c>
      <c r="K28" s="1" t="s">
        <v>1721</v>
      </c>
      <c r="L28" s="1">
        <f>0.273</f>
        <v>0.27300000000000002</v>
      </c>
      <c r="M28" s="1">
        <f>0.154</f>
        <v>0.154</v>
      </c>
      <c r="N28">
        <v>8</v>
      </c>
      <c r="O28" s="1">
        <v>-22.449000000000002</v>
      </c>
      <c r="P28">
        <v>1</v>
      </c>
      <c r="Q28" s="1" t="b">
        <f>0=669</f>
        <v>0</v>
      </c>
      <c r="R28" s="1">
        <f>0.979</f>
        <v>0.97899999999999998</v>
      </c>
      <c r="S28" s="1">
        <f>0.928</f>
        <v>0.92800000000000005</v>
      </c>
      <c r="T28" s="1" t="b">
        <f>0.1=9</f>
        <v>0</v>
      </c>
      <c r="U28" s="1" t="b">
        <f>0=384</f>
        <v>0</v>
      </c>
      <c r="V28" s="1" t="s">
        <v>13393</v>
      </c>
      <c r="W28">
        <v>3</v>
      </c>
    </row>
    <row r="29" spans="1:23" x14ac:dyDescent="0.25">
      <c r="A29" s="1" t="s">
        <v>13163</v>
      </c>
      <c r="B29" s="1" t="s">
        <v>13164</v>
      </c>
      <c r="C29" s="1" t="s">
        <v>1731</v>
      </c>
      <c r="D29" s="1" t="s">
        <v>13109</v>
      </c>
      <c r="E29" s="1" t="s">
        <v>1732</v>
      </c>
      <c r="F29" s="1" t="s">
        <v>13110</v>
      </c>
      <c r="G29">
        <v>262292</v>
      </c>
      <c r="H29">
        <v>39</v>
      </c>
      <c r="I29" s="1" t="s">
        <v>11063</v>
      </c>
      <c r="J29" s="11">
        <v>44289.97210648148</v>
      </c>
      <c r="K29" s="1" t="s">
        <v>1733</v>
      </c>
      <c r="L29" s="1">
        <f>0.578</f>
        <v>0.57799999999999996</v>
      </c>
      <c r="M29" s="1">
        <f>0.13</f>
        <v>0.13</v>
      </c>
      <c r="N29">
        <v>2</v>
      </c>
      <c r="O29" s="1" t="s">
        <v>13394</v>
      </c>
      <c r="P29">
        <v>1</v>
      </c>
      <c r="Q29" s="1" t="b">
        <f>0=613</f>
        <v>0</v>
      </c>
      <c r="R29" s="1">
        <f>0.987</f>
        <v>0.98699999999999999</v>
      </c>
      <c r="S29" s="1">
        <f>0.952</f>
        <v>0.95199999999999996</v>
      </c>
      <c r="T29" s="1" t="b">
        <f>0=783</f>
        <v>0</v>
      </c>
      <c r="U29" s="1">
        <f>0.366</f>
        <v>0.36599999999999999</v>
      </c>
      <c r="V29" s="1" t="s">
        <v>13395</v>
      </c>
      <c r="W29">
        <v>4</v>
      </c>
    </row>
    <row r="30" spans="1:23" x14ac:dyDescent="0.25">
      <c r="A30" s="1" t="s">
        <v>13165</v>
      </c>
      <c r="B30" s="1" t="s">
        <v>13160</v>
      </c>
      <c r="C30" s="1" t="s">
        <v>1734</v>
      </c>
      <c r="D30" s="1" t="s">
        <v>1812</v>
      </c>
      <c r="E30" s="1" t="s">
        <v>1727</v>
      </c>
      <c r="F30" s="1" t="s">
        <v>13118</v>
      </c>
      <c r="G30">
        <v>619935</v>
      </c>
      <c r="H30">
        <v>35</v>
      </c>
      <c r="I30" s="1" t="s">
        <v>11063</v>
      </c>
      <c r="J30" s="11">
        <v>44289.97210648148</v>
      </c>
      <c r="K30" s="1" t="s">
        <v>1728</v>
      </c>
      <c r="L30" s="1">
        <f>0.18</f>
        <v>0.18</v>
      </c>
      <c r="M30" s="1" t="b">
        <f>0=915</f>
        <v>0</v>
      </c>
      <c r="N30">
        <f>0</f>
        <v>0</v>
      </c>
      <c r="O30" s="1">
        <v>-24.289000000000001</v>
      </c>
      <c r="P30">
        <v>1</v>
      </c>
      <c r="Q30" s="1" t="b">
        <f>0=316</f>
        <v>0</v>
      </c>
      <c r="R30" s="1">
        <f>0.971</f>
        <v>0.97099999999999997</v>
      </c>
      <c r="S30" s="1">
        <f>0.941</f>
        <v>0.94099999999999995</v>
      </c>
      <c r="T30" s="1">
        <f>0.143</f>
        <v>0.14299999999999999</v>
      </c>
      <c r="U30" s="1" t="b">
        <f>0=782</f>
        <v>0</v>
      </c>
      <c r="V30" s="1">
        <v>75.433999999999997</v>
      </c>
      <c r="W30">
        <v>4</v>
      </c>
    </row>
    <row r="31" spans="1:23" x14ac:dyDescent="0.25">
      <c r="A31" s="1" t="s">
        <v>13166</v>
      </c>
      <c r="B31" s="1" t="s">
        <v>13146</v>
      </c>
      <c r="C31" s="1" t="s">
        <v>1735</v>
      </c>
      <c r="D31" s="1" t="s">
        <v>1812</v>
      </c>
      <c r="E31" s="1" t="s">
        <v>1711</v>
      </c>
      <c r="F31" s="1" t="s">
        <v>13118</v>
      </c>
      <c r="G31">
        <v>565767</v>
      </c>
      <c r="H31">
        <v>36</v>
      </c>
      <c r="I31" s="1" t="s">
        <v>11063</v>
      </c>
      <c r="J31" s="11">
        <v>44289.972118055557</v>
      </c>
      <c r="K31" s="1" t="s">
        <v>1697</v>
      </c>
      <c r="L31" s="1">
        <f>0.32</f>
        <v>0.32</v>
      </c>
      <c r="M31" s="1">
        <f>0.144</f>
        <v>0.14399999999999999</v>
      </c>
      <c r="N31">
        <v>1</v>
      </c>
      <c r="O31" s="1" t="s">
        <v>13396</v>
      </c>
      <c r="P31">
        <v>1</v>
      </c>
      <c r="Q31" s="1" t="b">
        <f>0=557</f>
        <v>0</v>
      </c>
      <c r="R31" s="1">
        <f>0.985</f>
        <v>0.98499999999999999</v>
      </c>
      <c r="S31" s="1">
        <f>0.91</f>
        <v>0.91</v>
      </c>
      <c r="T31" s="1" t="b">
        <f>0.1=9</f>
        <v>0</v>
      </c>
      <c r="U31" s="1">
        <f>0.137</f>
        <v>0.13700000000000001</v>
      </c>
      <c r="V31" s="1">
        <v>79.855000000000004</v>
      </c>
      <c r="W31">
        <v>4</v>
      </c>
    </row>
    <row r="32" spans="1:23" x14ac:dyDescent="0.25">
      <c r="A32" s="1" t="s">
        <v>13167</v>
      </c>
      <c r="B32" s="1" t="s">
        <v>13168</v>
      </c>
      <c r="C32" s="1" t="s">
        <v>1736</v>
      </c>
      <c r="D32" s="1" t="s">
        <v>1812</v>
      </c>
      <c r="E32" s="1" t="s">
        <v>1737</v>
      </c>
      <c r="F32" s="1" t="s">
        <v>13118</v>
      </c>
      <c r="G32">
        <v>214720</v>
      </c>
      <c r="H32">
        <v>35</v>
      </c>
      <c r="I32" s="1" t="s">
        <v>11063</v>
      </c>
      <c r="J32" s="11">
        <v>44289.972141203703</v>
      </c>
      <c r="K32" s="1" t="s">
        <v>1738</v>
      </c>
      <c r="L32" s="1">
        <f>0.477</f>
        <v>0.47699999999999998</v>
      </c>
      <c r="M32" s="1" t="b">
        <f>0=299</f>
        <v>0</v>
      </c>
      <c r="N32">
        <v>6</v>
      </c>
      <c r="O32" s="1">
        <v>-24.55</v>
      </c>
      <c r="P32">
        <f>0</f>
        <v>0</v>
      </c>
      <c r="Q32" s="1" t="b">
        <f>0=91</f>
        <v>0</v>
      </c>
      <c r="R32" s="1">
        <f>0.995</f>
        <v>0.995</v>
      </c>
      <c r="S32" s="1">
        <f>0.953</f>
        <v>0.95299999999999996</v>
      </c>
      <c r="T32" s="1" t="b">
        <f>0.1=2</f>
        <v>0</v>
      </c>
      <c r="U32" s="1">
        <f>0.111</f>
        <v>0.111</v>
      </c>
      <c r="V32" s="1">
        <v>78.962000000000003</v>
      </c>
      <c r="W32">
        <v>4</v>
      </c>
    </row>
    <row r="33" spans="1:23" x14ac:dyDescent="0.25">
      <c r="A33" s="1" t="s">
        <v>13169</v>
      </c>
      <c r="B33" s="1" t="s">
        <v>13157</v>
      </c>
      <c r="C33" s="1" t="s">
        <v>1739</v>
      </c>
      <c r="D33" s="1" t="s">
        <v>1812</v>
      </c>
      <c r="E33" s="1" t="s">
        <v>1723</v>
      </c>
      <c r="F33" s="1" t="s">
        <v>13118</v>
      </c>
      <c r="G33">
        <v>278767</v>
      </c>
      <c r="H33">
        <v>35</v>
      </c>
      <c r="I33" s="1" t="s">
        <v>11063</v>
      </c>
      <c r="J33" s="11">
        <v>44289.97215277778</v>
      </c>
      <c r="K33" s="1" t="s">
        <v>1724</v>
      </c>
      <c r="L33" s="1">
        <f>0.287</f>
        <v>0.28699999999999998</v>
      </c>
      <c r="M33" s="1" t="b">
        <f>0=7=1</f>
        <v>0</v>
      </c>
      <c r="N33">
        <f>0</f>
        <v>0</v>
      </c>
      <c r="O33" s="1">
        <v>-25.355</v>
      </c>
      <c r="P33">
        <v>1</v>
      </c>
      <c r="Q33" s="1" t="b">
        <f>0=388</f>
        <v>0</v>
      </c>
      <c r="R33" s="1">
        <f>0.978</f>
        <v>0.97799999999999998</v>
      </c>
      <c r="S33" s="1">
        <f>0.926</f>
        <v>0.92600000000000005</v>
      </c>
      <c r="T33" s="1">
        <f>0.128</f>
        <v>0.128</v>
      </c>
      <c r="U33" s="1">
        <f>0.433</f>
        <v>0.433</v>
      </c>
      <c r="V33" s="1">
        <v>128.19499999999999</v>
      </c>
      <c r="W33">
        <v>4</v>
      </c>
    </row>
    <row r="34" spans="1:23" x14ac:dyDescent="0.25">
      <c r="A34" s="1" t="s">
        <v>13170</v>
      </c>
      <c r="B34" s="1" t="s">
        <v>13148</v>
      </c>
      <c r="C34" s="1" t="s">
        <v>1740</v>
      </c>
      <c r="D34" s="1" t="s">
        <v>1812</v>
      </c>
      <c r="E34" s="1" t="s">
        <v>1713</v>
      </c>
      <c r="F34" s="1" t="s">
        <v>13118</v>
      </c>
      <c r="G34">
        <v>168219</v>
      </c>
      <c r="H34">
        <v>34</v>
      </c>
      <c r="I34" s="1" t="s">
        <v>11063</v>
      </c>
      <c r="J34" s="11">
        <v>44289.97216435185</v>
      </c>
      <c r="K34" s="1" t="s">
        <v>1709</v>
      </c>
      <c r="L34" s="1">
        <f>0.395</f>
        <v>0.39500000000000002</v>
      </c>
      <c r="M34" s="1" t="b">
        <f>0=558</f>
        <v>0</v>
      </c>
      <c r="N34">
        <v>11</v>
      </c>
      <c r="O34" s="1">
        <v>-23.324000000000002</v>
      </c>
      <c r="P34">
        <v>1</v>
      </c>
      <c r="Q34" s="1" t="b">
        <f>0=364</f>
        <v>0</v>
      </c>
      <c r="R34" s="1">
        <f>0.992</f>
        <v>0.99199999999999999</v>
      </c>
      <c r="S34" s="1">
        <f>0.929</f>
        <v>0.92900000000000005</v>
      </c>
      <c r="T34" s="1" t="b">
        <f>0=937</f>
        <v>0</v>
      </c>
      <c r="U34" s="1" t="b">
        <f>0.3=3</f>
        <v>0</v>
      </c>
      <c r="V34" s="1" t="s">
        <v>13397</v>
      </c>
      <c r="W34">
        <v>4</v>
      </c>
    </row>
    <row r="35" spans="1:23" x14ac:dyDescent="0.25">
      <c r="A35" s="1" t="s">
        <v>13171</v>
      </c>
      <c r="B35" s="1" t="s">
        <v>13164</v>
      </c>
      <c r="C35" s="1" t="s">
        <v>1741</v>
      </c>
      <c r="D35" s="1" t="s">
        <v>13109</v>
      </c>
      <c r="E35" s="1" t="s">
        <v>1732</v>
      </c>
      <c r="F35" s="1" t="s">
        <v>13110</v>
      </c>
      <c r="G35">
        <v>142663</v>
      </c>
      <c r="H35">
        <v>40</v>
      </c>
      <c r="I35" s="1" t="s">
        <v>11063</v>
      </c>
      <c r="J35" s="11">
        <v>44289.972175925926</v>
      </c>
      <c r="K35" s="1" t="s">
        <v>1733</v>
      </c>
      <c r="L35" s="1">
        <f>0.196</f>
        <v>0.19600000000000001</v>
      </c>
      <c r="M35" s="1" t="b">
        <f>0=214</f>
        <v>0</v>
      </c>
      <c r="N35">
        <v>1</v>
      </c>
      <c r="O35" s="1">
        <v>-33.554000000000002</v>
      </c>
      <c r="P35">
        <v>1</v>
      </c>
      <c r="Q35" s="1" t="b">
        <f>0=435</f>
        <v>0</v>
      </c>
      <c r="R35" s="1">
        <f>0.992</f>
        <v>0.99199999999999999</v>
      </c>
      <c r="S35" s="1">
        <f>0.874</f>
        <v>0.874</v>
      </c>
      <c r="T35" s="1" t="b">
        <f>0=971</f>
        <v>0</v>
      </c>
      <c r="U35" s="1" t="b">
        <f>0=845</f>
        <v>0</v>
      </c>
      <c r="V35" s="1">
        <v>125.18600000000001</v>
      </c>
      <c r="W35">
        <v>4</v>
      </c>
    </row>
    <row r="36" spans="1:23" x14ac:dyDescent="0.25">
      <c r="A36" s="1" t="s">
        <v>13172</v>
      </c>
      <c r="B36" s="1" t="s">
        <v>13160</v>
      </c>
      <c r="C36" s="1" t="s">
        <v>1742</v>
      </c>
      <c r="D36" s="1" t="s">
        <v>1812</v>
      </c>
      <c r="E36" s="1" t="s">
        <v>1727</v>
      </c>
      <c r="F36" s="1" t="s">
        <v>13118</v>
      </c>
      <c r="G36">
        <v>427029</v>
      </c>
      <c r="H36">
        <v>36</v>
      </c>
      <c r="I36" s="1" t="s">
        <v>11063</v>
      </c>
      <c r="J36" s="11">
        <v>44289.972210648149</v>
      </c>
      <c r="K36" s="1" t="s">
        <v>1728</v>
      </c>
      <c r="L36" s="1">
        <f>0.388</f>
        <v>0.38800000000000001</v>
      </c>
      <c r="M36" s="1">
        <f>0.113</f>
        <v>0.113</v>
      </c>
      <c r="N36">
        <f>0</f>
        <v>0</v>
      </c>
      <c r="O36" s="1">
        <v>-21.588000000000001</v>
      </c>
      <c r="P36">
        <f>0</f>
        <v>0</v>
      </c>
      <c r="Q36" s="1" t="b">
        <f>0=658</f>
        <v>0</v>
      </c>
      <c r="R36" s="1">
        <f>0.978</f>
        <v>0.97799999999999998</v>
      </c>
      <c r="S36" s="1">
        <f>0.899</f>
        <v>0.89900000000000002</v>
      </c>
      <c r="T36" s="1" t="b">
        <f>0.1=7</f>
        <v>0</v>
      </c>
      <c r="U36" s="1" t="b">
        <f>0=84</f>
        <v>0</v>
      </c>
      <c r="V36" s="1">
        <v>79.415999999999997</v>
      </c>
      <c r="W36">
        <v>4</v>
      </c>
    </row>
    <row r="37" spans="1:23" x14ac:dyDescent="0.25">
      <c r="A37" s="1" t="s">
        <v>13173</v>
      </c>
      <c r="B37" s="1" t="s">
        <v>13160</v>
      </c>
      <c r="C37" s="1" t="s">
        <v>1743</v>
      </c>
      <c r="D37" s="1" t="s">
        <v>1812</v>
      </c>
      <c r="E37" s="1" t="s">
        <v>1727</v>
      </c>
      <c r="F37" s="1" t="s">
        <v>13118</v>
      </c>
      <c r="G37">
        <v>271797</v>
      </c>
      <c r="H37">
        <v>37</v>
      </c>
      <c r="I37" s="1" t="s">
        <v>11063</v>
      </c>
      <c r="J37" s="11">
        <v>44289.972222222219</v>
      </c>
      <c r="K37" s="1" t="s">
        <v>1728</v>
      </c>
      <c r="L37" s="1">
        <f>0.4</f>
        <v>0.4</v>
      </c>
      <c r="M37" s="1" t="b">
        <f>0=0=752</f>
        <v>0</v>
      </c>
      <c r="N37">
        <v>8</v>
      </c>
      <c r="O37" s="1" t="s">
        <v>13398</v>
      </c>
      <c r="P37">
        <v>1</v>
      </c>
      <c r="Q37" s="1" t="b">
        <f>0=465</f>
        <v>0</v>
      </c>
      <c r="R37" s="1">
        <f>0.995</f>
        <v>0.995</v>
      </c>
      <c r="S37" s="1">
        <f>0.939</f>
        <v>0.93899999999999995</v>
      </c>
      <c r="T37" s="1">
        <f>0.118</f>
        <v>0.11799999999999999</v>
      </c>
      <c r="U37" s="1">
        <f>0.118</f>
        <v>0.11799999999999999</v>
      </c>
      <c r="V37" s="1">
        <v>132.976</v>
      </c>
      <c r="W37">
        <v>4</v>
      </c>
    </row>
    <row r="38" spans="1:23" x14ac:dyDescent="0.25">
      <c r="A38" s="1" t="s">
        <v>13174</v>
      </c>
      <c r="B38" s="1" t="s">
        <v>13160</v>
      </c>
      <c r="C38" s="1" t="s">
        <v>1744</v>
      </c>
      <c r="D38" s="1" t="s">
        <v>1812</v>
      </c>
      <c r="E38" s="1" t="s">
        <v>1727</v>
      </c>
      <c r="F38" s="1" t="s">
        <v>13118</v>
      </c>
      <c r="G38">
        <v>279405</v>
      </c>
      <c r="H38">
        <v>36</v>
      </c>
      <c r="I38" s="1" t="s">
        <v>11063</v>
      </c>
      <c r="J38" s="11">
        <v>44289.972233796296</v>
      </c>
      <c r="K38" s="1" t="s">
        <v>1728</v>
      </c>
      <c r="L38" s="1" t="b">
        <f>0.4=2</f>
        <v>0</v>
      </c>
      <c r="M38" s="1" t="b">
        <f>0=9=1</f>
        <v>0</v>
      </c>
      <c r="N38">
        <f>0</f>
        <v>0</v>
      </c>
      <c r="O38" s="1">
        <v>-23.742999999999999</v>
      </c>
      <c r="P38">
        <f>0</f>
        <v>0</v>
      </c>
      <c r="Q38" s="1" t="b">
        <f>0=45</f>
        <v>0</v>
      </c>
      <c r="R38" s="1">
        <f>0.987</f>
        <v>0.98699999999999999</v>
      </c>
      <c r="S38" s="1">
        <f>0.917</f>
        <v>0.91700000000000004</v>
      </c>
      <c r="T38" s="1">
        <f>0.124</f>
        <v>0.124</v>
      </c>
      <c r="U38" s="1">
        <f>0.178</f>
        <v>0.17799999999999999</v>
      </c>
      <c r="V38" s="1">
        <v>99.620999999999995</v>
      </c>
      <c r="W38">
        <v>3</v>
      </c>
    </row>
    <row r="39" spans="1:23" x14ac:dyDescent="0.25">
      <c r="A39" s="1" t="s">
        <v>13175</v>
      </c>
      <c r="B39" s="1" t="s">
        <v>13176</v>
      </c>
      <c r="C39" s="1" t="s">
        <v>1745</v>
      </c>
      <c r="D39" s="1" t="s">
        <v>1812</v>
      </c>
      <c r="E39" s="1" t="s">
        <v>1746</v>
      </c>
      <c r="F39" s="1" t="s">
        <v>13118</v>
      </c>
      <c r="G39">
        <v>62016</v>
      </c>
      <c r="H39">
        <v>34</v>
      </c>
      <c r="I39" s="1" t="s">
        <v>11063</v>
      </c>
      <c r="J39" s="11">
        <v>44289.972245370373</v>
      </c>
      <c r="K39" s="1" t="s">
        <v>1747</v>
      </c>
      <c r="L39" s="1">
        <f>0.416</f>
        <v>0.41599999999999998</v>
      </c>
      <c r="M39" s="1" t="b">
        <f>0.2=8</f>
        <v>0</v>
      </c>
      <c r="N39">
        <v>9</v>
      </c>
      <c r="O39" s="1" t="s">
        <v>13399</v>
      </c>
      <c r="P39">
        <v>1</v>
      </c>
      <c r="Q39" s="1" t="b">
        <f>0=334</f>
        <v>0</v>
      </c>
      <c r="R39" s="1">
        <f>0.985</f>
        <v>0.98499999999999999</v>
      </c>
      <c r="S39" s="1">
        <f>0.973</f>
        <v>0.97299999999999998</v>
      </c>
      <c r="T39" s="1">
        <f>0.273</f>
        <v>0.27300000000000002</v>
      </c>
      <c r="U39" s="1">
        <f>0.279</f>
        <v>0.27900000000000003</v>
      </c>
      <c r="V39" s="1" t="s">
        <v>13400</v>
      </c>
      <c r="W39">
        <v>4</v>
      </c>
    </row>
    <row r="40" spans="1:23" x14ac:dyDescent="0.25">
      <c r="A40" s="1" t="s">
        <v>13177</v>
      </c>
      <c r="B40" s="1" t="s">
        <v>13178</v>
      </c>
      <c r="C40" s="1" t="s">
        <v>1748</v>
      </c>
      <c r="D40" s="1" t="s">
        <v>13179</v>
      </c>
      <c r="E40" s="1" t="s">
        <v>1749</v>
      </c>
      <c r="F40" s="1" t="s">
        <v>13180</v>
      </c>
      <c r="G40">
        <v>248916</v>
      </c>
      <c r="H40">
        <v>36</v>
      </c>
      <c r="I40" s="1" t="s">
        <v>11063</v>
      </c>
      <c r="J40" s="11">
        <v>44289.972256944442</v>
      </c>
      <c r="K40" s="1" t="s">
        <v>1703</v>
      </c>
      <c r="L40" s="1">
        <f>0.448</f>
        <v>0.44800000000000001</v>
      </c>
      <c r="M40" s="1" t="b">
        <f>0=149</f>
        <v>0</v>
      </c>
      <c r="N40">
        <v>5</v>
      </c>
      <c r="O40" s="1">
        <v>-24.484000000000002</v>
      </c>
      <c r="P40">
        <f>0</f>
        <v>0</v>
      </c>
      <c r="Q40" s="1" t="b">
        <f>0=552</f>
        <v>0</v>
      </c>
      <c r="R40" s="1">
        <f>0.995</f>
        <v>0.995</v>
      </c>
      <c r="S40" s="1">
        <f>0.963</f>
        <v>0.96299999999999997</v>
      </c>
      <c r="T40" s="1" t="b">
        <f>0=994</f>
        <v>0</v>
      </c>
      <c r="U40" s="1">
        <f>0.173</f>
        <v>0.17299999999999999</v>
      </c>
      <c r="V40" s="1">
        <v>79.986999999999995</v>
      </c>
      <c r="W40">
        <v>4</v>
      </c>
    </row>
    <row r="41" spans="1:23" x14ac:dyDescent="0.25">
      <c r="A41" s="1" t="s">
        <v>13181</v>
      </c>
      <c r="B41" s="1" t="s">
        <v>13178</v>
      </c>
      <c r="C41" s="1" t="s">
        <v>1750</v>
      </c>
      <c r="D41" s="1" t="s">
        <v>13179</v>
      </c>
      <c r="E41" s="1" t="s">
        <v>1749</v>
      </c>
      <c r="F41" s="1" t="s">
        <v>13180</v>
      </c>
      <c r="G41">
        <v>172370</v>
      </c>
      <c r="H41">
        <v>34</v>
      </c>
      <c r="I41" s="1" t="s">
        <v>11063</v>
      </c>
      <c r="J41" s="11">
        <v>44289.972268518519</v>
      </c>
      <c r="K41" s="1" t="s">
        <v>1703</v>
      </c>
      <c r="L41" s="1">
        <f>0.493</f>
        <v>0.49299999999999999</v>
      </c>
      <c r="M41" s="1" t="b">
        <f>0=0=784</f>
        <v>0</v>
      </c>
      <c r="N41">
        <v>2</v>
      </c>
      <c r="O41" s="1">
        <v>-24.844999999999999</v>
      </c>
      <c r="P41">
        <f>0</f>
        <v>0</v>
      </c>
      <c r="Q41" s="1" t="b">
        <f>0=643</f>
        <v>0</v>
      </c>
      <c r="R41" s="1">
        <f>0.996</f>
        <v>0.996</v>
      </c>
      <c r="S41" s="1">
        <f>0.964</f>
        <v>0.96399999999999997</v>
      </c>
      <c r="T41" s="1">
        <f>0.12</f>
        <v>0.12</v>
      </c>
      <c r="U41" s="1" t="b">
        <f>0=7=6</f>
        <v>0</v>
      </c>
      <c r="V41" s="1">
        <v>92.540999999999997</v>
      </c>
      <c r="W41">
        <v>4</v>
      </c>
    </row>
    <row r="42" spans="1:23" x14ac:dyDescent="0.25">
      <c r="A42" s="1" t="s">
        <v>13182</v>
      </c>
      <c r="B42" s="1" t="s">
        <v>13178</v>
      </c>
      <c r="C42" s="1" t="s">
        <v>1751</v>
      </c>
      <c r="D42" s="1" t="s">
        <v>13179</v>
      </c>
      <c r="E42" s="1" t="s">
        <v>1749</v>
      </c>
      <c r="F42" s="1" t="s">
        <v>13180</v>
      </c>
      <c r="G42">
        <v>196090</v>
      </c>
      <c r="H42">
        <v>34</v>
      </c>
      <c r="I42" s="1" t="s">
        <v>11063</v>
      </c>
      <c r="J42" s="11">
        <v>44289.972291666665</v>
      </c>
      <c r="K42" s="1" t="s">
        <v>1703</v>
      </c>
      <c r="L42" s="1">
        <f>0.4</f>
        <v>0.4</v>
      </c>
      <c r="M42" s="1" t="b">
        <f>0=3=1</f>
        <v>0</v>
      </c>
      <c r="N42">
        <v>9</v>
      </c>
      <c r="O42" s="1">
        <v>-24.710999999999999</v>
      </c>
      <c r="P42">
        <f>0</f>
        <v>0</v>
      </c>
      <c r="Q42" s="1" t="b">
        <f>0=734</f>
        <v>0</v>
      </c>
      <c r="R42" s="1">
        <f>0.995</f>
        <v>0.995</v>
      </c>
      <c r="S42" s="1">
        <f>0.962</f>
        <v>0.96199999999999997</v>
      </c>
      <c r="T42" s="1" t="b">
        <f>0.1=5</f>
        <v>0</v>
      </c>
      <c r="U42" s="1">
        <f>0.129</f>
        <v>0.129</v>
      </c>
      <c r="V42" s="1">
        <v>142.155</v>
      </c>
      <c r="W42">
        <v>4</v>
      </c>
    </row>
    <row r="43" spans="1:23" x14ac:dyDescent="0.25">
      <c r="A43" s="1" t="s">
        <v>13183</v>
      </c>
      <c r="B43" s="1" t="s">
        <v>13178</v>
      </c>
      <c r="C43" s="1" t="s">
        <v>1752</v>
      </c>
      <c r="D43" s="1" t="s">
        <v>13179</v>
      </c>
      <c r="E43" s="1" t="s">
        <v>1749</v>
      </c>
      <c r="F43" s="1" t="s">
        <v>13180</v>
      </c>
      <c r="G43">
        <v>324000</v>
      </c>
      <c r="H43">
        <v>36</v>
      </c>
      <c r="I43" s="1" t="s">
        <v>11063</v>
      </c>
      <c r="J43" s="11">
        <v>44289.972303240742</v>
      </c>
      <c r="K43" s="1" t="s">
        <v>1703</v>
      </c>
      <c r="L43" s="1">
        <f>0.317</f>
        <v>0.317</v>
      </c>
      <c r="M43" s="1" t="b">
        <f>0=566</f>
        <v>0</v>
      </c>
      <c r="N43">
        <f>0</f>
        <v>0</v>
      </c>
      <c r="O43" s="1">
        <v>-21.736000000000001</v>
      </c>
      <c r="P43">
        <v>1</v>
      </c>
      <c r="Q43" s="1" t="b">
        <f>0=5=7</f>
        <v>0</v>
      </c>
      <c r="R43" s="1">
        <f>0.991</f>
        <v>0.99099999999999999</v>
      </c>
      <c r="S43" s="1">
        <f>0.943</f>
        <v>0.94299999999999995</v>
      </c>
      <c r="T43" s="1" t="b">
        <f>0=871</f>
        <v>0</v>
      </c>
      <c r="U43" s="1">
        <f>0.225</f>
        <v>0.22500000000000001</v>
      </c>
      <c r="V43" s="1">
        <v>74.453999999999994</v>
      </c>
      <c r="W43">
        <v>4</v>
      </c>
    </row>
    <row r="44" spans="1:23" x14ac:dyDescent="0.25">
      <c r="A44" s="1" t="s">
        <v>13184</v>
      </c>
      <c r="B44" s="1" t="s">
        <v>13185</v>
      </c>
      <c r="C44" s="1" t="s">
        <v>1753</v>
      </c>
      <c r="D44" s="1" t="s">
        <v>13179</v>
      </c>
      <c r="E44" s="1" t="s">
        <v>1754</v>
      </c>
      <c r="F44" s="1" t="s">
        <v>13180</v>
      </c>
      <c r="G44">
        <v>422432</v>
      </c>
      <c r="H44">
        <v>36</v>
      </c>
      <c r="I44" s="1" t="s">
        <v>11063</v>
      </c>
      <c r="J44" s="11">
        <v>44289.972314814811</v>
      </c>
      <c r="K44" s="1" t="s">
        <v>1755</v>
      </c>
      <c r="L44" s="1">
        <f>0.291</f>
        <v>0.29099999999999998</v>
      </c>
      <c r="M44" s="1" t="b">
        <f>0=238</f>
        <v>0</v>
      </c>
      <c r="N44">
        <v>8</v>
      </c>
      <c r="O44" s="1">
        <v>-25.26</v>
      </c>
      <c r="P44">
        <v>1</v>
      </c>
      <c r="Q44" s="1" t="b">
        <f>0=359</f>
        <v>0</v>
      </c>
      <c r="R44" s="1">
        <f>0.986</f>
        <v>0.98599999999999999</v>
      </c>
      <c r="S44" s="1">
        <f>0.933</f>
        <v>0.93300000000000005</v>
      </c>
      <c r="T44" s="1">
        <f>0.111</f>
        <v>0.111</v>
      </c>
      <c r="U44" s="1">
        <f>0.137</f>
        <v>0.13700000000000001</v>
      </c>
      <c r="V44" s="1">
        <v>135.697</v>
      </c>
      <c r="W44">
        <v>4</v>
      </c>
    </row>
    <row r="45" spans="1:23" x14ac:dyDescent="0.25">
      <c r="A45" s="1" t="s">
        <v>13186</v>
      </c>
      <c r="B45" s="1" t="s">
        <v>13185</v>
      </c>
      <c r="C45" s="1" t="s">
        <v>1756</v>
      </c>
      <c r="D45" s="1" t="s">
        <v>13179</v>
      </c>
      <c r="E45" s="1" t="s">
        <v>1754</v>
      </c>
      <c r="F45" s="1" t="s">
        <v>13180</v>
      </c>
      <c r="G45">
        <v>352474</v>
      </c>
      <c r="H45">
        <v>36</v>
      </c>
      <c r="I45" s="1" t="s">
        <v>11063</v>
      </c>
      <c r="J45" s="11">
        <v>44289.972326388888</v>
      </c>
      <c r="K45" s="1" t="s">
        <v>1755</v>
      </c>
      <c r="L45" s="1" t="b">
        <f>0=885</f>
        <v>0</v>
      </c>
      <c r="M45" s="1" t="b">
        <f>0=4=6</f>
        <v>0</v>
      </c>
      <c r="N45">
        <v>6</v>
      </c>
      <c r="O45" s="1">
        <v>-25.52</v>
      </c>
      <c r="P45">
        <v>1</v>
      </c>
      <c r="Q45" s="1" t="b">
        <f>0=392</f>
        <v>0</v>
      </c>
      <c r="R45" s="1">
        <f>0.983</f>
        <v>0.98299999999999998</v>
      </c>
      <c r="S45" s="1">
        <f>0.913</f>
        <v>0.91300000000000003</v>
      </c>
      <c r="T45" s="1" t="b">
        <f>0.1=9</f>
        <v>0</v>
      </c>
      <c r="U45" s="1" t="b">
        <f>0=713</f>
        <v>0</v>
      </c>
      <c r="V45" s="1" t="s">
        <v>13401</v>
      </c>
      <c r="W45">
        <v>4</v>
      </c>
    </row>
    <row r="46" spans="1:23" x14ac:dyDescent="0.25">
      <c r="A46" s="1" t="s">
        <v>13187</v>
      </c>
      <c r="B46" s="1" t="s">
        <v>13188</v>
      </c>
      <c r="C46" s="1" t="s">
        <v>1757</v>
      </c>
      <c r="D46" s="1" t="s">
        <v>13179</v>
      </c>
      <c r="E46" s="1" t="s">
        <v>1758</v>
      </c>
      <c r="F46" s="1" t="s">
        <v>13180</v>
      </c>
      <c r="G46">
        <v>281913</v>
      </c>
      <c r="H46">
        <v>36</v>
      </c>
      <c r="I46" s="1" t="s">
        <v>11063</v>
      </c>
      <c r="J46" s="11">
        <v>44289.972361111111</v>
      </c>
      <c r="K46" s="1" t="s">
        <v>1673</v>
      </c>
      <c r="L46" s="1">
        <f>0.132</f>
        <v>0.13200000000000001</v>
      </c>
      <c r="M46" s="1" t="b">
        <f>0=411</f>
        <v>0</v>
      </c>
      <c r="N46">
        <v>1</v>
      </c>
      <c r="O46" s="1">
        <v>-25.117999999999999</v>
      </c>
      <c r="P46">
        <v>1</v>
      </c>
      <c r="Q46" s="1" t="b">
        <f>0=37</f>
        <v>0</v>
      </c>
      <c r="R46" s="1">
        <f>0.987</f>
        <v>0.98699999999999999</v>
      </c>
      <c r="S46" s="1">
        <f>0.912</f>
        <v>0.91200000000000003</v>
      </c>
      <c r="T46" s="1" t="b">
        <f>0.1=7</f>
        <v>0</v>
      </c>
      <c r="U46" s="1" t="b">
        <f>0=779</f>
        <v>0</v>
      </c>
      <c r="V46" s="1">
        <v>74.486000000000004</v>
      </c>
      <c r="W46">
        <v>4</v>
      </c>
    </row>
    <row r="47" spans="1:23" x14ac:dyDescent="0.25">
      <c r="A47" s="1" t="s">
        <v>13189</v>
      </c>
      <c r="B47" s="1" t="s">
        <v>13190</v>
      </c>
      <c r="C47" s="1" t="s">
        <v>1759</v>
      </c>
      <c r="D47" s="1" t="s">
        <v>13179</v>
      </c>
      <c r="E47" s="1" t="s">
        <v>1760</v>
      </c>
      <c r="F47" s="1" t="s">
        <v>13180</v>
      </c>
      <c r="G47">
        <v>172452</v>
      </c>
      <c r="H47">
        <v>35</v>
      </c>
      <c r="I47" s="1" t="s">
        <v>11063</v>
      </c>
      <c r="J47" s="11">
        <v>44289.972372685188</v>
      </c>
      <c r="K47" s="1" t="s">
        <v>1761</v>
      </c>
      <c r="L47" s="1">
        <f>0.447</f>
        <v>0.44700000000000001</v>
      </c>
      <c r="M47" s="1" t="b">
        <f>0=14</f>
        <v>0</v>
      </c>
      <c r="N47">
        <v>1</v>
      </c>
      <c r="O47" s="1">
        <v>-26.773</v>
      </c>
      <c r="P47">
        <f>0</f>
        <v>0</v>
      </c>
      <c r="Q47" s="1" t="b">
        <f>0=537</f>
        <v>0</v>
      </c>
      <c r="R47" s="1">
        <f>0.996</f>
        <v>0.996</v>
      </c>
      <c r="S47" s="1">
        <f>0.937</f>
        <v>0.93700000000000006</v>
      </c>
      <c r="T47" s="1" t="b">
        <f>0=916</f>
        <v>0</v>
      </c>
      <c r="U47" s="1">
        <f>0.116</f>
        <v>0.11600000000000001</v>
      </c>
      <c r="V47" s="1" t="s">
        <v>13402</v>
      </c>
      <c r="W47">
        <v>3</v>
      </c>
    </row>
    <row r="48" spans="1:23" x14ac:dyDescent="0.25">
      <c r="A48" s="1" t="s">
        <v>13191</v>
      </c>
      <c r="B48" s="1" t="s">
        <v>13188</v>
      </c>
      <c r="C48" s="1" t="s">
        <v>1762</v>
      </c>
      <c r="D48" s="1" t="s">
        <v>13179</v>
      </c>
      <c r="E48" s="1" t="s">
        <v>1758</v>
      </c>
      <c r="F48" s="1" t="s">
        <v>13180</v>
      </c>
      <c r="G48">
        <v>121521</v>
      </c>
      <c r="H48">
        <v>36</v>
      </c>
      <c r="I48" s="1" t="s">
        <v>11063</v>
      </c>
      <c r="J48" s="11">
        <v>44289.972384259258</v>
      </c>
      <c r="K48" s="1" t="s">
        <v>1673</v>
      </c>
      <c r="L48" s="1">
        <f>0.238</f>
        <v>0.23799999999999999</v>
      </c>
      <c r="M48" s="1">
        <f>0.153</f>
        <v>0.153</v>
      </c>
      <c r="N48">
        <v>1</v>
      </c>
      <c r="O48" s="1" t="s">
        <v>13403</v>
      </c>
      <c r="P48">
        <v>1</v>
      </c>
      <c r="Q48" s="1" t="b">
        <f>0=382</f>
        <v>0</v>
      </c>
      <c r="R48" s="1">
        <f>0.983</f>
        <v>0.98299999999999998</v>
      </c>
      <c r="S48" s="1">
        <f>0.93</f>
        <v>0.93</v>
      </c>
      <c r="T48" s="1">
        <f>0.166</f>
        <v>0.16600000000000001</v>
      </c>
      <c r="U48" s="1">
        <f>0.313</f>
        <v>0.313</v>
      </c>
      <c r="V48" s="1" t="s">
        <v>13404</v>
      </c>
      <c r="W48">
        <v>3</v>
      </c>
    </row>
    <row r="49" spans="1:23" x14ac:dyDescent="0.25">
      <c r="A49" s="1" t="s">
        <v>13192</v>
      </c>
      <c r="B49" s="1" t="s">
        <v>13193</v>
      </c>
      <c r="C49" s="1" t="s">
        <v>1763</v>
      </c>
      <c r="D49" s="1" t="s">
        <v>13179</v>
      </c>
      <c r="E49" s="1" t="s">
        <v>1764</v>
      </c>
      <c r="F49" s="1" t="s">
        <v>13180</v>
      </c>
      <c r="G49">
        <v>96480</v>
      </c>
      <c r="H49">
        <v>36</v>
      </c>
      <c r="I49" s="1" t="s">
        <v>11063</v>
      </c>
      <c r="J49" s="11">
        <v>44289.972395833334</v>
      </c>
      <c r="K49" s="1" t="s">
        <v>1765</v>
      </c>
      <c r="L49" s="1">
        <f>0.467</f>
        <v>0.46700000000000003</v>
      </c>
      <c r="M49" s="1" t="b">
        <f>0=787</f>
        <v>0</v>
      </c>
      <c r="N49">
        <v>7</v>
      </c>
      <c r="O49" s="1">
        <v>-24.347999999999999</v>
      </c>
      <c r="P49">
        <v>1</v>
      </c>
      <c r="Q49" s="1" t="b">
        <f>0=555</f>
        <v>0</v>
      </c>
      <c r="R49" s="1">
        <f>0.993</f>
        <v>0.99299999999999999</v>
      </c>
      <c r="S49" s="1">
        <f>0.921</f>
        <v>0.92100000000000004</v>
      </c>
      <c r="T49" s="1">
        <f>0.16</f>
        <v>0.16</v>
      </c>
      <c r="U49" s="1">
        <f>0.616</f>
        <v>0.61599999999999999</v>
      </c>
      <c r="V49" s="1">
        <v>125.548</v>
      </c>
      <c r="W49">
        <v>3</v>
      </c>
    </row>
    <row r="50" spans="1:23" x14ac:dyDescent="0.25">
      <c r="A50" s="1" t="s">
        <v>13194</v>
      </c>
      <c r="B50" s="1" t="s">
        <v>13195</v>
      </c>
      <c r="C50" s="1" t="s">
        <v>1766</v>
      </c>
      <c r="D50" s="1" t="s">
        <v>13179</v>
      </c>
      <c r="E50" s="1" t="s">
        <v>1767</v>
      </c>
      <c r="F50" s="1" t="s">
        <v>13180</v>
      </c>
      <c r="G50">
        <v>399516</v>
      </c>
      <c r="H50">
        <v>36</v>
      </c>
      <c r="I50" s="1" t="s">
        <v>11063</v>
      </c>
      <c r="J50" s="11">
        <v>44289.972407407404</v>
      </c>
      <c r="K50" s="1" t="s">
        <v>1768</v>
      </c>
      <c r="L50" s="1">
        <f>0.322</f>
        <v>0.32200000000000001</v>
      </c>
      <c r="M50" s="1" t="b">
        <f>0=347</f>
        <v>0</v>
      </c>
      <c r="N50">
        <v>9</v>
      </c>
      <c r="O50" s="1" t="s">
        <v>13405</v>
      </c>
      <c r="P50">
        <v>1</v>
      </c>
      <c r="Q50" s="1" t="b">
        <f>0=488</f>
        <v>0</v>
      </c>
      <c r="R50" s="1">
        <f>0.992</f>
        <v>0.99199999999999999</v>
      </c>
      <c r="S50" s="1">
        <f>0.941</f>
        <v>0.94099999999999995</v>
      </c>
      <c r="T50" s="1" t="b">
        <f>0.1=2</f>
        <v>0</v>
      </c>
      <c r="U50" s="1">
        <f>0.286</f>
        <v>0.28599999999999998</v>
      </c>
      <c r="V50" s="1">
        <v>162.96899999999999</v>
      </c>
      <c r="W50">
        <v>3</v>
      </c>
    </row>
    <row r="51" spans="1:23" x14ac:dyDescent="0.25">
      <c r="A51" s="1" t="s">
        <v>13196</v>
      </c>
      <c r="B51" s="1" t="s">
        <v>13197</v>
      </c>
      <c r="C51" s="1" t="s">
        <v>1769</v>
      </c>
      <c r="D51" s="1" t="s">
        <v>13179</v>
      </c>
      <c r="E51" s="1" t="s">
        <v>1770</v>
      </c>
      <c r="F51" s="1" t="s">
        <v>13180</v>
      </c>
      <c r="G51">
        <v>246353</v>
      </c>
      <c r="H51">
        <v>36</v>
      </c>
      <c r="I51" s="1" t="s">
        <v>11063</v>
      </c>
      <c r="J51" s="11">
        <v>44289.972418981481</v>
      </c>
      <c r="K51" s="1" t="s">
        <v>1771</v>
      </c>
      <c r="L51" s="1">
        <f>0.434</f>
        <v>0.434</v>
      </c>
      <c r="M51" s="1" t="b">
        <f>0=5=2</f>
        <v>0</v>
      </c>
      <c r="N51">
        <v>4</v>
      </c>
      <c r="O51" s="1">
        <v>-23.122</v>
      </c>
      <c r="P51">
        <v>1</v>
      </c>
      <c r="Q51" s="1" t="b">
        <f>0=422</f>
        <v>0</v>
      </c>
      <c r="R51" s="1">
        <f>0.988</f>
        <v>0.98799999999999999</v>
      </c>
      <c r="S51" s="1">
        <f>0.941</f>
        <v>0.94099999999999995</v>
      </c>
      <c r="T51" s="1">
        <f>0.122</f>
        <v>0.122</v>
      </c>
      <c r="U51" s="1" t="b">
        <f>0=671</f>
        <v>0</v>
      </c>
      <c r="V51" s="1">
        <v>134.52500000000001</v>
      </c>
      <c r="W51">
        <v>4</v>
      </c>
    </row>
    <row r="52" spans="1:23" x14ac:dyDescent="0.25">
      <c r="A52" s="1" t="s">
        <v>13198</v>
      </c>
      <c r="B52" s="1" t="s">
        <v>13199</v>
      </c>
      <c r="C52" s="1" t="s">
        <v>1772</v>
      </c>
      <c r="D52" s="1" t="s">
        <v>13179</v>
      </c>
      <c r="E52" s="1" t="s">
        <v>1773</v>
      </c>
      <c r="F52" s="1" t="s">
        <v>13180</v>
      </c>
      <c r="G52">
        <v>271020</v>
      </c>
      <c r="H52">
        <v>36</v>
      </c>
      <c r="I52" s="1" t="s">
        <v>11063</v>
      </c>
      <c r="J52" s="11">
        <v>44289.972430555557</v>
      </c>
      <c r="K52" s="1" t="s">
        <v>1697</v>
      </c>
      <c r="L52" s="1">
        <f>0.477</f>
        <v>0.47699999999999998</v>
      </c>
      <c r="M52" s="1" t="b">
        <f>0=0=433</f>
        <v>0</v>
      </c>
      <c r="N52">
        <v>1</v>
      </c>
      <c r="O52" s="1" t="s">
        <v>13406</v>
      </c>
      <c r="P52">
        <v>1</v>
      </c>
      <c r="Q52" s="1" t="b">
        <f>0=397</f>
        <v>0</v>
      </c>
      <c r="R52" s="1">
        <f>0.991</f>
        <v>0.99099999999999999</v>
      </c>
      <c r="S52" s="1">
        <f>0.925</f>
        <v>0.92500000000000004</v>
      </c>
      <c r="T52" s="1">
        <f>0.145</f>
        <v>0.14499999999999999</v>
      </c>
      <c r="U52" s="1">
        <f>0.179</f>
        <v>0.17899999999999999</v>
      </c>
      <c r="V52" s="1" t="s">
        <v>13407</v>
      </c>
      <c r="W52">
        <v>3</v>
      </c>
    </row>
    <row r="53" spans="1:23" x14ac:dyDescent="0.25">
      <c r="A53" s="1" t="s">
        <v>13200</v>
      </c>
      <c r="B53" s="1" t="s">
        <v>13201</v>
      </c>
      <c r="C53" s="1" t="s">
        <v>1774</v>
      </c>
      <c r="D53" s="1" t="s">
        <v>13179</v>
      </c>
      <c r="E53" s="1" t="s">
        <v>1775</v>
      </c>
      <c r="F53" s="1" t="s">
        <v>13180</v>
      </c>
      <c r="G53">
        <v>280756</v>
      </c>
      <c r="H53">
        <v>35</v>
      </c>
      <c r="I53" s="1" t="s">
        <v>11063</v>
      </c>
      <c r="J53" s="11">
        <v>44289.972442129627</v>
      </c>
      <c r="K53" s="1" t="s">
        <v>1724</v>
      </c>
      <c r="L53" s="1">
        <f>0.515</f>
        <v>0.51500000000000001</v>
      </c>
      <c r="M53" s="1" t="b">
        <f>0=579</f>
        <v>0</v>
      </c>
      <c r="N53" t="s">
        <v>11825</v>
      </c>
      <c r="O53" s="1" t="s">
        <v>13408</v>
      </c>
      <c r="P53">
        <v>1</v>
      </c>
      <c r="Q53" s="1" t="b">
        <f>0=476</f>
        <v>0</v>
      </c>
      <c r="R53" s="1">
        <f>0.993</f>
        <v>0.99299999999999999</v>
      </c>
      <c r="S53" s="1">
        <f>0.951</f>
        <v>0.95099999999999996</v>
      </c>
      <c r="T53" s="1">
        <f>0.125</f>
        <v>0.125</v>
      </c>
      <c r="U53" s="1">
        <f>0.33</f>
        <v>0.33</v>
      </c>
      <c r="V53" s="1">
        <v>138.697</v>
      </c>
      <c r="W53">
        <v>4</v>
      </c>
    </row>
    <row r="54" spans="1:23" x14ac:dyDescent="0.25">
      <c r="A54" s="1" t="s">
        <v>13202</v>
      </c>
      <c r="B54" s="1" t="s">
        <v>13201</v>
      </c>
      <c r="C54" s="1" t="s">
        <v>1776</v>
      </c>
      <c r="D54" s="1" t="s">
        <v>13179</v>
      </c>
      <c r="E54" s="1" t="s">
        <v>1775</v>
      </c>
      <c r="F54" s="1" t="s">
        <v>13180</v>
      </c>
      <c r="G54">
        <v>380337</v>
      </c>
      <c r="H54">
        <v>35</v>
      </c>
      <c r="I54" s="1" t="s">
        <v>11063</v>
      </c>
      <c r="J54" s="11">
        <v>44289.972453703704</v>
      </c>
      <c r="K54" s="1" t="s">
        <v>1724</v>
      </c>
      <c r="L54" s="1">
        <f>0.277</f>
        <v>0.27700000000000002</v>
      </c>
      <c r="M54" s="1" t="b">
        <f>0=489</f>
        <v>0</v>
      </c>
      <c r="N54">
        <v>5</v>
      </c>
      <c r="O54" s="1" t="s">
        <v>13409</v>
      </c>
      <c r="P54">
        <v>1</v>
      </c>
      <c r="Q54" s="1" t="b">
        <f>0=521</f>
        <v>0</v>
      </c>
      <c r="R54" s="1">
        <f>0.991</f>
        <v>0.99099999999999999</v>
      </c>
      <c r="S54" s="1">
        <f>0.921</f>
        <v>0.92100000000000004</v>
      </c>
      <c r="T54" s="1">
        <f>0.127</f>
        <v>0.127</v>
      </c>
      <c r="U54" s="1" t="b">
        <f>0=875</f>
        <v>0</v>
      </c>
      <c r="V54" s="1">
        <v>191.816</v>
      </c>
      <c r="W54">
        <v>3</v>
      </c>
    </row>
    <row r="55" spans="1:23" x14ac:dyDescent="0.25">
      <c r="A55" s="1" t="s">
        <v>13203</v>
      </c>
      <c r="B55" s="1" t="s">
        <v>13204</v>
      </c>
      <c r="C55" s="1" t="s">
        <v>1777</v>
      </c>
      <c r="D55" s="1" t="s">
        <v>13179</v>
      </c>
      <c r="E55" s="1" t="s">
        <v>1778</v>
      </c>
      <c r="F55" s="1" t="s">
        <v>13180</v>
      </c>
      <c r="G55">
        <v>108715</v>
      </c>
      <c r="H55">
        <v>36</v>
      </c>
      <c r="I55" s="1" t="s">
        <v>11063</v>
      </c>
      <c r="J55" s="11">
        <v>44289.97246527778</v>
      </c>
      <c r="K55" s="1" t="s">
        <v>1779</v>
      </c>
      <c r="L55" s="1" t="b">
        <f>0.8=4</f>
        <v>0</v>
      </c>
      <c r="M55" s="1">
        <f>0.266</f>
        <v>0.26600000000000001</v>
      </c>
      <c r="N55">
        <v>4</v>
      </c>
      <c r="O55" s="1">
        <v>-17.637</v>
      </c>
      <c r="P55">
        <f>0</f>
        <v>0</v>
      </c>
      <c r="Q55" s="1" t="b">
        <f>0=915</f>
        <v>0</v>
      </c>
      <c r="R55" s="1">
        <f>0.911</f>
        <v>0.91100000000000003</v>
      </c>
      <c r="S55" s="1">
        <f>0.8</f>
        <v>0.8</v>
      </c>
      <c r="T55" s="1" t="b">
        <f>0=644</f>
        <v>0</v>
      </c>
      <c r="U55" s="1">
        <f>0.49</f>
        <v>0.49</v>
      </c>
      <c r="V55" s="1">
        <v>119.996</v>
      </c>
      <c r="W55">
        <v>4</v>
      </c>
    </row>
    <row r="56" spans="1:23" x14ac:dyDescent="0.25">
      <c r="A56" s="1" t="s">
        <v>13205</v>
      </c>
      <c r="B56" s="1" t="s">
        <v>13206</v>
      </c>
      <c r="C56" s="1" t="s">
        <v>1780</v>
      </c>
      <c r="D56" s="1" t="s">
        <v>13179</v>
      </c>
      <c r="E56" s="1" t="s">
        <v>1781</v>
      </c>
      <c r="F56" s="1" t="s">
        <v>13180</v>
      </c>
      <c r="G56">
        <v>580103</v>
      </c>
      <c r="H56">
        <v>35</v>
      </c>
      <c r="I56" s="1" t="s">
        <v>11063</v>
      </c>
      <c r="J56" s="11">
        <v>44289.972488425927</v>
      </c>
      <c r="K56" s="1" t="s">
        <v>1706</v>
      </c>
      <c r="L56" s="1">
        <f>0.554</f>
        <v>0.55400000000000005</v>
      </c>
      <c r="M56" s="1" t="b">
        <f>0=629</f>
        <v>0</v>
      </c>
      <c r="N56">
        <v>4</v>
      </c>
      <c r="O56" s="1" t="s">
        <v>13410</v>
      </c>
      <c r="P56">
        <v>1</v>
      </c>
      <c r="Q56" s="1" t="b">
        <f>0=482</f>
        <v>0</v>
      </c>
      <c r="R56" s="1">
        <f>0.985</f>
        <v>0.98499999999999999</v>
      </c>
      <c r="S56" s="1">
        <f>0.941</f>
        <v>0.94099999999999995</v>
      </c>
      <c r="T56" s="1" t="b">
        <f>0.1=3</f>
        <v>0</v>
      </c>
      <c r="U56" s="1" t="b">
        <f>0=374</f>
        <v>0</v>
      </c>
      <c r="V56" s="1">
        <v>135.89599999999999</v>
      </c>
      <c r="W56">
        <v>4</v>
      </c>
    </row>
    <row r="57" spans="1:23" x14ac:dyDescent="0.25">
      <c r="A57" s="1" t="s">
        <v>13207</v>
      </c>
      <c r="B57" s="1" t="s">
        <v>13208</v>
      </c>
      <c r="C57" s="1" t="s">
        <v>1782</v>
      </c>
      <c r="D57" s="1" t="s">
        <v>13179</v>
      </c>
      <c r="E57" s="1" t="s">
        <v>1783</v>
      </c>
      <c r="F57" s="1" t="s">
        <v>13180</v>
      </c>
      <c r="G57">
        <v>196431</v>
      </c>
      <c r="H57">
        <v>34</v>
      </c>
      <c r="I57" s="1" t="s">
        <v>11063</v>
      </c>
      <c r="J57" s="11">
        <v>44289.972488425927</v>
      </c>
      <c r="K57" s="1" t="s">
        <v>1784</v>
      </c>
      <c r="L57" s="1">
        <f>0.297</f>
        <v>0.29699999999999999</v>
      </c>
      <c r="M57" s="1" t="b">
        <f>0=548</f>
        <v>0</v>
      </c>
      <c r="N57">
        <v>8</v>
      </c>
      <c r="O57" s="1">
        <v>-22.765000000000001</v>
      </c>
      <c r="P57">
        <v>1</v>
      </c>
      <c r="Q57" s="1" t="b">
        <f>0=358</f>
        <v>0</v>
      </c>
      <c r="R57" s="1">
        <f>0.992</f>
        <v>0.99199999999999999</v>
      </c>
      <c r="S57" s="1">
        <f>0.935</f>
        <v>0.93500000000000005</v>
      </c>
      <c r="T57" s="1" t="b">
        <f>0.1=5</f>
        <v>0</v>
      </c>
      <c r="U57" s="1" t="b">
        <f>0=6=8</f>
        <v>0</v>
      </c>
      <c r="V57" s="1">
        <v>67.275999999999996</v>
      </c>
      <c r="W57">
        <v>3</v>
      </c>
    </row>
    <row r="58" spans="1:23" x14ac:dyDescent="0.25">
      <c r="A58" s="1" t="s">
        <v>13209</v>
      </c>
      <c r="B58" s="1" t="s">
        <v>13210</v>
      </c>
      <c r="C58" s="1" t="s">
        <v>1785</v>
      </c>
      <c r="D58" s="1" t="s">
        <v>13179</v>
      </c>
      <c r="E58" s="1" t="s">
        <v>1786</v>
      </c>
      <c r="F58" s="1" t="s">
        <v>13180</v>
      </c>
      <c r="G58">
        <v>114407</v>
      </c>
      <c r="H58">
        <v>36</v>
      </c>
      <c r="I58" s="1" t="s">
        <v>11063</v>
      </c>
      <c r="J58" s="11">
        <v>44289.972500000003</v>
      </c>
      <c r="K58" s="1" t="s">
        <v>1787</v>
      </c>
      <c r="L58" s="1">
        <f>0.466</f>
        <v>0.46600000000000003</v>
      </c>
      <c r="M58" s="1" t="b">
        <f>0=266</f>
        <v>0</v>
      </c>
      <c r="N58">
        <v>6</v>
      </c>
      <c r="O58" s="1">
        <v>-25.925000000000001</v>
      </c>
      <c r="P58">
        <f>0</f>
        <v>0</v>
      </c>
      <c r="Q58" s="1" t="b">
        <f>0=445</f>
        <v>0</v>
      </c>
      <c r="R58" s="1">
        <f>0.986</f>
        <v>0.98599999999999999</v>
      </c>
      <c r="S58" s="1">
        <f>0.911</f>
        <v>0.91100000000000003</v>
      </c>
      <c r="T58" s="1" t="b">
        <f>0.1=1</f>
        <v>0</v>
      </c>
      <c r="U58" s="1">
        <f>0.413</f>
        <v>0.41299999999999998</v>
      </c>
      <c r="V58" s="1">
        <v>131.285</v>
      </c>
      <c r="W58">
        <v>4</v>
      </c>
    </row>
    <row r="59" spans="1:23" x14ac:dyDescent="0.25">
      <c r="A59" s="1" t="s">
        <v>13211</v>
      </c>
      <c r="B59" s="1" t="s">
        <v>13210</v>
      </c>
      <c r="C59" s="1" t="s">
        <v>1788</v>
      </c>
      <c r="D59" s="1" t="s">
        <v>13179</v>
      </c>
      <c r="E59" s="1" t="s">
        <v>1786</v>
      </c>
      <c r="F59" s="1" t="s">
        <v>13180</v>
      </c>
      <c r="G59">
        <v>395938</v>
      </c>
      <c r="H59">
        <v>35</v>
      </c>
      <c r="I59" s="1" t="s">
        <v>11063</v>
      </c>
      <c r="J59" s="11">
        <v>44289.97252314815</v>
      </c>
      <c r="K59" s="1" t="s">
        <v>1787</v>
      </c>
      <c r="L59" s="1" t="b">
        <f>0.5=9</f>
        <v>0</v>
      </c>
      <c r="M59" s="1" t="b">
        <f>0=1=8</f>
        <v>0</v>
      </c>
      <c r="N59">
        <v>9</v>
      </c>
      <c r="O59" s="1">
        <v>-25.541</v>
      </c>
      <c r="P59">
        <v>1</v>
      </c>
      <c r="Q59" s="1" t="b">
        <f>0=629</f>
        <v>0</v>
      </c>
      <c r="R59" s="1">
        <f>0.994</f>
        <v>0.99399999999999999</v>
      </c>
      <c r="S59" s="1">
        <f>0.963</f>
        <v>0.96299999999999997</v>
      </c>
      <c r="T59" s="1" t="b">
        <f>0=9=7</f>
        <v>0</v>
      </c>
      <c r="U59" s="1">
        <f>0.386</f>
        <v>0.38600000000000001</v>
      </c>
      <c r="V59" s="1" t="s">
        <v>13411</v>
      </c>
      <c r="W59">
        <v>4</v>
      </c>
    </row>
    <row r="60" spans="1:23" x14ac:dyDescent="0.25">
      <c r="A60" s="1" t="s">
        <v>13212</v>
      </c>
      <c r="B60" s="1" t="s">
        <v>13210</v>
      </c>
      <c r="C60" s="1" t="s">
        <v>1789</v>
      </c>
      <c r="D60" s="1" t="s">
        <v>13179</v>
      </c>
      <c r="E60" s="1" t="s">
        <v>1786</v>
      </c>
      <c r="F60" s="1" t="s">
        <v>13180</v>
      </c>
      <c r="G60">
        <v>102187</v>
      </c>
      <c r="H60">
        <v>34</v>
      </c>
      <c r="I60" s="1" t="s">
        <v>11063</v>
      </c>
      <c r="J60" s="11">
        <v>44289.972534722219</v>
      </c>
      <c r="K60" s="1" t="s">
        <v>1787</v>
      </c>
      <c r="L60" s="1">
        <f>0.697</f>
        <v>0.69699999999999995</v>
      </c>
      <c r="M60" s="1" t="b">
        <f>0=64</f>
        <v>0</v>
      </c>
      <c r="N60">
        <v>3</v>
      </c>
      <c r="O60" s="1">
        <v>-31.895</v>
      </c>
      <c r="P60">
        <v>1</v>
      </c>
      <c r="Q60" s="1" t="b">
        <f>0=618</f>
        <v>0</v>
      </c>
      <c r="R60" s="1">
        <f>0.996</f>
        <v>0.996</v>
      </c>
      <c r="S60" s="1">
        <f>0.967</f>
        <v>0.96699999999999997</v>
      </c>
      <c r="T60" s="1">
        <f>0.122</f>
        <v>0.122</v>
      </c>
      <c r="U60" s="1">
        <f>0.747</f>
        <v>0.747</v>
      </c>
      <c r="V60" s="1" t="s">
        <v>13412</v>
      </c>
      <c r="W60">
        <v>3</v>
      </c>
    </row>
    <row r="61" spans="1:23" x14ac:dyDescent="0.25">
      <c r="A61" s="1" t="s">
        <v>13213</v>
      </c>
      <c r="B61" s="1" t="s">
        <v>13188</v>
      </c>
      <c r="C61" s="1" t="s">
        <v>1790</v>
      </c>
      <c r="D61" s="1" t="s">
        <v>13179</v>
      </c>
      <c r="E61" s="1" t="s">
        <v>1758</v>
      </c>
      <c r="F61" s="1" t="s">
        <v>13180</v>
      </c>
      <c r="G61">
        <v>175617</v>
      </c>
      <c r="H61">
        <v>35</v>
      </c>
      <c r="I61" s="1" t="s">
        <v>11063</v>
      </c>
      <c r="J61" s="11">
        <v>44289.972557870373</v>
      </c>
      <c r="K61" s="1" t="s">
        <v>1673</v>
      </c>
      <c r="L61" s="1">
        <f>0.282</f>
        <v>0.28199999999999997</v>
      </c>
      <c r="M61" s="1">
        <f>0.184</f>
        <v>0.184</v>
      </c>
      <c r="N61">
        <v>9</v>
      </c>
      <c r="O61" s="1">
        <v>-19.766999999999999</v>
      </c>
      <c r="P61">
        <f>0</f>
        <v>0</v>
      </c>
      <c r="Q61" s="1" t="b">
        <f>0=326</f>
        <v>0</v>
      </c>
      <c r="R61" s="1">
        <f>0.919</f>
        <v>0.91900000000000004</v>
      </c>
      <c r="S61" s="1">
        <f>0.884</f>
        <v>0.88400000000000001</v>
      </c>
      <c r="T61" s="1" t="b">
        <f>0=975</f>
        <v>0</v>
      </c>
      <c r="U61" s="1">
        <f>0.127</f>
        <v>0.127</v>
      </c>
      <c r="V61" s="1" t="s">
        <v>13413</v>
      </c>
      <c r="W61">
        <v>4</v>
      </c>
    </row>
    <row r="62" spans="1:23" x14ac:dyDescent="0.25">
      <c r="A62" s="1" t="s">
        <v>13214</v>
      </c>
      <c r="B62" s="1" t="s">
        <v>13188</v>
      </c>
      <c r="C62" s="1" t="s">
        <v>1791</v>
      </c>
      <c r="D62" s="1" t="s">
        <v>13179</v>
      </c>
      <c r="E62" s="1" t="s">
        <v>1758</v>
      </c>
      <c r="F62" s="1" t="s">
        <v>13180</v>
      </c>
      <c r="G62">
        <v>451793</v>
      </c>
      <c r="H62">
        <v>35</v>
      </c>
      <c r="I62" s="1" t="s">
        <v>11063</v>
      </c>
      <c r="J62" s="11">
        <v>44289.972569444442</v>
      </c>
      <c r="K62" s="1" t="s">
        <v>1673</v>
      </c>
      <c r="L62" s="1">
        <f>0.486</f>
        <v>0.48599999999999999</v>
      </c>
      <c r="M62" s="1" t="b">
        <f>0=138</f>
        <v>0</v>
      </c>
      <c r="N62" t="s">
        <v>11825</v>
      </c>
      <c r="O62" s="1">
        <v>-25.542999999999999</v>
      </c>
      <c r="P62">
        <f>0</f>
        <v>0</v>
      </c>
      <c r="Q62" s="1" t="b">
        <f>0=499</f>
        <v>0</v>
      </c>
      <c r="R62" s="1">
        <f>0.993</f>
        <v>0.99299999999999999</v>
      </c>
      <c r="S62" s="1">
        <f>0.943</f>
        <v>0.94299999999999995</v>
      </c>
      <c r="T62" s="1" t="b">
        <f>0=986</f>
        <v>0</v>
      </c>
      <c r="U62" s="1">
        <f>0.143</f>
        <v>0.14299999999999999</v>
      </c>
      <c r="V62" s="1">
        <v>133.27500000000001</v>
      </c>
      <c r="W62">
        <v>4</v>
      </c>
    </row>
    <row r="63" spans="1:23" x14ac:dyDescent="0.25">
      <c r="A63" s="1" t="s">
        <v>13215</v>
      </c>
      <c r="B63" s="1" t="s">
        <v>13188</v>
      </c>
      <c r="C63" s="1" t="s">
        <v>1792</v>
      </c>
      <c r="D63" s="1" t="s">
        <v>13179</v>
      </c>
      <c r="E63" s="1" t="s">
        <v>1758</v>
      </c>
      <c r="F63" s="1" t="s">
        <v>13180</v>
      </c>
      <c r="G63">
        <v>354697</v>
      </c>
      <c r="H63">
        <v>35</v>
      </c>
      <c r="I63" s="1" t="s">
        <v>11063</v>
      </c>
      <c r="J63" s="11">
        <v>44289.972581018519</v>
      </c>
      <c r="K63" s="1" t="s">
        <v>1673</v>
      </c>
      <c r="L63" s="1">
        <f>0.288</f>
        <v>0.28799999999999998</v>
      </c>
      <c r="M63" s="1" t="b">
        <f>0=8=3</f>
        <v>0</v>
      </c>
      <c r="N63">
        <v>8</v>
      </c>
      <c r="O63" s="1" t="s">
        <v>13414</v>
      </c>
      <c r="P63">
        <v>1</v>
      </c>
      <c r="Q63" s="1" t="b">
        <f>0=329</f>
        <v>0</v>
      </c>
      <c r="R63" s="1">
        <f>0.986</f>
        <v>0.98599999999999999</v>
      </c>
      <c r="S63" s="1">
        <f>0.915</f>
        <v>0.91500000000000004</v>
      </c>
      <c r="T63" s="1">
        <f>0.124</f>
        <v>0.124</v>
      </c>
      <c r="U63" s="1">
        <f>0.167</f>
        <v>0.16700000000000001</v>
      </c>
      <c r="V63" s="1" t="s">
        <v>13415</v>
      </c>
      <c r="W63">
        <v>3</v>
      </c>
    </row>
    <row r="64" spans="1:23" x14ac:dyDescent="0.25">
      <c r="A64" s="1" t="s">
        <v>13216</v>
      </c>
      <c r="B64" s="1" t="s">
        <v>13188</v>
      </c>
      <c r="C64" s="1" t="s">
        <v>1793</v>
      </c>
      <c r="D64" s="1" t="s">
        <v>13179</v>
      </c>
      <c r="E64" s="1" t="s">
        <v>1758</v>
      </c>
      <c r="F64" s="1" t="s">
        <v>13180</v>
      </c>
      <c r="G64">
        <v>118379</v>
      </c>
      <c r="H64">
        <v>35</v>
      </c>
      <c r="I64" s="1" t="s">
        <v>11063</v>
      </c>
      <c r="J64" s="11">
        <v>44289.972592592596</v>
      </c>
      <c r="K64" s="1" t="s">
        <v>1673</v>
      </c>
      <c r="L64" s="1">
        <f>0.369</f>
        <v>0.36899999999999999</v>
      </c>
      <c r="M64" s="1" t="b">
        <f>0=148</f>
        <v>0</v>
      </c>
      <c r="N64">
        <f>0</f>
        <v>0</v>
      </c>
      <c r="O64" s="1">
        <v>-32.847000000000001</v>
      </c>
      <c r="P64">
        <v>1</v>
      </c>
      <c r="Q64" s="1" t="b">
        <f>0=967</f>
        <v>0</v>
      </c>
      <c r="R64" s="1">
        <f>0.994</f>
        <v>0.99399999999999999</v>
      </c>
      <c r="S64" s="1">
        <f>0.961</f>
        <v>0.96099999999999997</v>
      </c>
      <c r="T64" s="1" t="b">
        <f>0=751</f>
        <v>0</v>
      </c>
      <c r="U64" s="1" t="b">
        <f>0=328</f>
        <v>0</v>
      </c>
      <c r="V64" s="1">
        <v>112.453</v>
      </c>
      <c r="W64">
        <v>4</v>
      </c>
    </row>
    <row r="65" spans="1:23" x14ac:dyDescent="0.25">
      <c r="A65" s="1" t="s">
        <v>13217</v>
      </c>
      <c r="B65" s="1" t="s">
        <v>13188</v>
      </c>
      <c r="C65" s="1" t="s">
        <v>1794</v>
      </c>
      <c r="D65" s="1" t="s">
        <v>13179</v>
      </c>
      <c r="E65" s="1" t="s">
        <v>1758</v>
      </c>
      <c r="F65" s="1" t="s">
        <v>13180</v>
      </c>
      <c r="G65">
        <v>274915</v>
      </c>
      <c r="H65">
        <v>35</v>
      </c>
      <c r="I65" s="1" t="s">
        <v>11063</v>
      </c>
      <c r="J65" s="11">
        <v>44289.972604166665</v>
      </c>
      <c r="K65" s="1" t="s">
        <v>1673</v>
      </c>
      <c r="L65" s="1">
        <f>0.286</f>
        <v>0.28599999999999998</v>
      </c>
      <c r="M65" s="1" t="b">
        <f>0=0=542</f>
        <v>0</v>
      </c>
      <c r="N65">
        <v>1</v>
      </c>
      <c r="O65" s="1">
        <v>-31.763999999999999</v>
      </c>
      <c r="P65">
        <v>1</v>
      </c>
      <c r="Q65" s="1" t="b">
        <f>0=561</f>
        <v>0</v>
      </c>
      <c r="R65" s="1">
        <f>0.995</f>
        <v>0.995</v>
      </c>
      <c r="S65" s="1">
        <f>0.961</f>
        <v>0.96099999999999997</v>
      </c>
      <c r="T65" s="1">
        <f>0.156</f>
        <v>0.156</v>
      </c>
      <c r="U65" s="1">
        <f>0.138</f>
        <v>0.13800000000000001</v>
      </c>
      <c r="V65" s="1" t="s">
        <v>13416</v>
      </c>
      <c r="W65">
        <v>4</v>
      </c>
    </row>
    <row r="66" spans="1:23" x14ac:dyDescent="0.25">
      <c r="A66" s="1" t="s">
        <v>13218</v>
      </c>
      <c r="B66" s="1" t="s">
        <v>13188</v>
      </c>
      <c r="C66" s="1" t="s">
        <v>1795</v>
      </c>
      <c r="D66" s="1" t="s">
        <v>13179</v>
      </c>
      <c r="E66" s="1" t="s">
        <v>1758</v>
      </c>
      <c r="F66" s="1" t="s">
        <v>13180</v>
      </c>
      <c r="G66">
        <v>304425</v>
      </c>
      <c r="H66">
        <v>36</v>
      </c>
      <c r="I66" s="1" t="s">
        <v>11063</v>
      </c>
      <c r="J66" s="11">
        <v>44289.972615740742</v>
      </c>
      <c r="K66" s="1" t="s">
        <v>1673</v>
      </c>
      <c r="L66" s="1">
        <f>0.348</f>
        <v>0.34799999999999998</v>
      </c>
      <c r="M66" s="1" t="b">
        <f>0=0=635</f>
        <v>0</v>
      </c>
      <c r="N66">
        <v>11</v>
      </c>
      <c r="O66" s="1">
        <v>-25.114000000000001</v>
      </c>
      <c r="P66">
        <v>1</v>
      </c>
      <c r="Q66" s="1" t="b">
        <f>0=473</f>
        <v>0</v>
      </c>
      <c r="R66" s="1">
        <f>0.989</f>
        <v>0.98899999999999999</v>
      </c>
      <c r="S66" s="1">
        <f>0.962</f>
        <v>0.96199999999999997</v>
      </c>
      <c r="T66" s="1" t="b">
        <f>0=921</f>
        <v>0</v>
      </c>
      <c r="U66" s="1">
        <f>0.118</f>
        <v>0.11799999999999999</v>
      </c>
      <c r="V66" s="1" t="s">
        <v>13417</v>
      </c>
      <c r="W66">
        <v>3</v>
      </c>
    </row>
    <row r="67" spans="1:23" x14ac:dyDescent="0.25">
      <c r="A67" s="1" t="s">
        <v>13219</v>
      </c>
      <c r="B67" s="1" t="s">
        <v>13188</v>
      </c>
      <c r="C67" s="1" t="s">
        <v>1796</v>
      </c>
      <c r="D67" s="1" t="s">
        <v>13179</v>
      </c>
      <c r="E67" s="1" t="s">
        <v>1758</v>
      </c>
      <c r="F67" s="1" t="s">
        <v>13180</v>
      </c>
      <c r="G67">
        <v>99935</v>
      </c>
      <c r="H67">
        <v>34</v>
      </c>
      <c r="I67" s="1" t="s">
        <v>11063</v>
      </c>
      <c r="J67" s="11">
        <v>44289.972627314812</v>
      </c>
      <c r="K67" s="1" t="s">
        <v>1673</v>
      </c>
      <c r="L67" s="1">
        <f>0.537</f>
        <v>0.53700000000000003</v>
      </c>
      <c r="M67" s="1" t="b">
        <f>0=554</f>
        <v>0</v>
      </c>
      <c r="N67">
        <v>7</v>
      </c>
      <c r="O67" s="1">
        <v>-28.795999999999999</v>
      </c>
      <c r="P67">
        <v>1</v>
      </c>
      <c r="Q67" s="1" t="b">
        <f>0=762</f>
        <v>0</v>
      </c>
      <c r="R67" s="1">
        <f>0.995</f>
        <v>0.995</v>
      </c>
      <c r="S67" s="1">
        <f>0.966</f>
        <v>0.96599999999999997</v>
      </c>
      <c r="T67" s="1" t="b">
        <f>0=933</f>
        <v>0</v>
      </c>
      <c r="U67" s="1">
        <f>0.346</f>
        <v>0.34599999999999997</v>
      </c>
      <c r="V67" s="1">
        <v>95.78</v>
      </c>
      <c r="W67">
        <v>4</v>
      </c>
    </row>
    <row r="68" spans="1:23" x14ac:dyDescent="0.25">
      <c r="A68" s="1" t="s">
        <v>13220</v>
      </c>
      <c r="B68" s="1" t="s">
        <v>13204</v>
      </c>
      <c r="C68" s="1" t="s">
        <v>1797</v>
      </c>
      <c r="D68" s="1" t="s">
        <v>13179</v>
      </c>
      <c r="E68" s="1" t="s">
        <v>1778</v>
      </c>
      <c r="F68" s="1" t="s">
        <v>13180</v>
      </c>
      <c r="G68">
        <v>256777</v>
      </c>
      <c r="H68">
        <v>35</v>
      </c>
      <c r="I68" s="1" t="s">
        <v>11063</v>
      </c>
      <c r="J68" s="11">
        <v>44289.972650462965</v>
      </c>
      <c r="K68" s="1" t="s">
        <v>1779</v>
      </c>
      <c r="L68" s="1">
        <f>0.258</f>
        <v>0.25800000000000001</v>
      </c>
      <c r="M68" s="1" t="b">
        <f>0=382</f>
        <v>0</v>
      </c>
      <c r="N68">
        <v>7</v>
      </c>
      <c r="O68" s="1">
        <v>-24.811</v>
      </c>
      <c r="P68">
        <f>0</f>
        <v>0</v>
      </c>
      <c r="Q68" s="1" t="b">
        <f>0=615</f>
        <v>0</v>
      </c>
      <c r="R68" s="1">
        <f>0.993</f>
        <v>0.99299999999999999</v>
      </c>
      <c r="S68" s="1">
        <f>0.919</f>
        <v>0.91900000000000004</v>
      </c>
      <c r="T68" s="1" t="b">
        <f>0=9=2</f>
        <v>0</v>
      </c>
      <c r="U68" s="1" t="b">
        <f>0=887</f>
        <v>0</v>
      </c>
      <c r="V68" s="1" t="s">
        <v>13418</v>
      </c>
      <c r="W68">
        <v>5</v>
      </c>
    </row>
    <row r="69" spans="1:23" x14ac:dyDescent="0.25">
      <c r="A69" s="1" t="s">
        <v>13221</v>
      </c>
      <c r="B69" s="1" t="s">
        <v>13222</v>
      </c>
      <c r="C69" s="1" t="s">
        <v>1798</v>
      </c>
      <c r="D69" s="1" t="s">
        <v>13179</v>
      </c>
      <c r="E69" s="1" t="s">
        <v>1799</v>
      </c>
      <c r="F69" s="1" t="s">
        <v>13180</v>
      </c>
      <c r="G69">
        <v>202869</v>
      </c>
      <c r="H69">
        <v>34</v>
      </c>
      <c r="I69" s="1" t="s">
        <v>11063</v>
      </c>
      <c r="J69" s="11">
        <v>44289.972662037035</v>
      </c>
      <c r="K69" s="1" t="s">
        <v>1681</v>
      </c>
      <c r="L69" s="1">
        <f>0.463</f>
        <v>0.46300000000000002</v>
      </c>
      <c r="M69" s="1" t="b">
        <f>0=433</f>
        <v>0</v>
      </c>
      <c r="N69">
        <v>7</v>
      </c>
      <c r="O69" s="1">
        <v>-25.745999999999999</v>
      </c>
      <c r="P69">
        <v>1</v>
      </c>
      <c r="Q69" s="1" t="b">
        <f>0=482</f>
        <v>0</v>
      </c>
      <c r="R69" s="1">
        <f>0.992</f>
        <v>0.99199999999999999</v>
      </c>
      <c r="S69" s="1" t="b">
        <f>0.9=1</f>
        <v>0</v>
      </c>
      <c r="T69" s="1" t="b">
        <f>0=9=8</f>
        <v>0</v>
      </c>
      <c r="U69" s="1">
        <f>0.358</f>
        <v>0.35799999999999998</v>
      </c>
      <c r="V69" s="1">
        <v>138.875</v>
      </c>
      <c r="W69">
        <v>4</v>
      </c>
    </row>
    <row r="70" spans="1:23" x14ac:dyDescent="0.25">
      <c r="A70" s="1" t="s">
        <v>13223</v>
      </c>
      <c r="B70" s="1" t="s">
        <v>13222</v>
      </c>
      <c r="C70" s="1" t="s">
        <v>1800</v>
      </c>
      <c r="D70" s="1" t="s">
        <v>13179</v>
      </c>
      <c r="E70" s="1" t="s">
        <v>1799</v>
      </c>
      <c r="F70" s="1" t="s">
        <v>13180</v>
      </c>
      <c r="G70">
        <v>172865</v>
      </c>
      <c r="H70">
        <v>33</v>
      </c>
      <c r="I70" s="1" t="s">
        <v>11063</v>
      </c>
      <c r="J70" s="11">
        <v>44289.972685185188</v>
      </c>
      <c r="K70" s="1" t="s">
        <v>1681</v>
      </c>
      <c r="L70" s="1">
        <f>0.451</f>
        <v>0.45100000000000001</v>
      </c>
      <c r="M70" s="1" t="b">
        <f>0=0=585</f>
        <v>0</v>
      </c>
      <c r="N70">
        <v>6</v>
      </c>
      <c r="O70" s="1">
        <v>-27.363</v>
      </c>
      <c r="P70">
        <v>1</v>
      </c>
      <c r="Q70" s="1" t="b">
        <f>0=613</f>
        <v>0</v>
      </c>
      <c r="R70" s="1">
        <f>0.993</f>
        <v>0.99299999999999999</v>
      </c>
      <c r="S70" s="1">
        <f>0.941</f>
        <v>0.94099999999999995</v>
      </c>
      <c r="T70" s="1" t="b">
        <f>0=686</f>
        <v>0</v>
      </c>
      <c r="U70" s="1" t="b">
        <f>0=916</f>
        <v>0</v>
      </c>
      <c r="V70" s="1">
        <v>136.96299999999999</v>
      </c>
      <c r="W70">
        <v>3</v>
      </c>
    </row>
    <row r="71" spans="1:23" x14ac:dyDescent="0.25">
      <c r="A71" s="1" t="s">
        <v>13224</v>
      </c>
      <c r="B71" s="1" t="s">
        <v>13112</v>
      </c>
      <c r="C71" s="1" t="s">
        <v>1801</v>
      </c>
      <c r="D71" s="1" t="s">
        <v>13113</v>
      </c>
      <c r="E71" s="1" t="s">
        <v>1675</v>
      </c>
      <c r="F71" s="1" t="s">
        <v>13114</v>
      </c>
      <c r="G71">
        <v>617465</v>
      </c>
      <c r="H71">
        <v>35</v>
      </c>
      <c r="I71" s="1" t="s">
        <v>11063</v>
      </c>
      <c r="J71" s="11">
        <v>44289.972696759258</v>
      </c>
      <c r="K71" s="1" t="s">
        <v>50</v>
      </c>
      <c r="L71" s="1">
        <f>0.173</f>
        <v>0.17299999999999999</v>
      </c>
      <c r="M71" s="1">
        <f>0.235</f>
        <v>0.23499999999999999</v>
      </c>
      <c r="N71">
        <f>0</f>
        <v>0</v>
      </c>
      <c r="O71" s="1">
        <v>-24.187000000000001</v>
      </c>
      <c r="P71">
        <v>1</v>
      </c>
      <c r="Q71" s="1" t="b">
        <f>0=34</f>
        <v>0</v>
      </c>
      <c r="R71" s="1">
        <f>0.942</f>
        <v>0.94199999999999995</v>
      </c>
      <c r="S71" s="1">
        <f>0.93</f>
        <v>0.93</v>
      </c>
      <c r="T71" s="1" t="b">
        <f>0=769</f>
        <v>0</v>
      </c>
      <c r="U71" s="1">
        <f>0.195</f>
        <v>0.19500000000000001</v>
      </c>
      <c r="V71" s="1">
        <v>157.446</v>
      </c>
      <c r="W71">
        <v>4</v>
      </c>
    </row>
    <row r="72" spans="1:23" x14ac:dyDescent="0.25">
      <c r="A72" s="1" t="s">
        <v>13225</v>
      </c>
      <c r="B72" s="1" t="s">
        <v>13112</v>
      </c>
      <c r="C72" s="1" t="s">
        <v>1802</v>
      </c>
      <c r="D72" s="1" t="s">
        <v>13113</v>
      </c>
      <c r="E72" s="1" t="s">
        <v>1675</v>
      </c>
      <c r="F72" s="1" t="s">
        <v>13114</v>
      </c>
      <c r="G72">
        <v>181301</v>
      </c>
      <c r="H72">
        <v>33</v>
      </c>
      <c r="I72" s="1" t="s">
        <v>11063</v>
      </c>
      <c r="J72" s="11">
        <v>44289.972719907404</v>
      </c>
      <c r="K72" s="1" t="s">
        <v>50</v>
      </c>
      <c r="L72" s="1">
        <f>0.517</f>
        <v>0.51700000000000002</v>
      </c>
      <c r="M72" s="1" t="b">
        <f>0=0=49</f>
        <v>0</v>
      </c>
      <c r="N72">
        <f>0</f>
        <v>0</v>
      </c>
      <c r="O72" s="1" t="s">
        <v>13419</v>
      </c>
      <c r="P72">
        <v>1</v>
      </c>
      <c r="Q72" s="1" t="b">
        <f>0=92</f>
        <v>0</v>
      </c>
      <c r="R72" s="1">
        <f>0.989</f>
        <v>0.98899999999999999</v>
      </c>
      <c r="S72" s="1">
        <f>0.894</f>
        <v>0.89400000000000002</v>
      </c>
      <c r="T72" s="1" t="b">
        <f>0=776</f>
        <v>0</v>
      </c>
      <c r="U72" s="1" t="b">
        <f>0=768</f>
        <v>0</v>
      </c>
      <c r="V72" s="1">
        <v>134.69499999999999</v>
      </c>
      <c r="W72">
        <v>1</v>
      </c>
    </row>
    <row r="73" spans="1:23" x14ac:dyDescent="0.25">
      <c r="A73" s="1" t="s">
        <v>13226</v>
      </c>
      <c r="B73" s="1" t="s">
        <v>13112</v>
      </c>
      <c r="C73" s="1" t="s">
        <v>1803</v>
      </c>
      <c r="D73" s="1" t="s">
        <v>13113</v>
      </c>
      <c r="E73" s="1" t="s">
        <v>1675</v>
      </c>
      <c r="F73" s="1" t="s">
        <v>13114</v>
      </c>
      <c r="G73">
        <v>567681</v>
      </c>
      <c r="H73">
        <v>33</v>
      </c>
      <c r="I73" s="1" t="s">
        <v>11063</v>
      </c>
      <c r="J73" s="11">
        <v>44289.972719907404</v>
      </c>
      <c r="K73" s="1" t="s">
        <v>50</v>
      </c>
      <c r="L73" s="1">
        <f>0.55</f>
        <v>0.55000000000000004</v>
      </c>
      <c r="M73" s="1">
        <f>0.117</f>
        <v>0.11700000000000001</v>
      </c>
      <c r="N73">
        <f>0</f>
        <v>0</v>
      </c>
      <c r="O73" s="1" t="s">
        <v>13420</v>
      </c>
      <c r="P73">
        <v>1</v>
      </c>
      <c r="Q73" s="1" t="b">
        <f>0=341</f>
        <v>0</v>
      </c>
      <c r="R73" s="1">
        <f>0.964</f>
        <v>0.96399999999999997</v>
      </c>
      <c r="S73" s="1">
        <f>0.925</f>
        <v>0.92500000000000004</v>
      </c>
      <c r="T73" s="1">
        <f>0.111</f>
        <v>0.111</v>
      </c>
      <c r="U73" s="1" t="b">
        <f>0=874</f>
        <v>0</v>
      </c>
      <c r="V73" s="1">
        <v>114.994</v>
      </c>
      <c r="W73">
        <v>4</v>
      </c>
    </row>
    <row r="74" spans="1:23" x14ac:dyDescent="0.25">
      <c r="A74" s="1" t="s">
        <v>13227</v>
      </c>
      <c r="B74" s="1" t="s">
        <v>13112</v>
      </c>
      <c r="C74" s="1" t="s">
        <v>1804</v>
      </c>
      <c r="D74" s="1" t="s">
        <v>13113</v>
      </c>
      <c r="E74" s="1" t="s">
        <v>1675</v>
      </c>
      <c r="F74" s="1" t="s">
        <v>13114</v>
      </c>
      <c r="G74">
        <v>530529</v>
      </c>
      <c r="H74">
        <v>35</v>
      </c>
      <c r="I74" s="1" t="s">
        <v>11063</v>
      </c>
      <c r="J74" s="11">
        <v>44289.972743055558</v>
      </c>
      <c r="K74" s="1" t="s">
        <v>50</v>
      </c>
      <c r="L74" s="1">
        <f>0.213</f>
        <v>0.21299999999999999</v>
      </c>
      <c r="M74" s="1" t="b">
        <f>0=65</f>
        <v>0</v>
      </c>
      <c r="N74">
        <v>5</v>
      </c>
      <c r="O74" s="1">
        <v>-27.344999999999999</v>
      </c>
      <c r="P74">
        <f>0</f>
        <v>0</v>
      </c>
      <c r="Q74" s="1" t="b">
        <f>0=346</f>
        <v>0</v>
      </c>
      <c r="R74" s="1">
        <f>0.949</f>
        <v>0.94899999999999995</v>
      </c>
      <c r="S74" s="1">
        <f>0.872</f>
        <v>0.872</v>
      </c>
      <c r="T74" s="1" t="b">
        <f>0=949</f>
        <v>0</v>
      </c>
      <c r="U74" s="1" t="b">
        <f>0=433</f>
        <v>0</v>
      </c>
      <c r="V74" s="1" t="s">
        <v>13421</v>
      </c>
      <c r="W74">
        <v>3</v>
      </c>
    </row>
    <row r="75" spans="1:23" x14ac:dyDescent="0.25">
      <c r="A75" s="1" t="s">
        <v>13228</v>
      </c>
      <c r="B75" s="1" t="s">
        <v>13112</v>
      </c>
      <c r="C75" s="1" t="s">
        <v>1805</v>
      </c>
      <c r="D75" s="1" t="s">
        <v>13113</v>
      </c>
      <c r="E75" s="1" t="s">
        <v>1675</v>
      </c>
      <c r="F75" s="1" t="s">
        <v>13114</v>
      </c>
      <c r="G75">
        <v>381178</v>
      </c>
      <c r="H75">
        <v>33</v>
      </c>
      <c r="I75" s="1" t="s">
        <v>11063</v>
      </c>
      <c r="J75" s="11">
        <v>44289.972743055558</v>
      </c>
      <c r="K75" s="1" t="s">
        <v>50</v>
      </c>
      <c r="L75" s="1">
        <f>0.338</f>
        <v>0.33800000000000002</v>
      </c>
      <c r="M75" s="1" t="b">
        <f>0=2=5</f>
        <v>0</v>
      </c>
      <c r="N75">
        <v>1</v>
      </c>
      <c r="O75" s="1" t="s">
        <v>13385</v>
      </c>
      <c r="P75">
        <v>1</v>
      </c>
      <c r="Q75" s="1" t="b">
        <f>0=457</f>
        <v>0</v>
      </c>
      <c r="R75" s="1">
        <f>0.994</f>
        <v>0.99399999999999999</v>
      </c>
      <c r="S75" s="1">
        <f>0.871</f>
        <v>0.871</v>
      </c>
      <c r="T75" s="1" t="b">
        <f>0.1=4</f>
        <v>0</v>
      </c>
      <c r="U75" s="1" t="b">
        <f>0.1=6</f>
        <v>0</v>
      </c>
      <c r="V75" s="1" t="s">
        <v>13422</v>
      </c>
      <c r="W75">
        <v>4</v>
      </c>
    </row>
    <row r="76" spans="1:23" x14ac:dyDescent="0.25">
      <c r="A76" s="1" t="s">
        <v>13229</v>
      </c>
      <c r="B76" s="1" t="s">
        <v>13112</v>
      </c>
      <c r="C76" s="1" t="s">
        <v>1806</v>
      </c>
      <c r="D76" s="1" t="s">
        <v>13113</v>
      </c>
      <c r="E76" s="1" t="s">
        <v>1675</v>
      </c>
      <c r="F76" s="1" t="s">
        <v>13114</v>
      </c>
      <c r="G76">
        <v>445823</v>
      </c>
      <c r="H76">
        <v>35</v>
      </c>
      <c r="I76" s="1" t="s">
        <v>11063</v>
      </c>
      <c r="J76" s="11">
        <v>44289.972766203704</v>
      </c>
      <c r="K76" s="1" t="s">
        <v>50</v>
      </c>
      <c r="L76" s="1">
        <f>0.373</f>
        <v>0.373</v>
      </c>
      <c r="M76" s="1">
        <f>0.153</f>
        <v>0.153</v>
      </c>
      <c r="N76">
        <v>5</v>
      </c>
      <c r="O76" s="1">
        <v>-27.555</v>
      </c>
      <c r="P76">
        <f>0</f>
        <v>0</v>
      </c>
      <c r="Q76" s="1" t="b">
        <f>0=367</f>
        <v>0</v>
      </c>
      <c r="R76" s="1">
        <f>0.976</f>
        <v>0.97599999999999998</v>
      </c>
      <c r="S76" s="1">
        <f>0.937</f>
        <v>0.93700000000000006</v>
      </c>
      <c r="T76" s="1">
        <f>0.113</f>
        <v>0.113</v>
      </c>
      <c r="U76" s="1" t="b">
        <f>0=827</f>
        <v>0</v>
      </c>
      <c r="V76" s="1">
        <v>77.213999999999999</v>
      </c>
      <c r="W76">
        <v>4</v>
      </c>
    </row>
    <row r="77" spans="1:23" x14ac:dyDescent="0.25">
      <c r="A77" s="1" t="s">
        <v>13230</v>
      </c>
      <c r="B77" s="1" t="s">
        <v>13112</v>
      </c>
      <c r="C77" s="1" t="s">
        <v>1807</v>
      </c>
      <c r="D77" s="1" t="s">
        <v>13113</v>
      </c>
      <c r="E77" s="1" t="s">
        <v>1675</v>
      </c>
      <c r="F77" s="1" t="s">
        <v>13114</v>
      </c>
      <c r="G77">
        <v>417587</v>
      </c>
      <c r="H77">
        <v>32</v>
      </c>
      <c r="I77" s="1" t="s">
        <v>11063</v>
      </c>
      <c r="J77" s="11">
        <v>44289.972777777781</v>
      </c>
      <c r="K77" s="1" t="s">
        <v>50</v>
      </c>
      <c r="L77" s="1">
        <f>0.599</f>
        <v>0.59899999999999998</v>
      </c>
      <c r="M77" s="1" t="b">
        <f>0=63</f>
        <v>0</v>
      </c>
      <c r="N77">
        <v>3</v>
      </c>
      <c r="O77" s="1" t="s">
        <v>13423</v>
      </c>
      <c r="P77">
        <v>1</v>
      </c>
      <c r="Q77" s="1" t="b">
        <f>0=395</f>
        <v>0</v>
      </c>
      <c r="R77" s="1">
        <f>0.985</f>
        <v>0.98499999999999999</v>
      </c>
      <c r="S77" s="1">
        <f>0.877</f>
        <v>0.877</v>
      </c>
      <c r="T77" s="1">
        <f>0.14</f>
        <v>0.14000000000000001</v>
      </c>
      <c r="U77" s="1">
        <f>0.142</f>
        <v>0.14199999999999999</v>
      </c>
      <c r="V77" s="1" t="s">
        <v>13424</v>
      </c>
      <c r="W77">
        <v>4</v>
      </c>
    </row>
    <row r="78" spans="1:23" x14ac:dyDescent="0.25">
      <c r="A78" s="1" t="s">
        <v>13231</v>
      </c>
      <c r="B78" s="1" t="s">
        <v>13112</v>
      </c>
      <c r="C78" s="1" t="s">
        <v>1808</v>
      </c>
      <c r="D78" s="1" t="s">
        <v>13113</v>
      </c>
      <c r="E78" s="1" t="s">
        <v>1675</v>
      </c>
      <c r="F78" s="1" t="s">
        <v>13114</v>
      </c>
      <c r="G78">
        <v>164954</v>
      </c>
      <c r="H78">
        <v>32</v>
      </c>
      <c r="I78" s="1" t="s">
        <v>11063</v>
      </c>
      <c r="J78" s="11">
        <v>44289.97278935185</v>
      </c>
      <c r="K78" s="1" t="s">
        <v>50</v>
      </c>
      <c r="L78" s="1">
        <f>0.671</f>
        <v>0.67100000000000004</v>
      </c>
      <c r="M78" s="1" t="b">
        <f>0=496</f>
        <v>0</v>
      </c>
      <c r="N78">
        <v>7</v>
      </c>
      <c r="O78" s="1">
        <v>-28.797000000000001</v>
      </c>
      <c r="P78">
        <v>1</v>
      </c>
      <c r="Q78" s="1" t="b">
        <f>0=495</f>
        <v>0</v>
      </c>
      <c r="R78" s="1">
        <f>0.991</f>
        <v>0.99099999999999999</v>
      </c>
      <c r="S78" s="1" t="b">
        <f>0.9=6</f>
        <v>0</v>
      </c>
      <c r="T78" s="1" t="b">
        <f>0=793</f>
        <v>0</v>
      </c>
      <c r="U78" s="1">
        <f>0.131</f>
        <v>0.13100000000000001</v>
      </c>
      <c r="V78" s="1" t="s">
        <v>13425</v>
      </c>
      <c r="W78">
        <v>4</v>
      </c>
    </row>
    <row r="79" spans="1:23" x14ac:dyDescent="0.25">
      <c r="A79" s="1" t="s">
        <v>13232</v>
      </c>
      <c r="B79" s="1" t="s">
        <v>13112</v>
      </c>
      <c r="C79" s="1" t="s">
        <v>1809</v>
      </c>
      <c r="D79" s="1" t="s">
        <v>13113</v>
      </c>
      <c r="E79" s="1" t="s">
        <v>1675</v>
      </c>
      <c r="F79" s="1" t="s">
        <v>13114</v>
      </c>
      <c r="G79">
        <v>263778</v>
      </c>
      <c r="H79">
        <v>33</v>
      </c>
      <c r="I79" s="1" t="s">
        <v>11063</v>
      </c>
      <c r="J79" s="11">
        <v>44289.972800925927</v>
      </c>
      <c r="K79" s="1" t="s">
        <v>50</v>
      </c>
      <c r="L79" s="1">
        <f>0.578</f>
        <v>0.57799999999999996</v>
      </c>
      <c r="M79" s="1">
        <f>0.14</f>
        <v>0.14000000000000001</v>
      </c>
      <c r="N79" t="s">
        <v>11825</v>
      </c>
      <c r="O79" s="1">
        <v>-24.652000000000001</v>
      </c>
      <c r="P79">
        <v>1</v>
      </c>
      <c r="Q79" s="1" t="b">
        <f>0=334</f>
        <v>0</v>
      </c>
      <c r="R79" s="1">
        <f>0.985</f>
        <v>0.98499999999999999</v>
      </c>
      <c r="S79" s="1" t="b">
        <f>0.9=3</f>
        <v>0</v>
      </c>
      <c r="T79" s="1">
        <f>0.118</f>
        <v>0.11799999999999999</v>
      </c>
      <c r="U79" s="1">
        <f>0.332</f>
        <v>0.33200000000000002</v>
      </c>
      <c r="V79" s="1">
        <v>121.983</v>
      </c>
      <c r="W79">
        <v>4</v>
      </c>
    </row>
    <row r="80" spans="1:23" x14ac:dyDescent="0.25">
      <c r="A80" s="1" t="s">
        <v>13233</v>
      </c>
      <c r="B80" s="1" t="s">
        <v>13234</v>
      </c>
      <c r="C80" s="1" t="s">
        <v>1810</v>
      </c>
      <c r="D80" s="1" t="s">
        <v>13179</v>
      </c>
      <c r="E80" s="1" t="s">
        <v>1811</v>
      </c>
      <c r="F80" s="1" t="s">
        <v>13180</v>
      </c>
      <c r="G80">
        <v>77629</v>
      </c>
      <c r="H80">
        <v>33</v>
      </c>
      <c r="I80" s="1" t="s">
        <v>11063</v>
      </c>
      <c r="J80" s="11">
        <v>44289.972824074073</v>
      </c>
      <c r="K80" s="1" t="s">
        <v>1709</v>
      </c>
      <c r="L80" s="1">
        <f>0.366</f>
        <v>0.36599999999999999</v>
      </c>
      <c r="M80" s="1" t="b">
        <f>0=39</f>
        <v>0</v>
      </c>
      <c r="N80">
        <v>7</v>
      </c>
      <c r="O80" s="1">
        <v>-28.776</v>
      </c>
      <c r="P80">
        <v>1</v>
      </c>
      <c r="Q80" s="1" t="b">
        <f>0=572</f>
        <v>0</v>
      </c>
      <c r="R80" s="1">
        <f>0.994</f>
        <v>0.99399999999999999</v>
      </c>
      <c r="S80" s="1">
        <f>0.959</f>
        <v>0.95899999999999996</v>
      </c>
      <c r="T80" s="1" t="b">
        <f>0.1=7</f>
        <v>0</v>
      </c>
      <c r="U80" s="1">
        <f>0.26</f>
        <v>0.26</v>
      </c>
      <c r="V80" s="1">
        <v>139.548</v>
      </c>
      <c r="W80">
        <v>4</v>
      </c>
    </row>
    <row r="81" spans="1:23" x14ac:dyDescent="0.25">
      <c r="A81" s="1" t="s">
        <v>13235</v>
      </c>
      <c r="B81" s="1" t="s">
        <v>13236</v>
      </c>
      <c r="C81" s="1" t="s">
        <v>1812</v>
      </c>
      <c r="D81" s="1" t="s">
        <v>13237</v>
      </c>
      <c r="E81" s="1" t="s">
        <v>1813</v>
      </c>
      <c r="F81" s="1" t="s">
        <v>13238</v>
      </c>
      <c r="G81">
        <v>286069</v>
      </c>
      <c r="H81">
        <v>41</v>
      </c>
      <c r="I81" s="1" t="s">
        <v>11063</v>
      </c>
      <c r="J81" s="11">
        <v>44537.972893518519</v>
      </c>
      <c r="K81" s="1" t="s">
        <v>50</v>
      </c>
      <c r="L81" s="1" t="b">
        <f>0.4=3</f>
        <v>0</v>
      </c>
      <c r="M81" s="1" t="b">
        <f>0=0=936</f>
        <v>0</v>
      </c>
      <c r="N81">
        <v>3</v>
      </c>
      <c r="O81" s="1">
        <v>-37.927999999999997</v>
      </c>
      <c r="P81">
        <f>0</f>
        <v>0</v>
      </c>
      <c r="Q81" s="1" t="b">
        <f>0=466</f>
        <v>0</v>
      </c>
      <c r="R81" s="1">
        <f>0.992</f>
        <v>0.99199999999999999</v>
      </c>
      <c r="S81" s="1">
        <f>0.952</f>
        <v>0.95199999999999996</v>
      </c>
      <c r="T81" s="1" t="b">
        <f>0.1=6</f>
        <v>0</v>
      </c>
      <c r="U81" s="1">
        <f>0.149</f>
        <v>0.14899999999999999</v>
      </c>
      <c r="V81" s="1">
        <v>154.25299999999999</v>
      </c>
      <c r="W81">
        <v>3</v>
      </c>
    </row>
    <row r="82" spans="1:23" x14ac:dyDescent="0.25">
      <c r="A82" s="1" t="s">
        <v>13239</v>
      </c>
      <c r="B82" s="1" t="s">
        <v>13240</v>
      </c>
      <c r="C82" s="1" t="s">
        <v>1814</v>
      </c>
      <c r="D82" s="1" t="s">
        <v>13241</v>
      </c>
      <c r="E82" s="1" t="s">
        <v>1815</v>
      </c>
      <c r="F82" s="1" t="s">
        <v>13242</v>
      </c>
      <c r="G82">
        <v>218631</v>
      </c>
      <c r="H82">
        <v>35</v>
      </c>
      <c r="I82" s="1" t="s">
        <v>11063</v>
      </c>
      <c r="J82" s="11">
        <v>44539.712326388886</v>
      </c>
      <c r="K82" s="1" t="s">
        <v>1697</v>
      </c>
      <c r="L82" s="1">
        <f>0.342</f>
        <v>0.34200000000000003</v>
      </c>
      <c r="M82" s="1">
        <f>0.154</f>
        <v>0.154</v>
      </c>
      <c r="N82">
        <v>8</v>
      </c>
      <c r="O82" s="1">
        <v>-18.372</v>
      </c>
      <c r="P82">
        <v>1</v>
      </c>
      <c r="Q82" s="1" t="b">
        <f>0=377</f>
        <v>0</v>
      </c>
      <c r="R82" s="1">
        <f>0.983</f>
        <v>0.98299999999999998</v>
      </c>
      <c r="S82" s="1">
        <f>0.884</f>
        <v>0.88400000000000001</v>
      </c>
      <c r="T82" s="1" t="b">
        <f>0.1=9</f>
        <v>0</v>
      </c>
      <c r="U82" s="1" t="b">
        <f>0=591</f>
        <v>0</v>
      </c>
      <c r="V82" s="1">
        <v>134.88999999999999</v>
      </c>
      <c r="W82">
        <v>3</v>
      </c>
    </row>
    <row r="83" spans="1:23" x14ac:dyDescent="0.25">
      <c r="A83" s="1" t="s">
        <v>13243</v>
      </c>
      <c r="B83" s="1" t="s">
        <v>13244</v>
      </c>
      <c r="C83" s="1" t="s">
        <v>1816</v>
      </c>
      <c r="D83" s="1" t="s">
        <v>13245</v>
      </c>
      <c r="E83" s="1" t="s">
        <v>1817</v>
      </c>
      <c r="F83" s="1" t="s">
        <v>11492</v>
      </c>
      <c r="G83">
        <v>227740</v>
      </c>
      <c r="H83">
        <v>35</v>
      </c>
      <c r="I83" s="1" t="s">
        <v>11063</v>
      </c>
      <c r="J83" s="11">
        <v>44539.714259259257</v>
      </c>
      <c r="K83" s="1" t="s">
        <v>1818</v>
      </c>
      <c r="L83" s="1">
        <f>0.257</f>
        <v>0.25700000000000001</v>
      </c>
      <c r="M83" s="1" t="b">
        <f>0=253</f>
        <v>0</v>
      </c>
      <c r="N83">
        <v>1</v>
      </c>
      <c r="O83" s="1">
        <v>-29.536000000000001</v>
      </c>
      <c r="P83">
        <f>0</f>
        <v>0</v>
      </c>
      <c r="Q83" s="1" t="b">
        <f>0=44</f>
        <v>0</v>
      </c>
      <c r="R83" s="1">
        <f>0.993</f>
        <v>0.99299999999999999</v>
      </c>
      <c r="S83" s="1">
        <f>0.846</f>
        <v>0.84599999999999997</v>
      </c>
      <c r="T83" s="1" t="b">
        <f>0=95</f>
        <v>0</v>
      </c>
      <c r="U83" s="1">
        <f>0.155</f>
        <v>0.155</v>
      </c>
      <c r="V83" s="1">
        <v>68.78</v>
      </c>
      <c r="W83">
        <v>1</v>
      </c>
    </row>
    <row r="84" spans="1:23" x14ac:dyDescent="0.25">
      <c r="A84" s="1" t="s">
        <v>13246</v>
      </c>
      <c r="B84" s="1" t="s">
        <v>13247</v>
      </c>
      <c r="C84" s="1" t="s">
        <v>1819</v>
      </c>
      <c r="D84" s="1" t="s">
        <v>13248</v>
      </c>
      <c r="E84" s="1" t="s">
        <v>1820</v>
      </c>
      <c r="F84" s="1" t="s">
        <v>13249</v>
      </c>
      <c r="G84">
        <v>129242</v>
      </c>
      <c r="H84">
        <v>46</v>
      </c>
      <c r="I84" s="1" t="s">
        <v>11063</v>
      </c>
      <c r="J84" s="11">
        <v>44539.717870370368</v>
      </c>
      <c r="K84" s="1" t="s">
        <v>1821</v>
      </c>
      <c r="L84" s="1">
        <f>0.421</f>
        <v>0.42099999999999999</v>
      </c>
      <c r="M84" s="1" t="b">
        <f>0=154</f>
        <v>0</v>
      </c>
      <c r="N84">
        <v>4</v>
      </c>
      <c r="O84" s="1">
        <v>-28.786999999999999</v>
      </c>
      <c r="P84">
        <f>0</f>
        <v>0</v>
      </c>
      <c r="Q84" s="1" t="b">
        <f>0=53</f>
        <v>0</v>
      </c>
      <c r="R84" s="1">
        <f>0.994</f>
        <v>0.99399999999999999</v>
      </c>
      <c r="S84" s="1">
        <f>0.915</f>
        <v>0.91500000000000004</v>
      </c>
      <c r="T84" s="1" t="b">
        <f>0=8=1</f>
        <v>0</v>
      </c>
      <c r="U84" s="1" t="b">
        <f>0=482</f>
        <v>0</v>
      </c>
      <c r="V84" s="1">
        <v>68.42</v>
      </c>
      <c r="W84">
        <v>4</v>
      </c>
    </row>
    <row r="85" spans="1:23" x14ac:dyDescent="0.25">
      <c r="A85" s="1" t="s">
        <v>13250</v>
      </c>
      <c r="B85" s="1" t="s">
        <v>13251</v>
      </c>
      <c r="C85" s="1" t="s">
        <v>1822</v>
      </c>
      <c r="D85" s="1" t="s">
        <v>13252</v>
      </c>
      <c r="E85" s="1" t="s">
        <v>1823</v>
      </c>
      <c r="F85" s="1" t="s">
        <v>13253</v>
      </c>
      <c r="G85">
        <v>330332</v>
      </c>
      <c r="H85">
        <v>36</v>
      </c>
      <c r="I85" s="1" t="s">
        <v>11063</v>
      </c>
      <c r="J85" s="11">
        <v>44539.725381944445</v>
      </c>
      <c r="K85" s="1" t="s">
        <v>1824</v>
      </c>
      <c r="L85" s="1">
        <f>0.329</f>
        <v>0.32900000000000001</v>
      </c>
      <c r="M85" s="1" t="b">
        <f>0=162</f>
        <v>0</v>
      </c>
      <c r="N85">
        <v>1</v>
      </c>
      <c r="O85" s="1">
        <v>-27.927</v>
      </c>
      <c r="P85">
        <v>1</v>
      </c>
      <c r="Q85" s="1" t="b">
        <f>0=379</f>
        <v>0</v>
      </c>
      <c r="R85" s="1">
        <f>0.993</f>
        <v>0.99299999999999999</v>
      </c>
      <c r="S85" s="1">
        <f>0.887</f>
        <v>0.88700000000000001</v>
      </c>
      <c r="T85" s="1" t="b">
        <f>0=95</f>
        <v>0</v>
      </c>
      <c r="U85" s="1" t="b">
        <f>0=378</f>
        <v>0</v>
      </c>
      <c r="V85" s="1" t="s">
        <v>13426</v>
      </c>
      <c r="W85">
        <v>4</v>
      </c>
    </row>
    <row r="86" spans="1:23" x14ac:dyDescent="0.25">
      <c r="A86" s="1" t="s">
        <v>13254</v>
      </c>
      <c r="B86" s="1" t="s">
        <v>13255</v>
      </c>
      <c r="C86" s="1" t="s">
        <v>1825</v>
      </c>
      <c r="D86" s="1" t="s">
        <v>13256</v>
      </c>
      <c r="E86" s="1" t="s">
        <v>1826</v>
      </c>
      <c r="F86" s="1" t="s">
        <v>13257</v>
      </c>
      <c r="G86">
        <v>303186</v>
      </c>
      <c r="H86">
        <v>42</v>
      </c>
      <c r="I86" s="1" t="s">
        <v>11063</v>
      </c>
      <c r="J86" s="11">
        <v>44543.872384259259</v>
      </c>
      <c r="K86" s="1" t="s">
        <v>1827</v>
      </c>
      <c r="L86" s="1">
        <f>0.276</f>
        <v>0.27600000000000002</v>
      </c>
      <c r="M86" s="1">
        <f>0.13</f>
        <v>0.13</v>
      </c>
      <c r="N86">
        <v>1</v>
      </c>
      <c r="O86" s="1" t="s">
        <v>13427</v>
      </c>
      <c r="P86">
        <v>1</v>
      </c>
      <c r="Q86" s="1" t="b">
        <f>0=355</f>
        <v>0</v>
      </c>
      <c r="R86" s="1">
        <f>0.991</f>
        <v>0.99099999999999999</v>
      </c>
      <c r="S86" s="1">
        <f>0.915</f>
        <v>0.91500000000000004</v>
      </c>
      <c r="T86" s="1">
        <f>0.119</f>
        <v>0.11899999999999999</v>
      </c>
      <c r="U86" s="1" t="b">
        <f>0=619</f>
        <v>0</v>
      </c>
      <c r="V86" s="1">
        <v>135.43700000000001</v>
      </c>
      <c r="W86">
        <v>3</v>
      </c>
    </row>
    <row r="87" spans="1:23" x14ac:dyDescent="0.25">
      <c r="A87" s="1" t="s">
        <v>13258</v>
      </c>
      <c r="B87" s="1" t="s">
        <v>13251</v>
      </c>
      <c r="C87" s="1" t="s">
        <v>1828</v>
      </c>
      <c r="D87" s="1" t="s">
        <v>13252</v>
      </c>
      <c r="E87" s="1" t="s">
        <v>1823</v>
      </c>
      <c r="F87" s="1" t="s">
        <v>13253</v>
      </c>
      <c r="G87">
        <v>269991</v>
      </c>
      <c r="H87">
        <v>50</v>
      </c>
      <c r="I87" s="1" t="s">
        <v>11063</v>
      </c>
      <c r="J87" s="11">
        <v>44543.872395833336</v>
      </c>
      <c r="K87" s="1" t="s">
        <v>1824</v>
      </c>
      <c r="L87" s="1">
        <f>0.329</f>
        <v>0.32900000000000001</v>
      </c>
      <c r="M87" s="1" t="b">
        <f>0=247</f>
        <v>0</v>
      </c>
      <c r="N87" t="s">
        <v>11825</v>
      </c>
      <c r="O87" s="1">
        <v>-29.548999999999999</v>
      </c>
      <c r="P87">
        <v>1</v>
      </c>
      <c r="Q87" s="1" t="b">
        <f>0=417</f>
        <v>0</v>
      </c>
      <c r="R87" s="1">
        <f>0.991</f>
        <v>0.99099999999999999</v>
      </c>
      <c r="S87" s="1">
        <f>0.95</f>
        <v>0.95</v>
      </c>
      <c r="T87" s="1" t="b">
        <f>0=891</f>
        <v>0</v>
      </c>
      <c r="U87" s="1">
        <f>0.116</f>
        <v>0.11600000000000001</v>
      </c>
      <c r="V87" s="1">
        <v>68.647999999999996</v>
      </c>
      <c r="W87">
        <v>4</v>
      </c>
    </row>
    <row r="88" spans="1:23" x14ac:dyDescent="0.25">
      <c r="A88" s="1" t="s">
        <v>13259</v>
      </c>
      <c r="B88" s="1" t="s">
        <v>13260</v>
      </c>
      <c r="C88" s="1" t="s">
        <v>1829</v>
      </c>
      <c r="D88" s="1" t="s">
        <v>13261</v>
      </c>
      <c r="E88" s="1" t="s">
        <v>1830</v>
      </c>
      <c r="F88" s="1" t="s">
        <v>11616</v>
      </c>
      <c r="G88">
        <v>172600</v>
      </c>
      <c r="H88">
        <v>39</v>
      </c>
      <c r="I88" s="1" t="s">
        <v>11063</v>
      </c>
      <c r="J88" s="11">
        <v>44543.872407407405</v>
      </c>
      <c r="K88" s="1" t="s">
        <v>1831</v>
      </c>
      <c r="L88" s="1">
        <f>0.282</f>
        <v>0.28199999999999997</v>
      </c>
      <c r="M88" s="1" t="b">
        <f>0=734</f>
        <v>0</v>
      </c>
      <c r="N88">
        <v>4</v>
      </c>
      <c r="O88" s="1">
        <v>-26.4</v>
      </c>
      <c r="P88">
        <v>1</v>
      </c>
      <c r="Q88" s="1" t="b">
        <f>0=358</f>
        <v>0</v>
      </c>
      <c r="R88" s="1">
        <f>0.986</f>
        <v>0.98599999999999999</v>
      </c>
      <c r="S88" s="1">
        <f>0.93</f>
        <v>0.93</v>
      </c>
      <c r="T88" s="1" t="b">
        <f>0=984</f>
        <v>0</v>
      </c>
      <c r="U88" s="1">
        <f>0.195</f>
        <v>0.19500000000000001</v>
      </c>
      <c r="V88" s="1">
        <v>129.52500000000001</v>
      </c>
      <c r="W88">
        <v>4</v>
      </c>
    </row>
    <row r="89" spans="1:23" x14ac:dyDescent="0.25">
      <c r="A89" s="1" t="s">
        <v>13262</v>
      </c>
      <c r="B89" s="1" t="s">
        <v>13263</v>
      </c>
      <c r="C89" s="1" t="s">
        <v>1832</v>
      </c>
      <c r="D89" s="1" t="s">
        <v>13264</v>
      </c>
      <c r="E89" s="1" t="s">
        <v>1833</v>
      </c>
      <c r="F89" s="1" t="s">
        <v>13265</v>
      </c>
      <c r="G89">
        <v>284000</v>
      </c>
      <c r="H89">
        <v>11</v>
      </c>
      <c r="I89" s="1" t="s">
        <v>11063</v>
      </c>
      <c r="J89" s="11">
        <v>44543.872418981482</v>
      </c>
      <c r="K89" s="1" t="s">
        <v>50</v>
      </c>
      <c r="L89" s="1" t="b">
        <f>0.3=1</f>
        <v>0</v>
      </c>
      <c r="M89" s="1">
        <f>0.134</f>
        <v>0.13400000000000001</v>
      </c>
      <c r="N89">
        <f>0</f>
        <v>0</v>
      </c>
      <c r="O89" s="1" t="s">
        <v>13428</v>
      </c>
      <c r="P89">
        <f>0</f>
        <v>0</v>
      </c>
      <c r="Q89" s="1" t="b">
        <f>0=423</f>
        <v>0</v>
      </c>
      <c r="R89" s="1">
        <f>0.986</f>
        <v>0.98599999999999999</v>
      </c>
      <c r="S89" s="1">
        <f>0.862</f>
        <v>0.86199999999999999</v>
      </c>
      <c r="T89" s="1">
        <f>0.14</f>
        <v>0.14000000000000001</v>
      </c>
      <c r="U89" s="1">
        <f>0.29</f>
        <v>0.28999999999999998</v>
      </c>
      <c r="V89" s="1">
        <v>97.322999999999993</v>
      </c>
      <c r="W89">
        <v>4</v>
      </c>
    </row>
    <row r="90" spans="1:23" x14ac:dyDescent="0.25">
      <c r="A90" s="1" t="s">
        <v>13266</v>
      </c>
      <c r="B90" s="1" t="s">
        <v>13267</v>
      </c>
      <c r="C90" s="1" t="s">
        <v>1834</v>
      </c>
      <c r="D90" s="1" t="s">
        <v>13268</v>
      </c>
      <c r="E90" s="1" t="s">
        <v>1835</v>
      </c>
      <c r="F90" s="1" t="s">
        <v>13269</v>
      </c>
      <c r="G90">
        <v>148693</v>
      </c>
      <c r="H90">
        <v>47</v>
      </c>
      <c r="I90" s="1" t="s">
        <v>11063</v>
      </c>
      <c r="J90" s="11">
        <v>44543.872430555559</v>
      </c>
      <c r="K90" s="1" t="s">
        <v>1733</v>
      </c>
      <c r="L90" s="1">
        <f>0.269</f>
        <v>0.26900000000000002</v>
      </c>
      <c r="M90" s="1">
        <f>0.11</f>
        <v>0.11</v>
      </c>
      <c r="N90">
        <f>0</f>
        <v>0</v>
      </c>
      <c r="O90" s="1" t="s">
        <v>13429</v>
      </c>
      <c r="P90">
        <v>1</v>
      </c>
      <c r="Q90" s="1" t="b">
        <f>0=429</f>
        <v>0</v>
      </c>
      <c r="R90" s="1">
        <f>0.994</f>
        <v>0.99399999999999999</v>
      </c>
      <c r="S90" s="1">
        <f>0.868</f>
        <v>0.86799999999999999</v>
      </c>
      <c r="T90" s="1">
        <f>0.116</f>
        <v>0.11600000000000001</v>
      </c>
      <c r="U90" s="1">
        <f>0.131</f>
        <v>0.13100000000000001</v>
      </c>
      <c r="V90" s="1">
        <v>121.89700000000001</v>
      </c>
      <c r="W90">
        <v>4</v>
      </c>
    </row>
    <row r="91" spans="1:23" x14ac:dyDescent="0.25">
      <c r="A91" s="1" t="s">
        <v>13270</v>
      </c>
      <c r="B91" s="1" t="s">
        <v>13247</v>
      </c>
      <c r="C91" s="1" t="s">
        <v>1836</v>
      </c>
      <c r="D91" s="1" t="s">
        <v>13248</v>
      </c>
      <c r="E91" s="1" t="s">
        <v>1820</v>
      </c>
      <c r="F91" s="1" t="s">
        <v>13249</v>
      </c>
      <c r="G91">
        <v>300930</v>
      </c>
      <c r="H91">
        <v>34</v>
      </c>
      <c r="I91" s="1" t="s">
        <v>11063</v>
      </c>
      <c r="J91" s="11">
        <v>44543.872430555559</v>
      </c>
      <c r="K91" s="1" t="s">
        <v>1821</v>
      </c>
      <c r="L91" s="1">
        <f>0.182</f>
        <v>0.182</v>
      </c>
      <c r="M91" s="1" t="b">
        <f>0=3=7</f>
        <v>0</v>
      </c>
      <c r="N91">
        <v>1</v>
      </c>
      <c r="O91" s="1" t="s">
        <v>13430</v>
      </c>
      <c r="P91">
        <f>0</f>
        <v>0</v>
      </c>
      <c r="Q91" s="1" t="b">
        <f>0=465</f>
        <v>0</v>
      </c>
      <c r="R91" s="1">
        <f>0.99</f>
        <v>0.99</v>
      </c>
      <c r="S91" s="1">
        <f>0.945</f>
        <v>0.94499999999999995</v>
      </c>
      <c r="T91" s="1" t="b">
        <f>0=919</f>
        <v>0</v>
      </c>
      <c r="U91" s="1" t="b">
        <f>0=855</f>
        <v>0</v>
      </c>
      <c r="V91" s="1">
        <v>172.625</v>
      </c>
      <c r="W91">
        <v>3</v>
      </c>
    </row>
    <row r="92" spans="1:23" x14ac:dyDescent="0.25">
      <c r="A92" s="1" t="s">
        <v>13271</v>
      </c>
      <c r="B92" s="1" t="s">
        <v>13272</v>
      </c>
      <c r="C92" s="1" t="s">
        <v>1837</v>
      </c>
      <c r="D92" s="1" t="s">
        <v>13273</v>
      </c>
      <c r="E92" s="1" t="s">
        <v>1838</v>
      </c>
      <c r="F92" s="1" t="s">
        <v>13274</v>
      </c>
      <c r="G92">
        <v>316653</v>
      </c>
      <c r="H92">
        <v>60</v>
      </c>
      <c r="I92" s="1" t="s">
        <v>11063</v>
      </c>
      <c r="J92" s="11">
        <v>44543.872430555559</v>
      </c>
      <c r="K92" s="1" t="s">
        <v>1839</v>
      </c>
      <c r="L92" s="1">
        <f>0.382</f>
        <v>0.38200000000000001</v>
      </c>
      <c r="M92" s="1" t="b">
        <f>0=499</f>
        <v>0</v>
      </c>
      <c r="N92">
        <v>2</v>
      </c>
      <c r="O92" s="1">
        <v>-25.262</v>
      </c>
      <c r="P92">
        <v>1</v>
      </c>
      <c r="Q92" s="1" t="b">
        <f>0=548</f>
        <v>0</v>
      </c>
      <c r="R92" s="1">
        <f>0.994</f>
        <v>0.99399999999999999</v>
      </c>
      <c r="S92" s="1" t="b">
        <f>0.9=6</f>
        <v>0</v>
      </c>
      <c r="T92" s="1" t="b">
        <f>0.1=9</f>
        <v>0</v>
      </c>
      <c r="U92" s="1" t="b">
        <f>0=779</f>
        <v>0</v>
      </c>
      <c r="V92" s="1" t="s">
        <v>13431</v>
      </c>
      <c r="W92">
        <v>4</v>
      </c>
    </row>
    <row r="93" spans="1:23" x14ac:dyDescent="0.25">
      <c r="A93" s="1" t="s">
        <v>13275</v>
      </c>
      <c r="B93" s="1" t="s">
        <v>13236</v>
      </c>
      <c r="C93" s="1" t="s">
        <v>1840</v>
      </c>
      <c r="D93" s="1" t="s">
        <v>13237</v>
      </c>
      <c r="E93" s="1" t="s">
        <v>1813</v>
      </c>
      <c r="F93" s="1" t="s">
        <v>13238</v>
      </c>
      <c r="G93">
        <v>162725</v>
      </c>
      <c r="H93">
        <v>44</v>
      </c>
      <c r="I93" s="1" t="s">
        <v>11063</v>
      </c>
      <c r="J93" s="11">
        <v>44543.872430555559</v>
      </c>
      <c r="K93" s="1" t="s">
        <v>50</v>
      </c>
      <c r="L93" s="1">
        <f>0.253</f>
        <v>0.253</v>
      </c>
      <c r="M93" s="1" t="b">
        <f>0=0=371</f>
        <v>0</v>
      </c>
      <c r="N93">
        <v>8</v>
      </c>
      <c r="O93" s="1">
        <v>-33.884</v>
      </c>
      <c r="P93">
        <v>1</v>
      </c>
      <c r="Q93" s="1" t="b">
        <f>0=368</f>
        <v>0</v>
      </c>
      <c r="R93" s="1">
        <f>0.987</f>
        <v>0.98699999999999999</v>
      </c>
      <c r="S93" s="1">
        <f>0.94</f>
        <v>0.94</v>
      </c>
      <c r="T93" s="1">
        <f>0.152</f>
        <v>0.152</v>
      </c>
      <c r="U93" s="1" t="b">
        <f>0=635</f>
        <v>0</v>
      </c>
      <c r="V93" s="1" t="s">
        <v>12467</v>
      </c>
      <c r="W93">
        <v>4</v>
      </c>
    </row>
    <row r="94" spans="1:23" x14ac:dyDescent="0.25">
      <c r="A94" s="1" t="s">
        <v>13276</v>
      </c>
      <c r="B94" s="1" t="s">
        <v>13277</v>
      </c>
      <c r="C94" s="1" t="s">
        <v>1841</v>
      </c>
      <c r="D94" s="1" t="s">
        <v>13278</v>
      </c>
      <c r="E94" s="1" t="s">
        <v>1842</v>
      </c>
      <c r="F94" s="1" t="s">
        <v>13279</v>
      </c>
      <c r="G94">
        <v>238906</v>
      </c>
      <c r="H94">
        <v>45</v>
      </c>
      <c r="I94" s="1" t="s">
        <v>11063</v>
      </c>
      <c r="J94" s="11">
        <v>44543.872442129628</v>
      </c>
      <c r="K94" s="1" t="s">
        <v>1843</v>
      </c>
      <c r="L94" s="1">
        <f>0.328</f>
        <v>0.32800000000000001</v>
      </c>
      <c r="M94" s="1" t="b">
        <f>0=164</f>
        <v>0</v>
      </c>
      <c r="N94">
        <v>11</v>
      </c>
      <c r="O94" s="1">
        <v>-32.148000000000003</v>
      </c>
      <c r="P94">
        <f>0</f>
        <v>0</v>
      </c>
      <c r="Q94" s="1" t="b">
        <f>0=4=5</f>
        <v>0</v>
      </c>
      <c r="R94" s="1">
        <f>0.993</f>
        <v>0.99299999999999999</v>
      </c>
      <c r="S94" s="1">
        <f>0.974</f>
        <v>0.97399999999999998</v>
      </c>
      <c r="T94" s="1">
        <f>0.119</f>
        <v>0.11899999999999999</v>
      </c>
      <c r="U94" s="1" t="b">
        <f>0.3=1</f>
        <v>0</v>
      </c>
      <c r="V94" s="1">
        <v>154.81700000000001</v>
      </c>
      <c r="W94">
        <v>4</v>
      </c>
    </row>
    <row r="95" spans="1:23" x14ac:dyDescent="0.25">
      <c r="A95" s="1" t="s">
        <v>13280</v>
      </c>
      <c r="B95" s="1" t="s">
        <v>13281</v>
      </c>
      <c r="C95" s="1" t="s">
        <v>1844</v>
      </c>
      <c r="D95" s="1" t="s">
        <v>1844</v>
      </c>
      <c r="E95" s="1" t="s">
        <v>1845</v>
      </c>
      <c r="F95" s="1" t="s">
        <v>13282</v>
      </c>
      <c r="G95">
        <v>168019</v>
      </c>
      <c r="H95">
        <v>38</v>
      </c>
      <c r="I95" s="1" t="s">
        <v>11063</v>
      </c>
      <c r="J95" s="11">
        <v>44543.872442129628</v>
      </c>
      <c r="K95" s="1" t="s">
        <v>50</v>
      </c>
      <c r="L95" s="1">
        <f>0.535</f>
        <v>0.53500000000000003</v>
      </c>
      <c r="M95" s="1">
        <f>0.258</f>
        <v>0.25800000000000001</v>
      </c>
      <c r="N95">
        <v>3</v>
      </c>
      <c r="O95" s="1">
        <v>-19.238</v>
      </c>
      <c r="P95">
        <v>1</v>
      </c>
      <c r="Q95" s="1" t="b">
        <f>0=312</f>
        <v>0</v>
      </c>
      <c r="R95" s="1">
        <f>0.987</f>
        <v>0.98699999999999999</v>
      </c>
      <c r="S95" s="1">
        <f>0.946</f>
        <v>0.94599999999999995</v>
      </c>
      <c r="T95" s="1" t="b">
        <f>0.1=7</f>
        <v>0</v>
      </c>
      <c r="U95" s="1">
        <f>0.581</f>
        <v>0.58099999999999996</v>
      </c>
      <c r="V95" s="1">
        <v>98.938999999999993</v>
      </c>
      <c r="W95">
        <v>4</v>
      </c>
    </row>
    <row r="96" spans="1:23" x14ac:dyDescent="0.25">
      <c r="A96" s="1" t="s">
        <v>13283</v>
      </c>
      <c r="B96" s="1" t="s">
        <v>13284</v>
      </c>
      <c r="C96" s="1" t="s">
        <v>1846</v>
      </c>
      <c r="D96" s="1" t="s">
        <v>13285</v>
      </c>
      <c r="E96" s="1" t="s">
        <v>1847</v>
      </c>
      <c r="F96" s="1" t="s">
        <v>13286</v>
      </c>
      <c r="G96">
        <v>324200</v>
      </c>
      <c r="H96">
        <v>34</v>
      </c>
      <c r="I96" s="1" t="s">
        <v>11063</v>
      </c>
      <c r="J96" s="11">
        <v>44543.872442129628</v>
      </c>
      <c r="K96" s="1" t="s">
        <v>1848</v>
      </c>
      <c r="L96" s="1">
        <f>0.339</f>
        <v>0.33900000000000002</v>
      </c>
      <c r="M96" s="1" t="b">
        <f>0=168</f>
        <v>0</v>
      </c>
      <c r="N96">
        <v>2</v>
      </c>
      <c r="O96" s="1">
        <v>-28.917999999999999</v>
      </c>
      <c r="P96">
        <v>1</v>
      </c>
      <c r="Q96" s="1" t="b">
        <f>0=349</f>
        <v>0</v>
      </c>
      <c r="R96" s="1">
        <f>0.995</f>
        <v>0.995</v>
      </c>
      <c r="S96" s="1">
        <f>0.916</f>
        <v>0.91600000000000004</v>
      </c>
      <c r="T96" s="1" t="b">
        <f>0=91</f>
        <v>0</v>
      </c>
      <c r="U96" s="1" t="b">
        <f>0=399</f>
        <v>0</v>
      </c>
      <c r="V96" s="1">
        <v>69.91</v>
      </c>
      <c r="W96">
        <v>3</v>
      </c>
    </row>
    <row r="97" spans="1:23" x14ac:dyDescent="0.25">
      <c r="A97" s="1" t="s">
        <v>13287</v>
      </c>
      <c r="B97" s="1" t="s">
        <v>13236</v>
      </c>
      <c r="C97" s="1" t="s">
        <v>1849</v>
      </c>
      <c r="D97" s="1" t="s">
        <v>13237</v>
      </c>
      <c r="E97" s="1" t="s">
        <v>1813</v>
      </c>
      <c r="F97" s="1" t="s">
        <v>13238</v>
      </c>
      <c r="G97">
        <v>122601</v>
      </c>
      <c r="H97">
        <v>43</v>
      </c>
      <c r="I97" s="1" t="s">
        <v>11063</v>
      </c>
      <c r="J97" s="11">
        <v>44543.872453703705</v>
      </c>
      <c r="K97" s="1" t="s">
        <v>50</v>
      </c>
      <c r="L97" s="1">
        <f>0.546</f>
        <v>0.54600000000000004</v>
      </c>
      <c r="M97" s="1" t="b">
        <f>0=0=735</f>
        <v>0</v>
      </c>
      <c r="N97">
        <v>3</v>
      </c>
      <c r="O97" s="1">
        <v>-32.850999999999999</v>
      </c>
      <c r="P97">
        <v>1</v>
      </c>
      <c r="Q97" s="1" t="b">
        <f>0=412</f>
        <v>0</v>
      </c>
      <c r="R97" s="1">
        <f>0.984</f>
        <v>0.98399999999999999</v>
      </c>
      <c r="S97" s="1">
        <f>0.918</f>
        <v>0.91800000000000004</v>
      </c>
      <c r="T97" s="1" t="b">
        <f>0=994</f>
        <v>0</v>
      </c>
      <c r="U97" s="1">
        <f>0.128</f>
        <v>0.128</v>
      </c>
      <c r="V97" s="1" t="s">
        <v>13432</v>
      </c>
      <c r="W97">
        <v>4</v>
      </c>
    </row>
    <row r="98" spans="1:23" x14ac:dyDescent="0.25">
      <c r="A98" s="1" t="s">
        <v>13288</v>
      </c>
      <c r="B98" s="1" t="s">
        <v>13289</v>
      </c>
      <c r="C98" s="1" t="s">
        <v>1850</v>
      </c>
      <c r="D98" s="1" t="s">
        <v>1850</v>
      </c>
      <c r="E98" s="1" t="s">
        <v>1851</v>
      </c>
      <c r="F98" s="1" t="s">
        <v>13290</v>
      </c>
      <c r="G98">
        <v>247166</v>
      </c>
      <c r="H98">
        <v>28</v>
      </c>
      <c r="I98" s="1" t="s">
        <v>11063</v>
      </c>
      <c r="J98" s="11">
        <v>44543.872476851851</v>
      </c>
      <c r="K98" s="1" t="s">
        <v>50</v>
      </c>
      <c r="L98" s="1">
        <f>0.369</f>
        <v>0.36899999999999999</v>
      </c>
      <c r="M98" s="1" t="b">
        <f>0=339</f>
        <v>0</v>
      </c>
      <c r="N98">
        <v>11</v>
      </c>
      <c r="O98" s="1">
        <v>-21.385000000000002</v>
      </c>
      <c r="P98">
        <f>0</f>
        <v>0</v>
      </c>
      <c r="Q98" s="1">
        <f>0.122</f>
        <v>0.122</v>
      </c>
      <c r="R98" s="1">
        <f>0.975</f>
        <v>0.97499999999999998</v>
      </c>
      <c r="S98" s="1">
        <f>0.896</f>
        <v>0.89600000000000002</v>
      </c>
      <c r="T98" s="1">
        <f>0.266</f>
        <v>0.26600000000000001</v>
      </c>
      <c r="U98" s="1" t="b">
        <f>0=847</f>
        <v>0</v>
      </c>
      <c r="V98" s="1" t="s">
        <v>13433</v>
      </c>
      <c r="W98">
        <v>4</v>
      </c>
    </row>
    <row r="99" spans="1:23" x14ac:dyDescent="0.25">
      <c r="A99" s="1" t="s">
        <v>13291</v>
      </c>
      <c r="B99" s="1" t="s">
        <v>13292</v>
      </c>
      <c r="C99" s="1" t="s">
        <v>1852</v>
      </c>
      <c r="D99" s="1" t="s">
        <v>13293</v>
      </c>
      <c r="E99" s="1" t="s">
        <v>1853</v>
      </c>
      <c r="F99" s="1" t="s">
        <v>13294</v>
      </c>
      <c r="G99">
        <v>309906</v>
      </c>
      <c r="H99">
        <v>38</v>
      </c>
      <c r="I99" s="1" t="s">
        <v>11063</v>
      </c>
      <c r="J99" s="11">
        <v>44543.872476851851</v>
      </c>
      <c r="K99" s="1" t="s">
        <v>1824</v>
      </c>
      <c r="L99" s="1">
        <f>0.361</f>
        <v>0.36099999999999999</v>
      </c>
      <c r="M99" s="1" t="b">
        <f>0=48</f>
        <v>0</v>
      </c>
      <c r="N99">
        <v>11</v>
      </c>
      <c r="O99" s="1">
        <v>-23.466999999999999</v>
      </c>
      <c r="P99">
        <v>1</v>
      </c>
      <c r="Q99" s="1" t="b">
        <f>0=545</f>
        <v>0</v>
      </c>
      <c r="R99" s="1">
        <f>0.995</f>
        <v>0.995</v>
      </c>
      <c r="S99" s="1">
        <f>0.916</f>
        <v>0.91600000000000004</v>
      </c>
      <c r="T99" s="1" t="b">
        <f>0=823</f>
        <v>0</v>
      </c>
      <c r="U99" s="1" t="b">
        <f>0=5=7</f>
        <v>0</v>
      </c>
      <c r="V99" s="1">
        <v>75.921999999999997</v>
      </c>
      <c r="W99">
        <v>5</v>
      </c>
    </row>
    <row r="100" spans="1:23" x14ac:dyDescent="0.25">
      <c r="A100" s="1" t="s">
        <v>13295</v>
      </c>
      <c r="B100" s="1" t="s">
        <v>13296</v>
      </c>
      <c r="C100" s="1" t="s">
        <v>1854</v>
      </c>
      <c r="D100" s="1" t="s">
        <v>13297</v>
      </c>
      <c r="E100" s="1" t="s">
        <v>1855</v>
      </c>
      <c r="F100" s="1" t="s">
        <v>13298</v>
      </c>
      <c r="G100">
        <v>123494</v>
      </c>
      <c r="H100">
        <v>45</v>
      </c>
      <c r="I100" s="1" t="s">
        <v>11063</v>
      </c>
      <c r="J100" s="11">
        <v>44543.872476851851</v>
      </c>
      <c r="K100" s="1" t="s">
        <v>50</v>
      </c>
      <c r="L100" s="1">
        <f>0.356</f>
        <v>0.35599999999999998</v>
      </c>
      <c r="M100" s="1">
        <f>0.118</f>
        <v>0.11799999999999999</v>
      </c>
      <c r="N100">
        <f>0</f>
        <v>0</v>
      </c>
      <c r="O100" s="1">
        <v>-24.632000000000001</v>
      </c>
      <c r="P100">
        <v>1</v>
      </c>
      <c r="Q100" s="1" t="b">
        <f>0=381</f>
        <v>0</v>
      </c>
      <c r="R100" s="1">
        <f>0.985</f>
        <v>0.98499999999999999</v>
      </c>
      <c r="S100" s="1">
        <f>0.823</f>
        <v>0.82299999999999995</v>
      </c>
      <c r="T100" s="1">
        <f>0.114</f>
        <v>0.114</v>
      </c>
      <c r="U100" s="1">
        <f>0.314</f>
        <v>0.314</v>
      </c>
      <c r="V100" s="1">
        <v>141.59899999999999</v>
      </c>
      <c r="W100">
        <v>4</v>
      </c>
    </row>
    <row r="101" spans="1:23" x14ac:dyDescent="0.25">
      <c r="A101" s="1" t="s">
        <v>13299</v>
      </c>
      <c r="B101" s="1" t="s">
        <v>13300</v>
      </c>
      <c r="C101" s="1" t="s">
        <v>1856</v>
      </c>
      <c r="D101" s="1" t="s">
        <v>13301</v>
      </c>
      <c r="E101" s="1" t="s">
        <v>1857</v>
      </c>
      <c r="F101" s="1" t="s">
        <v>13302</v>
      </c>
      <c r="G101">
        <v>436653</v>
      </c>
      <c r="H101">
        <v>31</v>
      </c>
      <c r="I101" s="1" t="s">
        <v>11063</v>
      </c>
      <c r="J101" s="11">
        <v>44543.872476851851</v>
      </c>
      <c r="K101" s="1" t="s">
        <v>1858</v>
      </c>
      <c r="L101" s="1">
        <f>0.183</f>
        <v>0.183</v>
      </c>
      <c r="M101" s="1" t="b">
        <f>0=0=5=4</f>
        <v>0</v>
      </c>
      <c r="N101">
        <v>1</v>
      </c>
      <c r="O101" s="1" t="s">
        <v>13434</v>
      </c>
      <c r="P101">
        <f>0</f>
        <v>0</v>
      </c>
      <c r="Q101" s="1" t="b">
        <f>0=741</f>
        <v>0</v>
      </c>
      <c r="R101" s="1">
        <f>0.995</f>
        <v>0.995</v>
      </c>
      <c r="S101" s="1" t="b">
        <f>0.9=6</f>
        <v>0</v>
      </c>
      <c r="T101" s="1" t="b">
        <f>0.1=4</f>
        <v>0</v>
      </c>
      <c r="U101" s="1">
        <f>0.145</f>
        <v>0.14499999999999999</v>
      </c>
      <c r="V101" s="1">
        <v>67.685000000000002</v>
      </c>
      <c r="W101">
        <v>4</v>
      </c>
    </row>
    <row r="102" spans="1:23" x14ac:dyDescent="0.25">
      <c r="A102" s="1" t="s">
        <v>13303</v>
      </c>
      <c r="B102" s="1" t="s">
        <v>13304</v>
      </c>
      <c r="C102" s="1" t="s">
        <v>1859</v>
      </c>
      <c r="D102" s="1" t="s">
        <v>13305</v>
      </c>
      <c r="E102" s="1" t="s">
        <v>1860</v>
      </c>
      <c r="F102" s="1" t="s">
        <v>13306</v>
      </c>
      <c r="G102">
        <v>332200</v>
      </c>
      <c r="H102">
        <v>19</v>
      </c>
      <c r="I102" s="1" t="s">
        <v>11063</v>
      </c>
      <c r="J102" s="11">
        <v>44543.872476851851</v>
      </c>
      <c r="K102" s="1" t="s">
        <v>1861</v>
      </c>
      <c r="L102" s="1">
        <f>0.152</f>
        <v>0.152</v>
      </c>
      <c r="M102" s="1" t="b">
        <f>0=358</f>
        <v>0</v>
      </c>
      <c r="N102">
        <v>1</v>
      </c>
      <c r="O102" s="1">
        <v>-26.617999999999999</v>
      </c>
      <c r="P102">
        <v>1</v>
      </c>
      <c r="Q102" s="1" t="b">
        <f>0=363</f>
        <v>0</v>
      </c>
      <c r="R102" s="1">
        <f>0.988</f>
        <v>0.98799999999999999</v>
      </c>
      <c r="S102" s="1">
        <f>0.924</f>
        <v>0.92400000000000004</v>
      </c>
      <c r="T102" s="1" t="b">
        <f>0.1=2</f>
        <v>0</v>
      </c>
      <c r="U102" s="1">
        <f>0.136</f>
        <v>0.13600000000000001</v>
      </c>
      <c r="V102" s="1">
        <v>83.415999999999997</v>
      </c>
      <c r="W102">
        <v>4</v>
      </c>
    </row>
    <row r="103" spans="1:23" x14ac:dyDescent="0.25">
      <c r="A103" s="1" t="s">
        <v>13307</v>
      </c>
      <c r="B103" s="1" t="s">
        <v>13308</v>
      </c>
      <c r="C103" s="1" t="s">
        <v>1862</v>
      </c>
      <c r="D103" s="1" t="s">
        <v>13309</v>
      </c>
      <c r="E103" s="1" t="s">
        <v>1863</v>
      </c>
      <c r="F103" s="1" t="s">
        <v>13310</v>
      </c>
      <c r="G103">
        <v>174134</v>
      </c>
      <c r="H103">
        <v>31</v>
      </c>
      <c r="I103" s="1" t="s">
        <v>11063</v>
      </c>
      <c r="J103" s="11">
        <v>44543.872488425928</v>
      </c>
      <c r="K103" s="1" t="s">
        <v>50</v>
      </c>
      <c r="L103" s="1">
        <f>0.278</f>
        <v>0.27800000000000002</v>
      </c>
      <c r="M103" s="1" t="b">
        <f>0=587</f>
        <v>0</v>
      </c>
      <c r="N103">
        <f>0</f>
        <v>0</v>
      </c>
      <c r="O103" s="1" t="s">
        <v>13435</v>
      </c>
      <c r="P103">
        <f>0</f>
        <v>0</v>
      </c>
      <c r="Q103" s="1" t="b">
        <f>0=397</f>
        <v>0</v>
      </c>
      <c r="R103" s="1">
        <f>0.99</f>
        <v>0.99</v>
      </c>
      <c r="S103" s="1">
        <f>0.933</f>
        <v>0.93300000000000005</v>
      </c>
      <c r="T103" s="1" t="b">
        <f>0.1=7</f>
        <v>0</v>
      </c>
      <c r="U103" s="1" t="b">
        <f>0.2=3</f>
        <v>0</v>
      </c>
      <c r="V103" s="1">
        <v>142.63800000000001</v>
      </c>
      <c r="W103">
        <v>3</v>
      </c>
    </row>
    <row r="104" spans="1:23" x14ac:dyDescent="0.25">
      <c r="A104" s="1" t="s">
        <v>13311</v>
      </c>
      <c r="B104" s="1" t="s">
        <v>13312</v>
      </c>
      <c r="C104" s="1" t="s">
        <v>1864</v>
      </c>
      <c r="D104" s="1" t="s">
        <v>13313</v>
      </c>
      <c r="E104" s="1" t="s">
        <v>1865</v>
      </c>
      <c r="F104" s="1" t="s">
        <v>13314</v>
      </c>
      <c r="G104">
        <v>377506</v>
      </c>
      <c r="H104">
        <v>47</v>
      </c>
      <c r="I104" s="1" t="s">
        <v>11063</v>
      </c>
      <c r="J104" s="11">
        <v>44543.872488425928</v>
      </c>
      <c r="K104" s="1" t="s">
        <v>1866</v>
      </c>
      <c r="L104" s="1">
        <f>0.128</f>
        <v>0.128</v>
      </c>
      <c r="M104" s="1" t="b">
        <f>0=0=262</f>
        <v>0</v>
      </c>
      <c r="N104">
        <v>6</v>
      </c>
      <c r="O104" s="1">
        <v>-36.152000000000001</v>
      </c>
      <c r="P104">
        <v>1</v>
      </c>
      <c r="Q104" s="1" t="b">
        <f>0=37</f>
        <v>0</v>
      </c>
      <c r="R104" s="1">
        <f>0.991</f>
        <v>0.99099999999999999</v>
      </c>
      <c r="S104" s="1">
        <f>0.921</f>
        <v>0.92100000000000004</v>
      </c>
      <c r="T104" s="1">
        <f>0.111</f>
        <v>0.111</v>
      </c>
      <c r="U104" s="1" t="b">
        <f>0=759</f>
        <v>0</v>
      </c>
      <c r="V104" s="1">
        <v>67.484999999999999</v>
      </c>
      <c r="W104">
        <v>4</v>
      </c>
    </row>
    <row r="105" spans="1:23" x14ac:dyDescent="0.25">
      <c r="A105" s="1" t="s">
        <v>13315</v>
      </c>
      <c r="B105" s="1" t="s">
        <v>13244</v>
      </c>
      <c r="C105" s="1" t="s">
        <v>1867</v>
      </c>
      <c r="D105" s="1" t="s">
        <v>13245</v>
      </c>
      <c r="E105" s="1" t="s">
        <v>1817</v>
      </c>
      <c r="F105" s="1" t="s">
        <v>11492</v>
      </c>
      <c r="G105">
        <v>148830</v>
      </c>
      <c r="H105">
        <v>53</v>
      </c>
      <c r="I105" s="1" t="s">
        <v>11063</v>
      </c>
      <c r="J105" s="11">
        <v>44543.872488425928</v>
      </c>
      <c r="K105" s="1" t="s">
        <v>1818</v>
      </c>
      <c r="L105" s="1">
        <f>0.461</f>
        <v>0.46100000000000002</v>
      </c>
      <c r="M105" s="1" t="b">
        <f>0=457</f>
        <v>0</v>
      </c>
      <c r="N105">
        <v>9</v>
      </c>
      <c r="O105" s="1">
        <v>-28.398</v>
      </c>
      <c r="P105">
        <f>0</f>
        <v>0</v>
      </c>
      <c r="Q105" s="1" t="b">
        <f>0=587</f>
        <v>0</v>
      </c>
      <c r="R105" s="1">
        <f>0.988</f>
        <v>0.98799999999999999</v>
      </c>
      <c r="S105" s="1">
        <f>0.913</f>
        <v>0.91300000000000003</v>
      </c>
      <c r="T105" s="1" t="b">
        <f>0=619</f>
        <v>0</v>
      </c>
      <c r="U105" s="1">
        <f>0.122</f>
        <v>0.122</v>
      </c>
      <c r="V105" s="1">
        <v>73.86</v>
      </c>
      <c r="W105">
        <v>3</v>
      </c>
    </row>
    <row r="106" spans="1:23" x14ac:dyDescent="0.25">
      <c r="A106" s="1" t="s">
        <v>13316</v>
      </c>
      <c r="B106" s="1" t="s">
        <v>13317</v>
      </c>
      <c r="C106" s="1" t="s">
        <v>1868</v>
      </c>
      <c r="D106" s="1" t="s">
        <v>1868</v>
      </c>
      <c r="E106" s="1" t="s">
        <v>1869</v>
      </c>
      <c r="F106" s="1" t="s">
        <v>13318</v>
      </c>
      <c r="G106">
        <v>137313</v>
      </c>
      <c r="H106">
        <v>39</v>
      </c>
      <c r="I106" s="1" t="s">
        <v>11063</v>
      </c>
      <c r="J106" s="11">
        <v>44543.872488425928</v>
      </c>
      <c r="K106" s="1" t="s">
        <v>50</v>
      </c>
      <c r="L106" s="1">
        <f>0.354</f>
        <v>0.35399999999999998</v>
      </c>
      <c r="M106" s="1" t="b">
        <f>0=964</f>
        <v>0</v>
      </c>
      <c r="N106">
        <f>0</f>
        <v>0</v>
      </c>
      <c r="O106" s="1">
        <v>-23.448</v>
      </c>
      <c r="P106">
        <v>1</v>
      </c>
      <c r="Q106" s="1" t="b">
        <f>0=457</f>
        <v>0</v>
      </c>
      <c r="R106" s="1">
        <f>0.981</f>
        <v>0.98099999999999998</v>
      </c>
      <c r="S106" s="1" t="b">
        <f>0.9=4</f>
        <v>0</v>
      </c>
      <c r="T106" s="1">
        <f>0.112</f>
        <v>0.112</v>
      </c>
      <c r="U106" s="1">
        <f>0.2</f>
        <v>0.2</v>
      </c>
      <c r="V106" s="1">
        <v>129.31800000000001</v>
      </c>
      <c r="W106">
        <v>4</v>
      </c>
    </row>
    <row r="107" spans="1:23" x14ac:dyDescent="0.25">
      <c r="A107" s="1" t="s">
        <v>13319</v>
      </c>
      <c r="B107" s="1" t="s">
        <v>13320</v>
      </c>
      <c r="C107" s="1" t="s">
        <v>1870</v>
      </c>
      <c r="D107" s="1" t="s">
        <v>13321</v>
      </c>
      <c r="E107" s="1" t="s">
        <v>1871</v>
      </c>
      <c r="F107" s="1" t="s">
        <v>13322</v>
      </c>
      <c r="G107">
        <v>184813</v>
      </c>
      <c r="H107">
        <v>39</v>
      </c>
      <c r="I107" s="1" t="s">
        <v>11063</v>
      </c>
      <c r="J107" s="11">
        <v>44543.872499999998</v>
      </c>
      <c r="K107" s="1" t="s">
        <v>1831</v>
      </c>
      <c r="L107" s="1">
        <f>0.33</f>
        <v>0.33</v>
      </c>
      <c r="M107" s="1" t="b">
        <f>0=369</f>
        <v>0</v>
      </c>
      <c r="N107">
        <v>5</v>
      </c>
      <c r="O107" s="1">
        <v>-26.553999999999998</v>
      </c>
      <c r="P107">
        <f>0</f>
        <v>0</v>
      </c>
      <c r="Q107" s="1" t="b">
        <f>0=384</f>
        <v>0</v>
      </c>
      <c r="R107" s="1">
        <f>0.99</f>
        <v>0.99</v>
      </c>
      <c r="S107" s="1">
        <f>0.926</f>
        <v>0.92600000000000005</v>
      </c>
      <c r="T107" s="1" t="b">
        <f>0.1=6</f>
        <v>0</v>
      </c>
      <c r="U107" s="1" t="b">
        <f>0=9=4</f>
        <v>0</v>
      </c>
      <c r="V107" s="1" t="s">
        <v>13436</v>
      </c>
      <c r="W107">
        <v>4</v>
      </c>
    </row>
    <row r="108" spans="1:23" x14ac:dyDescent="0.25">
      <c r="A108" s="1" t="s">
        <v>13323</v>
      </c>
      <c r="B108" s="1" t="s">
        <v>13324</v>
      </c>
      <c r="C108" s="1" t="s">
        <v>1872</v>
      </c>
      <c r="D108" s="1" t="s">
        <v>13325</v>
      </c>
      <c r="E108" s="1" t="s">
        <v>1873</v>
      </c>
      <c r="F108" s="1" t="s">
        <v>13326</v>
      </c>
      <c r="G108">
        <v>96000</v>
      </c>
      <c r="H108">
        <v>38</v>
      </c>
      <c r="I108" s="1" t="s">
        <v>11063</v>
      </c>
      <c r="J108" s="11">
        <v>44543.872499999998</v>
      </c>
      <c r="K108" s="1" t="s">
        <v>1874</v>
      </c>
      <c r="L108" s="1">
        <f>0.614</f>
        <v>0.61399999999999999</v>
      </c>
      <c r="M108" s="1" t="b">
        <f>0=157</f>
        <v>0</v>
      </c>
      <c r="N108">
        <v>9</v>
      </c>
      <c r="O108" s="1">
        <v>-25.257000000000001</v>
      </c>
      <c r="P108">
        <f>0</f>
        <v>0</v>
      </c>
      <c r="Q108" s="1" t="b">
        <f>0=4</f>
        <v>0</v>
      </c>
      <c r="R108" s="1">
        <f>0.995</f>
        <v>0.995</v>
      </c>
      <c r="S108" s="1">
        <f>0.892</f>
        <v>0.89200000000000002</v>
      </c>
      <c r="T108" s="1" t="b">
        <f>0=62</f>
        <v>0</v>
      </c>
      <c r="U108" s="1">
        <f>0.59</f>
        <v>0.59</v>
      </c>
      <c r="V108" s="1">
        <v>69.918000000000006</v>
      </c>
      <c r="W108">
        <v>4</v>
      </c>
    </row>
    <row r="109" spans="1:23" x14ac:dyDescent="0.25">
      <c r="A109" s="1" t="s">
        <v>13327</v>
      </c>
      <c r="B109" s="1" t="s">
        <v>13317</v>
      </c>
      <c r="C109" s="1" t="s">
        <v>1875</v>
      </c>
      <c r="D109" s="1" t="s">
        <v>1875</v>
      </c>
      <c r="E109" s="1" t="s">
        <v>1869</v>
      </c>
      <c r="F109" s="1" t="s">
        <v>13328</v>
      </c>
      <c r="G109">
        <v>172132</v>
      </c>
      <c r="H109">
        <v>37</v>
      </c>
      <c r="I109" s="1" t="s">
        <v>11063</v>
      </c>
      <c r="J109" s="11">
        <v>44543.872523148151</v>
      </c>
      <c r="K109" s="1" t="s">
        <v>50</v>
      </c>
      <c r="L109" s="1">
        <f>0.385</f>
        <v>0.38500000000000001</v>
      </c>
      <c r="M109" s="1" t="b">
        <f>0=0=623</f>
        <v>0</v>
      </c>
      <c r="N109">
        <v>4</v>
      </c>
      <c r="O109" s="1">
        <v>-28.873999999999999</v>
      </c>
      <c r="P109">
        <f>0</f>
        <v>0</v>
      </c>
      <c r="Q109" s="1" t="b">
        <f>0.1=6</f>
        <v>0</v>
      </c>
      <c r="R109" s="1">
        <f>0.995</f>
        <v>0.995</v>
      </c>
      <c r="S109" s="1">
        <f>0.944</f>
        <v>0.94399999999999995</v>
      </c>
      <c r="T109" s="1" t="b">
        <f>0=886</f>
        <v>0</v>
      </c>
      <c r="U109" s="1" t="b">
        <f>0=355</f>
        <v>0</v>
      </c>
      <c r="V109" s="1">
        <v>78.14</v>
      </c>
      <c r="W109">
        <v>3</v>
      </c>
    </row>
    <row r="110" spans="1:23" x14ac:dyDescent="0.25">
      <c r="A110" s="1" t="s">
        <v>13329</v>
      </c>
      <c r="B110" s="1" t="s">
        <v>13251</v>
      </c>
      <c r="C110" s="1" t="s">
        <v>1876</v>
      </c>
      <c r="D110" s="1" t="s">
        <v>13252</v>
      </c>
      <c r="E110" s="1" t="s">
        <v>1823</v>
      </c>
      <c r="F110" s="1" t="s">
        <v>13253</v>
      </c>
      <c r="G110">
        <v>395033</v>
      </c>
      <c r="H110">
        <v>29</v>
      </c>
      <c r="I110" s="1" t="s">
        <v>11063</v>
      </c>
      <c r="J110" s="11">
        <v>44543.872523148151</v>
      </c>
      <c r="K110" s="1" t="s">
        <v>1824</v>
      </c>
      <c r="L110" s="1">
        <f>0.344</f>
        <v>0.34399999999999997</v>
      </c>
      <c r="M110" s="1" t="b">
        <f>0=126</f>
        <v>0</v>
      </c>
      <c r="N110">
        <v>1</v>
      </c>
      <c r="O110" s="1">
        <v>-27.76</v>
      </c>
      <c r="P110">
        <v>1</v>
      </c>
      <c r="Q110" s="1" t="b">
        <f>0=39</f>
        <v>0</v>
      </c>
      <c r="R110" s="1">
        <f>0.994</f>
        <v>0.99399999999999999</v>
      </c>
      <c r="S110" s="1">
        <f>0.917</f>
        <v>0.91700000000000004</v>
      </c>
      <c r="T110" s="1">
        <f>0.1</f>
        <v>0.1</v>
      </c>
      <c r="U110" s="1" t="b">
        <f>0=516</f>
        <v>0</v>
      </c>
      <c r="V110" s="1">
        <v>72.331000000000003</v>
      </c>
      <c r="W110">
        <v>4</v>
      </c>
    </row>
    <row r="111" spans="1:23" x14ac:dyDescent="0.25">
      <c r="A111" s="1" t="s">
        <v>13330</v>
      </c>
      <c r="B111" s="1" t="s">
        <v>13331</v>
      </c>
      <c r="C111" s="1" t="s">
        <v>1877</v>
      </c>
      <c r="D111" s="1" t="s">
        <v>13332</v>
      </c>
      <c r="E111" s="1" t="s">
        <v>1878</v>
      </c>
      <c r="F111" s="1" t="s">
        <v>13333</v>
      </c>
      <c r="G111">
        <v>597960</v>
      </c>
      <c r="H111">
        <v>42</v>
      </c>
      <c r="I111" s="1" t="s">
        <v>11063</v>
      </c>
      <c r="J111" s="11">
        <v>44543.872534722221</v>
      </c>
      <c r="K111" s="1" t="s">
        <v>1879</v>
      </c>
      <c r="L111" s="1">
        <f>0.385</f>
        <v>0.38500000000000001</v>
      </c>
      <c r="M111" s="1" t="b">
        <f>0=0=189</f>
        <v>0</v>
      </c>
      <c r="N111">
        <v>1</v>
      </c>
      <c r="O111" s="1">
        <v>-28.565000000000001</v>
      </c>
      <c r="P111">
        <v>1</v>
      </c>
      <c r="Q111" s="1" t="b">
        <f>0=487</f>
        <v>0</v>
      </c>
      <c r="R111" s="1">
        <f>0.993</f>
        <v>0.99299999999999999</v>
      </c>
      <c r="S111" s="1">
        <f>0.919</f>
        <v>0.91900000000000004</v>
      </c>
      <c r="T111" s="1" t="b">
        <f>0=955</f>
        <v>0</v>
      </c>
      <c r="U111" s="1">
        <f>0.153</f>
        <v>0.153</v>
      </c>
      <c r="V111" s="1">
        <v>93.131</v>
      </c>
      <c r="W111">
        <v>4</v>
      </c>
    </row>
    <row r="112" spans="1:23" x14ac:dyDescent="0.25">
      <c r="A112" s="1" t="s">
        <v>13334</v>
      </c>
      <c r="B112" s="1" t="s">
        <v>13236</v>
      </c>
      <c r="C112" s="1" t="s">
        <v>1880</v>
      </c>
      <c r="D112" s="1" t="s">
        <v>13237</v>
      </c>
      <c r="E112" s="1" t="s">
        <v>1813</v>
      </c>
      <c r="F112" s="1" t="s">
        <v>13238</v>
      </c>
      <c r="G112">
        <v>160496</v>
      </c>
      <c r="H112">
        <v>42</v>
      </c>
      <c r="I112" s="1" t="s">
        <v>11063</v>
      </c>
      <c r="J112" s="11">
        <v>44543.872534722221</v>
      </c>
      <c r="K112" s="1" t="s">
        <v>50</v>
      </c>
      <c r="L112" s="1">
        <f>0.229</f>
        <v>0.22900000000000001</v>
      </c>
      <c r="M112" s="1" t="b">
        <f>0=283</f>
        <v>0</v>
      </c>
      <c r="N112">
        <v>9</v>
      </c>
      <c r="O112" s="1">
        <v>-28.143000000000001</v>
      </c>
      <c r="P112">
        <f>0</f>
        <v>0</v>
      </c>
      <c r="Q112" s="1" t="b">
        <f>0=336</f>
        <v>0</v>
      </c>
      <c r="R112" s="1">
        <f>0.981</f>
        <v>0.98099999999999998</v>
      </c>
      <c r="S112" s="1">
        <f>0.853</f>
        <v>0.85299999999999998</v>
      </c>
      <c r="T112" s="1" t="b">
        <f>0=729</f>
        <v>0</v>
      </c>
      <c r="U112" s="1" t="b">
        <f>0=799</f>
        <v>0</v>
      </c>
      <c r="V112" s="1">
        <v>169.8</v>
      </c>
      <c r="W112">
        <v>3</v>
      </c>
    </row>
    <row r="113" spans="1:23" x14ac:dyDescent="0.25">
      <c r="A113" s="1" t="s">
        <v>13335</v>
      </c>
      <c r="B113" s="1" t="s">
        <v>13336</v>
      </c>
      <c r="C113" s="1" t="s">
        <v>1881</v>
      </c>
      <c r="D113" s="1" t="s">
        <v>13337</v>
      </c>
      <c r="E113" s="1" t="s">
        <v>1882</v>
      </c>
      <c r="F113" s="1" t="s">
        <v>13338</v>
      </c>
      <c r="G113">
        <v>167440</v>
      </c>
      <c r="H113">
        <v>35</v>
      </c>
      <c r="I113" s="1" t="s">
        <v>11063</v>
      </c>
      <c r="J113" s="11">
        <v>44543.872534722221</v>
      </c>
      <c r="K113" s="1" t="s">
        <v>1883</v>
      </c>
      <c r="L113" s="1">
        <f>0.266</f>
        <v>0.26600000000000001</v>
      </c>
      <c r="M113" s="1" t="b">
        <f>0=0=275</f>
        <v>0</v>
      </c>
      <c r="N113">
        <v>9</v>
      </c>
      <c r="O113" s="1">
        <v>-26.117000000000001</v>
      </c>
      <c r="P113">
        <f>0</f>
        <v>0</v>
      </c>
      <c r="Q113" s="1" t="b">
        <f>0=591</f>
        <v>0</v>
      </c>
      <c r="R113" s="1">
        <f>0.995</f>
        <v>0.995</v>
      </c>
      <c r="S113" s="1">
        <f>0.885</f>
        <v>0.88500000000000001</v>
      </c>
      <c r="T113" s="1" t="b">
        <f>0=698</f>
        <v>0</v>
      </c>
      <c r="U113" s="1" t="b">
        <f>0=432</f>
        <v>0</v>
      </c>
      <c r="V113" s="1">
        <v>81.876999999999995</v>
      </c>
      <c r="W113">
        <v>4</v>
      </c>
    </row>
    <row r="114" spans="1:23" x14ac:dyDescent="0.25">
      <c r="A114" s="1" t="s">
        <v>13339</v>
      </c>
      <c r="B114" s="1" t="s">
        <v>13340</v>
      </c>
      <c r="C114" s="1" t="s">
        <v>1884</v>
      </c>
      <c r="D114" s="1" t="s">
        <v>13341</v>
      </c>
      <c r="E114" s="1" t="s">
        <v>1885</v>
      </c>
      <c r="F114" s="1" t="s">
        <v>13342</v>
      </c>
      <c r="G114">
        <v>179066</v>
      </c>
      <c r="H114">
        <v>38</v>
      </c>
      <c r="I114" s="1" t="s">
        <v>11063</v>
      </c>
      <c r="J114" s="11">
        <v>44543.872534722221</v>
      </c>
      <c r="K114" s="1" t="s">
        <v>1827</v>
      </c>
      <c r="L114" s="1">
        <f>0.346</f>
        <v>0.34599999999999997</v>
      </c>
      <c r="M114" s="1" t="b">
        <f>0=132</f>
        <v>0</v>
      </c>
      <c r="N114">
        <v>5</v>
      </c>
      <c r="O114" s="1">
        <v>-31.998999999999999</v>
      </c>
      <c r="P114">
        <f>0</f>
        <v>0</v>
      </c>
      <c r="Q114" s="1" t="b">
        <f>0=396</f>
        <v>0</v>
      </c>
      <c r="R114" s="1">
        <f>0.993</f>
        <v>0.99299999999999999</v>
      </c>
      <c r="S114" s="1">
        <f>0.86</f>
        <v>0.86</v>
      </c>
      <c r="T114" s="1">
        <f>0.183</f>
        <v>0.183</v>
      </c>
      <c r="U114" s="1">
        <f>0.122</f>
        <v>0.122</v>
      </c>
      <c r="V114" s="1">
        <v>67.981999999999999</v>
      </c>
      <c r="W114">
        <v>4</v>
      </c>
    </row>
    <row r="115" spans="1:23" x14ac:dyDescent="0.25">
      <c r="A115" s="1" t="s">
        <v>13343</v>
      </c>
      <c r="B115" s="1" t="s">
        <v>13344</v>
      </c>
      <c r="C115" s="1" t="s">
        <v>1886</v>
      </c>
      <c r="D115" s="1" t="s">
        <v>13345</v>
      </c>
      <c r="E115" s="1" t="s">
        <v>1887</v>
      </c>
      <c r="F115" s="1" t="s">
        <v>13346</v>
      </c>
      <c r="G115">
        <v>244640</v>
      </c>
      <c r="H115">
        <v>0</v>
      </c>
      <c r="I115" s="1" t="s">
        <v>11063</v>
      </c>
      <c r="J115" s="11">
        <v>44543.872546296298</v>
      </c>
      <c r="K115" s="1" t="s">
        <v>1888</v>
      </c>
      <c r="L115" s="1">
        <f>0.21</f>
        <v>0.21</v>
      </c>
      <c r="M115" s="1" t="b">
        <f>0=43</f>
        <v>0</v>
      </c>
      <c r="N115">
        <v>8</v>
      </c>
      <c r="O115" s="1">
        <v>-28.385999999999999</v>
      </c>
      <c r="P115">
        <v>1</v>
      </c>
      <c r="Q115" s="1" t="b">
        <f>0=395</f>
        <v>0</v>
      </c>
      <c r="R115" s="1">
        <f>0.991</f>
        <v>0.99099999999999999</v>
      </c>
      <c r="S115" s="1" t="b">
        <f>0.9=9</f>
        <v>0</v>
      </c>
      <c r="T115" s="1" t="b">
        <f>0.1=2</f>
        <v>0</v>
      </c>
      <c r="U115" s="1">
        <f>0.169</f>
        <v>0.16900000000000001</v>
      </c>
      <c r="V115" s="1" t="s">
        <v>13437</v>
      </c>
      <c r="W115">
        <v>3</v>
      </c>
    </row>
    <row r="116" spans="1:23" x14ac:dyDescent="0.25">
      <c r="A116" s="1" t="s">
        <v>13347</v>
      </c>
      <c r="B116" s="1" t="s">
        <v>13247</v>
      </c>
      <c r="C116" s="1" t="s">
        <v>1889</v>
      </c>
      <c r="D116" s="1" t="s">
        <v>13248</v>
      </c>
      <c r="E116" s="1" t="s">
        <v>1820</v>
      </c>
      <c r="F116" s="1" t="s">
        <v>13249</v>
      </c>
      <c r="G116">
        <v>169319</v>
      </c>
      <c r="H116">
        <v>35</v>
      </c>
      <c r="I116" s="1" t="s">
        <v>11063</v>
      </c>
      <c r="J116" s="11">
        <v>44543.872546296298</v>
      </c>
      <c r="K116" s="1" t="s">
        <v>1821</v>
      </c>
      <c r="L116" s="1">
        <f>0.288</f>
        <v>0.28799999999999998</v>
      </c>
      <c r="M116" s="1" t="b">
        <f>0=852</f>
        <v>0</v>
      </c>
      <c r="N116">
        <v>5</v>
      </c>
      <c r="O116" s="1">
        <v>-24.356999999999999</v>
      </c>
      <c r="P116">
        <v>1</v>
      </c>
      <c r="Q116" s="1" t="b">
        <f>0=378</f>
        <v>0</v>
      </c>
      <c r="R116" s="1">
        <f>0.989</f>
        <v>0.98899999999999999</v>
      </c>
      <c r="S116" s="1">
        <f>0.914</f>
        <v>0.91400000000000003</v>
      </c>
      <c r="T116" s="1">
        <f>0.111</f>
        <v>0.111</v>
      </c>
      <c r="U116" s="1">
        <f>0.172</f>
        <v>0.17199999999999999</v>
      </c>
      <c r="V116" s="1">
        <v>66.59</v>
      </c>
      <c r="W116">
        <v>4</v>
      </c>
    </row>
    <row r="117" spans="1:23" x14ac:dyDescent="0.25">
      <c r="A117" s="1" t="s">
        <v>13348</v>
      </c>
      <c r="B117" s="1" t="s">
        <v>13340</v>
      </c>
      <c r="C117" s="1" t="s">
        <v>1890</v>
      </c>
      <c r="D117" s="1" t="s">
        <v>13341</v>
      </c>
      <c r="E117" s="1" t="s">
        <v>1885</v>
      </c>
      <c r="F117" s="1" t="s">
        <v>13342</v>
      </c>
      <c r="G117">
        <v>352800</v>
      </c>
      <c r="H117">
        <v>47</v>
      </c>
      <c r="I117" s="1" t="s">
        <v>11063</v>
      </c>
      <c r="J117" s="11">
        <v>44543.872546296298</v>
      </c>
      <c r="K117" s="1" t="s">
        <v>1827</v>
      </c>
      <c r="L117" s="1">
        <f>0.34</f>
        <v>0.34</v>
      </c>
      <c r="M117" s="1" t="b">
        <f>0=1=8</f>
        <v>0</v>
      </c>
      <c r="N117" t="s">
        <v>11825</v>
      </c>
      <c r="O117" s="1" t="s">
        <v>13438</v>
      </c>
      <c r="P117">
        <f>0</f>
        <v>0</v>
      </c>
      <c r="Q117" s="1" t="b">
        <f>0=382</f>
        <v>0</v>
      </c>
      <c r="R117" s="1">
        <f>0.992</f>
        <v>0.99199999999999999</v>
      </c>
      <c r="S117" s="1">
        <f>0.897</f>
        <v>0.89700000000000002</v>
      </c>
      <c r="T117" s="1" t="b">
        <f>0=888</f>
        <v>0</v>
      </c>
      <c r="U117" s="1" t="b">
        <f>0=411</f>
        <v>0</v>
      </c>
      <c r="V117" s="1">
        <v>73.762</v>
      </c>
      <c r="W117">
        <v>4</v>
      </c>
    </row>
    <row r="118" spans="1:23" x14ac:dyDescent="0.25">
      <c r="A118" s="1" t="s">
        <v>13349</v>
      </c>
      <c r="B118" s="1" t="s">
        <v>13236</v>
      </c>
      <c r="C118" s="1" t="s">
        <v>1891</v>
      </c>
      <c r="D118" s="1" t="s">
        <v>13237</v>
      </c>
      <c r="E118" s="1" t="s">
        <v>1813</v>
      </c>
      <c r="F118" s="1" t="s">
        <v>13238</v>
      </c>
      <c r="G118">
        <v>162725</v>
      </c>
      <c r="H118">
        <v>36</v>
      </c>
      <c r="I118" s="1" t="s">
        <v>11063</v>
      </c>
      <c r="J118" s="11">
        <v>44543.872546296298</v>
      </c>
      <c r="K118" s="1" t="s">
        <v>50</v>
      </c>
      <c r="L118" s="1">
        <f>0.251</f>
        <v>0.251</v>
      </c>
      <c r="M118" s="1" t="b">
        <f>0=146</f>
        <v>0</v>
      </c>
      <c r="N118">
        <v>9</v>
      </c>
      <c r="O118" s="1">
        <v>-33.299999999999997</v>
      </c>
      <c r="P118">
        <v>1</v>
      </c>
      <c r="Q118" s="1" t="b">
        <f>0=4=5</f>
        <v>0</v>
      </c>
      <c r="R118" s="1">
        <f>0.973</f>
        <v>0.97299999999999998</v>
      </c>
      <c r="S118" s="1" t="b">
        <f>0.9=7</f>
        <v>0</v>
      </c>
      <c r="T118" s="1" t="b">
        <f>0=982</f>
        <v>0</v>
      </c>
      <c r="U118" s="1">
        <f>0.139</f>
        <v>0.13900000000000001</v>
      </c>
      <c r="V118" s="1" t="s">
        <v>13439</v>
      </c>
      <c r="W118">
        <v>1</v>
      </c>
    </row>
    <row r="119" spans="1:23" x14ac:dyDescent="0.25">
      <c r="A119" s="1" t="s">
        <v>13350</v>
      </c>
      <c r="B119" s="1" t="s">
        <v>13351</v>
      </c>
      <c r="C119" s="1" t="s">
        <v>1892</v>
      </c>
      <c r="D119" s="1" t="s">
        <v>13352</v>
      </c>
      <c r="E119" s="1" t="s">
        <v>1893</v>
      </c>
      <c r="F119" s="1" t="s">
        <v>13353</v>
      </c>
      <c r="G119">
        <v>148148</v>
      </c>
      <c r="H119">
        <v>29</v>
      </c>
      <c r="I119" s="1" t="s">
        <v>11063</v>
      </c>
      <c r="J119" s="11">
        <v>44543.872557870367</v>
      </c>
      <c r="K119" s="1" t="s">
        <v>50</v>
      </c>
      <c r="L119" s="1">
        <f>0.182</f>
        <v>0.182</v>
      </c>
      <c r="M119" s="1" t="b">
        <f>0=586</f>
        <v>0</v>
      </c>
      <c r="N119">
        <f>0</f>
        <v>0</v>
      </c>
      <c r="O119" s="1">
        <v>-27.257999999999999</v>
      </c>
      <c r="P119">
        <v>1</v>
      </c>
      <c r="Q119" s="1" t="b">
        <f>0=5=3</f>
        <v>0</v>
      </c>
      <c r="R119" s="1">
        <f>0.974</f>
        <v>0.97399999999999998</v>
      </c>
      <c r="S119" s="1">
        <f>0.899</f>
        <v>0.89900000000000002</v>
      </c>
      <c r="T119" s="1" t="b">
        <f>0=595</f>
        <v>0</v>
      </c>
      <c r="U119" s="1" t="b">
        <f>0=778</f>
        <v>0</v>
      </c>
      <c r="V119" s="1">
        <v>175.62899999999999</v>
      </c>
      <c r="W119">
        <v>3</v>
      </c>
    </row>
    <row r="120" spans="1:23" x14ac:dyDescent="0.25">
      <c r="A120" s="1" t="s">
        <v>13354</v>
      </c>
      <c r="B120" s="1" t="s">
        <v>13355</v>
      </c>
      <c r="C120" s="1" t="s">
        <v>1894</v>
      </c>
      <c r="D120" s="1" t="s">
        <v>13356</v>
      </c>
      <c r="E120" s="1" t="s">
        <v>1895</v>
      </c>
      <c r="F120" s="1" t="s">
        <v>13357</v>
      </c>
      <c r="G120">
        <v>310720</v>
      </c>
      <c r="H120">
        <v>45</v>
      </c>
      <c r="I120" s="1" t="s">
        <v>11063</v>
      </c>
      <c r="J120" s="11">
        <v>44551.059872685182</v>
      </c>
      <c r="K120" s="1" t="s">
        <v>1896</v>
      </c>
      <c r="L120" s="1">
        <f>0.43</f>
        <v>0.43</v>
      </c>
      <c r="M120" s="1" t="b">
        <f>0.1=3</f>
        <v>0</v>
      </c>
      <c r="N120">
        <v>4</v>
      </c>
      <c r="O120" s="1">
        <v>-23.738</v>
      </c>
      <c r="P120">
        <v>1</v>
      </c>
      <c r="Q120" s="1" t="b">
        <f>0=514</f>
        <v>0</v>
      </c>
      <c r="R120" s="1">
        <f>0.973</f>
        <v>0.97299999999999998</v>
      </c>
      <c r="S120" s="1">
        <f>0.673</f>
        <v>0.67300000000000004</v>
      </c>
      <c r="T120" s="1">
        <f>0.141</f>
        <v>0.14099999999999999</v>
      </c>
      <c r="U120" s="1">
        <f>0.63</f>
        <v>0.63</v>
      </c>
      <c r="V120" s="1">
        <v>152.59100000000001</v>
      </c>
      <c r="W120">
        <v>4</v>
      </c>
    </row>
    <row r="121" spans="1:23" x14ac:dyDescent="0.25">
      <c r="A121" s="1" t="s">
        <v>13358</v>
      </c>
      <c r="B121" s="1" t="s">
        <v>13359</v>
      </c>
      <c r="C121" s="1" t="s">
        <v>1897</v>
      </c>
      <c r="D121" s="1" t="s">
        <v>13356</v>
      </c>
      <c r="E121" s="1" t="s">
        <v>1898</v>
      </c>
      <c r="F121" s="1" t="s">
        <v>13357</v>
      </c>
      <c r="G121">
        <v>440426</v>
      </c>
      <c r="H121">
        <v>43</v>
      </c>
      <c r="I121" s="1" t="s">
        <v>11063</v>
      </c>
      <c r="J121" s="11">
        <v>44551.059907407405</v>
      </c>
      <c r="K121" s="1" t="s">
        <v>1899</v>
      </c>
      <c r="L121" s="1">
        <f>0.159</f>
        <v>0.159</v>
      </c>
      <c r="M121" s="1" t="b">
        <f>0=339</f>
        <v>0</v>
      </c>
      <c r="N121">
        <v>9</v>
      </c>
      <c r="O121" s="1">
        <v>-26.741</v>
      </c>
      <c r="P121">
        <v>1</v>
      </c>
      <c r="Q121" s="1" t="b">
        <f>0=456</f>
        <v>0</v>
      </c>
      <c r="R121" s="1">
        <f>0.921</f>
        <v>0.92100000000000004</v>
      </c>
      <c r="S121" s="1">
        <f>0.373</f>
        <v>0.373</v>
      </c>
      <c r="T121" s="1" t="b">
        <f>0=731</f>
        <v>0</v>
      </c>
      <c r="U121" s="1">
        <f>0.127</f>
        <v>0.127</v>
      </c>
      <c r="V121" s="1">
        <v>79.569000000000003</v>
      </c>
      <c r="W121">
        <v>4</v>
      </c>
    </row>
    <row r="122" spans="1:23" x14ac:dyDescent="0.25">
      <c r="A122" s="1" t="s">
        <v>13360</v>
      </c>
      <c r="B122" s="1" t="s">
        <v>13361</v>
      </c>
      <c r="C122" s="1" t="s">
        <v>1900</v>
      </c>
      <c r="D122" s="1" t="s">
        <v>13362</v>
      </c>
      <c r="E122" s="1" t="s">
        <v>1901</v>
      </c>
      <c r="F122" s="1" t="s">
        <v>13363</v>
      </c>
      <c r="G122">
        <v>454666</v>
      </c>
      <c r="H122">
        <v>39</v>
      </c>
      <c r="I122" s="1" t="s">
        <v>11063</v>
      </c>
      <c r="J122" s="11">
        <v>44551.059918981482</v>
      </c>
      <c r="K122" s="1" t="s">
        <v>1902</v>
      </c>
      <c r="L122" s="1">
        <f>0.283</f>
        <v>0.28299999999999997</v>
      </c>
      <c r="M122" s="1">
        <f>0.1</f>
        <v>0.1</v>
      </c>
      <c r="N122">
        <v>7</v>
      </c>
      <c r="O122" s="1">
        <v>-17.983000000000001</v>
      </c>
      <c r="P122">
        <f>0</f>
        <v>0</v>
      </c>
      <c r="Q122" s="1" t="b">
        <f>0=451</f>
        <v>0</v>
      </c>
      <c r="R122" s="1">
        <f>0.967</f>
        <v>0.96699999999999997</v>
      </c>
      <c r="S122" s="1" t="b">
        <f>0=294</f>
        <v>0</v>
      </c>
      <c r="T122" s="1">
        <f>0.19</f>
        <v>0.19</v>
      </c>
      <c r="U122" s="1" t="b">
        <f>0=961</f>
        <v>0</v>
      </c>
      <c r="V122" s="1" t="s">
        <v>13440</v>
      </c>
      <c r="W122">
        <v>1</v>
      </c>
    </row>
    <row r="123" spans="1:23" x14ac:dyDescent="0.25">
      <c r="A123" s="1" t="s">
        <v>13364</v>
      </c>
      <c r="B123" s="1" t="s">
        <v>13365</v>
      </c>
      <c r="C123" s="1" t="s">
        <v>1903</v>
      </c>
      <c r="D123" s="1" t="s">
        <v>13362</v>
      </c>
      <c r="E123" s="1" t="s">
        <v>1904</v>
      </c>
      <c r="F123" s="1" t="s">
        <v>13363</v>
      </c>
      <c r="G123">
        <v>375760</v>
      </c>
      <c r="H123">
        <v>30</v>
      </c>
      <c r="I123" s="1" t="s">
        <v>11063</v>
      </c>
      <c r="J123" s="11">
        <v>44551.059942129628</v>
      </c>
      <c r="K123" s="1" t="s">
        <v>1905</v>
      </c>
      <c r="L123" s="1">
        <f>0.156</f>
        <v>0.156</v>
      </c>
      <c r="M123" s="1" t="b">
        <f>0=392</f>
        <v>0</v>
      </c>
      <c r="N123">
        <v>9</v>
      </c>
      <c r="O123" s="1" t="s">
        <v>13441</v>
      </c>
      <c r="P123">
        <v>1</v>
      </c>
      <c r="Q123" s="1" t="b">
        <f>0=539</f>
        <v>0</v>
      </c>
      <c r="R123" s="1">
        <f>0.977</f>
        <v>0.97699999999999998</v>
      </c>
      <c r="S123" s="1" t="b">
        <f>0=195</f>
        <v>0</v>
      </c>
      <c r="T123" s="1">
        <f>0.137</f>
        <v>0.13700000000000001</v>
      </c>
      <c r="U123" s="1" t="b">
        <f>0=339</f>
        <v>0</v>
      </c>
      <c r="V123" s="1">
        <v>59.725999999999999</v>
      </c>
      <c r="W123">
        <v>4</v>
      </c>
    </row>
    <row r="124" spans="1:23" x14ac:dyDescent="0.25">
      <c r="A124" s="1" t="s">
        <v>13366</v>
      </c>
      <c r="B124" s="1" t="s">
        <v>13367</v>
      </c>
      <c r="C124" s="1" t="s">
        <v>1906</v>
      </c>
      <c r="D124" s="1" t="s">
        <v>13368</v>
      </c>
      <c r="E124" s="1" t="s">
        <v>1907</v>
      </c>
      <c r="F124" s="1" t="s">
        <v>11423</v>
      </c>
      <c r="G124">
        <v>196180</v>
      </c>
      <c r="H124">
        <v>28</v>
      </c>
      <c r="I124" s="1" t="s">
        <v>11063</v>
      </c>
      <c r="J124" s="11">
        <v>44551.059965277775</v>
      </c>
      <c r="K124" s="1" t="s">
        <v>1908</v>
      </c>
      <c r="L124" s="1" t="b">
        <f>0.3=7</f>
        <v>0</v>
      </c>
      <c r="M124" s="1">
        <f>0.24</f>
        <v>0.24</v>
      </c>
      <c r="N124">
        <v>2</v>
      </c>
      <c r="O124" s="1">
        <v>-14.459</v>
      </c>
      <c r="P124">
        <v>1</v>
      </c>
      <c r="Q124" s="1" t="b">
        <f>0=499</f>
        <v>0</v>
      </c>
      <c r="R124" s="1">
        <f>0.95</f>
        <v>0.95</v>
      </c>
      <c r="S124" s="1">
        <f>0.211</f>
        <v>0.21099999999999999</v>
      </c>
      <c r="T124" s="1" t="b">
        <f>0=992</f>
        <v>0</v>
      </c>
      <c r="U124" s="1">
        <f>0.164</f>
        <v>0.16400000000000001</v>
      </c>
      <c r="V124" s="1" t="s">
        <v>13442</v>
      </c>
      <c r="W124">
        <v>4</v>
      </c>
    </row>
    <row r="125" spans="1:23" x14ac:dyDescent="0.25">
      <c r="A125" s="1" t="s">
        <v>13369</v>
      </c>
      <c r="B125" s="1" t="s">
        <v>13370</v>
      </c>
      <c r="C125" s="1" t="s">
        <v>1909</v>
      </c>
      <c r="D125" s="1" t="s">
        <v>13371</v>
      </c>
      <c r="E125" s="1" t="s">
        <v>1910</v>
      </c>
      <c r="F125" s="1" t="s">
        <v>13372</v>
      </c>
      <c r="G125">
        <v>140733</v>
      </c>
      <c r="H125">
        <v>72</v>
      </c>
      <c r="I125" s="1" t="s">
        <v>11063</v>
      </c>
      <c r="J125" s="11">
        <v>44643.970601851855</v>
      </c>
      <c r="K125" s="1" t="s">
        <v>1685</v>
      </c>
      <c r="L125" s="1">
        <f>0.483</f>
        <v>0.48299999999999998</v>
      </c>
      <c r="M125" s="1">
        <f>0.192</f>
        <v>0.192</v>
      </c>
      <c r="N125">
        <v>4</v>
      </c>
      <c r="O125" s="1">
        <v>-15.378</v>
      </c>
      <c r="P125">
        <f>0</f>
        <v>0</v>
      </c>
      <c r="Q125" s="1" t="b">
        <f>0=469</f>
        <v>0</v>
      </c>
      <c r="R125" s="1">
        <f>0.991</f>
        <v>0.99099999999999999</v>
      </c>
      <c r="S125" s="1" t="b">
        <f>0.9=8</f>
        <v>0</v>
      </c>
      <c r="T125" s="1" t="b">
        <f>0.1=6</f>
        <v>0</v>
      </c>
      <c r="U125" s="1" t="b">
        <f>0=542</f>
        <v>0</v>
      </c>
      <c r="V125" s="1" t="s">
        <v>13443</v>
      </c>
      <c r="W125">
        <v>4</v>
      </c>
    </row>
    <row r="126" spans="1:23" x14ac:dyDescent="0.25">
      <c r="A126" s="1" t="s">
        <v>13373</v>
      </c>
      <c r="B126" s="1" t="s">
        <v>13370</v>
      </c>
      <c r="C126" s="1" t="s">
        <v>1911</v>
      </c>
      <c r="D126" s="1" t="s">
        <v>13371</v>
      </c>
      <c r="E126" s="1" t="s">
        <v>1910</v>
      </c>
      <c r="F126" s="1" t="s">
        <v>13372</v>
      </c>
      <c r="G126">
        <v>158666</v>
      </c>
      <c r="H126">
        <v>63</v>
      </c>
      <c r="I126" s="1" t="s">
        <v>11063</v>
      </c>
      <c r="J126" s="11">
        <v>44643.970682870371</v>
      </c>
      <c r="K126" s="1" t="s">
        <v>1685</v>
      </c>
      <c r="L126" s="1">
        <f>0.194</f>
        <v>0.19400000000000001</v>
      </c>
      <c r="M126" s="1">
        <f>0.179</f>
        <v>0.17899999999999999</v>
      </c>
      <c r="N126">
        <v>9</v>
      </c>
      <c r="O126" s="1">
        <v>-16.834</v>
      </c>
      <c r="P126">
        <f>0</f>
        <v>0</v>
      </c>
      <c r="Q126" s="1" t="b">
        <f>0=422</f>
        <v>0</v>
      </c>
      <c r="R126" s="1">
        <f>0.988</f>
        <v>0.98799999999999999</v>
      </c>
      <c r="S126" s="1">
        <f>0.866</f>
        <v>0.86599999999999999</v>
      </c>
      <c r="T126" s="1" t="b">
        <f>0=819</f>
        <v>0</v>
      </c>
      <c r="U126" s="1">
        <f>0.179</f>
        <v>0.17899999999999999</v>
      </c>
      <c r="V126" s="1">
        <v>177.69399999999999</v>
      </c>
      <c r="W126">
        <v>3</v>
      </c>
    </row>
    <row r="127" spans="1:23" x14ac:dyDescent="0.25">
      <c r="A127" s="1" t="s">
        <v>13374</v>
      </c>
      <c r="B127" s="1" t="s">
        <v>13375</v>
      </c>
      <c r="C127" s="1" t="s">
        <v>1912</v>
      </c>
      <c r="D127" s="1" t="s">
        <v>1912</v>
      </c>
      <c r="E127" s="1" t="s">
        <v>1913</v>
      </c>
      <c r="F127" s="1" t="s">
        <v>13376</v>
      </c>
      <c r="G127">
        <v>186528</v>
      </c>
      <c r="H127">
        <v>27</v>
      </c>
      <c r="I127" s="1" t="s">
        <v>11063</v>
      </c>
      <c r="J127" s="11">
        <v>44687.027731481481</v>
      </c>
      <c r="K127" s="1" t="s">
        <v>50</v>
      </c>
      <c r="L127" s="1">
        <f>0.623</f>
        <v>0.623</v>
      </c>
      <c r="M127" s="1">
        <f>0.419</f>
        <v>0.41899999999999998</v>
      </c>
      <c r="N127">
        <v>6</v>
      </c>
      <c r="O127" s="1">
        <v>-14.436</v>
      </c>
      <c r="P127">
        <f>0</f>
        <v>0</v>
      </c>
      <c r="Q127" s="1" t="b">
        <f>0=598</f>
        <v>0</v>
      </c>
      <c r="R127" s="1">
        <f>0.928</f>
        <v>0.92800000000000005</v>
      </c>
      <c r="S127" s="1">
        <f>0.897</f>
        <v>0.89700000000000002</v>
      </c>
      <c r="T127" s="1">
        <f>0.272</f>
        <v>0.27200000000000002</v>
      </c>
      <c r="U127" s="1">
        <f>0.519</f>
        <v>0.51900000000000002</v>
      </c>
      <c r="V127" s="1">
        <v>138.98400000000001</v>
      </c>
      <c r="W127">
        <v>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17729-5DD5-4922-BB4C-29BC8D21DD3C}">
  <sheetPr codeName="Sheet35"/>
  <dimension ref="A1:W3614"/>
  <sheetViews>
    <sheetView topLeftCell="J1" workbookViewId="0">
      <selection activeCell="L1" sqref="L1:W1048576"/>
    </sheetView>
  </sheetViews>
  <sheetFormatPr defaultRowHeight="15" x14ac:dyDescent="0.25"/>
  <cols>
    <col min="1" max="1" width="30.140625" bestFit="1" customWidth="1"/>
    <col min="2" max="4" width="81.140625" bestFit="1" customWidth="1"/>
    <col min="5" max="5" width="67.85546875" bestFit="1" customWidth="1"/>
    <col min="6" max="6" width="14.85546875" bestFit="1" customWidth="1"/>
    <col min="7" max="7" width="15.5703125" bestFit="1" customWidth="1"/>
    <col min="8" max="8" width="12.42578125" bestFit="1" customWidth="1"/>
    <col min="9" max="9" width="39.42578125" bestFit="1" customWidth="1"/>
    <col min="10" max="10" width="15.85546875" bestFit="1" customWidth="1"/>
    <col min="11" max="11" width="81.140625" bestFit="1" customWidth="1"/>
    <col min="12" max="12" width="14.28515625" bestFit="1" customWidth="1"/>
    <col min="13" max="13" width="9.28515625" bestFit="1" customWidth="1"/>
    <col min="14" max="14" width="6.5703125" bestFit="1" customWidth="1"/>
    <col min="15" max="15" width="11.5703125" bestFit="1" customWidth="1"/>
    <col min="16" max="16" width="8.5703125" bestFit="1" customWidth="1"/>
    <col min="17" max="17" width="14.28515625" bestFit="1" customWidth="1"/>
    <col min="18" max="18" width="14.7109375" bestFit="1" customWidth="1"/>
    <col min="19" max="19" width="18.85546875" bestFit="1" customWidth="1"/>
    <col min="20" max="20" width="10.85546875" bestFit="1" customWidth="1"/>
    <col min="21" max="21" width="10.42578125" bestFit="1" customWidth="1"/>
    <col min="22" max="22" width="9.42578125" bestFit="1" customWidth="1"/>
    <col min="23" max="23" width="16.7109375" bestFit="1" customWidth="1"/>
  </cols>
  <sheetData>
    <row r="1" spans="1:23" x14ac:dyDescent="0.25">
      <c r="A1" t="s">
        <v>11055</v>
      </c>
      <c r="B1" t="s">
        <v>11056</v>
      </c>
      <c r="C1" t="s">
        <v>0</v>
      </c>
      <c r="D1" t="s">
        <v>11057</v>
      </c>
      <c r="E1" t="s">
        <v>1</v>
      </c>
      <c r="F1" t="s">
        <v>11058</v>
      </c>
      <c r="G1" t="s">
        <v>2</v>
      </c>
      <c r="H1" t="s">
        <v>3</v>
      </c>
      <c r="I1" t="s">
        <v>11059</v>
      </c>
      <c r="J1" t="s">
        <v>11060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</row>
    <row r="2" spans="1:23" x14ac:dyDescent="0.25">
      <c r="A2" s="1" t="s">
        <v>13444</v>
      </c>
      <c r="B2" s="1" t="s">
        <v>13445</v>
      </c>
      <c r="C2" s="1" t="s">
        <v>1914</v>
      </c>
      <c r="D2" s="1" t="s">
        <v>1914</v>
      </c>
      <c r="E2" s="1" t="s">
        <v>1915</v>
      </c>
      <c r="F2" s="1" t="s">
        <v>13446</v>
      </c>
      <c r="G2">
        <v>171374</v>
      </c>
      <c r="H2">
        <v>78</v>
      </c>
      <c r="I2" s="1" t="s">
        <v>11063</v>
      </c>
      <c r="J2" s="11">
        <v>44729.706458333334</v>
      </c>
      <c r="K2" s="1" t="s">
        <v>1916</v>
      </c>
      <c r="L2" s="1">
        <v>0.76700000000000002</v>
      </c>
      <c r="M2" s="1">
        <v>0.48099999999999998</v>
      </c>
      <c r="N2">
        <v>0</v>
      </c>
      <c r="O2" s="1">
        <v>-8.52</v>
      </c>
      <c r="P2">
        <v>0</v>
      </c>
      <c r="Q2" s="1">
        <v>0.80300000000000005</v>
      </c>
      <c r="R2" s="1">
        <v>0.23400000000000001</v>
      </c>
      <c r="S2" s="1">
        <v>0</v>
      </c>
      <c r="T2" s="1">
        <v>0.26900000000000002</v>
      </c>
      <c r="U2" s="1">
        <v>0.76100000000000001</v>
      </c>
      <c r="V2" s="1">
        <v>150.07599999999999</v>
      </c>
      <c r="W2">
        <v>4</v>
      </c>
    </row>
    <row r="3" spans="1:23" x14ac:dyDescent="0.25">
      <c r="A3" s="1" t="s">
        <v>13447</v>
      </c>
      <c r="B3" s="1" t="s">
        <v>13448</v>
      </c>
      <c r="C3" s="1" t="s">
        <v>1917</v>
      </c>
      <c r="D3" s="1" t="s">
        <v>1917</v>
      </c>
      <c r="E3" s="1" t="s">
        <v>1918</v>
      </c>
      <c r="F3" s="1" t="s">
        <v>13449</v>
      </c>
      <c r="G3">
        <v>216408</v>
      </c>
      <c r="H3">
        <v>76</v>
      </c>
      <c r="I3" s="1" t="s">
        <v>11063</v>
      </c>
      <c r="J3" s="11">
        <v>44729.706458333334</v>
      </c>
      <c r="K3" s="1" t="s">
        <v>1919</v>
      </c>
      <c r="L3" s="1">
        <v>0.69599999999999995</v>
      </c>
      <c r="M3" s="1">
        <v>0.81699999999999995</v>
      </c>
      <c r="N3">
        <v>1</v>
      </c>
      <c r="O3" s="1">
        <v>-3.8620000000000001</v>
      </c>
      <c r="P3">
        <v>1</v>
      </c>
      <c r="Q3" s="1">
        <v>0.109</v>
      </c>
      <c r="R3" s="1">
        <v>0.75</v>
      </c>
      <c r="S3" s="1">
        <v>0</v>
      </c>
      <c r="T3" s="1">
        <v>0.187</v>
      </c>
      <c r="U3" s="1">
        <v>0.78200000000000003</v>
      </c>
      <c r="V3" s="1">
        <v>98.063999999999993</v>
      </c>
      <c r="W3">
        <v>4</v>
      </c>
    </row>
    <row r="4" spans="1:23" x14ac:dyDescent="0.25">
      <c r="A4" s="1" t="s">
        <v>13450</v>
      </c>
      <c r="B4" s="1" t="s">
        <v>13451</v>
      </c>
      <c r="C4" s="1" t="s">
        <v>1920</v>
      </c>
      <c r="D4" s="1" t="s">
        <v>13452</v>
      </c>
      <c r="E4" s="1" t="s">
        <v>1921</v>
      </c>
      <c r="F4" s="1" t="s">
        <v>13453</v>
      </c>
      <c r="G4">
        <v>239316</v>
      </c>
      <c r="H4">
        <v>82</v>
      </c>
      <c r="I4" s="1" t="s">
        <v>11063</v>
      </c>
      <c r="J4" s="11">
        <v>44729.706458333334</v>
      </c>
      <c r="K4" s="1" t="s">
        <v>1922</v>
      </c>
      <c r="L4" s="1">
        <v>0.67700000000000005</v>
      </c>
      <c r="M4" s="1">
        <v>0.48499999999999999</v>
      </c>
      <c r="N4">
        <v>5</v>
      </c>
      <c r="O4" s="1">
        <v>-5.7949999999999999</v>
      </c>
      <c r="P4">
        <v>1</v>
      </c>
      <c r="Q4" s="1">
        <v>0.36099999999999999</v>
      </c>
      <c r="R4" s="1">
        <v>0.52900000000000003</v>
      </c>
      <c r="S4" s="1">
        <v>0.20399999999999999</v>
      </c>
      <c r="T4" s="1">
        <v>0.76600000000000001</v>
      </c>
      <c r="U4" s="1">
        <v>0.49299999999999999</v>
      </c>
      <c r="V4" s="1">
        <v>82.001000000000005</v>
      </c>
      <c r="W4">
        <v>4</v>
      </c>
    </row>
    <row r="5" spans="1:23" x14ac:dyDescent="0.25">
      <c r="A5" s="1" t="s">
        <v>13454</v>
      </c>
      <c r="B5" s="1" t="s">
        <v>13451</v>
      </c>
      <c r="C5" s="1" t="s">
        <v>1923</v>
      </c>
      <c r="D5" s="1" t="s">
        <v>13452</v>
      </c>
      <c r="E5" s="1" t="s">
        <v>1921</v>
      </c>
      <c r="F5" s="1" t="s">
        <v>13453</v>
      </c>
      <c r="G5">
        <v>172723</v>
      </c>
      <c r="H5">
        <v>81</v>
      </c>
      <c r="I5" s="1" t="s">
        <v>11063</v>
      </c>
      <c r="J5" s="11">
        <v>44729.706458333334</v>
      </c>
      <c r="K5" s="1" t="s">
        <v>1922</v>
      </c>
      <c r="L5" s="1">
        <v>0.41799999999999998</v>
      </c>
      <c r="M5" s="1">
        <v>0.42</v>
      </c>
      <c r="N5">
        <v>0</v>
      </c>
      <c r="O5" s="1">
        <v>-6.444</v>
      </c>
      <c r="P5">
        <v>1</v>
      </c>
      <c r="Q5" s="1">
        <v>0.41399999999999998</v>
      </c>
      <c r="R5" s="1">
        <v>0.58799999999999997</v>
      </c>
      <c r="S5" s="1">
        <v>0.63900000000000001</v>
      </c>
      <c r="T5" s="1">
        <v>0.11</v>
      </c>
      <c r="U5" s="1">
        <v>0.184</v>
      </c>
      <c r="V5" s="1">
        <v>84.093999999999994</v>
      </c>
      <c r="W5">
        <v>4</v>
      </c>
    </row>
    <row r="6" spans="1:23" x14ac:dyDescent="0.25">
      <c r="A6" s="1" t="s">
        <v>11805</v>
      </c>
      <c r="B6" s="1" t="s">
        <v>11806</v>
      </c>
      <c r="C6" s="1" t="s">
        <v>488</v>
      </c>
      <c r="D6" s="1" t="s">
        <v>488</v>
      </c>
      <c r="E6" s="1" t="s">
        <v>489</v>
      </c>
      <c r="F6" s="1" t="s">
        <v>11807</v>
      </c>
      <c r="G6">
        <v>155588</v>
      </c>
      <c r="H6">
        <v>78</v>
      </c>
      <c r="I6" s="1" t="s">
        <v>11063</v>
      </c>
      <c r="J6" s="11">
        <v>44729.706458333334</v>
      </c>
      <c r="K6" s="1" t="s">
        <v>490</v>
      </c>
      <c r="L6" s="1">
        <v>0.91200000000000003</v>
      </c>
      <c r="M6" s="1">
        <v>0.77400000000000002</v>
      </c>
      <c r="N6">
        <v>0</v>
      </c>
      <c r="O6" s="1">
        <v>-4.673</v>
      </c>
      <c r="P6">
        <v>0</v>
      </c>
      <c r="Q6" s="1">
        <v>0.45500000000000002</v>
      </c>
      <c r="R6" s="1">
        <v>0.121</v>
      </c>
      <c r="S6" s="1">
        <v>0.127</v>
      </c>
      <c r="T6" s="1">
        <v>0.10100000000000001</v>
      </c>
      <c r="U6" s="1">
        <v>0.63200000000000001</v>
      </c>
      <c r="V6" s="1">
        <v>119.96599999999999</v>
      </c>
      <c r="W6">
        <v>4</v>
      </c>
    </row>
    <row r="7" spans="1:23" x14ac:dyDescent="0.25">
      <c r="A7" s="1" t="s">
        <v>13455</v>
      </c>
      <c r="B7" s="1" t="s">
        <v>13456</v>
      </c>
      <c r="C7" s="1" t="s">
        <v>1924</v>
      </c>
      <c r="D7" s="1" t="s">
        <v>1924</v>
      </c>
      <c r="E7" s="1" t="s">
        <v>1925</v>
      </c>
      <c r="F7" s="1" t="s">
        <v>13457</v>
      </c>
      <c r="G7">
        <v>202125</v>
      </c>
      <c r="H7">
        <v>29</v>
      </c>
      <c r="I7" s="1" t="s">
        <v>11063</v>
      </c>
      <c r="J7" s="11">
        <v>44729.706458333334</v>
      </c>
      <c r="K7" s="1" t="s">
        <v>50</v>
      </c>
      <c r="L7" s="1">
        <v>0.36599999999999999</v>
      </c>
      <c r="M7" s="1">
        <v>0.71799999999999997</v>
      </c>
      <c r="N7">
        <v>7</v>
      </c>
      <c r="O7" s="1">
        <v>-4.4960000000000004</v>
      </c>
      <c r="P7">
        <v>1</v>
      </c>
      <c r="Q7" s="1">
        <v>0.746</v>
      </c>
      <c r="R7" s="1">
        <v>0.124</v>
      </c>
      <c r="S7" s="1">
        <v>0</v>
      </c>
      <c r="T7" s="1">
        <v>0.16300000000000001</v>
      </c>
      <c r="U7" s="1">
        <v>0.56999999999999995</v>
      </c>
      <c r="V7" s="1">
        <v>200.11699999999999</v>
      </c>
      <c r="W7">
        <v>4</v>
      </c>
    </row>
    <row r="8" spans="1:23" x14ac:dyDescent="0.25">
      <c r="A8" s="1" t="s">
        <v>13458</v>
      </c>
      <c r="B8" s="1" t="s">
        <v>11732</v>
      </c>
      <c r="C8" s="1" t="s">
        <v>1926</v>
      </c>
      <c r="D8" s="1" t="s">
        <v>1926</v>
      </c>
      <c r="E8" s="1" t="s">
        <v>434</v>
      </c>
      <c r="F8" s="1" t="s">
        <v>13459</v>
      </c>
      <c r="G8">
        <v>152583</v>
      </c>
      <c r="H8">
        <v>50</v>
      </c>
      <c r="I8" s="1" t="s">
        <v>11063</v>
      </c>
      <c r="J8" s="11">
        <v>44729.706458333334</v>
      </c>
      <c r="K8" s="1" t="s">
        <v>435</v>
      </c>
      <c r="L8" s="1">
        <v>0.65500000000000003</v>
      </c>
      <c r="M8" s="1">
        <v>0.80400000000000005</v>
      </c>
      <c r="N8">
        <v>8</v>
      </c>
      <c r="O8" s="1">
        <v>-5.2880000000000003</v>
      </c>
      <c r="P8">
        <v>1</v>
      </c>
      <c r="Q8" s="1">
        <v>0.79800000000000004</v>
      </c>
      <c r="R8" s="1">
        <v>0.60499999999999998</v>
      </c>
      <c r="S8" s="1">
        <v>0.53500000000000003</v>
      </c>
      <c r="T8" s="1">
        <v>0.38100000000000001</v>
      </c>
      <c r="U8" s="1">
        <v>0.39900000000000002</v>
      </c>
      <c r="V8" s="1">
        <v>104.95</v>
      </c>
      <c r="W8">
        <v>4</v>
      </c>
    </row>
    <row r="9" spans="1:23" x14ac:dyDescent="0.25">
      <c r="A9" s="1" t="s">
        <v>13460</v>
      </c>
      <c r="B9" s="1" t="s">
        <v>13461</v>
      </c>
      <c r="C9" s="1" t="s">
        <v>1927</v>
      </c>
      <c r="D9" s="1" t="s">
        <v>1927</v>
      </c>
      <c r="E9" s="1" t="s">
        <v>1928</v>
      </c>
      <c r="F9" s="1" t="s">
        <v>11597</v>
      </c>
      <c r="G9">
        <v>194840</v>
      </c>
      <c r="H9">
        <v>74</v>
      </c>
      <c r="I9" s="1" t="s">
        <v>11063</v>
      </c>
      <c r="J9" s="11">
        <v>44729.706458333334</v>
      </c>
      <c r="K9" s="1" t="s">
        <v>1929</v>
      </c>
      <c r="L9" s="1">
        <v>0.77800000000000002</v>
      </c>
      <c r="M9" s="1">
        <v>0.46300000000000002</v>
      </c>
      <c r="N9">
        <v>11</v>
      </c>
      <c r="O9" s="1">
        <v>-7.6029999999999998</v>
      </c>
      <c r="P9">
        <v>1</v>
      </c>
      <c r="Q9" s="1">
        <v>0.38900000000000001</v>
      </c>
      <c r="R9" s="1">
        <v>0.54600000000000004</v>
      </c>
      <c r="S9" s="1">
        <v>0.28899999999999998</v>
      </c>
      <c r="T9" s="1">
        <v>0.73099999999999998</v>
      </c>
      <c r="U9" s="1">
        <v>0.496</v>
      </c>
      <c r="V9" s="1">
        <v>121.999</v>
      </c>
      <c r="W9">
        <v>4</v>
      </c>
    </row>
    <row r="10" spans="1:23" x14ac:dyDescent="0.25">
      <c r="A10" s="1" t="s">
        <v>13462</v>
      </c>
      <c r="B10" s="1" t="s">
        <v>13463</v>
      </c>
      <c r="C10" s="1" t="s">
        <v>1930</v>
      </c>
      <c r="D10" s="1" t="s">
        <v>13464</v>
      </c>
      <c r="E10" s="1" t="s">
        <v>1931</v>
      </c>
      <c r="F10" s="1" t="s">
        <v>13465</v>
      </c>
      <c r="G10">
        <v>166451</v>
      </c>
      <c r="H10">
        <v>74</v>
      </c>
      <c r="I10" s="1" t="s">
        <v>11063</v>
      </c>
      <c r="J10" s="11">
        <v>44729.706458333334</v>
      </c>
      <c r="K10" s="1" t="s">
        <v>1932</v>
      </c>
      <c r="L10" s="1">
        <v>0.79700000000000004</v>
      </c>
      <c r="M10" s="1">
        <v>0.86</v>
      </c>
      <c r="N10">
        <v>10</v>
      </c>
      <c r="O10" s="1">
        <v>-4.38</v>
      </c>
      <c r="P10">
        <v>0</v>
      </c>
      <c r="Q10" s="1">
        <v>0.41299999999999998</v>
      </c>
      <c r="R10" s="1">
        <v>0.312</v>
      </c>
      <c r="S10" s="1">
        <v>0.13700000000000001</v>
      </c>
      <c r="T10" s="1">
        <v>0.33400000000000002</v>
      </c>
      <c r="U10" s="1">
        <v>0.192</v>
      </c>
      <c r="V10" s="1">
        <v>124.033</v>
      </c>
      <c r="W10">
        <v>4</v>
      </c>
    </row>
    <row r="11" spans="1:23" x14ac:dyDescent="0.25">
      <c r="A11" s="1" t="s">
        <v>13466</v>
      </c>
      <c r="B11" s="1" t="s">
        <v>13467</v>
      </c>
      <c r="C11" s="1" t="s">
        <v>1933</v>
      </c>
      <c r="D11" s="1" t="s">
        <v>13468</v>
      </c>
      <c r="E11" s="1" t="s">
        <v>1934</v>
      </c>
      <c r="F11" s="1" t="s">
        <v>13469</v>
      </c>
      <c r="G11">
        <v>192468</v>
      </c>
      <c r="H11">
        <v>54</v>
      </c>
      <c r="I11" s="1" t="s">
        <v>11063</v>
      </c>
      <c r="J11" s="11">
        <v>44729.706458333334</v>
      </c>
      <c r="K11" s="1" t="s">
        <v>50</v>
      </c>
      <c r="L11" s="1">
        <v>0.79700000000000004</v>
      </c>
      <c r="M11" s="1">
        <v>0.65</v>
      </c>
      <c r="N11">
        <v>0</v>
      </c>
      <c r="O11" s="1">
        <v>-6.9829999999999997</v>
      </c>
      <c r="P11">
        <v>0</v>
      </c>
      <c r="Q11" s="1">
        <v>0.34499999999999997</v>
      </c>
      <c r="R11" s="1">
        <v>0.36899999999999999</v>
      </c>
      <c r="S11" s="1">
        <v>0.89200000000000002</v>
      </c>
      <c r="T11" s="1">
        <v>0.2</v>
      </c>
      <c r="U11" s="1">
        <v>0.95399999999999996</v>
      </c>
      <c r="V11" s="1">
        <v>102.414</v>
      </c>
      <c r="W11">
        <v>4</v>
      </c>
    </row>
    <row r="12" spans="1:23" x14ac:dyDescent="0.25">
      <c r="A12" s="1" t="s">
        <v>12603</v>
      </c>
      <c r="B12" s="1" t="s">
        <v>12604</v>
      </c>
      <c r="C12" s="1" t="s">
        <v>1662</v>
      </c>
      <c r="D12" s="1" t="s">
        <v>1662</v>
      </c>
      <c r="E12" s="1" t="s">
        <v>1663</v>
      </c>
      <c r="F12" s="1" t="s">
        <v>11234</v>
      </c>
      <c r="G12">
        <v>141001</v>
      </c>
      <c r="H12">
        <v>63</v>
      </c>
      <c r="I12" s="1" t="s">
        <v>11063</v>
      </c>
      <c r="J12" s="11">
        <v>44729.706458333334</v>
      </c>
      <c r="K12" s="1" t="s">
        <v>1664</v>
      </c>
      <c r="L12" s="1">
        <v>0.93700000000000006</v>
      </c>
      <c r="M12" s="1">
        <v>0.82299999999999995</v>
      </c>
      <c r="N12">
        <v>11</v>
      </c>
      <c r="O12" s="1">
        <v>-2.867</v>
      </c>
      <c r="P12">
        <v>1</v>
      </c>
      <c r="Q12" s="1">
        <v>0.95599999999999996</v>
      </c>
      <c r="R12" s="1">
        <v>0.13</v>
      </c>
      <c r="S12" s="1">
        <v>0.39700000000000002</v>
      </c>
      <c r="T12" s="1">
        <v>0.121</v>
      </c>
      <c r="U12" s="1">
        <v>0.61599999999999999</v>
      </c>
      <c r="V12" s="1">
        <v>126.063</v>
      </c>
      <c r="W12">
        <v>4</v>
      </c>
    </row>
    <row r="13" spans="1:23" x14ac:dyDescent="0.25">
      <c r="A13" s="1" t="s">
        <v>11808</v>
      </c>
      <c r="B13" s="1" t="s">
        <v>11809</v>
      </c>
      <c r="C13" s="1" t="s">
        <v>491</v>
      </c>
      <c r="D13" s="1" t="s">
        <v>491</v>
      </c>
      <c r="E13" s="1" t="s">
        <v>492</v>
      </c>
      <c r="F13" s="1" t="s">
        <v>11795</v>
      </c>
      <c r="G13">
        <v>171840</v>
      </c>
      <c r="H13">
        <v>67</v>
      </c>
      <c r="I13" s="1" t="s">
        <v>11063</v>
      </c>
      <c r="J13" s="11">
        <v>44729.706458333334</v>
      </c>
      <c r="K13" s="1" t="s">
        <v>493</v>
      </c>
      <c r="L13" s="1">
        <v>0.71299999999999997</v>
      </c>
      <c r="M13" s="1">
        <v>0.77200000000000002</v>
      </c>
      <c r="N13">
        <v>2</v>
      </c>
      <c r="O13" s="1">
        <v>-5.032</v>
      </c>
      <c r="P13">
        <v>1</v>
      </c>
      <c r="Q13" s="1">
        <v>0.313</v>
      </c>
      <c r="R13" s="1">
        <v>0.157</v>
      </c>
      <c r="S13" s="1">
        <v>0</v>
      </c>
      <c r="T13" s="1">
        <v>0.153</v>
      </c>
      <c r="U13" s="1">
        <v>0.52300000000000002</v>
      </c>
      <c r="V13" s="1">
        <v>125.001</v>
      </c>
      <c r="W13">
        <v>4</v>
      </c>
    </row>
    <row r="14" spans="1:23" x14ac:dyDescent="0.25">
      <c r="A14" s="1" t="s">
        <v>11803</v>
      </c>
      <c r="B14" s="1" t="s">
        <v>11804</v>
      </c>
      <c r="C14" s="1" t="s">
        <v>486</v>
      </c>
      <c r="D14" s="1" t="s">
        <v>486</v>
      </c>
      <c r="E14" s="1" t="s">
        <v>487</v>
      </c>
      <c r="F14" s="1" t="s">
        <v>11449</v>
      </c>
      <c r="G14">
        <v>130412</v>
      </c>
      <c r="H14">
        <v>48</v>
      </c>
      <c r="I14" s="1" t="s">
        <v>11063</v>
      </c>
      <c r="J14" s="11">
        <v>44729.706458333334</v>
      </c>
      <c r="K14" s="1" t="s">
        <v>405</v>
      </c>
      <c r="L14" s="1">
        <v>0.73099999999999998</v>
      </c>
      <c r="M14" s="1">
        <v>0.90400000000000003</v>
      </c>
      <c r="N14">
        <v>10</v>
      </c>
      <c r="O14" s="1">
        <v>-4.774</v>
      </c>
      <c r="P14">
        <v>0</v>
      </c>
      <c r="Q14" s="1">
        <v>0.34899999999999998</v>
      </c>
      <c r="R14" s="1">
        <v>0.86099999999999999</v>
      </c>
      <c r="S14" s="1">
        <v>0.16400000000000001</v>
      </c>
      <c r="T14" s="1">
        <v>0.91600000000000004</v>
      </c>
      <c r="U14" s="1">
        <v>0.32800000000000001</v>
      </c>
      <c r="V14" s="1">
        <v>121.03</v>
      </c>
      <c r="W14">
        <v>4</v>
      </c>
    </row>
    <row r="15" spans="1:23" x14ac:dyDescent="0.25">
      <c r="A15" s="1" t="s">
        <v>12552</v>
      </c>
      <c r="B15" s="1" t="s">
        <v>12553</v>
      </c>
      <c r="C15" s="1" t="s">
        <v>1517</v>
      </c>
      <c r="D15" s="1" t="s">
        <v>1517</v>
      </c>
      <c r="E15" s="1" t="s">
        <v>1518</v>
      </c>
      <c r="F15" s="1" t="s">
        <v>13470</v>
      </c>
      <c r="G15">
        <v>155253</v>
      </c>
      <c r="H15">
        <v>82</v>
      </c>
      <c r="I15" s="1" t="s">
        <v>11063</v>
      </c>
      <c r="J15" s="11">
        <v>44729.706458333334</v>
      </c>
      <c r="K15" s="1" t="s">
        <v>1519</v>
      </c>
      <c r="L15" s="1">
        <v>0.621</v>
      </c>
      <c r="M15" s="1">
        <v>0.78500000000000003</v>
      </c>
      <c r="N15">
        <v>6</v>
      </c>
      <c r="O15" s="1">
        <v>-4.4989999999999997</v>
      </c>
      <c r="P15">
        <v>1</v>
      </c>
      <c r="Q15" s="1">
        <v>0.11</v>
      </c>
      <c r="R15" s="1">
        <v>0.16500000000000001</v>
      </c>
      <c r="S15" s="1">
        <v>0.59199999999999997</v>
      </c>
      <c r="T15" s="1">
        <v>0.51200000000000001</v>
      </c>
      <c r="U15" s="1">
        <v>0.77900000000000003</v>
      </c>
      <c r="V15" s="1">
        <v>123.96</v>
      </c>
      <c r="W15">
        <v>4</v>
      </c>
    </row>
    <row r="16" spans="1:23" x14ac:dyDescent="0.25">
      <c r="A16" s="1" t="s">
        <v>11810</v>
      </c>
      <c r="B16" s="1" t="s">
        <v>11811</v>
      </c>
      <c r="C16" s="1" t="s">
        <v>494</v>
      </c>
      <c r="D16" s="1" t="s">
        <v>494</v>
      </c>
      <c r="E16" s="1" t="s">
        <v>495</v>
      </c>
      <c r="F16" s="1" t="s">
        <v>11812</v>
      </c>
      <c r="G16">
        <v>185661</v>
      </c>
      <c r="H16">
        <v>54</v>
      </c>
      <c r="I16" s="1" t="s">
        <v>11063</v>
      </c>
      <c r="J16" s="11">
        <v>44729.706458333334</v>
      </c>
      <c r="K16" s="1" t="s">
        <v>496</v>
      </c>
      <c r="L16" s="1">
        <v>0.84399999999999997</v>
      </c>
      <c r="M16" s="1">
        <v>0.68799999999999994</v>
      </c>
      <c r="N16">
        <v>1</v>
      </c>
      <c r="O16" s="1">
        <v>-7.8789999999999996</v>
      </c>
      <c r="P16">
        <v>0</v>
      </c>
      <c r="Q16" s="1">
        <v>0.49</v>
      </c>
      <c r="R16" s="1">
        <v>0.129</v>
      </c>
      <c r="S16" s="1">
        <v>0.53900000000000003</v>
      </c>
      <c r="T16" s="1">
        <v>0.49199999999999999</v>
      </c>
      <c r="U16" s="1">
        <v>0.69499999999999995</v>
      </c>
      <c r="V16" s="1">
        <v>124.992</v>
      </c>
      <c r="W16">
        <v>4</v>
      </c>
    </row>
    <row r="17" spans="1:23" x14ac:dyDescent="0.25">
      <c r="A17" s="1" t="s">
        <v>11796</v>
      </c>
      <c r="B17" s="1" t="s">
        <v>11797</v>
      </c>
      <c r="C17" s="1" t="s">
        <v>481</v>
      </c>
      <c r="D17" s="1" t="s">
        <v>482</v>
      </c>
      <c r="E17" s="1" t="s">
        <v>482</v>
      </c>
      <c r="F17" s="1" t="s">
        <v>11798</v>
      </c>
      <c r="G17">
        <v>219146</v>
      </c>
      <c r="H17">
        <v>81</v>
      </c>
      <c r="I17" s="1" t="s">
        <v>11063</v>
      </c>
      <c r="J17" s="11">
        <v>44729.706458333334</v>
      </c>
      <c r="K17" s="1" t="s">
        <v>235</v>
      </c>
      <c r="L17" s="1">
        <v>0.77400000000000002</v>
      </c>
      <c r="M17" s="1">
        <v>0.753</v>
      </c>
      <c r="N17">
        <v>4</v>
      </c>
      <c r="O17" s="1">
        <v>-5.4459999999999997</v>
      </c>
      <c r="P17">
        <v>0</v>
      </c>
      <c r="Q17" s="1">
        <v>0.51700000000000002</v>
      </c>
      <c r="R17" s="1">
        <v>0.152</v>
      </c>
      <c r="S17" s="1">
        <v>0</v>
      </c>
      <c r="T17" s="1">
        <v>0.371</v>
      </c>
      <c r="U17" s="1">
        <v>0.89600000000000002</v>
      </c>
      <c r="V17" s="1">
        <v>119.002</v>
      </c>
      <c r="W17">
        <v>4</v>
      </c>
    </row>
    <row r="18" spans="1:23" x14ac:dyDescent="0.25">
      <c r="A18" s="1" t="s">
        <v>11792</v>
      </c>
      <c r="B18" s="1" t="s">
        <v>11793</v>
      </c>
      <c r="C18" s="1" t="s">
        <v>1935</v>
      </c>
      <c r="D18" s="1" t="s">
        <v>11794</v>
      </c>
      <c r="E18" s="1" t="s">
        <v>479</v>
      </c>
      <c r="F18" s="1" t="s">
        <v>11795</v>
      </c>
      <c r="G18">
        <v>128371</v>
      </c>
      <c r="H18">
        <v>71</v>
      </c>
      <c r="I18" s="1" t="s">
        <v>11063</v>
      </c>
      <c r="J18" s="11">
        <v>44729.706458333334</v>
      </c>
      <c r="K18" s="1" t="s">
        <v>480</v>
      </c>
      <c r="L18" s="1">
        <v>0.53</v>
      </c>
      <c r="M18" s="1">
        <v>0.82</v>
      </c>
      <c r="N18">
        <v>4</v>
      </c>
      <c r="O18" s="1">
        <v>-4.9359999999999999</v>
      </c>
      <c r="P18">
        <v>0</v>
      </c>
      <c r="Q18" s="1">
        <v>0.438</v>
      </c>
      <c r="R18" s="1">
        <v>0.154</v>
      </c>
      <c r="S18" s="1">
        <v>0.27100000000000002</v>
      </c>
      <c r="T18" s="1">
        <v>0.14000000000000001</v>
      </c>
      <c r="U18" s="1">
        <v>0.35499999999999998</v>
      </c>
      <c r="V18" s="1">
        <v>171.93299999999999</v>
      </c>
      <c r="W18">
        <v>4</v>
      </c>
    </row>
    <row r="19" spans="1:23" x14ac:dyDescent="0.25">
      <c r="A19" s="1" t="s">
        <v>13471</v>
      </c>
      <c r="B19" s="1" t="s">
        <v>13472</v>
      </c>
      <c r="C19" s="1" t="s">
        <v>1936</v>
      </c>
      <c r="D19" s="1" t="s">
        <v>13473</v>
      </c>
      <c r="E19" s="1" t="s">
        <v>1937</v>
      </c>
      <c r="F19" s="1" t="s">
        <v>11445</v>
      </c>
      <c r="G19">
        <v>132780</v>
      </c>
      <c r="H19">
        <v>72</v>
      </c>
      <c r="I19" s="1" t="s">
        <v>11063</v>
      </c>
      <c r="J19" s="11">
        <v>44729.706458333334</v>
      </c>
      <c r="K19" s="1" t="s">
        <v>1081</v>
      </c>
      <c r="L19" s="1">
        <v>0.77800000000000002</v>
      </c>
      <c r="M19" s="1">
        <v>0.69499999999999995</v>
      </c>
      <c r="N19">
        <v>4</v>
      </c>
      <c r="O19" s="1">
        <v>-6.8650000000000002</v>
      </c>
      <c r="P19">
        <v>0</v>
      </c>
      <c r="Q19" s="1">
        <v>0.91300000000000003</v>
      </c>
      <c r="R19" s="1">
        <v>0.17499999999999999</v>
      </c>
      <c r="S19" s="1">
        <v>0</v>
      </c>
      <c r="T19" s="1">
        <v>0.15</v>
      </c>
      <c r="U19" s="1">
        <v>0.47199999999999998</v>
      </c>
      <c r="V19" s="1">
        <v>149.99600000000001</v>
      </c>
      <c r="W19">
        <v>4</v>
      </c>
    </row>
    <row r="20" spans="1:23" x14ac:dyDescent="0.25">
      <c r="A20" s="1" t="s">
        <v>13474</v>
      </c>
      <c r="B20" s="1" t="s">
        <v>13475</v>
      </c>
      <c r="C20" s="1" t="s">
        <v>1938</v>
      </c>
      <c r="D20" s="1" t="s">
        <v>13476</v>
      </c>
      <c r="E20" s="1" t="s">
        <v>1939</v>
      </c>
      <c r="F20" s="1" t="s">
        <v>11657</v>
      </c>
      <c r="G20">
        <v>171200</v>
      </c>
      <c r="H20">
        <v>31</v>
      </c>
      <c r="I20" s="1" t="s">
        <v>11063</v>
      </c>
      <c r="J20" s="11">
        <v>44729.706458333334</v>
      </c>
      <c r="K20" s="1" t="s">
        <v>1940</v>
      </c>
      <c r="L20" s="1">
        <v>0.43099999999999999</v>
      </c>
      <c r="M20" s="1">
        <v>0.60899999999999999</v>
      </c>
      <c r="N20">
        <v>6</v>
      </c>
      <c r="O20" s="1">
        <v>-6.6210000000000004</v>
      </c>
      <c r="P20">
        <v>1</v>
      </c>
      <c r="Q20" s="1">
        <v>0.38</v>
      </c>
      <c r="R20" s="1">
        <v>0.10199999999999999</v>
      </c>
      <c r="S20" s="1">
        <v>0</v>
      </c>
      <c r="T20" s="1">
        <v>0.13</v>
      </c>
      <c r="U20" s="1">
        <v>0.44600000000000001</v>
      </c>
      <c r="V20" s="1">
        <v>75.146000000000001</v>
      </c>
      <c r="W20">
        <v>4</v>
      </c>
    </row>
    <row r="21" spans="1:23" x14ac:dyDescent="0.25">
      <c r="A21" s="1" t="s">
        <v>13477</v>
      </c>
      <c r="B21" s="1" t="s">
        <v>13478</v>
      </c>
      <c r="C21" s="1" t="s">
        <v>1941</v>
      </c>
      <c r="D21" s="1" t="s">
        <v>1941</v>
      </c>
      <c r="E21" s="1" t="s">
        <v>1942</v>
      </c>
      <c r="F21" s="1" t="s">
        <v>13479</v>
      </c>
      <c r="G21">
        <v>229047</v>
      </c>
      <c r="H21">
        <v>38</v>
      </c>
      <c r="I21" s="1" t="s">
        <v>11063</v>
      </c>
      <c r="J21" s="11">
        <v>44729.706458333334</v>
      </c>
      <c r="K21" s="1" t="s">
        <v>1943</v>
      </c>
      <c r="L21" s="1">
        <v>0.68600000000000005</v>
      </c>
      <c r="M21" s="1">
        <v>0.876</v>
      </c>
      <c r="N21">
        <v>2</v>
      </c>
      <c r="O21" s="1">
        <v>-5.9870000000000001</v>
      </c>
      <c r="P21">
        <v>1</v>
      </c>
      <c r="Q21" s="1">
        <v>0.39500000000000002</v>
      </c>
      <c r="R21" s="1">
        <v>0.504</v>
      </c>
      <c r="S21" s="1">
        <v>0</v>
      </c>
      <c r="T21" s="1">
        <v>0.32100000000000001</v>
      </c>
      <c r="U21" s="1">
        <v>0.14299999999999999</v>
      </c>
      <c r="V21" s="1">
        <v>126.012</v>
      </c>
      <c r="W21">
        <v>4</v>
      </c>
    </row>
    <row r="22" spans="1:23" x14ac:dyDescent="0.25">
      <c r="A22" s="1" t="s">
        <v>13480</v>
      </c>
      <c r="B22" s="1" t="s">
        <v>13481</v>
      </c>
      <c r="C22" s="1" t="s">
        <v>1944</v>
      </c>
      <c r="D22" s="1" t="s">
        <v>1944</v>
      </c>
      <c r="E22" s="1" t="s">
        <v>1945</v>
      </c>
      <c r="F22" s="1" t="s">
        <v>11807</v>
      </c>
      <c r="G22">
        <v>207270</v>
      </c>
      <c r="H22">
        <v>56</v>
      </c>
      <c r="I22" s="1" t="s">
        <v>11063</v>
      </c>
      <c r="J22" s="11">
        <v>44729.706458333334</v>
      </c>
      <c r="K22" s="1" t="s">
        <v>1946</v>
      </c>
      <c r="L22" s="1">
        <v>0.58599999999999997</v>
      </c>
      <c r="M22" s="1">
        <v>0.745</v>
      </c>
      <c r="N22">
        <v>7</v>
      </c>
      <c r="O22" s="1">
        <v>-5.0940000000000003</v>
      </c>
      <c r="P22">
        <v>0</v>
      </c>
      <c r="Q22" s="1">
        <v>0.29299999999999998</v>
      </c>
      <c r="R22" s="1">
        <v>0.111</v>
      </c>
      <c r="S22" s="1">
        <v>0</v>
      </c>
      <c r="T22" s="1">
        <v>0.22600000000000001</v>
      </c>
      <c r="U22" s="1">
        <v>0.22600000000000001</v>
      </c>
      <c r="V22" s="1">
        <v>131.91</v>
      </c>
      <c r="W22">
        <v>4</v>
      </c>
    </row>
    <row r="23" spans="1:23" x14ac:dyDescent="0.25">
      <c r="A23" s="1" t="s">
        <v>13482</v>
      </c>
      <c r="B23" s="1" t="s">
        <v>13483</v>
      </c>
      <c r="C23" s="1" t="s">
        <v>1947</v>
      </c>
      <c r="D23" s="1" t="s">
        <v>1947</v>
      </c>
      <c r="E23" s="1" t="s">
        <v>1948</v>
      </c>
      <c r="F23" s="1" t="s">
        <v>11807</v>
      </c>
      <c r="G23">
        <v>270000</v>
      </c>
      <c r="H23">
        <v>43</v>
      </c>
      <c r="I23" s="1" t="s">
        <v>11063</v>
      </c>
      <c r="J23" s="11">
        <v>44729.706458333334</v>
      </c>
      <c r="K23" s="1" t="s">
        <v>1949</v>
      </c>
      <c r="L23" s="1">
        <v>0.58899999999999997</v>
      </c>
      <c r="M23" s="1">
        <v>0.746</v>
      </c>
      <c r="N23">
        <v>5</v>
      </c>
      <c r="O23" s="1">
        <v>-5.3819999999999997</v>
      </c>
      <c r="P23">
        <v>0</v>
      </c>
      <c r="Q23" s="1">
        <v>0.33100000000000002</v>
      </c>
      <c r="R23" s="1">
        <v>0.156</v>
      </c>
      <c r="S23" s="1">
        <v>0.79900000000000004</v>
      </c>
      <c r="T23" s="1">
        <v>0.13300000000000001</v>
      </c>
      <c r="U23" s="1">
        <v>0.73599999999999999</v>
      </c>
      <c r="V23" s="1">
        <v>119.985</v>
      </c>
      <c r="W23">
        <v>4</v>
      </c>
    </row>
    <row r="24" spans="1:23" x14ac:dyDescent="0.25">
      <c r="A24" s="1" t="s">
        <v>13484</v>
      </c>
      <c r="B24" s="1" t="s">
        <v>13485</v>
      </c>
      <c r="C24" s="1" t="s">
        <v>1950</v>
      </c>
      <c r="D24" s="1" t="s">
        <v>1950</v>
      </c>
      <c r="E24" s="1" t="s">
        <v>1951</v>
      </c>
      <c r="F24" s="1" t="s">
        <v>13470</v>
      </c>
      <c r="G24">
        <v>177667</v>
      </c>
      <c r="H24">
        <v>67</v>
      </c>
      <c r="I24" s="1" t="s">
        <v>11063</v>
      </c>
      <c r="J24" s="11">
        <v>44729.706458333334</v>
      </c>
      <c r="K24" s="1" t="s">
        <v>1952</v>
      </c>
      <c r="L24" s="1">
        <v>0.55200000000000005</v>
      </c>
      <c r="M24" s="1">
        <v>0.71099999999999997</v>
      </c>
      <c r="N24">
        <v>11</v>
      </c>
      <c r="O24" s="1">
        <v>-4.8390000000000004</v>
      </c>
      <c r="P24">
        <v>0</v>
      </c>
      <c r="Q24" s="1">
        <v>0.64600000000000002</v>
      </c>
      <c r="R24" s="1">
        <v>0.45500000000000002</v>
      </c>
      <c r="S24" s="1">
        <v>0</v>
      </c>
      <c r="T24" s="1">
        <v>0.371</v>
      </c>
      <c r="U24" s="1">
        <v>0.54</v>
      </c>
      <c r="V24" s="1">
        <v>164.07300000000001</v>
      </c>
      <c r="W24">
        <v>4</v>
      </c>
    </row>
    <row r="25" spans="1:23" x14ac:dyDescent="0.25">
      <c r="A25" s="1" t="s">
        <v>13486</v>
      </c>
      <c r="B25" s="1" t="s">
        <v>13487</v>
      </c>
      <c r="C25" s="1" t="s">
        <v>1953</v>
      </c>
      <c r="D25" s="1" t="s">
        <v>1953</v>
      </c>
      <c r="E25" s="1" t="s">
        <v>1954</v>
      </c>
      <c r="F25" s="1" t="s">
        <v>11807</v>
      </c>
      <c r="G25">
        <v>164865</v>
      </c>
      <c r="H25">
        <v>62</v>
      </c>
      <c r="I25" s="1" t="s">
        <v>11063</v>
      </c>
      <c r="J25" s="11">
        <v>44729.706458333334</v>
      </c>
      <c r="K25" s="1" t="s">
        <v>1955</v>
      </c>
      <c r="L25" s="1">
        <v>0.65</v>
      </c>
      <c r="M25" s="1">
        <v>0.55800000000000005</v>
      </c>
      <c r="N25">
        <v>0</v>
      </c>
      <c r="O25" s="1">
        <v>-7.1479999999999997</v>
      </c>
      <c r="P25">
        <v>0</v>
      </c>
      <c r="Q25" s="1">
        <v>0.191</v>
      </c>
      <c r="R25" s="1">
        <v>0.10199999999999999</v>
      </c>
      <c r="S25" s="1">
        <v>0</v>
      </c>
      <c r="T25" s="1">
        <v>0.193</v>
      </c>
      <c r="U25" s="1">
        <v>0.73399999999999999</v>
      </c>
      <c r="V25" s="1">
        <v>67.620999999999995</v>
      </c>
      <c r="W25">
        <v>4</v>
      </c>
    </row>
    <row r="26" spans="1:23" x14ac:dyDescent="0.25">
      <c r="A26" s="1" t="s">
        <v>13488</v>
      </c>
      <c r="B26" s="1" t="s">
        <v>13489</v>
      </c>
      <c r="C26" s="1" t="s">
        <v>1956</v>
      </c>
      <c r="D26" s="1" t="s">
        <v>13490</v>
      </c>
      <c r="E26" s="1" t="s">
        <v>1957</v>
      </c>
      <c r="F26" s="1" t="s">
        <v>11807</v>
      </c>
      <c r="G26">
        <v>179556</v>
      </c>
      <c r="H26">
        <v>54</v>
      </c>
      <c r="I26" s="1" t="s">
        <v>11063</v>
      </c>
      <c r="J26" s="11">
        <v>44729.706458333334</v>
      </c>
      <c r="K26" s="1" t="s">
        <v>1958</v>
      </c>
      <c r="L26" s="1">
        <v>0.53500000000000003</v>
      </c>
      <c r="M26" s="1">
        <v>0.92300000000000004</v>
      </c>
      <c r="N26">
        <v>5</v>
      </c>
      <c r="O26" s="1">
        <v>-5.8659999999999997</v>
      </c>
      <c r="P26">
        <v>0</v>
      </c>
      <c r="Q26" s="1">
        <v>0.32700000000000001</v>
      </c>
      <c r="R26" s="1">
        <v>0.26</v>
      </c>
      <c r="S26" s="1">
        <v>0.17199999999999999</v>
      </c>
      <c r="T26" s="1">
        <v>0.108</v>
      </c>
      <c r="U26" s="1">
        <v>0.35599999999999998</v>
      </c>
      <c r="V26" s="1">
        <v>135.03399999999999</v>
      </c>
      <c r="W26">
        <v>4</v>
      </c>
    </row>
    <row r="27" spans="1:23" x14ac:dyDescent="0.25">
      <c r="A27" s="1" t="s">
        <v>13491</v>
      </c>
      <c r="B27" s="1" t="s">
        <v>13492</v>
      </c>
      <c r="C27" s="1" t="s">
        <v>1959</v>
      </c>
      <c r="D27" s="1" t="s">
        <v>1959</v>
      </c>
      <c r="E27" s="1" t="s">
        <v>1960</v>
      </c>
      <c r="F27" s="1" t="s">
        <v>13493</v>
      </c>
      <c r="G27">
        <v>176058</v>
      </c>
      <c r="H27">
        <v>80</v>
      </c>
      <c r="I27" s="1" t="s">
        <v>11063</v>
      </c>
      <c r="J27" s="11">
        <v>44729.706458333334</v>
      </c>
      <c r="K27" s="1" t="s">
        <v>1961</v>
      </c>
      <c r="L27" s="1">
        <v>0.57599999999999996</v>
      </c>
      <c r="M27" s="1">
        <v>0.627</v>
      </c>
      <c r="N27">
        <v>3</v>
      </c>
      <c r="O27" s="1">
        <v>-4.649</v>
      </c>
      <c r="P27">
        <v>0</v>
      </c>
      <c r="Q27" s="1">
        <v>0.44900000000000001</v>
      </c>
      <c r="R27" s="1">
        <v>0.38500000000000001</v>
      </c>
      <c r="S27" s="1">
        <v>0</v>
      </c>
      <c r="T27" s="1">
        <v>0.18099999999999999</v>
      </c>
      <c r="U27" s="1">
        <v>0.311</v>
      </c>
      <c r="V27" s="1">
        <v>164.99799999999999</v>
      </c>
      <c r="W27">
        <v>4</v>
      </c>
    </row>
    <row r="28" spans="1:23" x14ac:dyDescent="0.25">
      <c r="A28" s="1" t="s">
        <v>13494</v>
      </c>
      <c r="B28" s="1" t="s">
        <v>13495</v>
      </c>
      <c r="C28" s="1" t="s">
        <v>1962</v>
      </c>
      <c r="D28" s="1" t="s">
        <v>1962</v>
      </c>
      <c r="E28" s="1" t="s">
        <v>1963</v>
      </c>
      <c r="F28" s="1" t="s">
        <v>13496</v>
      </c>
      <c r="G28">
        <v>215039</v>
      </c>
      <c r="H28">
        <v>64</v>
      </c>
      <c r="I28" s="1" t="s">
        <v>11063</v>
      </c>
      <c r="J28" s="11">
        <v>44729.706458333334</v>
      </c>
      <c r="K28" s="1" t="s">
        <v>1964</v>
      </c>
      <c r="L28" s="1">
        <v>0.61499999999999999</v>
      </c>
      <c r="M28" s="1">
        <v>0.88600000000000001</v>
      </c>
      <c r="N28">
        <v>6</v>
      </c>
      <c r="O28" s="1">
        <v>-5.4429999999999996</v>
      </c>
      <c r="P28">
        <v>0</v>
      </c>
      <c r="Q28" s="1">
        <v>0.42</v>
      </c>
      <c r="R28" s="1">
        <v>0.17</v>
      </c>
      <c r="S28" s="1">
        <v>0.48199999999999998</v>
      </c>
      <c r="T28" s="1">
        <v>0.13</v>
      </c>
      <c r="U28" s="1">
        <v>0.71499999999999997</v>
      </c>
      <c r="V28" s="1">
        <v>124.983</v>
      </c>
      <c r="W28">
        <v>4</v>
      </c>
    </row>
    <row r="29" spans="1:23" x14ac:dyDescent="0.25">
      <c r="A29" s="1" t="s">
        <v>13497</v>
      </c>
      <c r="B29" s="1" t="s">
        <v>13498</v>
      </c>
      <c r="C29" s="1" t="s">
        <v>1965</v>
      </c>
      <c r="D29" s="1" t="s">
        <v>13499</v>
      </c>
      <c r="E29" s="1" t="s">
        <v>1966</v>
      </c>
      <c r="F29" s="1" t="s">
        <v>13479</v>
      </c>
      <c r="G29">
        <v>156610</v>
      </c>
      <c r="H29">
        <v>60</v>
      </c>
      <c r="I29" s="1" t="s">
        <v>11063</v>
      </c>
      <c r="J29" s="11">
        <v>44729.706458333334</v>
      </c>
      <c r="K29" s="1" t="s">
        <v>1967</v>
      </c>
      <c r="L29" s="1">
        <v>0.66600000000000004</v>
      </c>
      <c r="M29" s="1">
        <v>0.85499999999999998</v>
      </c>
      <c r="N29">
        <v>11</v>
      </c>
      <c r="O29" s="1">
        <v>-8.6660000000000004</v>
      </c>
      <c r="P29">
        <v>0</v>
      </c>
      <c r="Q29" s="1">
        <v>0.17100000000000001</v>
      </c>
      <c r="R29" s="1">
        <v>0.161</v>
      </c>
      <c r="S29" s="1">
        <v>0.376</v>
      </c>
      <c r="T29" s="1">
        <v>0.42399999999999999</v>
      </c>
      <c r="U29" s="1">
        <v>0.27800000000000002</v>
      </c>
      <c r="V29" s="1">
        <v>118.045</v>
      </c>
      <c r="W29">
        <v>4</v>
      </c>
    </row>
    <row r="30" spans="1:23" x14ac:dyDescent="0.25">
      <c r="A30" s="1" t="s">
        <v>13500</v>
      </c>
      <c r="B30" s="1" t="s">
        <v>13501</v>
      </c>
      <c r="C30" s="1" t="s">
        <v>1968</v>
      </c>
      <c r="D30" s="1" t="s">
        <v>1968</v>
      </c>
      <c r="E30" s="1" t="s">
        <v>1969</v>
      </c>
      <c r="F30" s="1" t="s">
        <v>11807</v>
      </c>
      <c r="G30">
        <v>182681</v>
      </c>
      <c r="H30">
        <v>66</v>
      </c>
      <c r="I30" s="1" t="s">
        <v>11063</v>
      </c>
      <c r="J30" s="11">
        <v>44729.706458333334</v>
      </c>
      <c r="K30" s="1" t="s">
        <v>1970</v>
      </c>
      <c r="L30" s="1">
        <v>0.74399999999999999</v>
      </c>
      <c r="M30" s="1">
        <v>0.74399999999999999</v>
      </c>
      <c r="N30">
        <v>7</v>
      </c>
      <c r="O30" s="1">
        <v>-4.3339999999999996</v>
      </c>
      <c r="P30">
        <v>1</v>
      </c>
      <c r="Q30" s="1">
        <v>0.14199999999999999</v>
      </c>
      <c r="R30" s="1">
        <v>0.247</v>
      </c>
      <c r="S30" s="1">
        <v>0</v>
      </c>
      <c r="T30" s="1">
        <v>0.11600000000000001</v>
      </c>
      <c r="U30" s="1">
        <v>0.66200000000000003</v>
      </c>
      <c r="V30" s="1">
        <v>104.00700000000001</v>
      </c>
      <c r="W30">
        <v>4</v>
      </c>
    </row>
    <row r="31" spans="1:23" x14ac:dyDescent="0.25">
      <c r="A31" s="1" t="s">
        <v>13502</v>
      </c>
      <c r="B31" s="1" t="s">
        <v>13503</v>
      </c>
      <c r="C31" s="1" t="s">
        <v>1971</v>
      </c>
      <c r="D31" s="1" t="s">
        <v>1971</v>
      </c>
      <c r="E31" s="1" t="s">
        <v>1972</v>
      </c>
      <c r="F31" s="1" t="s">
        <v>11807</v>
      </c>
      <c r="G31">
        <v>202376</v>
      </c>
      <c r="H31">
        <v>52</v>
      </c>
      <c r="I31" s="1" t="s">
        <v>11063</v>
      </c>
      <c r="J31" s="11">
        <v>44729.706458333334</v>
      </c>
      <c r="K31" s="1" t="s">
        <v>1973</v>
      </c>
      <c r="L31" s="1">
        <v>0.5</v>
      </c>
      <c r="M31" s="1">
        <v>0.82099999999999995</v>
      </c>
      <c r="N31">
        <v>2</v>
      </c>
      <c r="O31" s="1">
        <v>-6.7539999999999996</v>
      </c>
      <c r="P31">
        <v>0</v>
      </c>
      <c r="Q31" s="1">
        <v>0.44700000000000001</v>
      </c>
      <c r="R31" s="1">
        <v>0.95</v>
      </c>
      <c r="S31" s="1">
        <v>0.751</v>
      </c>
      <c r="T31" s="1">
        <v>0.91100000000000003</v>
      </c>
      <c r="U31" s="1">
        <v>0.34300000000000003</v>
      </c>
      <c r="V31" s="1">
        <v>120.985</v>
      </c>
      <c r="W31">
        <v>4</v>
      </c>
    </row>
    <row r="32" spans="1:23" x14ac:dyDescent="0.25">
      <c r="A32" s="1" t="s">
        <v>13504</v>
      </c>
      <c r="B32" s="1" t="s">
        <v>13505</v>
      </c>
      <c r="C32" s="1" t="s">
        <v>1974</v>
      </c>
      <c r="D32" s="1" t="s">
        <v>13506</v>
      </c>
      <c r="E32" s="1" t="s">
        <v>1975</v>
      </c>
      <c r="F32" s="1" t="s">
        <v>11426</v>
      </c>
      <c r="G32">
        <v>251327</v>
      </c>
      <c r="H32">
        <v>59</v>
      </c>
      <c r="I32" s="1" t="s">
        <v>11063</v>
      </c>
      <c r="J32" s="11">
        <v>44729.706458333334</v>
      </c>
      <c r="K32" s="1" t="s">
        <v>1976</v>
      </c>
      <c r="L32" s="1">
        <v>0.56100000000000005</v>
      </c>
      <c r="M32" s="1">
        <v>0.7</v>
      </c>
      <c r="N32">
        <v>1</v>
      </c>
      <c r="O32" s="1">
        <v>-6.2839999999999998</v>
      </c>
      <c r="P32">
        <v>1</v>
      </c>
      <c r="Q32" s="1">
        <v>0.49099999999999999</v>
      </c>
      <c r="R32" s="1">
        <v>0.16800000000000001</v>
      </c>
      <c r="S32" s="1">
        <v>0.54300000000000004</v>
      </c>
      <c r="T32" s="1">
        <v>0.59199999999999997</v>
      </c>
      <c r="U32" s="1">
        <v>0.29799999999999999</v>
      </c>
      <c r="V32" s="1">
        <v>119.015</v>
      </c>
      <c r="W32">
        <v>4</v>
      </c>
    </row>
    <row r="33" spans="1:23" x14ac:dyDescent="0.25">
      <c r="A33" s="1" t="s">
        <v>13507</v>
      </c>
      <c r="B33" s="1" t="s">
        <v>13508</v>
      </c>
      <c r="C33" s="1" t="s">
        <v>1977</v>
      </c>
      <c r="D33" s="1" t="s">
        <v>1977</v>
      </c>
      <c r="E33" s="1" t="s">
        <v>1978</v>
      </c>
      <c r="F33" s="1" t="s">
        <v>13509</v>
      </c>
      <c r="G33">
        <v>208811</v>
      </c>
      <c r="H33">
        <v>56</v>
      </c>
      <c r="I33" s="1" t="s">
        <v>11063</v>
      </c>
      <c r="J33" s="11">
        <v>44729.706458333334</v>
      </c>
      <c r="K33" s="1" t="s">
        <v>1979</v>
      </c>
      <c r="L33" s="1">
        <v>0.752</v>
      </c>
      <c r="M33" s="1">
        <v>0.70599999999999996</v>
      </c>
      <c r="N33">
        <v>5</v>
      </c>
      <c r="O33" s="1">
        <v>-6.274</v>
      </c>
      <c r="P33">
        <v>1</v>
      </c>
      <c r="Q33" s="1">
        <v>0.63600000000000001</v>
      </c>
      <c r="R33" s="1">
        <v>0.79700000000000004</v>
      </c>
      <c r="S33" s="1">
        <v>0.752</v>
      </c>
      <c r="T33" s="1">
        <v>0.129</v>
      </c>
      <c r="U33" s="1">
        <v>0.33</v>
      </c>
      <c r="V33" s="1">
        <v>125.041</v>
      </c>
      <c r="W33">
        <v>4</v>
      </c>
    </row>
    <row r="34" spans="1:23" x14ac:dyDescent="0.25">
      <c r="A34" s="1" t="s">
        <v>11760</v>
      </c>
      <c r="B34" s="1" t="s">
        <v>11761</v>
      </c>
      <c r="C34" s="1" t="s">
        <v>1980</v>
      </c>
      <c r="D34" s="1" t="s">
        <v>11762</v>
      </c>
      <c r="E34" s="1" t="s">
        <v>455</v>
      </c>
      <c r="F34" s="1" t="s">
        <v>11763</v>
      </c>
      <c r="G34">
        <v>186878</v>
      </c>
      <c r="H34">
        <v>74</v>
      </c>
      <c r="I34" s="1" t="s">
        <v>11063</v>
      </c>
      <c r="J34" s="11">
        <v>44729.706458333334</v>
      </c>
      <c r="K34" s="1" t="s">
        <v>456</v>
      </c>
      <c r="L34" s="1">
        <v>0.68200000000000005</v>
      </c>
      <c r="M34" s="1">
        <v>0.7</v>
      </c>
      <c r="N34">
        <v>6</v>
      </c>
      <c r="O34" s="1">
        <v>-5.5910000000000002</v>
      </c>
      <c r="P34">
        <v>1</v>
      </c>
      <c r="Q34" s="1">
        <v>0.39700000000000002</v>
      </c>
      <c r="R34" s="1">
        <v>0.40600000000000003</v>
      </c>
      <c r="S34" s="1">
        <v>0</v>
      </c>
      <c r="T34" s="1">
        <v>0.17399999999999999</v>
      </c>
      <c r="U34" s="1">
        <v>0.63700000000000001</v>
      </c>
      <c r="V34" s="1">
        <v>120.03</v>
      </c>
      <c r="W34">
        <v>4</v>
      </c>
    </row>
    <row r="35" spans="1:23" x14ac:dyDescent="0.25">
      <c r="A35" s="1" t="s">
        <v>12667</v>
      </c>
      <c r="B35" s="1" t="s">
        <v>12668</v>
      </c>
      <c r="C35" s="1" t="s">
        <v>1566</v>
      </c>
      <c r="D35" s="1" t="s">
        <v>1566</v>
      </c>
      <c r="E35" s="1" t="s">
        <v>1567</v>
      </c>
      <c r="F35" s="1" t="s">
        <v>13510</v>
      </c>
      <c r="G35">
        <v>147410</v>
      </c>
      <c r="H35">
        <v>56</v>
      </c>
      <c r="I35" s="1" t="s">
        <v>11063</v>
      </c>
      <c r="J35" s="11">
        <v>44729.706458333334</v>
      </c>
      <c r="K35" s="1" t="s">
        <v>50</v>
      </c>
      <c r="L35" s="1">
        <v>0.55200000000000005</v>
      </c>
      <c r="M35" s="1">
        <v>0.748</v>
      </c>
      <c r="N35">
        <v>0</v>
      </c>
      <c r="O35" s="1">
        <v>-3.2959999999999998</v>
      </c>
      <c r="P35">
        <v>1</v>
      </c>
      <c r="Q35" s="1">
        <v>0.14499999999999999</v>
      </c>
      <c r="R35" s="1">
        <v>0.54900000000000004</v>
      </c>
      <c r="S35" s="1">
        <v>0</v>
      </c>
      <c r="T35" s="1">
        <v>0.129</v>
      </c>
      <c r="U35" s="1">
        <v>0.38700000000000001</v>
      </c>
      <c r="V35" s="1">
        <v>172.14599999999999</v>
      </c>
      <c r="W35">
        <v>4</v>
      </c>
    </row>
    <row r="36" spans="1:23" x14ac:dyDescent="0.25">
      <c r="A36" s="1" t="s">
        <v>13511</v>
      </c>
      <c r="B36" s="1" t="s">
        <v>13512</v>
      </c>
      <c r="C36" s="1" t="s">
        <v>1981</v>
      </c>
      <c r="D36" s="1" t="s">
        <v>1981</v>
      </c>
      <c r="E36" s="1" t="s">
        <v>1982</v>
      </c>
      <c r="F36" s="1" t="s">
        <v>11316</v>
      </c>
      <c r="G36">
        <v>159600</v>
      </c>
      <c r="H36">
        <v>72</v>
      </c>
      <c r="I36" s="1" t="s">
        <v>11063</v>
      </c>
      <c r="J36" s="11">
        <v>44729.706458333334</v>
      </c>
      <c r="K36" s="1" t="s">
        <v>1983</v>
      </c>
      <c r="L36" s="1">
        <v>0.56799999999999995</v>
      </c>
      <c r="M36" s="1">
        <v>0.91</v>
      </c>
      <c r="N36">
        <v>8</v>
      </c>
      <c r="O36" s="1">
        <v>-5.1719999999999997</v>
      </c>
      <c r="P36">
        <v>1</v>
      </c>
      <c r="Q36" s="1">
        <v>0.371</v>
      </c>
      <c r="R36" s="1">
        <v>0.17</v>
      </c>
      <c r="S36" s="1">
        <v>0</v>
      </c>
      <c r="T36" s="1">
        <v>0.52800000000000002</v>
      </c>
      <c r="U36" s="1">
        <v>0.69099999999999995</v>
      </c>
      <c r="V36" s="1">
        <v>149.91300000000001</v>
      </c>
      <c r="W36">
        <v>4</v>
      </c>
    </row>
    <row r="37" spans="1:23" x14ac:dyDescent="0.25">
      <c r="A37" s="1" t="s">
        <v>13513</v>
      </c>
      <c r="B37" s="1" t="s">
        <v>13514</v>
      </c>
      <c r="C37" s="1" t="s">
        <v>114</v>
      </c>
      <c r="D37" s="1" t="s">
        <v>114</v>
      </c>
      <c r="E37" s="1" t="s">
        <v>1984</v>
      </c>
      <c r="F37" s="1" t="s">
        <v>13515</v>
      </c>
      <c r="G37">
        <v>201919</v>
      </c>
      <c r="H37">
        <v>67</v>
      </c>
      <c r="I37" s="1" t="s">
        <v>11063</v>
      </c>
      <c r="J37" s="11">
        <v>44729.706458333334</v>
      </c>
      <c r="K37" s="1" t="s">
        <v>1146</v>
      </c>
      <c r="L37" s="1">
        <v>0.73599999999999999</v>
      </c>
      <c r="M37" s="1">
        <v>0.91600000000000004</v>
      </c>
      <c r="N37">
        <v>11</v>
      </c>
      <c r="O37" s="1">
        <v>-5.6429999999999998</v>
      </c>
      <c r="P37">
        <v>0</v>
      </c>
      <c r="Q37" s="1">
        <v>0.82599999999999996</v>
      </c>
      <c r="R37" s="1">
        <v>0.876</v>
      </c>
      <c r="S37" s="1">
        <v>0.16300000000000001</v>
      </c>
      <c r="T37" s="1">
        <v>0.88700000000000001</v>
      </c>
      <c r="U37" s="1">
        <v>0.33900000000000002</v>
      </c>
      <c r="V37" s="1">
        <v>125.946</v>
      </c>
      <c r="W37">
        <v>4</v>
      </c>
    </row>
    <row r="38" spans="1:23" x14ac:dyDescent="0.25">
      <c r="A38" s="1" t="s">
        <v>12612</v>
      </c>
      <c r="B38" s="1" t="s">
        <v>12613</v>
      </c>
      <c r="C38" s="1" t="s">
        <v>1481</v>
      </c>
      <c r="D38" s="1" t="s">
        <v>1481</v>
      </c>
      <c r="E38" s="1" t="s">
        <v>1482</v>
      </c>
      <c r="F38" s="1" t="s">
        <v>11255</v>
      </c>
      <c r="G38">
        <v>168704</v>
      </c>
      <c r="H38">
        <v>73</v>
      </c>
      <c r="I38" s="1" t="s">
        <v>11063</v>
      </c>
      <c r="J38" s="11">
        <v>44729.706458333334</v>
      </c>
      <c r="K38" s="1" t="s">
        <v>1045</v>
      </c>
      <c r="L38" s="1">
        <v>0.64</v>
      </c>
      <c r="M38" s="1">
        <v>0.86199999999999999</v>
      </c>
      <c r="N38">
        <v>7</v>
      </c>
      <c r="O38" s="1">
        <v>-3.8650000000000002</v>
      </c>
      <c r="P38">
        <v>0</v>
      </c>
      <c r="Q38" s="1">
        <v>0.31900000000000001</v>
      </c>
      <c r="R38" s="1">
        <v>0.157</v>
      </c>
      <c r="S38" s="1">
        <v>0.113</v>
      </c>
      <c r="T38" s="1">
        <v>0.27300000000000002</v>
      </c>
      <c r="U38" s="1">
        <v>0.36599999999999999</v>
      </c>
      <c r="V38" s="1">
        <v>128.03399999999999</v>
      </c>
      <c r="W38">
        <v>4</v>
      </c>
    </row>
    <row r="39" spans="1:23" x14ac:dyDescent="0.25">
      <c r="A39" s="1" t="s">
        <v>12626</v>
      </c>
      <c r="B39" s="1" t="s">
        <v>11615</v>
      </c>
      <c r="C39" s="1" t="s">
        <v>1499</v>
      </c>
      <c r="D39" s="1" t="s">
        <v>1499</v>
      </c>
      <c r="E39" s="1" t="s">
        <v>334</v>
      </c>
      <c r="F39" s="1" t="s">
        <v>13516</v>
      </c>
      <c r="G39">
        <v>186239</v>
      </c>
      <c r="H39">
        <v>70</v>
      </c>
      <c r="I39" s="1" t="s">
        <v>11063</v>
      </c>
      <c r="J39" s="11">
        <v>44729.706458333334</v>
      </c>
      <c r="K39" s="1" t="s">
        <v>335</v>
      </c>
      <c r="L39" s="1">
        <v>0.83599999999999997</v>
      </c>
      <c r="M39" s="1">
        <v>0.81100000000000005</v>
      </c>
      <c r="N39">
        <v>5</v>
      </c>
      <c r="O39" s="1">
        <v>-4.9379999999999997</v>
      </c>
      <c r="P39">
        <v>0</v>
      </c>
      <c r="Q39" s="1">
        <v>0.70199999999999996</v>
      </c>
      <c r="R39" s="1">
        <v>0.14699999999999999</v>
      </c>
      <c r="S39" s="1">
        <v>0.39200000000000002</v>
      </c>
      <c r="T39" s="1">
        <v>0.77400000000000002</v>
      </c>
      <c r="U39" s="1">
        <v>0.82199999999999995</v>
      </c>
      <c r="V39" s="1">
        <v>125.009</v>
      </c>
      <c r="W39">
        <v>4</v>
      </c>
    </row>
    <row r="40" spans="1:23" x14ac:dyDescent="0.25">
      <c r="A40" s="1" t="s">
        <v>11790</v>
      </c>
      <c r="B40" s="1" t="s">
        <v>11791</v>
      </c>
      <c r="C40" s="1" t="s">
        <v>476</v>
      </c>
      <c r="D40" s="1" t="s">
        <v>476</v>
      </c>
      <c r="E40" s="1" t="s">
        <v>477</v>
      </c>
      <c r="F40" s="1" t="s">
        <v>11255</v>
      </c>
      <c r="G40">
        <v>151475</v>
      </c>
      <c r="H40">
        <v>86</v>
      </c>
      <c r="I40" s="1" t="s">
        <v>11063</v>
      </c>
      <c r="J40" s="11">
        <v>44729.706458333334</v>
      </c>
      <c r="K40" s="1" t="s">
        <v>478</v>
      </c>
      <c r="L40" s="1">
        <v>0.84499999999999997</v>
      </c>
      <c r="M40" s="1">
        <v>0.79700000000000004</v>
      </c>
      <c r="N40">
        <v>1</v>
      </c>
      <c r="O40" s="1">
        <v>-4.984</v>
      </c>
      <c r="P40">
        <v>1</v>
      </c>
      <c r="Q40" s="1">
        <v>0.13900000000000001</v>
      </c>
      <c r="R40" s="1">
        <v>0.58199999999999996</v>
      </c>
      <c r="S40" s="1">
        <v>0.55700000000000005</v>
      </c>
      <c r="T40" s="1">
        <v>0.16700000000000001</v>
      </c>
      <c r="U40" s="1">
        <v>0.42199999999999999</v>
      </c>
      <c r="V40" s="1">
        <v>121.985</v>
      </c>
      <c r="W40">
        <v>4</v>
      </c>
    </row>
    <row r="41" spans="1:23" x14ac:dyDescent="0.25">
      <c r="A41" s="1" t="s">
        <v>13517</v>
      </c>
      <c r="B41" s="1" t="s">
        <v>13518</v>
      </c>
      <c r="C41" s="1" t="s">
        <v>1985</v>
      </c>
      <c r="D41" s="1" t="s">
        <v>13519</v>
      </c>
      <c r="E41" s="1" t="s">
        <v>1986</v>
      </c>
      <c r="F41" s="1" t="s">
        <v>13520</v>
      </c>
      <c r="G41">
        <v>170486</v>
      </c>
      <c r="H41">
        <v>16</v>
      </c>
      <c r="I41" s="1" t="s">
        <v>11063</v>
      </c>
      <c r="J41" s="11">
        <v>44729.706458333334</v>
      </c>
      <c r="K41" s="1" t="s">
        <v>1987</v>
      </c>
      <c r="L41" s="1">
        <v>0.58699999999999997</v>
      </c>
      <c r="M41" s="1">
        <v>0.74199999999999999</v>
      </c>
      <c r="N41">
        <v>5</v>
      </c>
      <c r="O41" s="1">
        <v>-5.55</v>
      </c>
      <c r="P41">
        <v>1</v>
      </c>
      <c r="Q41" s="1">
        <v>0.76200000000000001</v>
      </c>
      <c r="R41" s="1">
        <v>0.502</v>
      </c>
      <c r="S41" s="1">
        <v>0</v>
      </c>
      <c r="T41" s="1">
        <v>0.245</v>
      </c>
      <c r="U41" s="1">
        <v>0.72099999999999997</v>
      </c>
      <c r="V41" s="1">
        <v>165.83099999999999</v>
      </c>
      <c r="W41">
        <v>4</v>
      </c>
    </row>
    <row r="42" spans="1:23" x14ac:dyDescent="0.25">
      <c r="A42" s="1" t="s">
        <v>13521</v>
      </c>
      <c r="B42" s="1" t="s">
        <v>13522</v>
      </c>
      <c r="C42" s="1" t="s">
        <v>1988</v>
      </c>
      <c r="D42" s="1" t="s">
        <v>13523</v>
      </c>
      <c r="E42" s="1" t="s">
        <v>1989</v>
      </c>
      <c r="F42" s="1" t="s">
        <v>13524</v>
      </c>
      <c r="G42">
        <v>297931</v>
      </c>
      <c r="H42">
        <v>30</v>
      </c>
      <c r="I42" s="1" t="s">
        <v>11063</v>
      </c>
      <c r="J42" s="11">
        <v>44729.706458333334</v>
      </c>
      <c r="K42" s="1" t="s">
        <v>1051</v>
      </c>
      <c r="L42" s="1">
        <v>0.36199999999999999</v>
      </c>
      <c r="M42" s="1">
        <v>0.89900000000000002</v>
      </c>
      <c r="N42">
        <v>8</v>
      </c>
      <c r="O42" s="1">
        <v>-7.1929999999999996</v>
      </c>
      <c r="P42">
        <v>1</v>
      </c>
      <c r="Q42" s="1">
        <v>0.59</v>
      </c>
      <c r="R42" s="1">
        <v>0.184</v>
      </c>
      <c r="S42" s="1">
        <v>0.17699999999999999</v>
      </c>
      <c r="T42" s="1">
        <v>0.15</v>
      </c>
      <c r="U42" s="1">
        <v>0.36599999999999999</v>
      </c>
      <c r="V42" s="1">
        <v>174.11099999999999</v>
      </c>
      <c r="W42">
        <v>4</v>
      </c>
    </row>
    <row r="43" spans="1:23" x14ac:dyDescent="0.25">
      <c r="A43" s="1" t="s">
        <v>13525</v>
      </c>
      <c r="B43" s="1" t="s">
        <v>13526</v>
      </c>
      <c r="C43" s="1" t="s">
        <v>1990</v>
      </c>
      <c r="D43" s="1" t="s">
        <v>1990</v>
      </c>
      <c r="E43" s="1" t="s">
        <v>1991</v>
      </c>
      <c r="F43" s="1" t="s">
        <v>13527</v>
      </c>
      <c r="G43">
        <v>177729</v>
      </c>
      <c r="H43">
        <v>38</v>
      </c>
      <c r="I43" s="1" t="s">
        <v>11063</v>
      </c>
      <c r="J43" s="11">
        <v>44729.706458333334</v>
      </c>
      <c r="K43" s="1" t="s">
        <v>933</v>
      </c>
      <c r="L43" s="1">
        <v>0.626</v>
      </c>
      <c r="M43" s="1">
        <v>0.72899999999999998</v>
      </c>
      <c r="N43">
        <v>9</v>
      </c>
      <c r="O43" s="1">
        <v>-6.4080000000000004</v>
      </c>
      <c r="P43">
        <v>0</v>
      </c>
      <c r="Q43" s="1">
        <v>0.89200000000000002</v>
      </c>
      <c r="R43" s="1">
        <v>0.76500000000000001</v>
      </c>
      <c r="S43" s="1">
        <v>0</v>
      </c>
      <c r="T43" s="1">
        <v>0.14799999999999999</v>
      </c>
      <c r="U43" s="1">
        <v>0.377</v>
      </c>
      <c r="V43" s="1">
        <v>122.938</v>
      </c>
      <c r="W43">
        <v>4</v>
      </c>
    </row>
    <row r="44" spans="1:23" x14ac:dyDescent="0.25">
      <c r="A44" s="1" t="s">
        <v>13528</v>
      </c>
      <c r="B44" s="1" t="s">
        <v>13529</v>
      </c>
      <c r="C44" s="1" t="s">
        <v>1992</v>
      </c>
      <c r="D44" s="1" t="s">
        <v>13530</v>
      </c>
      <c r="E44" s="1" t="s">
        <v>1993</v>
      </c>
      <c r="F44" s="1" t="s">
        <v>13531</v>
      </c>
      <c r="G44">
        <v>292500</v>
      </c>
      <c r="H44">
        <v>33</v>
      </c>
      <c r="I44" s="1" t="s">
        <v>11063</v>
      </c>
      <c r="J44" s="11">
        <v>44729.706458333334</v>
      </c>
      <c r="K44" s="1" t="s">
        <v>1994</v>
      </c>
      <c r="L44" s="1">
        <v>0.60799999999999998</v>
      </c>
      <c r="M44" s="1">
        <v>0.92700000000000005</v>
      </c>
      <c r="N44">
        <v>9</v>
      </c>
      <c r="O44" s="1">
        <v>-5.032</v>
      </c>
      <c r="P44">
        <v>0</v>
      </c>
      <c r="Q44" s="1">
        <v>0.63400000000000001</v>
      </c>
      <c r="R44" s="1">
        <v>0.30199999999999999</v>
      </c>
      <c r="S44" s="1">
        <v>0.79800000000000004</v>
      </c>
      <c r="T44" s="1">
        <v>0.91800000000000004</v>
      </c>
      <c r="U44" s="1">
        <v>0.66600000000000004</v>
      </c>
      <c r="V44" s="1">
        <v>127.926</v>
      </c>
      <c r="W44">
        <v>4</v>
      </c>
    </row>
    <row r="45" spans="1:23" x14ac:dyDescent="0.25">
      <c r="A45" s="1" t="s">
        <v>11768</v>
      </c>
      <c r="B45" s="1" t="s">
        <v>11769</v>
      </c>
      <c r="C45" s="1" t="s">
        <v>1995</v>
      </c>
      <c r="D45" s="1" t="s">
        <v>11770</v>
      </c>
      <c r="E45" s="1" t="s">
        <v>462</v>
      </c>
      <c r="F45" s="1" t="s">
        <v>11771</v>
      </c>
      <c r="G45">
        <v>185173</v>
      </c>
      <c r="H45">
        <v>61</v>
      </c>
      <c r="I45" s="1" t="s">
        <v>11063</v>
      </c>
      <c r="J45" s="11">
        <v>44729.706458333334</v>
      </c>
      <c r="K45" s="1" t="s">
        <v>463</v>
      </c>
      <c r="L45" s="1">
        <v>0.76400000000000001</v>
      </c>
      <c r="M45" s="1">
        <v>0.68300000000000005</v>
      </c>
      <c r="N45">
        <v>1</v>
      </c>
      <c r="O45" s="1">
        <v>-5.6580000000000004</v>
      </c>
      <c r="P45">
        <v>0</v>
      </c>
      <c r="Q45" s="1">
        <v>0.71499999999999997</v>
      </c>
      <c r="R45" s="1">
        <v>0.17299999999999999</v>
      </c>
      <c r="S45" s="1">
        <v>0.84199999999999997</v>
      </c>
      <c r="T45" s="1">
        <v>0.11700000000000001</v>
      </c>
      <c r="U45" s="1">
        <v>0.14099999999999999</v>
      </c>
      <c r="V45" s="1">
        <v>92.653999999999996</v>
      </c>
      <c r="W45">
        <v>4</v>
      </c>
    </row>
    <row r="46" spans="1:23" x14ac:dyDescent="0.25">
      <c r="A46" s="1" t="s">
        <v>11766</v>
      </c>
      <c r="B46" s="1" t="s">
        <v>11767</v>
      </c>
      <c r="C46" s="1" t="s">
        <v>1996</v>
      </c>
      <c r="D46" s="1" t="s">
        <v>1996</v>
      </c>
      <c r="E46" s="1" t="s">
        <v>460</v>
      </c>
      <c r="F46" s="1" t="s">
        <v>11643</v>
      </c>
      <c r="G46">
        <v>140631</v>
      </c>
      <c r="H46">
        <v>56</v>
      </c>
      <c r="I46" s="1" t="s">
        <v>11063</v>
      </c>
      <c r="J46" s="11">
        <v>44729.706458333334</v>
      </c>
      <c r="K46" s="1" t="s">
        <v>461</v>
      </c>
      <c r="L46" s="1">
        <v>0.86799999999999999</v>
      </c>
      <c r="M46" s="1">
        <v>0.63400000000000001</v>
      </c>
      <c r="N46">
        <v>4</v>
      </c>
      <c r="O46" s="1">
        <v>-6.1219999999999999</v>
      </c>
      <c r="P46">
        <v>0</v>
      </c>
      <c r="Q46" s="1">
        <v>0.21199999999999999</v>
      </c>
      <c r="R46" s="1">
        <v>0.49299999999999999</v>
      </c>
      <c r="S46" s="1">
        <v>0.38300000000000001</v>
      </c>
      <c r="T46" s="1">
        <v>0.85</v>
      </c>
      <c r="U46" s="1">
        <v>0.35199999999999998</v>
      </c>
      <c r="V46" s="1">
        <v>120.949</v>
      </c>
      <c r="W46">
        <v>4</v>
      </c>
    </row>
    <row r="47" spans="1:23" x14ac:dyDescent="0.25">
      <c r="A47" s="1" t="s">
        <v>11799</v>
      </c>
      <c r="B47" s="1" t="s">
        <v>11800</v>
      </c>
      <c r="C47" s="1" t="s">
        <v>483</v>
      </c>
      <c r="D47" s="1" t="s">
        <v>483</v>
      </c>
      <c r="E47" s="1" t="s">
        <v>484</v>
      </c>
      <c r="F47" s="1" t="s">
        <v>11369</v>
      </c>
      <c r="G47">
        <v>176971</v>
      </c>
      <c r="H47">
        <v>65</v>
      </c>
      <c r="I47" s="1" t="s">
        <v>11063</v>
      </c>
      <c r="J47" s="11">
        <v>44729.706458333334</v>
      </c>
      <c r="K47" s="1" t="s">
        <v>463</v>
      </c>
      <c r="L47" s="1">
        <v>0.59</v>
      </c>
      <c r="M47" s="1">
        <v>0.78600000000000003</v>
      </c>
      <c r="N47">
        <v>7</v>
      </c>
      <c r="O47" s="1">
        <v>-7.3860000000000001</v>
      </c>
      <c r="P47">
        <v>1</v>
      </c>
      <c r="Q47" s="1">
        <v>0.19900000000000001</v>
      </c>
      <c r="R47" s="1">
        <v>0.30599999999999999</v>
      </c>
      <c r="S47" s="1">
        <v>0</v>
      </c>
      <c r="T47" s="1">
        <v>0.152</v>
      </c>
      <c r="U47" s="1">
        <v>0.48499999999999999</v>
      </c>
      <c r="V47" s="1">
        <v>144.98699999999999</v>
      </c>
      <c r="W47">
        <v>4</v>
      </c>
    </row>
    <row r="48" spans="1:23" x14ac:dyDescent="0.25">
      <c r="A48" s="1" t="s">
        <v>13532</v>
      </c>
      <c r="B48" s="1" t="s">
        <v>13533</v>
      </c>
      <c r="C48" s="1" t="s">
        <v>1997</v>
      </c>
      <c r="D48" s="1" t="s">
        <v>1997</v>
      </c>
      <c r="E48" s="1" t="s">
        <v>1998</v>
      </c>
      <c r="F48" s="1" t="s">
        <v>13534</v>
      </c>
      <c r="G48">
        <v>196506</v>
      </c>
      <c r="H48">
        <v>61</v>
      </c>
      <c r="I48" s="1" t="s">
        <v>11063</v>
      </c>
      <c r="J48" s="11">
        <v>44729.706458333334</v>
      </c>
      <c r="K48" s="1" t="s">
        <v>50</v>
      </c>
      <c r="L48" s="1">
        <v>0.67900000000000005</v>
      </c>
      <c r="M48" s="1">
        <v>0.745</v>
      </c>
      <c r="N48">
        <v>11</v>
      </c>
      <c r="O48" s="1">
        <v>-5.9589999999999996</v>
      </c>
      <c r="P48">
        <v>0</v>
      </c>
      <c r="Q48" s="1">
        <v>0.69199999999999995</v>
      </c>
      <c r="R48" s="1">
        <v>0.53600000000000003</v>
      </c>
      <c r="S48" s="1">
        <v>0</v>
      </c>
      <c r="T48" s="1">
        <v>0.122</v>
      </c>
      <c r="U48" s="1">
        <v>0.71</v>
      </c>
      <c r="V48" s="1">
        <v>95.998999999999995</v>
      </c>
      <c r="W48">
        <v>4</v>
      </c>
    </row>
    <row r="49" spans="1:23" x14ac:dyDescent="0.25">
      <c r="A49" s="1" t="s">
        <v>12650</v>
      </c>
      <c r="B49" s="1" t="s">
        <v>12651</v>
      </c>
      <c r="C49" s="1" t="s">
        <v>1538</v>
      </c>
      <c r="D49" s="1" t="s">
        <v>1538</v>
      </c>
      <c r="E49" s="1" t="s">
        <v>1539</v>
      </c>
      <c r="F49" s="1" t="s">
        <v>13535</v>
      </c>
      <c r="G49">
        <v>149717</v>
      </c>
      <c r="H49">
        <v>73</v>
      </c>
      <c r="I49" s="1" t="s">
        <v>11063</v>
      </c>
      <c r="J49" s="11">
        <v>44729.706458333334</v>
      </c>
      <c r="K49" s="1" t="s">
        <v>1540</v>
      </c>
      <c r="L49" s="1">
        <v>0.75900000000000001</v>
      </c>
      <c r="M49" s="1">
        <v>0.90900000000000003</v>
      </c>
      <c r="N49">
        <v>7</v>
      </c>
      <c r="O49" s="1">
        <v>-4.3879999999999999</v>
      </c>
      <c r="P49">
        <v>0</v>
      </c>
      <c r="Q49" s="1">
        <v>0.45100000000000001</v>
      </c>
      <c r="R49" s="1">
        <v>0.21199999999999999</v>
      </c>
      <c r="S49" s="1">
        <v>0</v>
      </c>
      <c r="T49" s="1">
        <v>0.14199999999999999</v>
      </c>
      <c r="U49" s="1">
        <v>0.53900000000000003</v>
      </c>
      <c r="V49" s="1">
        <v>122.871</v>
      </c>
      <c r="W49">
        <v>4</v>
      </c>
    </row>
    <row r="50" spans="1:23" x14ac:dyDescent="0.25">
      <c r="A50" s="1" t="s">
        <v>13536</v>
      </c>
      <c r="B50" s="1" t="s">
        <v>11130</v>
      </c>
      <c r="C50" s="1" t="s">
        <v>1999</v>
      </c>
      <c r="D50" s="1" t="s">
        <v>13537</v>
      </c>
      <c r="E50" s="1" t="s">
        <v>1479</v>
      </c>
      <c r="F50" s="1" t="s">
        <v>13538</v>
      </c>
      <c r="G50">
        <v>150476</v>
      </c>
      <c r="H50">
        <v>67</v>
      </c>
      <c r="I50" s="1" t="s">
        <v>11063</v>
      </c>
      <c r="J50" s="11">
        <v>44729.706458333334</v>
      </c>
      <c r="K50" s="1" t="s">
        <v>1480</v>
      </c>
      <c r="L50" s="1">
        <v>0.78</v>
      </c>
      <c r="M50" s="1">
        <v>0.91900000000000004</v>
      </c>
      <c r="N50">
        <v>10</v>
      </c>
      <c r="O50" s="1">
        <v>-3.8519999999999999</v>
      </c>
      <c r="P50">
        <v>0</v>
      </c>
      <c r="Q50" s="1">
        <v>0.41599999999999998</v>
      </c>
      <c r="R50" s="1">
        <v>0.109</v>
      </c>
      <c r="S50" s="1">
        <v>0.27</v>
      </c>
      <c r="T50" s="1">
        <v>0.34100000000000003</v>
      </c>
      <c r="U50" s="1">
        <v>0.53200000000000003</v>
      </c>
      <c r="V50" s="1">
        <v>126.02</v>
      </c>
      <c r="W50">
        <v>4</v>
      </c>
    </row>
    <row r="51" spans="1:23" x14ac:dyDescent="0.25">
      <c r="A51" s="1" t="s">
        <v>12611</v>
      </c>
      <c r="B51" s="1" t="s">
        <v>11130</v>
      </c>
      <c r="C51" s="1" t="s">
        <v>1478</v>
      </c>
      <c r="D51" s="1" t="s">
        <v>1478</v>
      </c>
      <c r="E51" s="1" t="s">
        <v>1479</v>
      </c>
      <c r="F51" s="1" t="s">
        <v>11225</v>
      </c>
      <c r="G51">
        <v>131172</v>
      </c>
      <c r="H51">
        <v>71</v>
      </c>
      <c r="I51" s="1" t="s">
        <v>11063</v>
      </c>
      <c r="J51" s="11">
        <v>44729.706458333334</v>
      </c>
      <c r="K51" s="1" t="s">
        <v>1480</v>
      </c>
      <c r="L51" s="1">
        <v>0.52200000000000002</v>
      </c>
      <c r="M51" s="1">
        <v>0.93400000000000005</v>
      </c>
      <c r="N51">
        <v>2</v>
      </c>
      <c r="O51" s="1">
        <v>-3.7120000000000002</v>
      </c>
      <c r="P51">
        <v>0</v>
      </c>
      <c r="Q51" s="1">
        <v>0.48</v>
      </c>
      <c r="R51" s="1">
        <v>0.17899999999999999</v>
      </c>
      <c r="S51" s="1">
        <v>0.32200000000000001</v>
      </c>
      <c r="T51" s="1">
        <v>0.30099999999999999</v>
      </c>
      <c r="U51" s="1">
        <v>0.78300000000000003</v>
      </c>
      <c r="V51" s="1">
        <v>145.012</v>
      </c>
      <c r="W51">
        <v>4</v>
      </c>
    </row>
    <row r="52" spans="1:23" x14ac:dyDescent="0.25">
      <c r="A52" s="1" t="s">
        <v>13539</v>
      </c>
      <c r="B52" s="1" t="s">
        <v>13540</v>
      </c>
      <c r="C52" s="1" t="s">
        <v>2000</v>
      </c>
      <c r="D52" s="1" t="s">
        <v>13541</v>
      </c>
      <c r="E52" s="1" t="s">
        <v>2001</v>
      </c>
      <c r="F52" s="1" t="s">
        <v>13542</v>
      </c>
      <c r="G52">
        <v>194262</v>
      </c>
      <c r="H52">
        <v>68</v>
      </c>
      <c r="I52" s="1" t="s">
        <v>11063</v>
      </c>
      <c r="J52" s="11">
        <v>44729.706458333334</v>
      </c>
      <c r="K52" s="1" t="s">
        <v>2002</v>
      </c>
      <c r="L52" s="1">
        <v>0.79100000000000004</v>
      </c>
      <c r="M52" s="1">
        <v>0.91500000000000004</v>
      </c>
      <c r="N52">
        <v>10</v>
      </c>
      <c r="O52" s="1">
        <v>-2.48</v>
      </c>
      <c r="P52">
        <v>1</v>
      </c>
      <c r="Q52" s="1">
        <v>0.80900000000000005</v>
      </c>
      <c r="R52" s="1">
        <v>0.622</v>
      </c>
      <c r="S52" s="1">
        <v>0</v>
      </c>
      <c r="T52" s="1">
        <v>0.24399999999999999</v>
      </c>
      <c r="U52" s="1">
        <v>0.73199999999999998</v>
      </c>
      <c r="V52" s="1">
        <v>121.94799999999999</v>
      </c>
      <c r="W52">
        <v>4</v>
      </c>
    </row>
    <row r="53" spans="1:23" x14ac:dyDescent="0.25">
      <c r="A53" s="1" t="s">
        <v>13543</v>
      </c>
      <c r="B53" s="1" t="s">
        <v>13544</v>
      </c>
      <c r="C53" s="1" t="s">
        <v>2003</v>
      </c>
      <c r="D53" s="1" t="s">
        <v>2003</v>
      </c>
      <c r="E53" s="1" t="s">
        <v>2004</v>
      </c>
      <c r="F53" s="1" t="s">
        <v>11335</v>
      </c>
      <c r="G53">
        <v>231041</v>
      </c>
      <c r="H53">
        <v>29</v>
      </c>
      <c r="I53" s="1" t="s">
        <v>11063</v>
      </c>
      <c r="J53" s="11">
        <v>44729.706458333334</v>
      </c>
      <c r="K53" s="1" t="s">
        <v>2005</v>
      </c>
      <c r="L53" s="1">
        <v>0.80800000000000005</v>
      </c>
      <c r="M53" s="1">
        <v>0.89700000000000002</v>
      </c>
      <c r="N53">
        <v>11</v>
      </c>
      <c r="O53" s="1">
        <v>-3.7120000000000002</v>
      </c>
      <c r="P53">
        <v>0</v>
      </c>
      <c r="Q53" s="1">
        <v>0.34799999999999998</v>
      </c>
      <c r="R53" s="1">
        <v>0.46899999999999997</v>
      </c>
      <c r="S53" s="1">
        <v>0.314</v>
      </c>
      <c r="T53" s="1">
        <v>0.36399999999999999</v>
      </c>
      <c r="U53" s="1">
        <v>0.59099999999999997</v>
      </c>
      <c r="V53" s="1">
        <v>126.026</v>
      </c>
      <c r="W53">
        <v>4</v>
      </c>
    </row>
    <row r="54" spans="1:23" x14ac:dyDescent="0.25">
      <c r="A54" s="1" t="s">
        <v>13545</v>
      </c>
      <c r="B54" s="1" t="s">
        <v>13546</v>
      </c>
      <c r="C54" s="1" t="s">
        <v>2006</v>
      </c>
      <c r="D54" s="1" t="s">
        <v>2006</v>
      </c>
      <c r="E54" s="1" t="s">
        <v>2007</v>
      </c>
      <c r="F54" s="1" t="s">
        <v>13547</v>
      </c>
      <c r="G54">
        <v>175601</v>
      </c>
      <c r="H54">
        <v>68</v>
      </c>
      <c r="I54" s="1" t="s">
        <v>11063</v>
      </c>
      <c r="J54" s="11">
        <v>44729.706458333334</v>
      </c>
      <c r="K54" s="1" t="s">
        <v>1108</v>
      </c>
      <c r="L54" s="1">
        <v>0.77900000000000003</v>
      </c>
      <c r="M54" s="1">
        <v>0.34200000000000003</v>
      </c>
      <c r="N54">
        <v>3</v>
      </c>
      <c r="O54" s="1">
        <v>-6.3159999999999998</v>
      </c>
      <c r="P54">
        <v>0</v>
      </c>
      <c r="Q54" s="1">
        <v>0.40500000000000003</v>
      </c>
      <c r="R54" s="1">
        <v>0.70099999999999996</v>
      </c>
      <c r="S54" s="1">
        <v>0.27500000000000002</v>
      </c>
      <c r="T54" s="1">
        <v>0.13200000000000001</v>
      </c>
      <c r="U54" s="1">
        <v>0.48199999999999998</v>
      </c>
      <c r="V54" s="1">
        <v>104.995</v>
      </c>
      <c r="W54">
        <v>4</v>
      </c>
    </row>
    <row r="55" spans="1:23" x14ac:dyDescent="0.25">
      <c r="A55" s="1" t="s">
        <v>13548</v>
      </c>
      <c r="B55" s="1" t="s">
        <v>11254</v>
      </c>
      <c r="C55" s="1" t="s">
        <v>2008</v>
      </c>
      <c r="D55" s="1" t="s">
        <v>2008</v>
      </c>
      <c r="E55" s="1" t="s">
        <v>55</v>
      </c>
      <c r="F55" s="1" t="s">
        <v>13549</v>
      </c>
      <c r="G55">
        <v>169944</v>
      </c>
      <c r="H55">
        <v>76</v>
      </c>
      <c r="I55" s="1" t="s">
        <v>11063</v>
      </c>
      <c r="J55" s="11">
        <v>44729.706458333334</v>
      </c>
      <c r="K55" s="1" t="s">
        <v>56</v>
      </c>
      <c r="L55" s="1">
        <v>0.83599999999999997</v>
      </c>
      <c r="M55" s="1">
        <v>0.84599999999999997</v>
      </c>
      <c r="N55">
        <v>0</v>
      </c>
      <c r="O55" s="1">
        <v>-4.673</v>
      </c>
      <c r="P55">
        <v>1</v>
      </c>
      <c r="Q55" s="1">
        <v>0.39200000000000002</v>
      </c>
      <c r="R55" s="1">
        <v>0.90700000000000003</v>
      </c>
      <c r="S55" s="1">
        <v>0.47</v>
      </c>
      <c r="T55" s="1">
        <v>0.56999999999999995</v>
      </c>
      <c r="U55" s="1">
        <v>0.94199999999999995</v>
      </c>
      <c r="V55" s="1">
        <v>122.042</v>
      </c>
      <c r="W55">
        <v>4</v>
      </c>
    </row>
    <row r="56" spans="1:23" x14ac:dyDescent="0.25">
      <c r="A56" s="1" t="s">
        <v>13550</v>
      </c>
      <c r="B56" s="1" t="s">
        <v>13544</v>
      </c>
      <c r="C56" s="1" t="s">
        <v>2009</v>
      </c>
      <c r="D56" s="1" t="s">
        <v>2009</v>
      </c>
      <c r="E56" s="1" t="s">
        <v>2004</v>
      </c>
      <c r="F56" s="1" t="s">
        <v>13551</v>
      </c>
      <c r="G56">
        <v>207853</v>
      </c>
      <c r="H56">
        <v>79</v>
      </c>
      <c r="I56" s="1" t="s">
        <v>11063</v>
      </c>
      <c r="J56" s="11">
        <v>44729.706458333334</v>
      </c>
      <c r="K56" s="1" t="s">
        <v>2005</v>
      </c>
      <c r="L56" s="1">
        <v>0.78800000000000003</v>
      </c>
      <c r="M56" s="1">
        <v>0.85899999999999999</v>
      </c>
      <c r="N56">
        <v>2</v>
      </c>
      <c r="O56" s="1">
        <v>-2.7240000000000002</v>
      </c>
      <c r="P56">
        <v>1</v>
      </c>
      <c r="Q56" s="1">
        <v>0.85599999999999998</v>
      </c>
      <c r="R56" s="1">
        <v>0.28100000000000003</v>
      </c>
      <c r="S56" s="1">
        <v>0</v>
      </c>
      <c r="T56" s="1">
        <v>0.42399999999999999</v>
      </c>
      <c r="U56" s="1">
        <v>0.82199999999999995</v>
      </c>
      <c r="V56" s="1">
        <v>141.02000000000001</v>
      </c>
      <c r="W56">
        <v>4</v>
      </c>
    </row>
    <row r="57" spans="1:23" x14ac:dyDescent="0.25">
      <c r="A57" s="1" t="s">
        <v>13552</v>
      </c>
      <c r="B57" s="1" t="s">
        <v>13553</v>
      </c>
      <c r="C57" s="1" t="s">
        <v>2010</v>
      </c>
      <c r="D57" s="1" t="s">
        <v>13554</v>
      </c>
      <c r="E57" s="1" t="s">
        <v>2011</v>
      </c>
      <c r="F57" s="1" t="s">
        <v>13555</v>
      </c>
      <c r="G57">
        <v>185194</v>
      </c>
      <c r="H57">
        <v>76</v>
      </c>
      <c r="I57" s="1" t="s">
        <v>11063</v>
      </c>
      <c r="J57" s="11">
        <v>44729.706458333334</v>
      </c>
      <c r="K57" s="1" t="s">
        <v>2012</v>
      </c>
      <c r="L57" s="1">
        <v>0.69399999999999995</v>
      </c>
      <c r="M57" s="1">
        <v>0.75800000000000001</v>
      </c>
      <c r="N57">
        <v>11</v>
      </c>
      <c r="O57" s="1">
        <v>-2.9860000000000002</v>
      </c>
      <c r="P57">
        <v>1</v>
      </c>
      <c r="Q57" s="1">
        <v>0.218</v>
      </c>
      <c r="R57" s="1">
        <v>0.27800000000000002</v>
      </c>
      <c r="S57" s="1">
        <v>0.13400000000000001</v>
      </c>
      <c r="T57" s="1">
        <v>0.10199999999999999</v>
      </c>
      <c r="U57" s="1">
        <v>0.371</v>
      </c>
      <c r="V57" s="1">
        <v>192.09100000000001</v>
      </c>
      <c r="W57">
        <v>4</v>
      </c>
    </row>
    <row r="58" spans="1:23" x14ac:dyDescent="0.25">
      <c r="A58" s="1" t="s">
        <v>13556</v>
      </c>
      <c r="B58" s="1" t="s">
        <v>13557</v>
      </c>
      <c r="C58" s="1" t="s">
        <v>2013</v>
      </c>
      <c r="D58" s="1" t="s">
        <v>13558</v>
      </c>
      <c r="E58" s="1" t="s">
        <v>2014</v>
      </c>
      <c r="F58" s="1" t="s">
        <v>11626</v>
      </c>
      <c r="G58">
        <v>342612</v>
      </c>
      <c r="H58">
        <v>75</v>
      </c>
      <c r="I58" s="1" t="s">
        <v>11063</v>
      </c>
      <c r="J58" s="11">
        <v>44729.706458333334</v>
      </c>
      <c r="K58" s="1" t="s">
        <v>2015</v>
      </c>
      <c r="L58" s="1">
        <v>0.88</v>
      </c>
      <c r="M58" s="1">
        <v>0.48299999999999998</v>
      </c>
      <c r="N58">
        <v>1</v>
      </c>
      <c r="O58" s="1">
        <v>-7.0119999999999996</v>
      </c>
      <c r="P58">
        <v>1</v>
      </c>
      <c r="Q58" s="1">
        <v>0.505</v>
      </c>
      <c r="R58" s="1">
        <v>0.185</v>
      </c>
      <c r="S58" s="1">
        <v>0.86799999999999999</v>
      </c>
      <c r="T58" s="1">
        <v>0.60699999999999998</v>
      </c>
      <c r="U58" s="1">
        <v>0.82699999999999996</v>
      </c>
      <c r="V58" s="1">
        <v>124.009</v>
      </c>
      <c r="W58">
        <v>4</v>
      </c>
    </row>
    <row r="59" spans="1:23" x14ac:dyDescent="0.25">
      <c r="A59" s="1" t="s">
        <v>13559</v>
      </c>
      <c r="B59" s="1" t="s">
        <v>12613</v>
      </c>
      <c r="C59" s="1" t="s">
        <v>2016</v>
      </c>
      <c r="D59" s="1" t="s">
        <v>13560</v>
      </c>
      <c r="E59" s="1" t="s">
        <v>1482</v>
      </c>
      <c r="F59" s="1" t="s">
        <v>13561</v>
      </c>
      <c r="G59">
        <v>207213</v>
      </c>
      <c r="H59">
        <v>64</v>
      </c>
      <c r="I59" s="1" t="s">
        <v>11063</v>
      </c>
      <c r="J59" s="11">
        <v>44729.706458333334</v>
      </c>
      <c r="K59" s="1" t="s">
        <v>1045</v>
      </c>
      <c r="L59" s="1">
        <v>0.78700000000000003</v>
      </c>
      <c r="M59" s="1">
        <v>0.77800000000000002</v>
      </c>
      <c r="N59">
        <v>10</v>
      </c>
      <c r="O59" s="1">
        <v>-5.4279999999999999</v>
      </c>
      <c r="P59">
        <v>0</v>
      </c>
      <c r="Q59" s="1">
        <v>0.45600000000000002</v>
      </c>
      <c r="R59" s="1">
        <v>0.374</v>
      </c>
      <c r="S59" s="1">
        <v>0.81499999999999995</v>
      </c>
      <c r="T59" s="1">
        <v>0.35899999999999999</v>
      </c>
      <c r="U59" s="1">
        <v>0.47699999999999998</v>
      </c>
      <c r="V59" s="1">
        <v>99.994</v>
      </c>
      <c r="W59">
        <v>4</v>
      </c>
    </row>
    <row r="60" spans="1:23" x14ac:dyDescent="0.25">
      <c r="A60" s="1" t="s">
        <v>13562</v>
      </c>
      <c r="B60" s="1" t="s">
        <v>13563</v>
      </c>
      <c r="C60" s="1" t="s">
        <v>2017</v>
      </c>
      <c r="D60" s="1" t="s">
        <v>2017</v>
      </c>
      <c r="E60" s="1" t="s">
        <v>2018</v>
      </c>
      <c r="F60" s="1" t="s">
        <v>13564</v>
      </c>
      <c r="G60">
        <v>189440</v>
      </c>
      <c r="H60">
        <v>70</v>
      </c>
      <c r="I60" s="1" t="s">
        <v>11063</v>
      </c>
      <c r="J60" s="11">
        <v>44729.706458333334</v>
      </c>
      <c r="K60" s="1" t="s">
        <v>2019</v>
      </c>
      <c r="L60" s="1">
        <v>0.77400000000000002</v>
      </c>
      <c r="M60" s="1">
        <v>0.68700000000000006</v>
      </c>
      <c r="N60">
        <v>11</v>
      </c>
      <c r="O60" s="1">
        <v>-4.8179999999999996</v>
      </c>
      <c r="P60">
        <v>0</v>
      </c>
      <c r="Q60" s="1">
        <v>0.58399999999999996</v>
      </c>
      <c r="R60" s="1">
        <v>0.17899999999999999</v>
      </c>
      <c r="S60" s="1">
        <v>0.11700000000000001</v>
      </c>
      <c r="T60" s="1">
        <v>0.128</v>
      </c>
      <c r="U60" s="1">
        <v>0.308</v>
      </c>
      <c r="V60" s="1">
        <v>104.959</v>
      </c>
      <c r="W60">
        <v>4</v>
      </c>
    </row>
    <row r="61" spans="1:23" x14ac:dyDescent="0.25">
      <c r="A61" s="1" t="s">
        <v>13565</v>
      </c>
      <c r="B61" s="1" t="s">
        <v>11389</v>
      </c>
      <c r="C61" s="1" t="s">
        <v>2020</v>
      </c>
      <c r="D61" s="1" t="s">
        <v>2020</v>
      </c>
      <c r="E61" s="1" t="s">
        <v>173</v>
      </c>
      <c r="F61" s="1" t="s">
        <v>13566</v>
      </c>
      <c r="G61">
        <v>267023</v>
      </c>
      <c r="H61">
        <v>0</v>
      </c>
      <c r="I61" s="1" t="s">
        <v>11063</v>
      </c>
      <c r="J61" s="11">
        <v>44729.706458333334</v>
      </c>
      <c r="K61" s="1" t="s">
        <v>174</v>
      </c>
      <c r="L61" s="1">
        <v>0.89300000000000002</v>
      </c>
      <c r="M61" s="1">
        <v>0.63900000000000001</v>
      </c>
      <c r="N61">
        <v>2</v>
      </c>
      <c r="O61" s="1">
        <v>-7.8570000000000002</v>
      </c>
      <c r="P61">
        <v>1</v>
      </c>
      <c r="Q61" s="1">
        <v>0.54900000000000004</v>
      </c>
      <c r="R61" s="1">
        <v>0.22600000000000001</v>
      </c>
      <c r="S61" s="1">
        <v>0.315</v>
      </c>
      <c r="T61" s="1">
        <v>0.38200000000000001</v>
      </c>
      <c r="U61" s="1">
        <v>0.57899999999999996</v>
      </c>
      <c r="V61" s="1">
        <v>134.96299999999999</v>
      </c>
      <c r="W61">
        <v>4</v>
      </c>
    </row>
    <row r="62" spans="1:23" x14ac:dyDescent="0.25">
      <c r="A62" s="1" t="s">
        <v>13567</v>
      </c>
      <c r="B62" s="1" t="s">
        <v>13568</v>
      </c>
      <c r="C62" s="1" t="s">
        <v>2021</v>
      </c>
      <c r="D62" s="1" t="s">
        <v>2021</v>
      </c>
      <c r="E62" s="1" t="s">
        <v>2022</v>
      </c>
      <c r="F62" s="1" t="s">
        <v>13569</v>
      </c>
      <c r="G62">
        <v>181867</v>
      </c>
      <c r="H62">
        <v>58</v>
      </c>
      <c r="I62" s="1" t="s">
        <v>11063</v>
      </c>
      <c r="J62" s="11">
        <v>44729.706458333334</v>
      </c>
      <c r="K62" s="1" t="s">
        <v>2023</v>
      </c>
      <c r="L62" s="1">
        <v>0.58899999999999997</v>
      </c>
      <c r="M62" s="1">
        <v>0.61299999999999999</v>
      </c>
      <c r="N62">
        <v>0</v>
      </c>
      <c r="O62" s="1">
        <v>-5.0339999999999998</v>
      </c>
      <c r="P62">
        <v>1</v>
      </c>
      <c r="Q62" s="1">
        <v>0.32700000000000001</v>
      </c>
      <c r="R62" s="1">
        <v>0.56799999999999995</v>
      </c>
      <c r="S62" s="1">
        <v>0</v>
      </c>
      <c r="T62" s="1">
        <v>0.67500000000000004</v>
      </c>
      <c r="U62" s="1">
        <v>0.19</v>
      </c>
      <c r="V62" s="1">
        <v>114.85299999999999</v>
      </c>
      <c r="W62">
        <v>4</v>
      </c>
    </row>
    <row r="63" spans="1:23" x14ac:dyDescent="0.25">
      <c r="A63" s="1" t="s">
        <v>13570</v>
      </c>
      <c r="B63" s="1" t="s">
        <v>13571</v>
      </c>
      <c r="C63" s="1" t="s">
        <v>2024</v>
      </c>
      <c r="D63" s="1" t="s">
        <v>13572</v>
      </c>
      <c r="E63" s="1" t="s">
        <v>2025</v>
      </c>
      <c r="F63" s="1" t="s">
        <v>13573</v>
      </c>
      <c r="G63">
        <v>238600</v>
      </c>
      <c r="H63">
        <v>71</v>
      </c>
      <c r="I63" s="1" t="s">
        <v>11063</v>
      </c>
      <c r="J63" s="11">
        <v>44729.706458333334</v>
      </c>
      <c r="K63" s="1" t="s">
        <v>2026</v>
      </c>
      <c r="L63" s="1">
        <v>0.80500000000000005</v>
      </c>
      <c r="M63" s="1">
        <v>0.60199999999999998</v>
      </c>
      <c r="N63">
        <v>0</v>
      </c>
      <c r="O63" s="1">
        <v>-9.6999999999999993</v>
      </c>
      <c r="P63">
        <v>0</v>
      </c>
      <c r="Q63" s="1">
        <v>0.57899999999999996</v>
      </c>
      <c r="R63" s="1">
        <v>0.11899999999999999</v>
      </c>
      <c r="S63" s="1">
        <v>0.122</v>
      </c>
      <c r="T63" s="1">
        <v>0.58099999999999996</v>
      </c>
      <c r="U63" s="1">
        <v>0.74399999999999999</v>
      </c>
      <c r="V63" s="1">
        <v>94.382000000000005</v>
      </c>
      <c r="W63">
        <v>4</v>
      </c>
    </row>
    <row r="64" spans="1:23" x14ac:dyDescent="0.25">
      <c r="A64" s="1" t="s">
        <v>11734</v>
      </c>
      <c r="B64" s="1" t="s">
        <v>11735</v>
      </c>
      <c r="C64" s="1" t="s">
        <v>2027</v>
      </c>
      <c r="D64" s="1" t="s">
        <v>11736</v>
      </c>
      <c r="E64" s="1" t="s">
        <v>436</v>
      </c>
      <c r="F64" s="1" t="s">
        <v>11737</v>
      </c>
      <c r="G64">
        <v>368316</v>
      </c>
      <c r="H64">
        <v>65</v>
      </c>
      <c r="I64" s="1" t="s">
        <v>11063</v>
      </c>
      <c r="J64" s="11">
        <v>44729.706458333334</v>
      </c>
      <c r="K64" s="1" t="s">
        <v>437</v>
      </c>
      <c r="L64" s="1">
        <v>0.68899999999999995</v>
      </c>
      <c r="M64" s="1">
        <v>0.68</v>
      </c>
      <c r="N64">
        <v>0</v>
      </c>
      <c r="O64" s="1">
        <v>-7.1959999999999997</v>
      </c>
      <c r="P64">
        <v>0</v>
      </c>
      <c r="Q64" s="1">
        <v>0.42699999999999999</v>
      </c>
      <c r="R64" s="1">
        <v>0.32100000000000001</v>
      </c>
      <c r="S64" s="1">
        <v>0.21099999999999999</v>
      </c>
      <c r="T64" s="1">
        <v>0.43099999999999999</v>
      </c>
      <c r="U64" s="1">
        <v>0.64600000000000002</v>
      </c>
      <c r="V64" s="1">
        <v>100.98699999999999</v>
      </c>
      <c r="W64">
        <v>4</v>
      </c>
    </row>
    <row r="65" spans="1:23" x14ac:dyDescent="0.25">
      <c r="A65" s="1" t="s">
        <v>13574</v>
      </c>
      <c r="B65" s="1" t="s">
        <v>13575</v>
      </c>
      <c r="C65" s="1" t="s">
        <v>2028</v>
      </c>
      <c r="D65" s="1" t="s">
        <v>13576</v>
      </c>
      <c r="E65" s="1" t="s">
        <v>2029</v>
      </c>
      <c r="F65" s="1" t="s">
        <v>13577</v>
      </c>
      <c r="G65">
        <v>391376</v>
      </c>
      <c r="H65">
        <v>83</v>
      </c>
      <c r="I65" s="1" t="s">
        <v>11063</v>
      </c>
      <c r="J65" s="11">
        <v>44729.706458333334</v>
      </c>
      <c r="K65" s="1" t="s">
        <v>2030</v>
      </c>
      <c r="L65" s="1">
        <v>0.57899999999999996</v>
      </c>
      <c r="M65" s="1">
        <v>0.50800000000000001</v>
      </c>
      <c r="N65">
        <v>2</v>
      </c>
      <c r="O65" s="1">
        <v>-9.484</v>
      </c>
      <c r="P65">
        <v>1</v>
      </c>
      <c r="Q65" s="1">
        <v>0.27</v>
      </c>
      <c r="R65" s="1">
        <v>0.57399999999999995</v>
      </c>
      <c r="S65" s="1">
        <v>0.49399999999999999</v>
      </c>
      <c r="T65" s="1">
        <v>0.57499999999999996</v>
      </c>
      <c r="U65" s="1">
        <v>0.60899999999999999</v>
      </c>
      <c r="V65" s="1">
        <v>147.125</v>
      </c>
      <c r="W65">
        <v>4</v>
      </c>
    </row>
    <row r="66" spans="1:23" x14ac:dyDescent="0.25">
      <c r="A66" s="1" t="s">
        <v>11705</v>
      </c>
      <c r="B66" s="1" t="s">
        <v>11706</v>
      </c>
      <c r="C66" s="1" t="s">
        <v>410</v>
      </c>
      <c r="D66" s="1" t="s">
        <v>11707</v>
      </c>
      <c r="E66" s="1" t="s">
        <v>411</v>
      </c>
      <c r="F66" s="1" t="s">
        <v>11708</v>
      </c>
      <c r="G66">
        <v>216320</v>
      </c>
      <c r="H66">
        <v>84</v>
      </c>
      <c r="I66" s="1" t="s">
        <v>11063</v>
      </c>
      <c r="J66" s="11">
        <v>44729.706458333334</v>
      </c>
      <c r="K66" s="1" t="s">
        <v>412</v>
      </c>
      <c r="L66" s="1">
        <v>0.64</v>
      </c>
      <c r="M66" s="1">
        <v>0.74</v>
      </c>
      <c r="N66">
        <v>4</v>
      </c>
      <c r="O66" s="1">
        <v>-4.0830000000000002</v>
      </c>
      <c r="P66">
        <v>1</v>
      </c>
      <c r="Q66" s="1">
        <v>0.28399999999999997</v>
      </c>
      <c r="R66" s="1">
        <v>0.115</v>
      </c>
      <c r="S66" s="1">
        <v>0.67800000000000005</v>
      </c>
      <c r="T66" s="1">
        <v>0.16700000000000001</v>
      </c>
      <c r="U66" s="1">
        <v>0.78500000000000003</v>
      </c>
      <c r="V66" s="1">
        <v>116.879</v>
      </c>
      <c r="W66">
        <v>4</v>
      </c>
    </row>
    <row r="67" spans="1:23" x14ac:dyDescent="0.25">
      <c r="A67" s="1" t="s">
        <v>13578</v>
      </c>
      <c r="B67" s="1" t="s">
        <v>13579</v>
      </c>
      <c r="C67" s="1" t="s">
        <v>2031</v>
      </c>
      <c r="D67" s="1" t="s">
        <v>2031</v>
      </c>
      <c r="E67" s="1" t="s">
        <v>2032</v>
      </c>
      <c r="F67" s="1" t="s">
        <v>13580</v>
      </c>
      <c r="G67">
        <v>152581</v>
      </c>
      <c r="H67">
        <v>54</v>
      </c>
      <c r="I67" s="1" t="s">
        <v>11063</v>
      </c>
      <c r="J67" s="11">
        <v>44729.706458333334</v>
      </c>
      <c r="K67" s="1" t="s">
        <v>2033</v>
      </c>
      <c r="L67" s="1">
        <v>0.74099999999999999</v>
      </c>
      <c r="M67" s="1">
        <v>0.91400000000000003</v>
      </c>
      <c r="N67">
        <v>5</v>
      </c>
      <c r="O67" s="1">
        <v>-2.6219999999999999</v>
      </c>
      <c r="P67">
        <v>1</v>
      </c>
      <c r="Q67" s="1">
        <v>0.39100000000000001</v>
      </c>
      <c r="R67" s="1">
        <v>0.129</v>
      </c>
      <c r="S67" s="1">
        <v>0.17399999999999999</v>
      </c>
      <c r="T67" s="1">
        <v>0.16600000000000001</v>
      </c>
      <c r="U67" s="1">
        <v>0.71199999999999997</v>
      </c>
      <c r="V67" s="1">
        <v>128.94800000000001</v>
      </c>
      <c r="W67">
        <v>4</v>
      </c>
    </row>
    <row r="68" spans="1:23" x14ac:dyDescent="0.25">
      <c r="A68" s="1" t="s">
        <v>13581</v>
      </c>
      <c r="B68" s="1" t="s">
        <v>13582</v>
      </c>
      <c r="C68" s="1" t="s">
        <v>2034</v>
      </c>
      <c r="D68" s="1" t="s">
        <v>13583</v>
      </c>
      <c r="E68" s="1" t="s">
        <v>2035</v>
      </c>
      <c r="F68" s="1" t="s">
        <v>13584</v>
      </c>
      <c r="G68">
        <v>189660</v>
      </c>
      <c r="H68">
        <v>43</v>
      </c>
      <c r="I68" s="1" t="s">
        <v>11063</v>
      </c>
      <c r="J68" s="11">
        <v>44729.706458333334</v>
      </c>
      <c r="K68" s="1" t="s">
        <v>2036</v>
      </c>
      <c r="L68" s="1">
        <v>0.73499999999999999</v>
      </c>
      <c r="M68" s="1">
        <v>0.43</v>
      </c>
      <c r="N68">
        <v>9</v>
      </c>
      <c r="O68" s="1">
        <v>-9.532</v>
      </c>
      <c r="P68">
        <v>1</v>
      </c>
      <c r="Q68" s="1">
        <v>0.34899999999999998</v>
      </c>
      <c r="R68" s="1">
        <v>0.57299999999999995</v>
      </c>
      <c r="S68" s="1">
        <v>0</v>
      </c>
      <c r="T68" s="1">
        <v>0.111</v>
      </c>
      <c r="U68" s="1">
        <v>0.52200000000000002</v>
      </c>
      <c r="V68" s="1">
        <v>129.94200000000001</v>
      </c>
      <c r="W68">
        <v>4</v>
      </c>
    </row>
    <row r="69" spans="1:23" x14ac:dyDescent="0.25">
      <c r="A69" s="1" t="s">
        <v>13585</v>
      </c>
      <c r="B69" s="1" t="s">
        <v>13586</v>
      </c>
      <c r="C69" s="1" t="s">
        <v>2037</v>
      </c>
      <c r="D69" s="1" t="s">
        <v>2037</v>
      </c>
      <c r="E69" s="1" t="s">
        <v>2038</v>
      </c>
      <c r="F69" s="1" t="s">
        <v>13587</v>
      </c>
      <c r="G69">
        <v>166279</v>
      </c>
      <c r="H69">
        <v>42</v>
      </c>
      <c r="I69" s="1" t="s">
        <v>11063</v>
      </c>
      <c r="J69" s="11">
        <v>44729.706458333334</v>
      </c>
      <c r="K69" s="1" t="s">
        <v>2039</v>
      </c>
      <c r="L69" s="1">
        <v>0.51700000000000002</v>
      </c>
      <c r="M69" s="1">
        <v>0.82799999999999996</v>
      </c>
      <c r="N69">
        <v>11</v>
      </c>
      <c r="O69" s="1">
        <v>-4.819</v>
      </c>
      <c r="P69">
        <v>0</v>
      </c>
      <c r="Q69" s="1">
        <v>0.34399999999999997</v>
      </c>
      <c r="R69" s="1">
        <v>0.623</v>
      </c>
      <c r="S69" s="1">
        <v>0</v>
      </c>
      <c r="T69" s="1">
        <v>0.182</v>
      </c>
      <c r="U69" s="1">
        <v>0.53200000000000003</v>
      </c>
      <c r="V69" s="1">
        <v>84.894999999999996</v>
      </c>
      <c r="W69">
        <v>4</v>
      </c>
    </row>
    <row r="70" spans="1:23" x14ac:dyDescent="0.25">
      <c r="A70" s="1" t="s">
        <v>13588</v>
      </c>
      <c r="B70" s="1" t="s">
        <v>13589</v>
      </c>
      <c r="C70" s="1" t="s">
        <v>2040</v>
      </c>
      <c r="D70" s="1" t="s">
        <v>4791</v>
      </c>
      <c r="E70" s="1" t="s">
        <v>2041</v>
      </c>
      <c r="F70" s="1" t="s">
        <v>13590</v>
      </c>
      <c r="G70">
        <v>186000</v>
      </c>
      <c r="H70">
        <v>31</v>
      </c>
      <c r="I70" s="1" t="s">
        <v>11063</v>
      </c>
      <c r="J70" s="11">
        <v>44729.706458333334</v>
      </c>
      <c r="K70" s="1" t="s">
        <v>996</v>
      </c>
      <c r="L70" s="1">
        <v>0.45800000000000002</v>
      </c>
      <c r="M70" s="1">
        <v>0.69799999999999995</v>
      </c>
      <c r="N70">
        <v>10</v>
      </c>
      <c r="O70" s="1">
        <v>-4.7670000000000003</v>
      </c>
      <c r="P70">
        <v>1</v>
      </c>
      <c r="Q70" s="1">
        <v>0.97</v>
      </c>
      <c r="R70" s="1">
        <v>0.63600000000000001</v>
      </c>
      <c r="S70" s="1">
        <v>0.17100000000000001</v>
      </c>
      <c r="T70" s="1">
        <v>0.14299999999999999</v>
      </c>
      <c r="U70" s="1">
        <v>0.249</v>
      </c>
      <c r="V70" s="1">
        <v>79.823999999999998</v>
      </c>
      <c r="W70">
        <v>4</v>
      </c>
    </row>
    <row r="71" spans="1:23" x14ac:dyDescent="0.25">
      <c r="A71" s="1" t="s">
        <v>11731</v>
      </c>
      <c r="B71" s="1" t="s">
        <v>11732</v>
      </c>
      <c r="C71" s="1" t="s">
        <v>433</v>
      </c>
      <c r="D71" s="1" t="s">
        <v>433</v>
      </c>
      <c r="E71" s="1" t="s">
        <v>434</v>
      </c>
      <c r="F71" s="1" t="s">
        <v>11733</v>
      </c>
      <c r="G71">
        <v>169608</v>
      </c>
      <c r="H71">
        <v>54</v>
      </c>
      <c r="I71" s="1" t="s">
        <v>11063</v>
      </c>
      <c r="J71" s="11">
        <v>44729.706458333334</v>
      </c>
      <c r="K71" s="1" t="s">
        <v>435</v>
      </c>
      <c r="L71" s="1">
        <v>0.441</v>
      </c>
      <c r="M71" s="1">
        <v>0.76600000000000001</v>
      </c>
      <c r="N71">
        <v>6</v>
      </c>
      <c r="O71" s="1">
        <v>-5.9210000000000003</v>
      </c>
      <c r="P71">
        <v>0</v>
      </c>
      <c r="Q71" s="1">
        <v>0.53300000000000003</v>
      </c>
      <c r="R71" s="1">
        <v>0.18099999999999999</v>
      </c>
      <c r="S71" s="1">
        <v>0.16</v>
      </c>
      <c r="T71" s="1">
        <v>0.50900000000000001</v>
      </c>
      <c r="U71" s="1">
        <v>0.52</v>
      </c>
      <c r="V71" s="1">
        <v>150.054</v>
      </c>
      <c r="W71">
        <v>4</v>
      </c>
    </row>
    <row r="72" spans="1:23" x14ac:dyDescent="0.25">
      <c r="A72" s="1" t="s">
        <v>13591</v>
      </c>
      <c r="B72" s="1" t="s">
        <v>13592</v>
      </c>
      <c r="C72" s="1" t="s">
        <v>2042</v>
      </c>
      <c r="D72" s="1" t="s">
        <v>2042</v>
      </c>
      <c r="E72" s="1" t="s">
        <v>2043</v>
      </c>
      <c r="F72" s="1" t="s">
        <v>13547</v>
      </c>
      <c r="G72">
        <v>225600</v>
      </c>
      <c r="H72">
        <v>31</v>
      </c>
      <c r="I72" s="1" t="s">
        <v>11063</v>
      </c>
      <c r="J72" s="11">
        <v>44729.706458333334</v>
      </c>
      <c r="K72" s="1" t="s">
        <v>2044</v>
      </c>
      <c r="L72" s="1">
        <v>0.58699999999999997</v>
      </c>
      <c r="M72" s="1">
        <v>0.89600000000000002</v>
      </c>
      <c r="N72">
        <v>8</v>
      </c>
      <c r="O72" s="1">
        <v>-3.1280000000000001</v>
      </c>
      <c r="P72">
        <v>1</v>
      </c>
      <c r="Q72" s="1">
        <v>0.68600000000000005</v>
      </c>
      <c r="R72" s="1">
        <v>0.82</v>
      </c>
      <c r="S72" s="1">
        <v>0.88600000000000001</v>
      </c>
      <c r="T72" s="1">
        <v>0.65600000000000003</v>
      </c>
      <c r="U72" s="1">
        <v>0.54900000000000004</v>
      </c>
      <c r="V72" s="1">
        <v>150.096</v>
      </c>
      <c r="W72">
        <v>4</v>
      </c>
    </row>
    <row r="73" spans="1:23" x14ac:dyDescent="0.25">
      <c r="A73" s="1" t="s">
        <v>13593</v>
      </c>
      <c r="B73" s="1" t="s">
        <v>13594</v>
      </c>
      <c r="C73" s="1" t="s">
        <v>2045</v>
      </c>
      <c r="D73" s="1" t="s">
        <v>13595</v>
      </c>
      <c r="E73" s="1" t="s">
        <v>2046</v>
      </c>
      <c r="F73" s="1" t="s">
        <v>13596</v>
      </c>
      <c r="G73">
        <v>258422</v>
      </c>
      <c r="H73">
        <v>32</v>
      </c>
      <c r="I73" s="1" t="s">
        <v>11063</v>
      </c>
      <c r="J73" s="11">
        <v>44729.706458333334</v>
      </c>
      <c r="K73" s="1" t="s">
        <v>50</v>
      </c>
      <c r="L73" s="1">
        <v>0.57299999999999995</v>
      </c>
      <c r="M73" s="1">
        <v>0.57399999999999995</v>
      </c>
      <c r="N73">
        <v>2</v>
      </c>
      <c r="O73" s="1">
        <v>-5.1289999999999996</v>
      </c>
      <c r="P73">
        <v>0</v>
      </c>
      <c r="Q73" s="1">
        <v>0.125</v>
      </c>
      <c r="R73" s="1">
        <v>0.374</v>
      </c>
      <c r="S73" s="1">
        <v>0.21</v>
      </c>
      <c r="T73" s="1">
        <v>0.85399999999999998</v>
      </c>
      <c r="U73" s="1">
        <v>0.15</v>
      </c>
      <c r="V73" s="1">
        <v>145.048</v>
      </c>
      <c r="W73">
        <v>4</v>
      </c>
    </row>
    <row r="74" spans="1:23" x14ac:dyDescent="0.25">
      <c r="A74" s="1" t="s">
        <v>13597</v>
      </c>
      <c r="B74" s="1" t="s">
        <v>13598</v>
      </c>
      <c r="C74" s="1" t="s">
        <v>2047</v>
      </c>
      <c r="D74" s="1" t="s">
        <v>2047</v>
      </c>
      <c r="E74" s="1" t="s">
        <v>2048</v>
      </c>
      <c r="F74" s="1" t="s">
        <v>11335</v>
      </c>
      <c r="G74">
        <v>227441</v>
      </c>
      <c r="H74">
        <v>39</v>
      </c>
      <c r="I74" s="1" t="s">
        <v>11063</v>
      </c>
      <c r="J74" s="11">
        <v>44729.706458333334</v>
      </c>
      <c r="K74" s="1" t="s">
        <v>2049</v>
      </c>
      <c r="L74" s="1">
        <v>0.442</v>
      </c>
      <c r="M74" s="1">
        <v>0.57199999999999995</v>
      </c>
      <c r="N74">
        <v>10</v>
      </c>
      <c r="O74" s="1">
        <v>-5.5090000000000003</v>
      </c>
      <c r="P74">
        <v>0</v>
      </c>
      <c r="Q74" s="1">
        <v>0.36199999999999999</v>
      </c>
      <c r="R74" s="1">
        <v>0.29299999999999998</v>
      </c>
      <c r="S74" s="1">
        <v>0.36899999999999999</v>
      </c>
      <c r="T74" s="1">
        <v>0.97799999999999998</v>
      </c>
      <c r="U74" s="1">
        <v>0.108</v>
      </c>
      <c r="V74" s="1">
        <v>85.962999999999994</v>
      </c>
      <c r="W74">
        <v>4</v>
      </c>
    </row>
    <row r="75" spans="1:23" x14ac:dyDescent="0.25">
      <c r="A75" s="1" t="s">
        <v>13599</v>
      </c>
      <c r="B75" s="1" t="s">
        <v>13600</v>
      </c>
      <c r="C75" s="1" t="s">
        <v>2050</v>
      </c>
      <c r="D75" s="1" t="s">
        <v>2050</v>
      </c>
      <c r="E75" s="1" t="s">
        <v>2051</v>
      </c>
      <c r="F75" s="1" t="s">
        <v>13322</v>
      </c>
      <c r="G75">
        <v>240000</v>
      </c>
      <c r="H75">
        <v>40</v>
      </c>
      <c r="I75" s="1" t="s">
        <v>11063</v>
      </c>
      <c r="J75" s="11">
        <v>44729.706458333334</v>
      </c>
      <c r="K75" s="1" t="s">
        <v>50</v>
      </c>
      <c r="L75" s="1">
        <v>0.318</v>
      </c>
      <c r="M75" s="1">
        <v>0.71799999999999997</v>
      </c>
      <c r="N75">
        <v>1</v>
      </c>
      <c r="O75" s="1">
        <v>-6.3319999999999999</v>
      </c>
      <c r="P75">
        <v>0</v>
      </c>
      <c r="Q75" s="1">
        <v>0.54300000000000004</v>
      </c>
      <c r="R75" s="1">
        <v>0.27200000000000002</v>
      </c>
      <c r="S75" s="1">
        <v>0</v>
      </c>
      <c r="T75" s="1">
        <v>0.13800000000000001</v>
      </c>
      <c r="U75" s="1">
        <v>0.34699999999999998</v>
      </c>
      <c r="V75" s="1">
        <v>179.91900000000001</v>
      </c>
      <c r="W75">
        <v>4</v>
      </c>
    </row>
    <row r="76" spans="1:23" x14ac:dyDescent="0.25">
      <c r="A76" s="1" t="s">
        <v>13601</v>
      </c>
      <c r="B76" s="1" t="s">
        <v>13602</v>
      </c>
      <c r="C76" s="1" t="s">
        <v>2052</v>
      </c>
      <c r="D76" s="1" t="s">
        <v>13603</v>
      </c>
      <c r="E76" s="1" t="s">
        <v>2053</v>
      </c>
      <c r="F76" s="1" t="s">
        <v>13604</v>
      </c>
      <c r="G76">
        <v>178864</v>
      </c>
      <c r="H76">
        <v>28</v>
      </c>
      <c r="I76" s="1" t="s">
        <v>11063</v>
      </c>
      <c r="J76" s="11">
        <v>44729.706458333334</v>
      </c>
      <c r="K76" s="1" t="s">
        <v>2054</v>
      </c>
      <c r="L76" s="1">
        <v>0.751</v>
      </c>
      <c r="M76" s="1">
        <v>0.77500000000000002</v>
      </c>
      <c r="N76">
        <v>11</v>
      </c>
      <c r="O76" s="1">
        <v>-3.8690000000000002</v>
      </c>
      <c r="P76">
        <v>0</v>
      </c>
      <c r="Q76" s="1">
        <v>0.77700000000000002</v>
      </c>
      <c r="R76" s="1">
        <v>0.17399999999999999</v>
      </c>
      <c r="S76" s="1">
        <v>0.42399999999999999</v>
      </c>
      <c r="T76" s="1">
        <v>0.14299999999999999</v>
      </c>
      <c r="U76" s="1">
        <v>0.373</v>
      </c>
      <c r="V76" s="1">
        <v>115.99</v>
      </c>
      <c r="W76">
        <v>4</v>
      </c>
    </row>
    <row r="77" spans="1:23" x14ac:dyDescent="0.25">
      <c r="A77" s="1" t="s">
        <v>13605</v>
      </c>
      <c r="B77" s="1" t="s">
        <v>11732</v>
      </c>
      <c r="C77" s="1" t="s">
        <v>2055</v>
      </c>
      <c r="D77" s="1" t="s">
        <v>13606</v>
      </c>
      <c r="E77" s="1" t="s">
        <v>434</v>
      </c>
      <c r="F77" s="1" t="s">
        <v>13607</v>
      </c>
      <c r="G77">
        <v>161693</v>
      </c>
      <c r="H77">
        <v>52</v>
      </c>
      <c r="I77" s="1" t="s">
        <v>11063</v>
      </c>
      <c r="J77" s="11">
        <v>44729.706458333334</v>
      </c>
      <c r="K77" s="1" t="s">
        <v>435</v>
      </c>
      <c r="L77" s="1">
        <v>0.63100000000000001</v>
      </c>
      <c r="M77" s="1">
        <v>0.71899999999999997</v>
      </c>
      <c r="N77">
        <v>3</v>
      </c>
      <c r="O77" s="1">
        <v>-6.4349999999999996</v>
      </c>
      <c r="P77">
        <v>0</v>
      </c>
      <c r="Q77" s="1">
        <v>0.19</v>
      </c>
      <c r="R77" s="1">
        <v>0.33100000000000002</v>
      </c>
      <c r="S77" s="1">
        <v>0.36499999999999999</v>
      </c>
      <c r="T77" s="1">
        <v>0.52700000000000002</v>
      </c>
      <c r="U77" s="1">
        <v>0.629</v>
      </c>
      <c r="V77" s="1">
        <v>128.029</v>
      </c>
      <c r="W77">
        <v>4</v>
      </c>
    </row>
    <row r="78" spans="1:23" x14ac:dyDescent="0.25">
      <c r="A78" s="1" t="s">
        <v>13608</v>
      </c>
      <c r="B78" s="1" t="s">
        <v>11184</v>
      </c>
      <c r="C78" s="1" t="s">
        <v>2056</v>
      </c>
      <c r="D78" s="1" t="s">
        <v>13609</v>
      </c>
      <c r="E78" s="1" t="s">
        <v>2057</v>
      </c>
      <c r="F78" s="1" t="s">
        <v>13610</v>
      </c>
      <c r="G78">
        <v>161828</v>
      </c>
      <c r="H78">
        <v>55</v>
      </c>
      <c r="I78" s="1" t="s">
        <v>11063</v>
      </c>
      <c r="J78" s="11">
        <v>44729.706458333334</v>
      </c>
      <c r="K78" s="1" t="s">
        <v>50</v>
      </c>
      <c r="L78" s="1">
        <v>0.83199999999999996</v>
      </c>
      <c r="M78" s="1">
        <v>0.629</v>
      </c>
      <c r="N78">
        <v>8</v>
      </c>
      <c r="O78" s="1">
        <v>-10.146000000000001</v>
      </c>
      <c r="P78">
        <v>1</v>
      </c>
      <c r="Q78" s="1">
        <v>0.74</v>
      </c>
      <c r="R78" s="1">
        <v>0.31</v>
      </c>
      <c r="S78" s="1">
        <v>0.42</v>
      </c>
      <c r="T78" s="1">
        <v>0.111</v>
      </c>
      <c r="U78" s="1">
        <v>0.48699999999999999</v>
      </c>
      <c r="V78" s="1">
        <v>115.01900000000001</v>
      </c>
      <c r="W78">
        <v>4</v>
      </c>
    </row>
    <row r="79" spans="1:23" x14ac:dyDescent="0.25">
      <c r="A79" s="1" t="s">
        <v>13611</v>
      </c>
      <c r="B79" s="1" t="s">
        <v>13612</v>
      </c>
      <c r="C79" s="1" t="s">
        <v>2058</v>
      </c>
      <c r="D79" s="1" t="s">
        <v>13613</v>
      </c>
      <c r="E79" s="1" t="s">
        <v>2059</v>
      </c>
      <c r="F79" s="1" t="s">
        <v>11657</v>
      </c>
      <c r="G79">
        <v>202410</v>
      </c>
      <c r="H79">
        <v>58</v>
      </c>
      <c r="I79" s="1" t="s">
        <v>11063</v>
      </c>
      <c r="J79" s="11">
        <v>44729.706458333334</v>
      </c>
      <c r="K79" s="1" t="s">
        <v>2060</v>
      </c>
      <c r="L79" s="1">
        <v>0.44</v>
      </c>
      <c r="M79" s="1">
        <v>0.877</v>
      </c>
      <c r="N79">
        <v>2</v>
      </c>
      <c r="O79" s="1">
        <v>-5.1219999999999999</v>
      </c>
      <c r="P79">
        <v>1</v>
      </c>
      <c r="Q79" s="1">
        <v>0.157</v>
      </c>
      <c r="R79" s="1">
        <v>0.21099999999999999</v>
      </c>
      <c r="S79" s="1">
        <v>0</v>
      </c>
      <c r="T79" s="1">
        <v>0.40200000000000002</v>
      </c>
      <c r="U79" s="1">
        <v>0.46300000000000002</v>
      </c>
      <c r="V79" s="1">
        <v>172.05099999999999</v>
      </c>
      <c r="W79">
        <v>4</v>
      </c>
    </row>
    <row r="80" spans="1:23" x14ac:dyDescent="0.25">
      <c r="A80" s="1" t="s">
        <v>13614</v>
      </c>
      <c r="B80" s="1" t="s">
        <v>13615</v>
      </c>
      <c r="C80" s="1" t="s">
        <v>2061</v>
      </c>
      <c r="D80" s="1" t="s">
        <v>2061</v>
      </c>
      <c r="E80" s="1" t="s">
        <v>2062</v>
      </c>
      <c r="F80" s="1" t="s">
        <v>13516</v>
      </c>
      <c r="G80">
        <v>139435</v>
      </c>
      <c r="H80">
        <v>66</v>
      </c>
      <c r="I80" s="1" t="s">
        <v>11063</v>
      </c>
      <c r="J80" s="11">
        <v>44729.706458333334</v>
      </c>
      <c r="K80" s="1" t="s">
        <v>2063</v>
      </c>
      <c r="L80" s="1">
        <v>0.88700000000000001</v>
      </c>
      <c r="M80" s="1">
        <v>0.86299999999999999</v>
      </c>
      <c r="N80">
        <v>2</v>
      </c>
      <c r="O80" s="1">
        <v>-4.2</v>
      </c>
      <c r="P80">
        <v>1</v>
      </c>
      <c r="Q80" s="1">
        <v>0.69699999999999995</v>
      </c>
      <c r="R80" s="1">
        <v>0.17599999999999999</v>
      </c>
      <c r="S80" s="1">
        <v>0.59399999999999997</v>
      </c>
      <c r="T80" s="1">
        <v>0.28799999999999998</v>
      </c>
      <c r="U80" s="1">
        <v>0.51700000000000002</v>
      </c>
      <c r="V80" s="1">
        <v>120.02800000000001</v>
      </c>
      <c r="W80">
        <v>4</v>
      </c>
    </row>
    <row r="81" spans="1:23" x14ac:dyDescent="0.25">
      <c r="A81" s="1" t="s">
        <v>13616</v>
      </c>
      <c r="B81" s="1" t="s">
        <v>13617</v>
      </c>
      <c r="C81" s="1" t="s">
        <v>2064</v>
      </c>
      <c r="D81" s="1" t="s">
        <v>2897</v>
      </c>
      <c r="E81" s="1" t="s">
        <v>2065</v>
      </c>
      <c r="F81" s="1" t="s">
        <v>13618</v>
      </c>
      <c r="G81">
        <v>137142</v>
      </c>
      <c r="H81">
        <v>46</v>
      </c>
      <c r="I81" s="1" t="s">
        <v>11063</v>
      </c>
      <c r="J81" s="11">
        <v>44729.706458333334</v>
      </c>
      <c r="K81" s="1" t="s">
        <v>2066</v>
      </c>
      <c r="L81" s="1">
        <v>0.53700000000000003</v>
      </c>
      <c r="M81" s="1">
        <v>0.72899999999999998</v>
      </c>
      <c r="N81">
        <v>11</v>
      </c>
      <c r="O81" s="1">
        <v>-7.44</v>
      </c>
      <c r="P81">
        <v>0</v>
      </c>
      <c r="Q81" s="1">
        <v>0.56899999999999995</v>
      </c>
      <c r="R81" s="1">
        <v>0.14199999999999999</v>
      </c>
      <c r="S81" s="1">
        <v>0.52600000000000002</v>
      </c>
      <c r="T81" s="1">
        <v>0.129</v>
      </c>
      <c r="U81" s="1">
        <v>0.36099999999999999</v>
      </c>
      <c r="V81" s="1">
        <v>90.87</v>
      </c>
      <c r="W81">
        <v>4</v>
      </c>
    </row>
    <row r="82" spans="1:23" x14ac:dyDescent="0.25">
      <c r="A82" s="1" t="s">
        <v>13619</v>
      </c>
      <c r="B82" s="1" t="s">
        <v>13620</v>
      </c>
      <c r="C82" s="1" t="s">
        <v>2067</v>
      </c>
      <c r="D82" s="1" t="s">
        <v>2067</v>
      </c>
      <c r="E82" s="1" t="s">
        <v>2068</v>
      </c>
      <c r="F82" s="1" t="s">
        <v>13516</v>
      </c>
      <c r="G82">
        <v>194887</v>
      </c>
      <c r="H82">
        <v>53</v>
      </c>
      <c r="I82" s="1" t="s">
        <v>11063</v>
      </c>
      <c r="J82" s="11">
        <v>44729.706458333334</v>
      </c>
      <c r="K82" s="1" t="s">
        <v>2069</v>
      </c>
      <c r="L82" s="1">
        <v>0.67</v>
      </c>
      <c r="M82" s="1">
        <v>0.54300000000000004</v>
      </c>
      <c r="N82">
        <v>0</v>
      </c>
      <c r="O82" s="1">
        <v>-8.484</v>
      </c>
      <c r="P82">
        <v>1</v>
      </c>
      <c r="Q82" s="1">
        <v>0.35599999999999998</v>
      </c>
      <c r="R82" s="1">
        <v>0.17499999999999999</v>
      </c>
      <c r="S82" s="1">
        <v>0</v>
      </c>
      <c r="T82" s="1">
        <v>0.14499999999999999</v>
      </c>
      <c r="U82" s="1">
        <v>0.40699999999999997</v>
      </c>
      <c r="V82" s="1">
        <v>133.02799999999999</v>
      </c>
      <c r="W82">
        <v>4</v>
      </c>
    </row>
    <row r="83" spans="1:23" x14ac:dyDescent="0.25">
      <c r="A83" s="1" t="s">
        <v>11744</v>
      </c>
      <c r="B83" s="1" t="s">
        <v>11745</v>
      </c>
      <c r="C83" s="1" t="s">
        <v>444</v>
      </c>
      <c r="D83" s="1" t="s">
        <v>444</v>
      </c>
      <c r="E83" s="1" t="s">
        <v>445</v>
      </c>
      <c r="F83" s="1" t="s">
        <v>11746</v>
      </c>
      <c r="G83">
        <v>168750</v>
      </c>
      <c r="H83">
        <v>41</v>
      </c>
      <c r="I83" s="1" t="s">
        <v>11063</v>
      </c>
      <c r="J83" s="11">
        <v>44729.706458333334</v>
      </c>
      <c r="K83" s="1" t="s">
        <v>142</v>
      </c>
      <c r="L83" s="1">
        <v>0.56499999999999995</v>
      </c>
      <c r="M83" s="1">
        <v>0.67300000000000004</v>
      </c>
      <c r="N83">
        <v>11</v>
      </c>
      <c r="O83" s="1">
        <v>-7.1580000000000004</v>
      </c>
      <c r="P83">
        <v>0</v>
      </c>
      <c r="Q83" s="1">
        <v>0.13700000000000001</v>
      </c>
      <c r="R83" s="1">
        <v>0.30499999999999999</v>
      </c>
      <c r="S83" s="1">
        <v>0.13</v>
      </c>
      <c r="T83" s="1">
        <v>0.13100000000000001</v>
      </c>
      <c r="U83" s="1">
        <v>0.43</v>
      </c>
      <c r="V83" s="1">
        <v>128.113</v>
      </c>
      <c r="W83">
        <v>4</v>
      </c>
    </row>
    <row r="84" spans="1:23" x14ac:dyDescent="0.25">
      <c r="A84" s="1" t="s">
        <v>13621</v>
      </c>
      <c r="B84" s="1" t="s">
        <v>13622</v>
      </c>
      <c r="C84" s="1" t="s">
        <v>2070</v>
      </c>
      <c r="D84" s="1" t="s">
        <v>13623</v>
      </c>
      <c r="E84" s="1" t="s">
        <v>2071</v>
      </c>
      <c r="F84" s="1" t="s">
        <v>13624</v>
      </c>
      <c r="G84">
        <v>445600</v>
      </c>
      <c r="H84">
        <v>48</v>
      </c>
      <c r="I84" s="1" t="s">
        <v>11063</v>
      </c>
      <c r="J84" s="11">
        <v>44729.706458333334</v>
      </c>
      <c r="K84" s="1" t="s">
        <v>2072</v>
      </c>
      <c r="L84" s="1">
        <v>0.79600000000000004</v>
      </c>
      <c r="M84" s="1">
        <v>0.69699999999999995</v>
      </c>
      <c r="N84">
        <v>7</v>
      </c>
      <c r="O84" s="1">
        <v>-6.9169999999999998</v>
      </c>
      <c r="P84">
        <v>1</v>
      </c>
      <c r="Q84" s="1">
        <v>0.59899999999999998</v>
      </c>
      <c r="R84" s="1">
        <v>0.41299999999999998</v>
      </c>
      <c r="S84" s="1">
        <v>0.77</v>
      </c>
      <c r="T84" s="1">
        <v>0.23599999999999999</v>
      </c>
      <c r="U84" s="1">
        <v>0.11700000000000001</v>
      </c>
      <c r="V84" s="1">
        <v>121.006</v>
      </c>
      <c r="W84">
        <v>4</v>
      </c>
    </row>
    <row r="85" spans="1:23" x14ac:dyDescent="0.25">
      <c r="A85" s="1" t="s">
        <v>13625</v>
      </c>
      <c r="B85" s="1" t="s">
        <v>13626</v>
      </c>
      <c r="C85" s="1" t="s">
        <v>2073</v>
      </c>
      <c r="D85" s="1" t="s">
        <v>2073</v>
      </c>
      <c r="E85" s="1" t="s">
        <v>2074</v>
      </c>
      <c r="F85" s="1" t="s">
        <v>13624</v>
      </c>
      <c r="G85">
        <v>211714</v>
      </c>
      <c r="H85">
        <v>42</v>
      </c>
      <c r="I85" s="1" t="s">
        <v>11063</v>
      </c>
      <c r="J85" s="11">
        <v>44729.706458333334</v>
      </c>
      <c r="K85" s="1" t="s">
        <v>2075</v>
      </c>
      <c r="L85" s="1">
        <v>0.80600000000000005</v>
      </c>
      <c r="M85" s="1">
        <v>0.63300000000000001</v>
      </c>
      <c r="N85">
        <v>6</v>
      </c>
      <c r="O85" s="1">
        <v>-6.3819999999999997</v>
      </c>
      <c r="P85">
        <v>0</v>
      </c>
      <c r="Q85" s="1">
        <v>0.89300000000000002</v>
      </c>
      <c r="R85" s="1">
        <v>0.19700000000000001</v>
      </c>
      <c r="S85" s="1">
        <v>0.46800000000000003</v>
      </c>
      <c r="T85" s="1">
        <v>0.10100000000000001</v>
      </c>
      <c r="U85" s="1">
        <v>0.42099999999999999</v>
      </c>
      <c r="V85" s="1">
        <v>139.99799999999999</v>
      </c>
      <c r="W85">
        <v>4</v>
      </c>
    </row>
    <row r="86" spans="1:23" x14ac:dyDescent="0.25">
      <c r="A86" s="1" t="s">
        <v>13627</v>
      </c>
      <c r="B86" s="1" t="s">
        <v>13628</v>
      </c>
      <c r="C86" s="1" t="s">
        <v>2076</v>
      </c>
      <c r="D86" s="1" t="s">
        <v>2076</v>
      </c>
      <c r="E86" s="1" t="s">
        <v>2077</v>
      </c>
      <c r="F86" s="1" t="s">
        <v>11657</v>
      </c>
      <c r="G86">
        <v>129570</v>
      </c>
      <c r="H86">
        <v>44</v>
      </c>
      <c r="I86" s="1" t="s">
        <v>11063</v>
      </c>
      <c r="J86" s="11">
        <v>44729.706458333334</v>
      </c>
      <c r="K86" s="1" t="s">
        <v>2078</v>
      </c>
      <c r="L86" s="1">
        <v>0.89</v>
      </c>
      <c r="M86" s="1">
        <v>0.42399999999999999</v>
      </c>
      <c r="N86">
        <v>11</v>
      </c>
      <c r="O86" s="1">
        <v>-8.8970000000000002</v>
      </c>
      <c r="P86">
        <v>0</v>
      </c>
      <c r="Q86" s="1">
        <v>0.95299999999999996</v>
      </c>
      <c r="R86" s="1">
        <v>0.77300000000000002</v>
      </c>
      <c r="S86" s="1">
        <v>0.20399999999999999</v>
      </c>
      <c r="T86" s="1">
        <v>0.126</v>
      </c>
      <c r="U86" s="1">
        <v>0.67900000000000005</v>
      </c>
      <c r="V86" s="1">
        <v>89.98</v>
      </c>
      <c r="W86">
        <v>4</v>
      </c>
    </row>
    <row r="87" spans="1:23" x14ac:dyDescent="0.25">
      <c r="A87" s="1" t="s">
        <v>13629</v>
      </c>
      <c r="B87" s="1" t="s">
        <v>13630</v>
      </c>
      <c r="C87" s="1" t="s">
        <v>2079</v>
      </c>
      <c r="D87" s="1" t="s">
        <v>2079</v>
      </c>
      <c r="E87" s="1" t="s">
        <v>2080</v>
      </c>
      <c r="F87" s="1" t="s">
        <v>11657</v>
      </c>
      <c r="G87">
        <v>244173</v>
      </c>
      <c r="H87">
        <v>42</v>
      </c>
      <c r="I87" s="1" t="s">
        <v>11063</v>
      </c>
      <c r="J87" s="11">
        <v>44729.706458333334</v>
      </c>
      <c r="K87" s="1" t="s">
        <v>2081</v>
      </c>
      <c r="L87" s="1">
        <v>0.55700000000000005</v>
      </c>
      <c r="M87" s="1">
        <v>0.65200000000000002</v>
      </c>
      <c r="N87">
        <v>4</v>
      </c>
      <c r="O87" s="1">
        <v>-7.6829999999999998</v>
      </c>
      <c r="P87">
        <v>0</v>
      </c>
      <c r="Q87" s="1">
        <v>0.14099999999999999</v>
      </c>
      <c r="R87" s="1">
        <v>0.66100000000000003</v>
      </c>
      <c r="S87" s="1">
        <v>0</v>
      </c>
      <c r="T87" s="1">
        <v>0.30099999999999999</v>
      </c>
      <c r="U87" s="1">
        <v>0.318</v>
      </c>
      <c r="V87" s="1">
        <v>80.004000000000005</v>
      </c>
      <c r="W87">
        <v>4</v>
      </c>
    </row>
    <row r="88" spans="1:23" x14ac:dyDescent="0.25">
      <c r="A88" s="1" t="s">
        <v>13631</v>
      </c>
      <c r="B88" s="1" t="s">
        <v>13632</v>
      </c>
      <c r="C88" s="1" t="s">
        <v>2082</v>
      </c>
      <c r="D88" s="1" t="s">
        <v>2082</v>
      </c>
      <c r="E88" s="1" t="s">
        <v>2083</v>
      </c>
      <c r="F88" s="1" t="s">
        <v>11657</v>
      </c>
      <c r="G88">
        <v>182362</v>
      </c>
      <c r="H88">
        <v>32</v>
      </c>
      <c r="I88" s="1" t="s">
        <v>11063</v>
      </c>
      <c r="J88" s="11">
        <v>44729.706458333334</v>
      </c>
      <c r="K88" s="1" t="s">
        <v>50</v>
      </c>
      <c r="L88" s="1">
        <v>0.85799999999999998</v>
      </c>
      <c r="M88" s="1">
        <v>0.81299999999999994</v>
      </c>
      <c r="N88">
        <v>0</v>
      </c>
      <c r="O88" s="1">
        <v>-5.3239999999999998</v>
      </c>
      <c r="P88">
        <v>1</v>
      </c>
      <c r="Q88" s="1">
        <v>0.20200000000000001</v>
      </c>
      <c r="R88" s="1">
        <v>0.1</v>
      </c>
      <c r="S88" s="1">
        <v>0.20200000000000001</v>
      </c>
      <c r="T88" s="1">
        <v>0.33700000000000002</v>
      </c>
      <c r="U88" s="1">
        <v>0.89600000000000002</v>
      </c>
      <c r="V88" s="1">
        <v>124.039</v>
      </c>
      <c r="W88">
        <v>4</v>
      </c>
    </row>
    <row r="89" spans="1:23" x14ac:dyDescent="0.25">
      <c r="A89" s="1" t="s">
        <v>13633</v>
      </c>
      <c r="B89" s="1" t="s">
        <v>13634</v>
      </c>
      <c r="C89" s="1" t="s">
        <v>2084</v>
      </c>
      <c r="D89" s="1" t="s">
        <v>13635</v>
      </c>
      <c r="E89" s="1" t="s">
        <v>2085</v>
      </c>
      <c r="F89" s="1" t="s">
        <v>11657</v>
      </c>
      <c r="G89">
        <v>148485</v>
      </c>
      <c r="H89">
        <v>71</v>
      </c>
      <c r="I89" s="1" t="s">
        <v>11063</v>
      </c>
      <c r="J89" s="11">
        <v>44729.706458333334</v>
      </c>
      <c r="K89" s="1" t="s">
        <v>2086</v>
      </c>
      <c r="L89" s="1">
        <v>0.70399999999999996</v>
      </c>
      <c r="M89" s="1">
        <v>0.79700000000000004</v>
      </c>
      <c r="N89">
        <v>0</v>
      </c>
      <c r="O89" s="1">
        <v>-5.9269999999999996</v>
      </c>
      <c r="P89">
        <v>1</v>
      </c>
      <c r="Q89" s="1">
        <v>0.47499999999999998</v>
      </c>
      <c r="R89" s="1">
        <v>0.82599999999999996</v>
      </c>
      <c r="S89" s="1">
        <v>0.745</v>
      </c>
      <c r="T89" s="1">
        <v>0.54600000000000004</v>
      </c>
      <c r="U89" s="1">
        <v>0.82499999999999996</v>
      </c>
      <c r="V89" s="1">
        <v>139.994</v>
      </c>
      <c r="W89">
        <v>4</v>
      </c>
    </row>
    <row r="90" spans="1:23" x14ac:dyDescent="0.25">
      <c r="A90" s="1" t="s">
        <v>13636</v>
      </c>
      <c r="B90" s="1" t="s">
        <v>11133</v>
      </c>
      <c r="C90" s="1" t="s">
        <v>2087</v>
      </c>
      <c r="D90" s="1" t="s">
        <v>2087</v>
      </c>
      <c r="E90" s="1" t="s">
        <v>2088</v>
      </c>
      <c r="F90" s="1" t="s">
        <v>11657</v>
      </c>
      <c r="G90">
        <v>221942</v>
      </c>
      <c r="H90">
        <v>41</v>
      </c>
      <c r="I90" s="1" t="s">
        <v>11063</v>
      </c>
      <c r="J90" s="11">
        <v>44729.706458333334</v>
      </c>
      <c r="K90" s="1" t="s">
        <v>2089</v>
      </c>
      <c r="L90" s="1">
        <v>0.45900000000000002</v>
      </c>
      <c r="M90" s="1">
        <v>0.66</v>
      </c>
      <c r="N90">
        <v>2</v>
      </c>
      <c r="O90" s="1">
        <v>-4.4340000000000002</v>
      </c>
      <c r="P90">
        <v>0</v>
      </c>
      <c r="Q90" s="1">
        <v>0.318</v>
      </c>
      <c r="R90" s="1">
        <v>0.58199999999999996</v>
      </c>
      <c r="S90" s="1">
        <v>0</v>
      </c>
      <c r="T90" s="1">
        <v>0.14099999999999999</v>
      </c>
      <c r="U90" s="1">
        <v>0.629</v>
      </c>
      <c r="V90" s="1">
        <v>133.07300000000001</v>
      </c>
      <c r="W90">
        <v>4</v>
      </c>
    </row>
    <row r="91" spans="1:23" x14ac:dyDescent="0.25">
      <c r="A91" s="1" t="s">
        <v>13637</v>
      </c>
      <c r="B91" s="1" t="s">
        <v>13503</v>
      </c>
      <c r="C91" s="1" t="s">
        <v>2090</v>
      </c>
      <c r="D91" s="1" t="s">
        <v>13638</v>
      </c>
      <c r="E91" s="1" t="s">
        <v>1972</v>
      </c>
      <c r="F91" s="1" t="s">
        <v>11657</v>
      </c>
      <c r="G91">
        <v>229652</v>
      </c>
      <c r="H91">
        <v>51</v>
      </c>
      <c r="I91" s="1" t="s">
        <v>11063</v>
      </c>
      <c r="J91" s="11">
        <v>44729.706458333334</v>
      </c>
      <c r="K91" s="1" t="s">
        <v>1973</v>
      </c>
      <c r="L91" s="1">
        <v>0.35799999999999998</v>
      </c>
      <c r="M91" s="1">
        <v>0.68200000000000005</v>
      </c>
      <c r="N91">
        <v>4</v>
      </c>
      <c r="O91" s="1">
        <v>-6.9080000000000004</v>
      </c>
      <c r="P91">
        <v>0</v>
      </c>
      <c r="Q91" s="1">
        <v>0.34</v>
      </c>
      <c r="R91" s="1">
        <v>0.157</v>
      </c>
      <c r="S91" s="1">
        <v>0.105</v>
      </c>
      <c r="T91" s="1">
        <v>0.122</v>
      </c>
      <c r="U91" s="1">
        <v>0.33100000000000002</v>
      </c>
      <c r="V91" s="1">
        <v>80.78</v>
      </c>
      <c r="W91">
        <v>4</v>
      </c>
    </row>
    <row r="92" spans="1:23" x14ac:dyDescent="0.25">
      <c r="A92" s="1" t="s">
        <v>13639</v>
      </c>
      <c r="B92" s="1" t="s">
        <v>13640</v>
      </c>
      <c r="C92" s="1" t="s">
        <v>2091</v>
      </c>
      <c r="D92" s="1" t="s">
        <v>2091</v>
      </c>
      <c r="E92" s="1" t="s">
        <v>2092</v>
      </c>
      <c r="F92" s="1" t="s">
        <v>11657</v>
      </c>
      <c r="G92">
        <v>182700</v>
      </c>
      <c r="H92">
        <v>44</v>
      </c>
      <c r="I92" s="1" t="s">
        <v>11063</v>
      </c>
      <c r="J92" s="11">
        <v>44729.706458333334</v>
      </c>
      <c r="K92" s="1" t="s">
        <v>2093</v>
      </c>
      <c r="L92" s="1">
        <v>0.74299999999999999</v>
      </c>
      <c r="M92" s="1">
        <v>0.47399999999999998</v>
      </c>
      <c r="N92">
        <v>0</v>
      </c>
      <c r="O92" s="1">
        <v>-10.959</v>
      </c>
      <c r="P92">
        <v>0</v>
      </c>
      <c r="Q92" s="1">
        <v>0.495</v>
      </c>
      <c r="R92" s="1">
        <v>0.439</v>
      </c>
      <c r="S92" s="1">
        <v>0</v>
      </c>
      <c r="T92" s="1">
        <v>0.125</v>
      </c>
      <c r="U92" s="1">
        <v>0.313</v>
      </c>
      <c r="V92" s="1">
        <v>100.054</v>
      </c>
      <c r="W92">
        <v>4</v>
      </c>
    </row>
    <row r="93" spans="1:23" x14ac:dyDescent="0.25">
      <c r="A93" s="1" t="s">
        <v>11655</v>
      </c>
      <c r="B93" s="1" t="s">
        <v>11656</v>
      </c>
      <c r="C93" s="1" t="s">
        <v>374</v>
      </c>
      <c r="D93" s="1" t="s">
        <v>374</v>
      </c>
      <c r="E93" s="1" t="s">
        <v>375</v>
      </c>
      <c r="F93" s="1" t="s">
        <v>11657</v>
      </c>
      <c r="G93">
        <v>214459</v>
      </c>
      <c r="H93">
        <v>88</v>
      </c>
      <c r="I93" s="1" t="s">
        <v>11063</v>
      </c>
      <c r="J93" s="11">
        <v>44729.706458333334</v>
      </c>
      <c r="K93" s="1" t="s">
        <v>2094</v>
      </c>
      <c r="L93" s="1">
        <v>0.82399999999999995</v>
      </c>
      <c r="M93" s="1">
        <v>0.69699999999999995</v>
      </c>
      <c r="N93">
        <v>11</v>
      </c>
      <c r="O93" s="1">
        <v>-4.8689999999999998</v>
      </c>
      <c r="P93">
        <v>0</v>
      </c>
      <c r="Q93" s="1">
        <v>0.47299999999999998</v>
      </c>
      <c r="R93" s="1">
        <v>0.158</v>
      </c>
      <c r="S93" s="1">
        <v>0.41099999999999998</v>
      </c>
      <c r="T93" s="1">
        <v>0.77</v>
      </c>
      <c r="U93" s="1">
        <v>0.75700000000000001</v>
      </c>
      <c r="V93" s="1">
        <v>99.988</v>
      </c>
      <c r="W93">
        <v>4</v>
      </c>
    </row>
    <row r="94" spans="1:23" x14ac:dyDescent="0.25">
      <c r="A94" s="1" t="s">
        <v>13641</v>
      </c>
      <c r="B94" s="1" t="s">
        <v>13642</v>
      </c>
      <c r="C94" s="1" t="s">
        <v>2095</v>
      </c>
      <c r="D94" s="1" t="s">
        <v>13643</v>
      </c>
      <c r="E94" s="1" t="s">
        <v>2096</v>
      </c>
      <c r="F94" s="1" t="s">
        <v>13644</v>
      </c>
      <c r="G94">
        <v>130000</v>
      </c>
      <c r="H94">
        <v>44</v>
      </c>
      <c r="I94" s="1" t="s">
        <v>11063</v>
      </c>
      <c r="J94" s="11">
        <v>44729.706458333334</v>
      </c>
      <c r="K94" s="1" t="s">
        <v>1043</v>
      </c>
      <c r="L94" s="1">
        <v>0.54900000000000004</v>
      </c>
      <c r="M94" s="1">
        <v>0.66800000000000004</v>
      </c>
      <c r="N94">
        <v>9</v>
      </c>
      <c r="O94" s="1">
        <v>-9.6750000000000007</v>
      </c>
      <c r="P94">
        <v>1</v>
      </c>
      <c r="Q94" s="1">
        <v>0.42</v>
      </c>
      <c r="R94" s="1">
        <v>0.46500000000000002</v>
      </c>
      <c r="S94" s="1">
        <v>0.22</v>
      </c>
      <c r="T94" s="1">
        <v>0.109</v>
      </c>
      <c r="U94" s="1">
        <v>0.42</v>
      </c>
      <c r="V94" s="1">
        <v>98.88</v>
      </c>
      <c r="W94">
        <v>3</v>
      </c>
    </row>
    <row r="95" spans="1:23" x14ac:dyDescent="0.25">
      <c r="A95" s="1" t="s">
        <v>13645</v>
      </c>
      <c r="B95" s="1" t="s">
        <v>13646</v>
      </c>
      <c r="C95" s="1" t="s">
        <v>2097</v>
      </c>
      <c r="D95" s="1" t="s">
        <v>2097</v>
      </c>
      <c r="E95" s="1" t="s">
        <v>2098</v>
      </c>
      <c r="F95" s="1" t="s">
        <v>13647</v>
      </c>
      <c r="G95">
        <v>209147</v>
      </c>
      <c r="H95">
        <v>50</v>
      </c>
      <c r="I95" s="1" t="s">
        <v>11063</v>
      </c>
      <c r="J95" s="11">
        <v>44729.706458333334</v>
      </c>
      <c r="K95" s="1" t="s">
        <v>2099</v>
      </c>
      <c r="L95" s="1">
        <v>0.66500000000000004</v>
      </c>
      <c r="M95" s="1">
        <v>0.6</v>
      </c>
      <c r="N95">
        <v>0</v>
      </c>
      <c r="O95" s="1">
        <v>-8.2680000000000007</v>
      </c>
      <c r="P95">
        <v>1</v>
      </c>
      <c r="Q95" s="1">
        <v>0.67300000000000004</v>
      </c>
      <c r="R95" s="1">
        <v>0.29799999999999999</v>
      </c>
      <c r="S95" s="1">
        <v>0.217</v>
      </c>
      <c r="T95" s="1">
        <v>0.84699999999999998</v>
      </c>
      <c r="U95" s="1">
        <v>0.32400000000000001</v>
      </c>
      <c r="V95" s="1">
        <v>109.745</v>
      </c>
      <c r="W95">
        <v>4</v>
      </c>
    </row>
    <row r="96" spans="1:23" x14ac:dyDescent="0.25">
      <c r="A96" s="1" t="s">
        <v>13648</v>
      </c>
      <c r="B96" s="1" t="s">
        <v>11333</v>
      </c>
      <c r="C96" s="1" t="s">
        <v>2100</v>
      </c>
      <c r="D96" s="1" t="s">
        <v>2100</v>
      </c>
      <c r="E96" s="1" t="s">
        <v>126</v>
      </c>
      <c r="F96" s="1" t="s">
        <v>13649</v>
      </c>
      <c r="G96">
        <v>208866</v>
      </c>
      <c r="H96">
        <v>84</v>
      </c>
      <c r="I96" s="1" t="s">
        <v>11063</v>
      </c>
      <c r="J96" s="11">
        <v>44729.706458333334</v>
      </c>
      <c r="K96" s="1" t="s">
        <v>127</v>
      </c>
      <c r="L96" s="1">
        <v>0.76200000000000001</v>
      </c>
      <c r="M96" s="1">
        <v>0.70099999999999996</v>
      </c>
      <c r="N96">
        <v>8</v>
      </c>
      <c r="O96" s="1">
        <v>-3.5409999999999999</v>
      </c>
      <c r="P96">
        <v>1</v>
      </c>
      <c r="Q96" s="1">
        <v>0.28599999999999998</v>
      </c>
      <c r="R96" s="1">
        <v>0.23499999999999999</v>
      </c>
      <c r="S96" s="1">
        <v>0.158</v>
      </c>
      <c r="T96" s="1">
        <v>0.123</v>
      </c>
      <c r="U96" s="1">
        <v>0.74199999999999999</v>
      </c>
      <c r="V96" s="1">
        <v>110.968</v>
      </c>
      <c r="W96">
        <v>4</v>
      </c>
    </row>
    <row r="97" spans="1:23" x14ac:dyDescent="0.25">
      <c r="A97" s="1" t="s">
        <v>11634</v>
      </c>
      <c r="B97" s="1" t="s">
        <v>11635</v>
      </c>
      <c r="C97" s="1" t="s">
        <v>356</v>
      </c>
      <c r="D97" s="1" t="s">
        <v>356</v>
      </c>
      <c r="E97" s="1" t="s">
        <v>357</v>
      </c>
      <c r="F97" s="1" t="s">
        <v>11636</v>
      </c>
      <c r="G97">
        <v>159535</v>
      </c>
      <c r="H97">
        <v>71</v>
      </c>
      <c r="I97" s="1" t="s">
        <v>11063</v>
      </c>
      <c r="J97" s="11">
        <v>44729.706458333334</v>
      </c>
      <c r="K97" s="1" t="s">
        <v>358</v>
      </c>
      <c r="L97" s="1">
        <v>0.72899999999999998</v>
      </c>
      <c r="M97" s="1">
        <v>0.78800000000000003</v>
      </c>
      <c r="N97">
        <v>10</v>
      </c>
      <c r="O97" s="1">
        <v>-4.8319999999999999</v>
      </c>
      <c r="P97">
        <v>0</v>
      </c>
      <c r="Q97" s="1">
        <v>0.90800000000000003</v>
      </c>
      <c r="R97" s="1">
        <v>0.70299999999999996</v>
      </c>
      <c r="S97" s="1">
        <v>0</v>
      </c>
      <c r="T97" s="1">
        <v>0.115</v>
      </c>
      <c r="U97" s="1">
        <v>0.85699999999999998</v>
      </c>
      <c r="V97" s="1">
        <v>118.039</v>
      </c>
      <c r="W97">
        <v>4</v>
      </c>
    </row>
    <row r="98" spans="1:23" x14ac:dyDescent="0.25">
      <c r="A98" s="1" t="s">
        <v>11631</v>
      </c>
      <c r="B98" s="1" t="s">
        <v>11632</v>
      </c>
      <c r="C98" s="1" t="s">
        <v>2101</v>
      </c>
      <c r="D98" s="1" t="s">
        <v>11633</v>
      </c>
      <c r="E98" s="1" t="s">
        <v>354</v>
      </c>
      <c r="F98" s="1" t="s">
        <v>11285</v>
      </c>
      <c r="G98">
        <v>141805</v>
      </c>
      <c r="H98">
        <v>88</v>
      </c>
      <c r="I98" s="1" t="s">
        <v>11063</v>
      </c>
      <c r="J98" s="11">
        <v>44729.706458333334</v>
      </c>
      <c r="K98" s="1" t="s">
        <v>355</v>
      </c>
      <c r="L98" s="1">
        <v>0.59099999999999997</v>
      </c>
      <c r="M98" s="1">
        <v>0.76400000000000001</v>
      </c>
      <c r="N98">
        <v>1</v>
      </c>
      <c r="O98" s="1">
        <v>-5.484</v>
      </c>
      <c r="P98">
        <v>1</v>
      </c>
      <c r="Q98" s="1">
        <v>0.48299999999999998</v>
      </c>
      <c r="R98" s="1">
        <v>0.38300000000000001</v>
      </c>
      <c r="S98" s="1">
        <v>0</v>
      </c>
      <c r="T98" s="1">
        <v>0.10299999999999999</v>
      </c>
      <c r="U98" s="1">
        <v>0.47799999999999998</v>
      </c>
      <c r="V98" s="1">
        <v>169.928</v>
      </c>
      <c r="W98">
        <v>4</v>
      </c>
    </row>
    <row r="99" spans="1:23" x14ac:dyDescent="0.25">
      <c r="A99" s="1" t="s">
        <v>11628</v>
      </c>
      <c r="B99" s="1" t="s">
        <v>11629</v>
      </c>
      <c r="C99" s="1" t="s">
        <v>352</v>
      </c>
      <c r="D99" s="1" t="s">
        <v>352</v>
      </c>
      <c r="E99" s="1" t="s">
        <v>353</v>
      </c>
      <c r="F99" s="1" t="s">
        <v>11630</v>
      </c>
      <c r="G99">
        <v>196375</v>
      </c>
      <c r="H99">
        <v>69</v>
      </c>
      <c r="I99" s="1" t="s">
        <v>11063</v>
      </c>
      <c r="J99" s="11">
        <v>44729.706458333334</v>
      </c>
      <c r="K99" s="1" t="s">
        <v>25</v>
      </c>
      <c r="L99" s="1">
        <v>0.78900000000000003</v>
      </c>
      <c r="M99" s="1">
        <v>0.435</v>
      </c>
      <c r="N99">
        <v>2</v>
      </c>
      <c r="O99" s="1">
        <v>-9.5060000000000002</v>
      </c>
      <c r="P99">
        <v>0</v>
      </c>
      <c r="Q99" s="1">
        <v>0.14899999999999999</v>
      </c>
      <c r="R99" s="1">
        <v>0.69099999999999995</v>
      </c>
      <c r="S99" s="1">
        <v>0.39500000000000002</v>
      </c>
      <c r="T99" s="1">
        <v>0.107</v>
      </c>
      <c r="U99" s="1">
        <v>0.16600000000000001</v>
      </c>
      <c r="V99" s="1">
        <v>122.997</v>
      </c>
      <c r="W99">
        <v>4</v>
      </c>
    </row>
    <row r="100" spans="1:23" x14ac:dyDescent="0.25">
      <c r="A100" s="1" t="s">
        <v>13650</v>
      </c>
      <c r="B100" s="1" t="s">
        <v>13651</v>
      </c>
      <c r="C100" s="1" t="s">
        <v>2102</v>
      </c>
      <c r="D100" s="1" t="s">
        <v>2102</v>
      </c>
      <c r="E100" s="1" t="s">
        <v>2103</v>
      </c>
      <c r="F100" s="1" t="s">
        <v>13652</v>
      </c>
      <c r="G100">
        <v>195200</v>
      </c>
      <c r="H100">
        <v>52</v>
      </c>
      <c r="I100" s="1" t="s">
        <v>11063</v>
      </c>
      <c r="J100" s="11">
        <v>44729.706458333334</v>
      </c>
      <c r="K100" s="1" t="s">
        <v>1622</v>
      </c>
      <c r="L100" s="1">
        <v>0.67700000000000005</v>
      </c>
      <c r="M100" s="1">
        <v>0.90400000000000003</v>
      </c>
      <c r="N100">
        <v>5</v>
      </c>
      <c r="O100" s="1">
        <v>-1.43</v>
      </c>
      <c r="P100">
        <v>1</v>
      </c>
      <c r="Q100" s="1">
        <v>0.105</v>
      </c>
      <c r="R100" s="1">
        <v>0.17799999999999999</v>
      </c>
      <c r="S100" s="1">
        <v>0.93400000000000005</v>
      </c>
      <c r="T100" s="1">
        <v>0.58499999999999996</v>
      </c>
      <c r="U100" s="1">
        <v>0.61399999999999999</v>
      </c>
      <c r="V100" s="1">
        <v>149.99600000000001</v>
      </c>
      <c r="W100">
        <v>4</v>
      </c>
    </row>
    <row r="101" spans="1:23" x14ac:dyDescent="0.25">
      <c r="A101" s="1" t="s">
        <v>13653</v>
      </c>
      <c r="B101" s="1" t="s">
        <v>13654</v>
      </c>
      <c r="C101" s="1" t="s">
        <v>2104</v>
      </c>
      <c r="D101" s="1" t="s">
        <v>5458</v>
      </c>
      <c r="E101" s="1" t="s">
        <v>2105</v>
      </c>
      <c r="F101" s="1" t="s">
        <v>11660</v>
      </c>
      <c r="G101">
        <v>226232</v>
      </c>
      <c r="H101">
        <v>39</v>
      </c>
      <c r="I101" s="1" t="s">
        <v>11063</v>
      </c>
      <c r="J101" s="11">
        <v>44729.706458333334</v>
      </c>
      <c r="K101" s="1" t="s">
        <v>2106</v>
      </c>
      <c r="L101" s="1">
        <v>0.63</v>
      </c>
      <c r="M101" s="1">
        <v>0.83299999999999996</v>
      </c>
      <c r="N101">
        <v>1</v>
      </c>
      <c r="O101" s="1">
        <v>-3.5590000000000002</v>
      </c>
      <c r="P101">
        <v>1</v>
      </c>
      <c r="Q101" s="1">
        <v>0.55600000000000005</v>
      </c>
      <c r="R101" s="1">
        <v>0.252</v>
      </c>
      <c r="S101" s="1">
        <v>0</v>
      </c>
      <c r="T101" s="1">
        <v>0.96899999999999997</v>
      </c>
      <c r="U101" s="1">
        <v>0.51800000000000002</v>
      </c>
      <c r="V101" s="1">
        <v>138.041</v>
      </c>
      <c r="W101">
        <v>4</v>
      </c>
    </row>
    <row r="102" spans="1:23" x14ac:dyDescent="0.25">
      <c r="A102" s="1" t="s">
        <v>13655</v>
      </c>
      <c r="B102" s="1" t="s">
        <v>13656</v>
      </c>
      <c r="C102" s="1" t="s">
        <v>2107</v>
      </c>
      <c r="D102" s="1" t="s">
        <v>5458</v>
      </c>
      <c r="E102" s="1" t="s">
        <v>2108</v>
      </c>
      <c r="F102" s="1" t="s">
        <v>11660</v>
      </c>
      <c r="G102">
        <v>216799</v>
      </c>
      <c r="H102">
        <v>39</v>
      </c>
      <c r="I102" s="1" t="s">
        <v>11063</v>
      </c>
      <c r="J102" s="11">
        <v>44729.706458333334</v>
      </c>
      <c r="K102" s="1" t="s">
        <v>378</v>
      </c>
      <c r="L102" s="1">
        <v>0.57299999999999995</v>
      </c>
      <c r="M102" s="1">
        <v>0.90300000000000002</v>
      </c>
      <c r="N102">
        <v>3</v>
      </c>
      <c r="O102" s="1">
        <v>-3.7029999999999998</v>
      </c>
      <c r="P102">
        <v>0</v>
      </c>
      <c r="Q102" s="1">
        <v>0.34100000000000003</v>
      </c>
      <c r="R102" s="1">
        <v>0.11</v>
      </c>
      <c r="S102" s="1">
        <v>0.19700000000000001</v>
      </c>
      <c r="T102" s="1">
        <v>0.27500000000000002</v>
      </c>
      <c r="U102" s="1">
        <v>0.42499999999999999</v>
      </c>
      <c r="V102" s="1">
        <v>128.935</v>
      </c>
      <c r="W102">
        <v>4</v>
      </c>
    </row>
    <row r="103" spans="1:23" x14ac:dyDescent="0.25">
      <c r="A103" s="1" t="s">
        <v>13657</v>
      </c>
      <c r="B103" s="1" t="s">
        <v>13658</v>
      </c>
      <c r="C103" s="1" t="s">
        <v>2109</v>
      </c>
      <c r="D103" s="1" t="s">
        <v>5458</v>
      </c>
      <c r="E103" s="1" t="s">
        <v>2110</v>
      </c>
      <c r="F103" s="1" t="s">
        <v>11660</v>
      </c>
      <c r="G103">
        <v>215974</v>
      </c>
      <c r="H103">
        <v>47</v>
      </c>
      <c r="I103" s="1" t="s">
        <v>11063</v>
      </c>
      <c r="J103" s="11">
        <v>44729.706458333334</v>
      </c>
      <c r="K103" s="1" t="s">
        <v>2111</v>
      </c>
      <c r="L103" s="1">
        <v>0.54800000000000004</v>
      </c>
      <c r="M103" s="1">
        <v>0.58699999999999997</v>
      </c>
      <c r="N103">
        <v>6</v>
      </c>
      <c r="O103" s="1">
        <v>-7.1349999999999998</v>
      </c>
      <c r="P103">
        <v>1</v>
      </c>
      <c r="Q103" s="1">
        <v>0.51200000000000001</v>
      </c>
      <c r="R103" s="1">
        <v>0.128</v>
      </c>
      <c r="S103" s="1">
        <v>0.104</v>
      </c>
      <c r="T103" s="1">
        <v>0.11</v>
      </c>
      <c r="U103" s="1">
        <v>0.68500000000000005</v>
      </c>
      <c r="V103" s="1">
        <v>177.92500000000001</v>
      </c>
      <c r="W103">
        <v>4</v>
      </c>
    </row>
    <row r="104" spans="1:23" x14ac:dyDescent="0.25">
      <c r="A104" s="1" t="s">
        <v>13659</v>
      </c>
      <c r="B104" s="1" t="s">
        <v>11659</v>
      </c>
      <c r="C104" s="1" t="s">
        <v>2112</v>
      </c>
      <c r="D104" s="1" t="s">
        <v>5458</v>
      </c>
      <c r="E104" s="1" t="s">
        <v>377</v>
      </c>
      <c r="F104" s="1" t="s">
        <v>11660</v>
      </c>
      <c r="G104">
        <v>180129</v>
      </c>
      <c r="H104">
        <v>45</v>
      </c>
      <c r="I104" s="1" t="s">
        <v>11063</v>
      </c>
      <c r="J104" s="11">
        <v>44729.706458333334</v>
      </c>
      <c r="K104" s="1" t="s">
        <v>378</v>
      </c>
      <c r="L104" s="1">
        <v>0.59599999999999997</v>
      </c>
      <c r="M104" s="1">
        <v>0.74399999999999999</v>
      </c>
      <c r="N104">
        <v>6</v>
      </c>
      <c r="O104" s="1">
        <v>-4.3769999999999998</v>
      </c>
      <c r="P104">
        <v>0</v>
      </c>
      <c r="Q104" s="1">
        <v>0.308</v>
      </c>
      <c r="R104" s="1">
        <v>0.107</v>
      </c>
      <c r="S104" s="1">
        <v>0.106</v>
      </c>
      <c r="T104" s="1">
        <v>0.66500000000000004</v>
      </c>
      <c r="U104" s="1">
        <v>0.373</v>
      </c>
      <c r="V104" s="1">
        <v>139.87700000000001</v>
      </c>
      <c r="W104">
        <v>4</v>
      </c>
    </row>
    <row r="105" spans="1:23" x14ac:dyDescent="0.25">
      <c r="A105" s="1" t="s">
        <v>13660</v>
      </c>
      <c r="B105" s="1" t="s">
        <v>13661</v>
      </c>
      <c r="C105" s="1" t="s">
        <v>2113</v>
      </c>
      <c r="D105" s="1" t="s">
        <v>5458</v>
      </c>
      <c r="E105" s="1" t="s">
        <v>2114</v>
      </c>
      <c r="F105" s="1" t="s">
        <v>11660</v>
      </c>
      <c r="G105">
        <v>199918</v>
      </c>
      <c r="H105">
        <v>41</v>
      </c>
      <c r="I105" s="1" t="s">
        <v>11063</v>
      </c>
      <c r="J105" s="11">
        <v>44729.706458333334</v>
      </c>
      <c r="K105" s="1" t="s">
        <v>2115</v>
      </c>
      <c r="L105" s="1">
        <v>0.251</v>
      </c>
      <c r="M105" s="1">
        <v>0.67300000000000004</v>
      </c>
      <c r="N105">
        <v>3</v>
      </c>
      <c r="O105" s="1">
        <v>-5.3419999999999996</v>
      </c>
      <c r="P105">
        <v>1</v>
      </c>
      <c r="Q105" s="1">
        <v>0.76</v>
      </c>
      <c r="R105" s="1">
        <v>0.78200000000000003</v>
      </c>
      <c r="S105" s="1">
        <v>0</v>
      </c>
      <c r="T105" s="1">
        <v>0.84399999999999997</v>
      </c>
      <c r="U105" s="1">
        <v>0.26200000000000001</v>
      </c>
      <c r="V105" s="1">
        <v>89.972999999999999</v>
      </c>
      <c r="W105">
        <v>4</v>
      </c>
    </row>
    <row r="106" spans="1:23" x14ac:dyDescent="0.25">
      <c r="A106" s="1" t="s">
        <v>13662</v>
      </c>
      <c r="B106" s="1" t="s">
        <v>13663</v>
      </c>
      <c r="C106" s="1" t="s">
        <v>2116</v>
      </c>
      <c r="D106" s="1" t="s">
        <v>5458</v>
      </c>
      <c r="E106" s="1" t="s">
        <v>2117</v>
      </c>
      <c r="F106" s="1" t="s">
        <v>11660</v>
      </c>
      <c r="G106">
        <v>210351</v>
      </c>
      <c r="H106">
        <v>54</v>
      </c>
      <c r="I106" s="1" t="s">
        <v>11063</v>
      </c>
      <c r="J106" s="11">
        <v>44729.706458333334</v>
      </c>
      <c r="K106" s="1" t="s">
        <v>2118</v>
      </c>
      <c r="L106" s="1">
        <v>0.61199999999999999</v>
      </c>
      <c r="M106" s="1">
        <v>0.78100000000000003</v>
      </c>
      <c r="N106">
        <v>4</v>
      </c>
      <c r="O106" s="1">
        <v>-3.601</v>
      </c>
      <c r="P106">
        <v>1</v>
      </c>
      <c r="Q106" s="1">
        <v>0.93100000000000005</v>
      </c>
      <c r="R106" s="1">
        <v>0.54800000000000004</v>
      </c>
      <c r="S106" s="1">
        <v>0</v>
      </c>
      <c r="T106" s="1">
        <v>0.17399999999999999</v>
      </c>
      <c r="U106" s="1">
        <v>0.54</v>
      </c>
      <c r="V106" s="1">
        <v>148.017</v>
      </c>
      <c r="W106">
        <v>4</v>
      </c>
    </row>
    <row r="107" spans="1:23" x14ac:dyDescent="0.25">
      <c r="A107" s="1" t="s">
        <v>11658</v>
      </c>
      <c r="B107" s="1" t="s">
        <v>11659</v>
      </c>
      <c r="C107" s="1" t="s">
        <v>2119</v>
      </c>
      <c r="D107" s="1" t="s">
        <v>5458</v>
      </c>
      <c r="E107" s="1" t="s">
        <v>377</v>
      </c>
      <c r="F107" s="1" t="s">
        <v>11660</v>
      </c>
      <c r="G107">
        <v>221129</v>
      </c>
      <c r="H107">
        <v>53</v>
      </c>
      <c r="I107" s="1" t="s">
        <v>11063</v>
      </c>
      <c r="J107" s="11">
        <v>44729.706458333334</v>
      </c>
      <c r="K107" s="1" t="s">
        <v>378</v>
      </c>
      <c r="L107" s="1">
        <v>0.61899999999999999</v>
      </c>
      <c r="M107" s="1">
        <v>0.90200000000000002</v>
      </c>
      <c r="N107">
        <v>11</v>
      </c>
      <c r="O107" s="1">
        <v>-4.157</v>
      </c>
      <c r="P107">
        <v>0</v>
      </c>
      <c r="Q107" s="1">
        <v>0.56200000000000006</v>
      </c>
      <c r="R107" s="1">
        <v>0.95299999999999996</v>
      </c>
      <c r="S107" s="1">
        <v>0.40500000000000003</v>
      </c>
      <c r="T107" s="1">
        <v>0.216</v>
      </c>
      <c r="U107" s="1">
        <v>0.504</v>
      </c>
      <c r="V107" s="1">
        <v>123.002</v>
      </c>
      <c r="W107">
        <v>4</v>
      </c>
    </row>
    <row r="108" spans="1:23" x14ac:dyDescent="0.25">
      <c r="A108" s="1" t="s">
        <v>13664</v>
      </c>
      <c r="B108" s="1" t="s">
        <v>13665</v>
      </c>
      <c r="C108" s="1" t="s">
        <v>2120</v>
      </c>
      <c r="D108" s="1" t="s">
        <v>5458</v>
      </c>
      <c r="E108" s="1" t="s">
        <v>2121</v>
      </c>
      <c r="F108" s="1" t="s">
        <v>11660</v>
      </c>
      <c r="G108">
        <v>180992</v>
      </c>
      <c r="H108">
        <v>41</v>
      </c>
      <c r="I108" s="1" t="s">
        <v>11063</v>
      </c>
      <c r="J108" s="11">
        <v>44729.706458333334</v>
      </c>
      <c r="K108" s="1" t="s">
        <v>2122</v>
      </c>
      <c r="L108" s="1">
        <v>0.78</v>
      </c>
      <c r="M108" s="1">
        <v>0.59099999999999997</v>
      </c>
      <c r="N108">
        <v>6</v>
      </c>
      <c r="O108" s="1">
        <v>-7.4130000000000003</v>
      </c>
      <c r="P108">
        <v>1</v>
      </c>
      <c r="Q108" s="1">
        <v>0.875</v>
      </c>
      <c r="R108" s="1">
        <v>0.45400000000000001</v>
      </c>
      <c r="S108" s="1">
        <v>0.40600000000000003</v>
      </c>
      <c r="T108" s="1">
        <v>0.107</v>
      </c>
      <c r="U108" s="1">
        <v>0.54500000000000004</v>
      </c>
      <c r="V108" s="1">
        <v>102.005</v>
      </c>
      <c r="W108">
        <v>4</v>
      </c>
    </row>
    <row r="109" spans="1:23" x14ac:dyDescent="0.25">
      <c r="A109" s="1" t="s">
        <v>13666</v>
      </c>
      <c r="B109" s="1" t="s">
        <v>13667</v>
      </c>
      <c r="C109" s="1" t="s">
        <v>2123</v>
      </c>
      <c r="D109" s="1" t="s">
        <v>5458</v>
      </c>
      <c r="E109" s="1" t="s">
        <v>2124</v>
      </c>
      <c r="F109" s="1" t="s">
        <v>11660</v>
      </c>
      <c r="G109">
        <v>205786</v>
      </c>
      <c r="H109">
        <v>46</v>
      </c>
      <c r="I109" s="1" t="s">
        <v>11063</v>
      </c>
      <c r="J109" s="11">
        <v>44729.706458333334</v>
      </c>
      <c r="K109" s="1" t="s">
        <v>2125</v>
      </c>
      <c r="L109" s="1">
        <v>0.58199999999999996</v>
      </c>
      <c r="M109" s="1">
        <v>0.75700000000000001</v>
      </c>
      <c r="N109">
        <v>0</v>
      </c>
      <c r="O109" s="1">
        <v>-3.9649999999999999</v>
      </c>
      <c r="P109">
        <v>1</v>
      </c>
      <c r="Q109" s="1">
        <v>0.39900000000000002</v>
      </c>
      <c r="R109" s="1">
        <v>0.16</v>
      </c>
      <c r="S109" s="1">
        <v>0</v>
      </c>
      <c r="T109" s="1">
        <v>0.187</v>
      </c>
      <c r="U109" s="1">
        <v>0.51600000000000001</v>
      </c>
      <c r="V109" s="1">
        <v>104.105</v>
      </c>
      <c r="W109">
        <v>4</v>
      </c>
    </row>
    <row r="110" spans="1:23" x14ac:dyDescent="0.25">
      <c r="A110" s="1" t="s">
        <v>13668</v>
      </c>
      <c r="B110" s="1" t="s">
        <v>13669</v>
      </c>
      <c r="C110" s="1" t="s">
        <v>2126</v>
      </c>
      <c r="D110" s="1" t="s">
        <v>13670</v>
      </c>
      <c r="E110" s="1" t="s">
        <v>2127</v>
      </c>
      <c r="F110" s="1" t="s">
        <v>11524</v>
      </c>
      <c r="G110">
        <v>300222</v>
      </c>
      <c r="H110">
        <v>52</v>
      </c>
      <c r="I110" s="1" t="s">
        <v>11063</v>
      </c>
      <c r="J110" s="11">
        <v>44729.706458333334</v>
      </c>
      <c r="K110" s="1" t="s">
        <v>2128</v>
      </c>
      <c r="L110" s="1">
        <v>0.34399999999999997</v>
      </c>
      <c r="M110" s="1">
        <v>0.66300000000000003</v>
      </c>
      <c r="N110">
        <v>8</v>
      </c>
      <c r="O110" s="1">
        <v>-4.4480000000000004</v>
      </c>
      <c r="P110">
        <v>0</v>
      </c>
      <c r="Q110" s="1">
        <v>0.59499999999999997</v>
      </c>
      <c r="R110" s="1">
        <v>0.12</v>
      </c>
      <c r="S110" s="1">
        <v>0</v>
      </c>
      <c r="T110" s="1">
        <v>0.95699999999999996</v>
      </c>
      <c r="U110" s="1">
        <v>0.23300000000000001</v>
      </c>
      <c r="V110" s="1">
        <v>140.12899999999999</v>
      </c>
      <c r="W110">
        <v>4</v>
      </c>
    </row>
    <row r="111" spans="1:23" x14ac:dyDescent="0.25">
      <c r="A111" s="1" t="s">
        <v>13671</v>
      </c>
      <c r="B111" s="1" t="s">
        <v>13672</v>
      </c>
      <c r="C111" s="1" t="s">
        <v>2129</v>
      </c>
      <c r="D111" s="1" t="s">
        <v>13673</v>
      </c>
      <c r="E111" s="1" t="s">
        <v>2130</v>
      </c>
      <c r="F111" s="1" t="s">
        <v>13674</v>
      </c>
      <c r="G111">
        <v>182400</v>
      </c>
      <c r="H111">
        <v>52</v>
      </c>
      <c r="I111" s="1" t="s">
        <v>11063</v>
      </c>
      <c r="J111" s="11">
        <v>44729.706458333334</v>
      </c>
      <c r="K111" s="1" t="s">
        <v>2131</v>
      </c>
      <c r="L111" s="1">
        <v>0.57399999999999995</v>
      </c>
      <c r="M111" s="1">
        <v>0.94</v>
      </c>
      <c r="N111">
        <v>11</v>
      </c>
      <c r="O111" s="1">
        <v>-3.0379999999999998</v>
      </c>
      <c r="P111">
        <v>0</v>
      </c>
      <c r="Q111" s="1">
        <v>0.56899999999999995</v>
      </c>
      <c r="R111" s="1">
        <v>0.317</v>
      </c>
      <c r="S111" s="1">
        <v>0.43099999999999999</v>
      </c>
      <c r="T111" s="1">
        <v>0.113</v>
      </c>
      <c r="U111" s="1">
        <v>0.36199999999999999</v>
      </c>
      <c r="V111" s="1">
        <v>149.988</v>
      </c>
      <c r="W111">
        <v>4</v>
      </c>
    </row>
    <row r="112" spans="1:23" x14ac:dyDescent="0.25">
      <c r="A112" s="1" t="s">
        <v>13675</v>
      </c>
      <c r="B112" s="1" t="s">
        <v>13676</v>
      </c>
      <c r="C112" s="1" t="s">
        <v>2132</v>
      </c>
      <c r="D112" s="1" t="s">
        <v>2132</v>
      </c>
      <c r="E112" s="1" t="s">
        <v>2133</v>
      </c>
      <c r="F112" s="1" t="s">
        <v>13677</v>
      </c>
      <c r="G112">
        <v>185600</v>
      </c>
      <c r="H112">
        <v>45</v>
      </c>
      <c r="I112" s="1" t="s">
        <v>11063</v>
      </c>
      <c r="J112" s="11">
        <v>44729.706458333334</v>
      </c>
      <c r="K112" s="1" t="s">
        <v>2134</v>
      </c>
      <c r="L112" s="1">
        <v>0.72799999999999998</v>
      </c>
      <c r="M112" s="1">
        <v>0.91400000000000003</v>
      </c>
      <c r="N112">
        <v>0</v>
      </c>
      <c r="O112" s="1">
        <v>-1.413</v>
      </c>
      <c r="P112">
        <v>0</v>
      </c>
      <c r="Q112" s="1">
        <v>0.31</v>
      </c>
      <c r="R112" s="1">
        <v>0.156</v>
      </c>
      <c r="S112" s="1">
        <v>0.69199999999999995</v>
      </c>
      <c r="T112" s="1">
        <v>0.15</v>
      </c>
      <c r="U112" s="1">
        <v>0.52700000000000002</v>
      </c>
      <c r="V112" s="1">
        <v>74.968999999999994</v>
      </c>
      <c r="W112">
        <v>4</v>
      </c>
    </row>
    <row r="113" spans="1:23" x14ac:dyDescent="0.25">
      <c r="A113" s="1" t="s">
        <v>13678</v>
      </c>
      <c r="B113" s="1" t="s">
        <v>13679</v>
      </c>
      <c r="C113" s="1" t="s">
        <v>2135</v>
      </c>
      <c r="D113" s="1" t="s">
        <v>2135</v>
      </c>
      <c r="E113" s="1" t="s">
        <v>2136</v>
      </c>
      <c r="F113" s="1" t="s">
        <v>13680</v>
      </c>
      <c r="G113">
        <v>274285</v>
      </c>
      <c r="H113">
        <v>59</v>
      </c>
      <c r="I113" s="1" t="s">
        <v>11063</v>
      </c>
      <c r="J113" s="11">
        <v>44729.706458333334</v>
      </c>
      <c r="K113" s="1" t="s">
        <v>2137</v>
      </c>
      <c r="L113" s="1">
        <v>0.435</v>
      </c>
      <c r="M113" s="1">
        <v>0.72499999999999998</v>
      </c>
      <c r="N113">
        <v>1</v>
      </c>
      <c r="O113" s="1">
        <v>-6.9690000000000003</v>
      </c>
      <c r="P113">
        <v>1</v>
      </c>
      <c r="Q113" s="1">
        <v>0.60899999999999999</v>
      </c>
      <c r="R113" s="1">
        <v>0.42399999999999999</v>
      </c>
      <c r="S113" s="1">
        <v>0.38900000000000001</v>
      </c>
      <c r="T113" s="1">
        <v>0.105</v>
      </c>
      <c r="U113" s="1">
        <v>0.39700000000000002</v>
      </c>
      <c r="V113" s="1">
        <v>174.989</v>
      </c>
      <c r="W113">
        <v>4</v>
      </c>
    </row>
    <row r="114" spans="1:23" x14ac:dyDescent="0.25">
      <c r="A114" s="1" t="s">
        <v>13681</v>
      </c>
      <c r="B114" s="1" t="s">
        <v>11788</v>
      </c>
      <c r="C114" s="1" t="s">
        <v>2138</v>
      </c>
      <c r="D114" s="1" t="s">
        <v>13682</v>
      </c>
      <c r="E114" s="1" t="s">
        <v>474</v>
      </c>
      <c r="F114" s="1" t="s">
        <v>13683</v>
      </c>
      <c r="G114">
        <v>169043</v>
      </c>
      <c r="H114">
        <v>41</v>
      </c>
      <c r="I114" s="1" t="s">
        <v>11063</v>
      </c>
      <c r="J114" s="11">
        <v>44729.706458333334</v>
      </c>
      <c r="K114" s="1" t="s">
        <v>1053</v>
      </c>
      <c r="L114" s="1">
        <v>0.66700000000000004</v>
      </c>
      <c r="M114" s="1">
        <v>0.81499999999999995</v>
      </c>
      <c r="N114">
        <v>10</v>
      </c>
      <c r="O114" s="1">
        <v>-5.141</v>
      </c>
      <c r="P114">
        <v>0</v>
      </c>
      <c r="Q114" s="1">
        <v>0.307</v>
      </c>
      <c r="R114" s="1">
        <v>0.13500000000000001</v>
      </c>
      <c r="S114" s="1">
        <v>0.41599999999999998</v>
      </c>
      <c r="T114" s="1">
        <v>0.95699999999999996</v>
      </c>
      <c r="U114" s="1">
        <v>0.50700000000000001</v>
      </c>
      <c r="V114" s="1">
        <v>115.015</v>
      </c>
      <c r="W114">
        <v>4</v>
      </c>
    </row>
    <row r="115" spans="1:23" x14ac:dyDescent="0.25">
      <c r="A115" s="1" t="s">
        <v>13684</v>
      </c>
      <c r="B115" s="1" t="s">
        <v>13685</v>
      </c>
      <c r="C115" s="1" t="s">
        <v>2139</v>
      </c>
      <c r="D115" s="1" t="s">
        <v>2139</v>
      </c>
      <c r="E115" s="1" t="s">
        <v>2140</v>
      </c>
      <c r="F115" s="1" t="s">
        <v>13686</v>
      </c>
      <c r="G115">
        <v>201136</v>
      </c>
      <c r="H115">
        <v>42</v>
      </c>
      <c r="I115" s="1" t="s">
        <v>11063</v>
      </c>
      <c r="J115" s="11">
        <v>44729.706458333334</v>
      </c>
      <c r="K115" s="1" t="s">
        <v>2141</v>
      </c>
      <c r="L115" s="1">
        <v>0.64</v>
      </c>
      <c r="M115" s="1">
        <v>0.52500000000000002</v>
      </c>
      <c r="N115">
        <v>2</v>
      </c>
      <c r="O115" s="1">
        <v>-8.2349999999999994</v>
      </c>
      <c r="P115">
        <v>1</v>
      </c>
      <c r="Q115" s="1">
        <v>0.55700000000000005</v>
      </c>
      <c r="R115" s="1">
        <v>0.313</v>
      </c>
      <c r="S115" s="1">
        <v>0</v>
      </c>
      <c r="T115" s="1">
        <v>0.33500000000000002</v>
      </c>
      <c r="U115" s="1">
        <v>0.376</v>
      </c>
      <c r="V115" s="1">
        <v>88.066999999999993</v>
      </c>
      <c r="W115">
        <v>4</v>
      </c>
    </row>
    <row r="116" spans="1:23" x14ac:dyDescent="0.25">
      <c r="A116" s="1" t="s">
        <v>13687</v>
      </c>
      <c r="B116" s="1" t="s">
        <v>13688</v>
      </c>
      <c r="C116" s="1" t="s">
        <v>2142</v>
      </c>
      <c r="D116" s="1" t="s">
        <v>2142</v>
      </c>
      <c r="E116" s="1" t="s">
        <v>2143</v>
      </c>
      <c r="F116" s="1" t="s">
        <v>13689</v>
      </c>
      <c r="G116">
        <v>190909</v>
      </c>
      <c r="H116">
        <v>48</v>
      </c>
      <c r="I116" s="1" t="s">
        <v>11063</v>
      </c>
      <c r="J116" s="11">
        <v>44729.706458333334</v>
      </c>
      <c r="K116" s="1" t="s">
        <v>2144</v>
      </c>
      <c r="L116" s="1">
        <v>0.63</v>
      </c>
      <c r="M116" s="1">
        <v>0.90100000000000002</v>
      </c>
      <c r="N116">
        <v>5</v>
      </c>
      <c r="O116" s="1">
        <v>-2.66</v>
      </c>
      <c r="P116">
        <v>0</v>
      </c>
      <c r="Q116" s="1">
        <v>0.47499999999999998</v>
      </c>
      <c r="R116" s="1">
        <v>0.41599999999999998</v>
      </c>
      <c r="S116" s="1">
        <v>0.126</v>
      </c>
      <c r="T116" s="1">
        <v>0.313</v>
      </c>
      <c r="U116" s="1">
        <v>0.60599999999999998</v>
      </c>
      <c r="V116" s="1">
        <v>109.971</v>
      </c>
      <c r="W116">
        <v>4</v>
      </c>
    </row>
    <row r="117" spans="1:23" x14ac:dyDescent="0.25">
      <c r="A117" s="1" t="s">
        <v>11787</v>
      </c>
      <c r="B117" s="1" t="s">
        <v>11788</v>
      </c>
      <c r="C117" s="1" t="s">
        <v>473</v>
      </c>
      <c r="D117" s="1" t="s">
        <v>473</v>
      </c>
      <c r="E117" s="1" t="s">
        <v>474</v>
      </c>
      <c r="F117" s="1" t="s">
        <v>11789</v>
      </c>
      <c r="G117">
        <v>184000</v>
      </c>
      <c r="H117">
        <v>51</v>
      </c>
      <c r="I117" s="1" t="s">
        <v>11063</v>
      </c>
      <c r="J117" s="11">
        <v>44729.706458333334</v>
      </c>
      <c r="K117" s="1" t="s">
        <v>1053</v>
      </c>
      <c r="L117" s="1">
        <v>0.59</v>
      </c>
      <c r="M117" s="1">
        <v>0.46899999999999997</v>
      </c>
      <c r="N117">
        <v>10</v>
      </c>
      <c r="O117" s="1">
        <v>-7.3869999999999996</v>
      </c>
      <c r="P117">
        <v>0</v>
      </c>
      <c r="Q117" s="1">
        <v>0.52500000000000002</v>
      </c>
      <c r="R117" s="1">
        <v>0.20599999999999999</v>
      </c>
      <c r="S117" s="1">
        <v>0</v>
      </c>
      <c r="T117" s="1">
        <v>0.109</v>
      </c>
      <c r="U117" s="1">
        <v>0.37</v>
      </c>
      <c r="V117" s="1">
        <v>149.86000000000001</v>
      </c>
      <c r="W117">
        <v>4</v>
      </c>
    </row>
    <row r="118" spans="1:23" x14ac:dyDescent="0.25">
      <c r="A118" s="1" t="s">
        <v>13690</v>
      </c>
      <c r="B118" s="1" t="s">
        <v>13691</v>
      </c>
      <c r="C118" s="1" t="s">
        <v>2145</v>
      </c>
      <c r="D118" s="1" t="s">
        <v>2145</v>
      </c>
      <c r="E118" s="1" t="s">
        <v>2146</v>
      </c>
      <c r="F118" s="1" t="s">
        <v>13692</v>
      </c>
      <c r="G118">
        <v>192350</v>
      </c>
      <c r="H118">
        <v>9</v>
      </c>
      <c r="I118" s="1" t="s">
        <v>11063</v>
      </c>
      <c r="J118" s="11">
        <v>44729.706458333334</v>
      </c>
      <c r="K118" s="1" t="s">
        <v>2147</v>
      </c>
      <c r="L118" s="1">
        <v>0.59299999999999997</v>
      </c>
      <c r="M118" s="1">
        <v>0.73799999999999999</v>
      </c>
      <c r="N118">
        <v>11</v>
      </c>
      <c r="O118" s="1">
        <v>-5.0890000000000004</v>
      </c>
      <c r="P118">
        <v>0</v>
      </c>
      <c r="Q118" s="1">
        <v>0.434</v>
      </c>
      <c r="R118" s="1">
        <v>0.66</v>
      </c>
      <c r="S118" s="1">
        <v>0.20899999999999999</v>
      </c>
      <c r="T118" s="1">
        <v>0.76100000000000001</v>
      </c>
      <c r="U118" s="1">
        <v>0.14099999999999999</v>
      </c>
      <c r="V118" s="1">
        <v>137.05199999999999</v>
      </c>
      <c r="W118">
        <v>4</v>
      </c>
    </row>
    <row r="119" spans="1:23" x14ac:dyDescent="0.25">
      <c r="A119" s="1" t="s">
        <v>13693</v>
      </c>
      <c r="B119" s="1" t="s">
        <v>13694</v>
      </c>
      <c r="C119" s="1" t="s">
        <v>2148</v>
      </c>
      <c r="D119" s="1" t="s">
        <v>13695</v>
      </c>
      <c r="E119" s="1" t="s">
        <v>2149</v>
      </c>
      <c r="F119" s="1" t="s">
        <v>13696</v>
      </c>
      <c r="G119">
        <v>199718</v>
      </c>
      <c r="H119">
        <v>24</v>
      </c>
      <c r="I119" s="1" t="s">
        <v>11063</v>
      </c>
      <c r="J119" s="11">
        <v>44729.706458333334</v>
      </c>
      <c r="K119" s="1" t="s">
        <v>2150</v>
      </c>
      <c r="L119" s="1">
        <v>0.60399999999999998</v>
      </c>
      <c r="M119" s="1">
        <v>0.56200000000000006</v>
      </c>
      <c r="N119">
        <v>11</v>
      </c>
      <c r="O119" s="1">
        <v>-7.0910000000000002</v>
      </c>
      <c r="P119">
        <v>1</v>
      </c>
      <c r="Q119" s="1">
        <v>0.72499999999999998</v>
      </c>
      <c r="R119" s="1">
        <v>0.57999999999999996</v>
      </c>
      <c r="S119" s="1">
        <v>0.22600000000000001</v>
      </c>
      <c r="T119" s="1">
        <v>0.16900000000000001</v>
      </c>
      <c r="U119" s="1">
        <v>0.48699999999999999</v>
      </c>
      <c r="V119" s="1">
        <v>137.983</v>
      </c>
      <c r="W119">
        <v>4</v>
      </c>
    </row>
    <row r="120" spans="1:23" x14ac:dyDescent="0.25">
      <c r="A120" s="1" t="s">
        <v>13697</v>
      </c>
      <c r="B120" s="1" t="s">
        <v>13698</v>
      </c>
      <c r="C120" s="1" t="s">
        <v>2151</v>
      </c>
      <c r="D120" s="1" t="s">
        <v>13699</v>
      </c>
      <c r="E120" s="1" t="s">
        <v>2152</v>
      </c>
      <c r="F120" s="1" t="s">
        <v>13700</v>
      </c>
      <c r="G120">
        <v>214173</v>
      </c>
      <c r="H120">
        <v>0</v>
      </c>
      <c r="I120" s="1" t="s">
        <v>11063</v>
      </c>
      <c r="J120" s="11">
        <v>44729.706458333334</v>
      </c>
      <c r="K120" s="1" t="s">
        <v>2153</v>
      </c>
      <c r="L120" s="1">
        <v>0.64</v>
      </c>
      <c r="M120" s="1">
        <v>0.60299999999999998</v>
      </c>
      <c r="N120">
        <v>7</v>
      </c>
      <c r="O120" s="1">
        <v>-8.1760000000000002</v>
      </c>
      <c r="P120">
        <v>1</v>
      </c>
      <c r="Q120" s="1">
        <v>0.43099999999999999</v>
      </c>
      <c r="R120" s="1">
        <v>0.28299999999999997</v>
      </c>
      <c r="S120" s="1">
        <v>0</v>
      </c>
      <c r="T120" s="1">
        <v>0.32400000000000001</v>
      </c>
      <c r="U120" s="1">
        <v>0.19700000000000001</v>
      </c>
      <c r="V120" s="1">
        <v>119.986</v>
      </c>
      <c r="W120">
        <v>4</v>
      </c>
    </row>
    <row r="121" spans="1:23" x14ac:dyDescent="0.25">
      <c r="A121" s="1" t="s">
        <v>13701</v>
      </c>
      <c r="B121" s="1" t="s">
        <v>13702</v>
      </c>
      <c r="C121" s="1" t="s">
        <v>2154</v>
      </c>
      <c r="D121" s="1" t="s">
        <v>13703</v>
      </c>
      <c r="E121" s="1" t="s">
        <v>2155</v>
      </c>
      <c r="F121" s="1" t="s">
        <v>13704</v>
      </c>
      <c r="G121">
        <v>255789</v>
      </c>
      <c r="H121">
        <v>50</v>
      </c>
      <c r="I121" s="1" t="s">
        <v>11063</v>
      </c>
      <c r="J121" s="11">
        <v>44729.706458333334</v>
      </c>
      <c r="K121" s="1" t="s">
        <v>332</v>
      </c>
      <c r="L121" s="1">
        <v>0.66400000000000003</v>
      </c>
      <c r="M121" s="1">
        <v>0.59699999999999998</v>
      </c>
      <c r="N121">
        <v>8</v>
      </c>
      <c r="O121" s="1">
        <v>-8.1370000000000005</v>
      </c>
      <c r="P121">
        <v>1</v>
      </c>
      <c r="Q121" s="1">
        <v>0.20499999999999999</v>
      </c>
      <c r="R121" s="1">
        <v>0.66500000000000004</v>
      </c>
      <c r="S121" s="1">
        <v>0.115</v>
      </c>
      <c r="T121" s="1">
        <v>0.123</v>
      </c>
      <c r="U121" s="1">
        <v>0.18</v>
      </c>
      <c r="V121" s="1">
        <v>152.19900000000001</v>
      </c>
      <c r="W121">
        <v>4</v>
      </c>
    </row>
    <row r="122" spans="1:23" x14ac:dyDescent="0.25">
      <c r="A122" s="1" t="s">
        <v>13705</v>
      </c>
      <c r="B122" s="1" t="s">
        <v>13706</v>
      </c>
      <c r="C122" s="1" t="s">
        <v>2156</v>
      </c>
      <c r="D122" s="1" t="s">
        <v>13707</v>
      </c>
      <c r="E122" s="1" t="s">
        <v>2157</v>
      </c>
      <c r="F122" s="1" t="s">
        <v>13253</v>
      </c>
      <c r="G122">
        <v>174000</v>
      </c>
      <c r="H122">
        <v>90</v>
      </c>
      <c r="I122" s="1" t="s">
        <v>11063</v>
      </c>
      <c r="J122" s="11">
        <v>44729.706458333334</v>
      </c>
      <c r="K122" s="1" t="s">
        <v>919</v>
      </c>
      <c r="L122" s="1">
        <v>0.54800000000000004</v>
      </c>
      <c r="M122" s="1">
        <v>0.81599999999999995</v>
      </c>
      <c r="N122">
        <v>0</v>
      </c>
      <c r="O122" s="1">
        <v>-4.2089999999999996</v>
      </c>
      <c r="P122">
        <v>1</v>
      </c>
      <c r="Q122" s="1">
        <v>0.46500000000000002</v>
      </c>
      <c r="R122" s="1">
        <v>0.122</v>
      </c>
      <c r="S122" s="1">
        <v>0</v>
      </c>
      <c r="T122" s="1">
        <v>0.33500000000000002</v>
      </c>
      <c r="U122" s="1">
        <v>0.55700000000000005</v>
      </c>
      <c r="V122" s="1">
        <v>95.39</v>
      </c>
      <c r="W122">
        <v>4</v>
      </c>
    </row>
    <row r="123" spans="1:23" x14ac:dyDescent="0.25">
      <c r="A123" s="1" t="s">
        <v>11493</v>
      </c>
      <c r="B123" s="1" t="s">
        <v>11385</v>
      </c>
      <c r="C123" s="1" t="s">
        <v>245</v>
      </c>
      <c r="D123" s="1" t="s">
        <v>11494</v>
      </c>
      <c r="E123" s="1" t="s">
        <v>170</v>
      </c>
      <c r="F123" s="1" t="s">
        <v>11495</v>
      </c>
      <c r="G123">
        <v>218993</v>
      </c>
      <c r="H123">
        <v>55</v>
      </c>
      <c r="I123" s="1" t="s">
        <v>11063</v>
      </c>
      <c r="J123" s="11">
        <v>44729.706458333334</v>
      </c>
      <c r="K123" s="1" t="s">
        <v>171</v>
      </c>
      <c r="L123" s="1">
        <v>0.72599999999999998</v>
      </c>
      <c r="M123" s="1">
        <v>0.76900000000000002</v>
      </c>
      <c r="N123">
        <v>2</v>
      </c>
      <c r="O123" s="1">
        <v>-3.4740000000000002</v>
      </c>
      <c r="P123">
        <v>1</v>
      </c>
      <c r="Q123" s="1">
        <v>0.188</v>
      </c>
      <c r="R123" s="1">
        <v>0.114</v>
      </c>
      <c r="S123" s="1">
        <v>0</v>
      </c>
      <c r="T123" s="1">
        <v>0.23799999999999999</v>
      </c>
      <c r="U123" s="1">
        <v>0.77100000000000002</v>
      </c>
      <c r="V123" s="1">
        <v>104.9</v>
      </c>
      <c r="W123">
        <v>4</v>
      </c>
    </row>
    <row r="124" spans="1:23" x14ac:dyDescent="0.25">
      <c r="A124" s="1" t="s">
        <v>13708</v>
      </c>
      <c r="B124" s="1" t="s">
        <v>13709</v>
      </c>
      <c r="C124" s="1" t="s">
        <v>2158</v>
      </c>
      <c r="D124" s="1" t="s">
        <v>2158</v>
      </c>
      <c r="E124" s="1" t="s">
        <v>2159</v>
      </c>
      <c r="F124" s="1" t="s">
        <v>11786</v>
      </c>
      <c r="G124">
        <v>234966</v>
      </c>
      <c r="H124">
        <v>67</v>
      </c>
      <c r="I124" s="1" t="s">
        <v>11063</v>
      </c>
      <c r="J124" s="11">
        <v>44729.706458333334</v>
      </c>
      <c r="K124" s="1" t="s">
        <v>2160</v>
      </c>
      <c r="L124" s="1">
        <v>0.69799999999999995</v>
      </c>
      <c r="M124" s="1">
        <v>0.60299999999999998</v>
      </c>
      <c r="N124">
        <v>5</v>
      </c>
      <c r="O124" s="1">
        <v>-6.508</v>
      </c>
      <c r="P124">
        <v>0</v>
      </c>
      <c r="Q124" s="1">
        <v>0.106</v>
      </c>
      <c r="R124" s="1">
        <v>0.11</v>
      </c>
      <c r="S124" s="1">
        <v>0</v>
      </c>
      <c r="T124" s="1">
        <v>0.78600000000000003</v>
      </c>
      <c r="U124" s="1">
        <v>0.91</v>
      </c>
      <c r="V124" s="1">
        <v>86.998000000000005</v>
      </c>
      <c r="W124">
        <v>4</v>
      </c>
    </row>
    <row r="125" spans="1:23" x14ac:dyDescent="0.25">
      <c r="A125" s="1" t="s">
        <v>11476</v>
      </c>
      <c r="B125" s="1" t="s">
        <v>11477</v>
      </c>
      <c r="C125" s="1" t="s">
        <v>233</v>
      </c>
      <c r="D125" s="1" t="s">
        <v>11478</v>
      </c>
      <c r="E125" s="1" t="s">
        <v>234</v>
      </c>
      <c r="F125" s="1" t="s">
        <v>11479</v>
      </c>
      <c r="G125">
        <v>221360</v>
      </c>
      <c r="H125">
        <v>77</v>
      </c>
      <c r="I125" s="1" t="s">
        <v>11063</v>
      </c>
      <c r="J125" s="11">
        <v>44729.706458333334</v>
      </c>
      <c r="K125" s="1" t="s">
        <v>235</v>
      </c>
      <c r="L125" s="1">
        <v>0.53</v>
      </c>
      <c r="M125" s="1">
        <v>0.42199999999999999</v>
      </c>
      <c r="N125">
        <v>5</v>
      </c>
      <c r="O125" s="1">
        <v>-6.2619999999999996</v>
      </c>
      <c r="P125">
        <v>1</v>
      </c>
      <c r="Q125" s="1">
        <v>0.34200000000000003</v>
      </c>
      <c r="R125" s="1">
        <v>0.40699999999999997</v>
      </c>
      <c r="S125" s="1">
        <v>0</v>
      </c>
      <c r="T125" s="1">
        <v>0.107</v>
      </c>
      <c r="U125" s="1">
        <v>0.34899999999999998</v>
      </c>
      <c r="V125" s="1">
        <v>119.964</v>
      </c>
      <c r="W125">
        <v>4</v>
      </c>
    </row>
    <row r="126" spans="1:23" x14ac:dyDescent="0.25">
      <c r="A126" s="1" t="s">
        <v>13710</v>
      </c>
      <c r="B126" s="1" t="s">
        <v>13711</v>
      </c>
      <c r="C126" s="1" t="s">
        <v>2161</v>
      </c>
      <c r="D126" s="1" t="s">
        <v>13712</v>
      </c>
      <c r="E126" s="1" t="s">
        <v>2162</v>
      </c>
      <c r="F126" s="1" t="s">
        <v>11310</v>
      </c>
      <c r="G126">
        <v>189346</v>
      </c>
      <c r="H126">
        <v>62</v>
      </c>
      <c r="I126" s="1" t="s">
        <v>11063</v>
      </c>
      <c r="J126" s="11">
        <v>44729.706458333334</v>
      </c>
      <c r="K126" s="1" t="s">
        <v>161</v>
      </c>
      <c r="L126" s="1">
        <v>0.67400000000000004</v>
      </c>
      <c r="M126" s="1">
        <v>0.55800000000000005</v>
      </c>
      <c r="N126">
        <v>11</v>
      </c>
      <c r="O126" s="1">
        <v>-8.9280000000000008</v>
      </c>
      <c r="P126">
        <v>0</v>
      </c>
      <c r="Q126" s="1">
        <v>0.499</v>
      </c>
      <c r="R126" s="1">
        <v>0.377</v>
      </c>
      <c r="S126" s="1">
        <v>0</v>
      </c>
      <c r="T126" s="1">
        <v>0.16</v>
      </c>
      <c r="U126" s="1">
        <v>0.59199999999999997</v>
      </c>
      <c r="V126" s="1">
        <v>86.730999999999995</v>
      </c>
      <c r="W126">
        <v>4</v>
      </c>
    </row>
    <row r="127" spans="1:23" x14ac:dyDescent="0.25">
      <c r="A127" s="1" t="s">
        <v>13713</v>
      </c>
      <c r="B127" s="1" t="s">
        <v>13714</v>
      </c>
      <c r="C127" s="1" t="s">
        <v>2163</v>
      </c>
      <c r="D127" s="1" t="s">
        <v>11611</v>
      </c>
      <c r="E127" s="1" t="s">
        <v>2164</v>
      </c>
      <c r="F127" s="1" t="s">
        <v>11612</v>
      </c>
      <c r="G127">
        <v>228759</v>
      </c>
      <c r="H127">
        <v>77</v>
      </c>
      <c r="I127" s="1" t="s">
        <v>11063</v>
      </c>
      <c r="J127" s="11">
        <v>44729.706458333334</v>
      </c>
      <c r="K127" s="1" t="s">
        <v>2165</v>
      </c>
      <c r="L127" s="1">
        <v>0.86099999999999999</v>
      </c>
      <c r="M127" s="1">
        <v>0.60299999999999998</v>
      </c>
      <c r="N127">
        <v>8</v>
      </c>
      <c r="O127" s="1">
        <v>-5.7880000000000003</v>
      </c>
      <c r="P127">
        <v>0</v>
      </c>
      <c r="Q127" s="1">
        <v>0.17599999999999999</v>
      </c>
      <c r="R127" s="1">
        <v>0.52100000000000002</v>
      </c>
      <c r="S127" s="1">
        <v>0</v>
      </c>
      <c r="T127" s="1">
        <v>0.92400000000000004</v>
      </c>
      <c r="U127" s="1">
        <v>0.504</v>
      </c>
      <c r="V127" s="1">
        <v>98.043000000000006</v>
      </c>
      <c r="W127">
        <v>4</v>
      </c>
    </row>
    <row r="128" spans="1:23" x14ac:dyDescent="0.25">
      <c r="A128" s="1" t="s">
        <v>13715</v>
      </c>
      <c r="B128" s="1" t="s">
        <v>13716</v>
      </c>
      <c r="C128" s="1" t="s">
        <v>2166</v>
      </c>
      <c r="D128" s="1" t="s">
        <v>13717</v>
      </c>
      <c r="E128" s="1" t="s">
        <v>2167</v>
      </c>
      <c r="F128" s="1" t="s">
        <v>11399</v>
      </c>
      <c r="G128">
        <v>203161</v>
      </c>
      <c r="H128">
        <v>71</v>
      </c>
      <c r="I128" s="1" t="s">
        <v>11063</v>
      </c>
      <c r="J128" s="11">
        <v>44729.706458333334</v>
      </c>
      <c r="K128" s="1" t="s">
        <v>2168</v>
      </c>
      <c r="L128" s="1">
        <v>0.8</v>
      </c>
      <c r="M128" s="1">
        <v>0.57799999999999996</v>
      </c>
      <c r="N128">
        <v>4</v>
      </c>
      <c r="O128" s="1">
        <v>-5.1440000000000001</v>
      </c>
      <c r="P128">
        <v>0</v>
      </c>
      <c r="Q128" s="1">
        <v>0.48499999999999999</v>
      </c>
      <c r="R128" s="1">
        <v>0.38100000000000001</v>
      </c>
      <c r="S128" s="1">
        <v>0</v>
      </c>
      <c r="T128" s="1">
        <v>0.36699999999999999</v>
      </c>
      <c r="U128" s="1">
        <v>0.36699999999999999</v>
      </c>
      <c r="V128" s="1">
        <v>143.01</v>
      </c>
      <c r="W128">
        <v>4</v>
      </c>
    </row>
    <row r="129" spans="1:23" x14ac:dyDescent="0.25">
      <c r="A129" s="1" t="s">
        <v>13718</v>
      </c>
      <c r="B129" s="1" t="s">
        <v>13719</v>
      </c>
      <c r="C129" s="1" t="s">
        <v>2169</v>
      </c>
      <c r="D129" s="1" t="s">
        <v>13720</v>
      </c>
      <c r="E129" s="1" t="s">
        <v>2170</v>
      </c>
      <c r="F129" s="1" t="s">
        <v>13269</v>
      </c>
      <c r="G129">
        <v>209269</v>
      </c>
      <c r="H129">
        <v>81</v>
      </c>
      <c r="I129" s="1" t="s">
        <v>11063</v>
      </c>
      <c r="J129" s="11">
        <v>44729.706458333334</v>
      </c>
      <c r="K129" s="1" t="s">
        <v>2171</v>
      </c>
      <c r="L129" s="1">
        <v>0.83899999999999997</v>
      </c>
      <c r="M129" s="1">
        <v>0.81</v>
      </c>
      <c r="N129">
        <v>5</v>
      </c>
      <c r="O129" s="1">
        <v>-5.274</v>
      </c>
      <c r="P129">
        <v>0</v>
      </c>
      <c r="Q129" s="1">
        <v>0.56799999999999995</v>
      </c>
      <c r="R129" s="1">
        <v>0.501</v>
      </c>
      <c r="S129" s="1">
        <v>0</v>
      </c>
      <c r="T129" s="1">
        <v>0.11700000000000001</v>
      </c>
      <c r="U129" s="1">
        <v>0.81399999999999995</v>
      </c>
      <c r="V129" s="1">
        <v>129.01400000000001</v>
      </c>
      <c r="W129">
        <v>4</v>
      </c>
    </row>
    <row r="130" spans="1:23" x14ac:dyDescent="0.25">
      <c r="A130" s="1" t="s">
        <v>13721</v>
      </c>
      <c r="B130" s="1" t="s">
        <v>13722</v>
      </c>
      <c r="C130" s="1" t="s">
        <v>2172</v>
      </c>
      <c r="D130" s="1" t="s">
        <v>13723</v>
      </c>
      <c r="E130" s="1" t="s">
        <v>2173</v>
      </c>
      <c r="F130" s="1" t="s">
        <v>13516</v>
      </c>
      <c r="G130">
        <v>195950</v>
      </c>
      <c r="H130">
        <v>88</v>
      </c>
      <c r="I130" s="1" t="s">
        <v>11063</v>
      </c>
      <c r="J130" s="11">
        <v>44729.706458333334</v>
      </c>
      <c r="K130" s="1" t="s">
        <v>2174</v>
      </c>
      <c r="L130" s="1">
        <v>0.79</v>
      </c>
      <c r="M130" s="1">
        <v>0.67</v>
      </c>
      <c r="N130">
        <v>1</v>
      </c>
      <c r="O130" s="1">
        <v>-5.5270000000000001</v>
      </c>
      <c r="P130">
        <v>1</v>
      </c>
      <c r="Q130" s="1">
        <v>0.105</v>
      </c>
      <c r="R130" s="1">
        <v>0.377</v>
      </c>
      <c r="S130" s="1">
        <v>0.23200000000000001</v>
      </c>
      <c r="T130" s="1">
        <v>0.11899999999999999</v>
      </c>
      <c r="U130" s="1">
        <v>0.40799999999999997</v>
      </c>
      <c r="V130" s="1">
        <v>139.95599999999999</v>
      </c>
      <c r="W130">
        <v>4</v>
      </c>
    </row>
    <row r="131" spans="1:23" x14ac:dyDescent="0.25">
      <c r="A131" s="1" t="s">
        <v>11346</v>
      </c>
      <c r="B131" s="1" t="s">
        <v>11347</v>
      </c>
      <c r="C131" s="1" t="s">
        <v>2175</v>
      </c>
      <c r="D131" s="1" t="s">
        <v>11348</v>
      </c>
      <c r="E131" s="1" t="s">
        <v>139</v>
      </c>
      <c r="F131" s="1" t="s">
        <v>11349</v>
      </c>
      <c r="G131">
        <v>210491</v>
      </c>
      <c r="H131">
        <v>54</v>
      </c>
      <c r="I131" s="1" t="s">
        <v>11063</v>
      </c>
      <c r="J131" s="11">
        <v>44729.706458333334</v>
      </c>
      <c r="K131" s="1" t="s">
        <v>140</v>
      </c>
      <c r="L131" s="1">
        <v>0.61</v>
      </c>
      <c r="M131" s="1">
        <v>0.57899999999999996</v>
      </c>
      <c r="N131">
        <v>9</v>
      </c>
      <c r="O131" s="1">
        <v>-8.1839999999999993</v>
      </c>
      <c r="P131">
        <v>1</v>
      </c>
      <c r="Q131" s="1">
        <v>0.66200000000000003</v>
      </c>
      <c r="R131" s="1">
        <v>0.52400000000000002</v>
      </c>
      <c r="S131" s="1">
        <v>0.23</v>
      </c>
      <c r="T131" s="1">
        <v>0.82899999999999996</v>
      </c>
      <c r="U131" s="1">
        <v>0.20300000000000001</v>
      </c>
      <c r="V131" s="1">
        <v>98.02</v>
      </c>
      <c r="W131">
        <v>4</v>
      </c>
    </row>
    <row r="132" spans="1:23" x14ac:dyDescent="0.25">
      <c r="A132" s="1" t="s">
        <v>13724</v>
      </c>
      <c r="B132" s="1" t="s">
        <v>13725</v>
      </c>
      <c r="C132" s="1" t="s">
        <v>2176</v>
      </c>
      <c r="D132" s="1" t="s">
        <v>2176</v>
      </c>
      <c r="E132" s="1" t="s">
        <v>2177</v>
      </c>
      <c r="F132" s="1" t="s">
        <v>13726</v>
      </c>
      <c r="G132">
        <v>235946</v>
      </c>
      <c r="H132">
        <v>73</v>
      </c>
      <c r="I132" s="1" t="s">
        <v>11063</v>
      </c>
      <c r="J132" s="11">
        <v>44729.706458333334</v>
      </c>
      <c r="K132" s="1" t="s">
        <v>2178</v>
      </c>
      <c r="L132" s="1">
        <v>0.66200000000000003</v>
      </c>
      <c r="M132" s="1">
        <v>0.60199999999999998</v>
      </c>
      <c r="N132">
        <v>4</v>
      </c>
      <c r="O132" s="1">
        <v>-5.3689999999999998</v>
      </c>
      <c r="P132">
        <v>0</v>
      </c>
      <c r="Q132" s="1">
        <v>0.40100000000000002</v>
      </c>
      <c r="R132" s="1">
        <v>0.52900000000000003</v>
      </c>
      <c r="S132" s="1">
        <v>0</v>
      </c>
      <c r="T132" s="1">
        <v>0.35599999999999998</v>
      </c>
      <c r="U132" s="1">
        <v>0.28999999999999998</v>
      </c>
      <c r="V132" s="1">
        <v>133.96899999999999</v>
      </c>
      <c r="W132">
        <v>3</v>
      </c>
    </row>
    <row r="133" spans="1:23" x14ac:dyDescent="0.25">
      <c r="A133" s="1" t="s">
        <v>13727</v>
      </c>
      <c r="B133" s="1" t="s">
        <v>11784</v>
      </c>
      <c r="C133" s="1" t="s">
        <v>2179</v>
      </c>
      <c r="D133" s="1" t="s">
        <v>11785</v>
      </c>
      <c r="E133" s="1" t="s">
        <v>472</v>
      </c>
      <c r="F133" s="1" t="s">
        <v>11786</v>
      </c>
      <c r="G133">
        <v>48576</v>
      </c>
      <c r="H133">
        <v>33</v>
      </c>
      <c r="I133" s="1" t="s">
        <v>11063</v>
      </c>
      <c r="J133" s="11">
        <v>44729.706458333334</v>
      </c>
      <c r="K133" s="1" t="s">
        <v>50</v>
      </c>
      <c r="L133" s="1">
        <v>0.86299999999999999</v>
      </c>
      <c r="M133" s="1">
        <v>0.32900000000000001</v>
      </c>
      <c r="N133">
        <v>6</v>
      </c>
      <c r="O133" s="1">
        <v>-13.09</v>
      </c>
      <c r="P133">
        <v>1</v>
      </c>
      <c r="Q133" s="1">
        <v>0.42499999999999999</v>
      </c>
      <c r="R133" s="1">
        <v>0.34499999999999997</v>
      </c>
      <c r="S133" s="1">
        <v>0</v>
      </c>
      <c r="T133" s="1">
        <v>0.115</v>
      </c>
      <c r="U133" s="1">
        <v>0.67200000000000004</v>
      </c>
      <c r="V133" s="1">
        <v>151.50899999999999</v>
      </c>
      <c r="W133">
        <v>4</v>
      </c>
    </row>
    <row r="134" spans="1:23" x14ac:dyDescent="0.25">
      <c r="A134" s="1" t="s">
        <v>13728</v>
      </c>
      <c r="B134" s="1" t="s">
        <v>13451</v>
      </c>
      <c r="C134" s="1" t="s">
        <v>2180</v>
      </c>
      <c r="D134" s="1" t="s">
        <v>13452</v>
      </c>
      <c r="E134" s="1" t="s">
        <v>1921</v>
      </c>
      <c r="F134" s="1" t="s">
        <v>13453</v>
      </c>
      <c r="G134">
        <v>192670</v>
      </c>
      <c r="H134">
        <v>69</v>
      </c>
      <c r="I134" s="1" t="s">
        <v>11063</v>
      </c>
      <c r="J134" s="11">
        <v>44729.706458333334</v>
      </c>
      <c r="K134" s="1" t="s">
        <v>1922</v>
      </c>
      <c r="L134" s="1">
        <v>0.68799999999999994</v>
      </c>
      <c r="M134" s="1">
        <v>0.84099999999999997</v>
      </c>
      <c r="N134">
        <v>2</v>
      </c>
      <c r="O134" s="1">
        <v>-5.2169999999999996</v>
      </c>
      <c r="P134">
        <v>1</v>
      </c>
      <c r="Q134" s="1">
        <v>0.17899999999999999</v>
      </c>
      <c r="R134" s="1">
        <v>0.20399999999999999</v>
      </c>
      <c r="S134" s="1">
        <v>0.29499999999999998</v>
      </c>
      <c r="T134" s="1">
        <v>0.22900000000000001</v>
      </c>
      <c r="U134" s="1">
        <v>0.74299999999999999</v>
      </c>
      <c r="V134" s="1">
        <v>133.91200000000001</v>
      </c>
      <c r="W134">
        <v>4</v>
      </c>
    </row>
    <row r="135" spans="1:23" x14ac:dyDescent="0.25">
      <c r="A135" s="1" t="s">
        <v>11468</v>
      </c>
      <c r="B135" s="1" t="s">
        <v>11469</v>
      </c>
      <c r="C135" s="1" t="s">
        <v>228</v>
      </c>
      <c r="D135" s="1" t="s">
        <v>11470</v>
      </c>
      <c r="E135" s="1" t="s">
        <v>229</v>
      </c>
      <c r="F135" s="1" t="s">
        <v>11471</v>
      </c>
      <c r="G135">
        <v>189720</v>
      </c>
      <c r="H135">
        <v>64</v>
      </c>
      <c r="I135" s="1" t="s">
        <v>11063</v>
      </c>
      <c r="J135" s="11">
        <v>44729.706458333334</v>
      </c>
      <c r="K135" s="1" t="s">
        <v>230</v>
      </c>
      <c r="L135" s="1">
        <v>0.441</v>
      </c>
      <c r="M135" s="1">
        <v>0.92100000000000004</v>
      </c>
      <c r="N135">
        <v>8</v>
      </c>
      <c r="O135" s="1">
        <v>-3.32</v>
      </c>
      <c r="P135">
        <v>1</v>
      </c>
      <c r="Q135" s="1">
        <v>0.436</v>
      </c>
      <c r="R135" s="1">
        <v>0.52600000000000002</v>
      </c>
      <c r="S135" s="1">
        <v>0.63400000000000001</v>
      </c>
      <c r="T135" s="1">
        <v>0.17699999999999999</v>
      </c>
      <c r="U135" s="1">
        <v>0.182</v>
      </c>
      <c r="V135" s="1">
        <v>175.001</v>
      </c>
      <c r="W135">
        <v>4</v>
      </c>
    </row>
    <row r="136" spans="1:23" x14ac:dyDescent="0.25">
      <c r="A136" s="1" t="s">
        <v>13729</v>
      </c>
      <c r="B136" s="1" t="s">
        <v>13730</v>
      </c>
      <c r="C136" s="1" t="s">
        <v>2181</v>
      </c>
      <c r="D136" s="1" t="s">
        <v>13731</v>
      </c>
      <c r="E136" s="1" t="s">
        <v>2182</v>
      </c>
      <c r="F136" s="1" t="s">
        <v>13732</v>
      </c>
      <c r="G136">
        <v>237506</v>
      </c>
      <c r="H136">
        <v>83</v>
      </c>
      <c r="I136" s="1" t="s">
        <v>11063</v>
      </c>
      <c r="J136" s="11">
        <v>44729.706458333334</v>
      </c>
      <c r="K136" s="1" t="s">
        <v>2183</v>
      </c>
      <c r="L136" s="1">
        <v>0.63900000000000001</v>
      </c>
      <c r="M136" s="1">
        <v>0.628</v>
      </c>
      <c r="N136">
        <v>6</v>
      </c>
      <c r="O136" s="1">
        <v>-7.5780000000000003</v>
      </c>
      <c r="P136">
        <v>0</v>
      </c>
      <c r="Q136" s="1">
        <v>0.39900000000000002</v>
      </c>
      <c r="R136" s="1">
        <v>0.38100000000000001</v>
      </c>
      <c r="S136" s="1">
        <v>0</v>
      </c>
      <c r="T136" s="1">
        <v>0.38600000000000001</v>
      </c>
      <c r="U136" s="1">
        <v>0.43</v>
      </c>
      <c r="V136" s="1">
        <v>90.481999999999999</v>
      </c>
      <c r="W136">
        <v>4</v>
      </c>
    </row>
    <row r="137" spans="1:23" x14ac:dyDescent="0.25">
      <c r="A137" s="1" t="s">
        <v>13733</v>
      </c>
      <c r="B137" s="1" t="s">
        <v>13734</v>
      </c>
      <c r="C137" s="1" t="s">
        <v>2184</v>
      </c>
      <c r="D137" s="1" t="s">
        <v>13731</v>
      </c>
      <c r="E137" s="1" t="s">
        <v>2185</v>
      </c>
      <c r="F137" s="1" t="s">
        <v>13732</v>
      </c>
      <c r="G137">
        <v>311866</v>
      </c>
      <c r="H137">
        <v>82</v>
      </c>
      <c r="I137" s="1" t="s">
        <v>11063</v>
      </c>
      <c r="J137" s="11">
        <v>44729.706458333334</v>
      </c>
      <c r="K137" s="1" t="s">
        <v>2186</v>
      </c>
      <c r="L137" s="1">
        <v>0.61699999999999999</v>
      </c>
      <c r="M137" s="1">
        <v>0.71699999999999997</v>
      </c>
      <c r="N137">
        <v>10</v>
      </c>
      <c r="O137" s="1">
        <v>-7.8579999999999997</v>
      </c>
      <c r="P137">
        <v>0</v>
      </c>
      <c r="Q137" s="1">
        <v>0.153</v>
      </c>
      <c r="R137" s="1">
        <v>0.56399999999999995</v>
      </c>
      <c r="S137" s="1">
        <v>0</v>
      </c>
      <c r="T137" s="1">
        <v>0.40799999999999997</v>
      </c>
      <c r="U137" s="1">
        <v>0.49</v>
      </c>
      <c r="V137" s="1">
        <v>103.992</v>
      </c>
      <c r="W137">
        <v>4</v>
      </c>
    </row>
    <row r="138" spans="1:23" x14ac:dyDescent="0.25">
      <c r="A138" s="1" t="s">
        <v>13735</v>
      </c>
      <c r="B138" s="1" t="s">
        <v>13734</v>
      </c>
      <c r="C138" s="1" t="s">
        <v>2187</v>
      </c>
      <c r="D138" s="1" t="s">
        <v>13736</v>
      </c>
      <c r="E138" s="1" t="s">
        <v>2185</v>
      </c>
      <c r="F138" s="1" t="s">
        <v>13737</v>
      </c>
      <c r="G138">
        <v>229146</v>
      </c>
      <c r="H138">
        <v>83</v>
      </c>
      <c r="I138" s="1" t="s">
        <v>11063</v>
      </c>
      <c r="J138" s="11">
        <v>44729.706458333334</v>
      </c>
      <c r="K138" s="1" t="s">
        <v>2186</v>
      </c>
      <c r="L138" s="1">
        <v>0.36699999999999999</v>
      </c>
      <c r="M138" s="1">
        <v>0.66500000000000004</v>
      </c>
      <c r="N138">
        <v>1</v>
      </c>
      <c r="O138" s="1">
        <v>-2.8210000000000002</v>
      </c>
      <c r="P138">
        <v>1</v>
      </c>
      <c r="Q138" s="1">
        <v>0.46500000000000002</v>
      </c>
      <c r="R138" s="1">
        <v>0.14499999999999999</v>
      </c>
      <c r="S138" s="1">
        <v>0</v>
      </c>
      <c r="T138" s="1">
        <v>0.113</v>
      </c>
      <c r="U138" s="1">
        <v>0.31</v>
      </c>
      <c r="V138" s="1">
        <v>148.91300000000001</v>
      </c>
      <c r="W138">
        <v>4</v>
      </c>
    </row>
    <row r="139" spans="1:23" x14ac:dyDescent="0.25">
      <c r="A139" s="1" t="s">
        <v>13738</v>
      </c>
      <c r="B139" s="1" t="s">
        <v>13734</v>
      </c>
      <c r="C139" s="1" t="s">
        <v>2188</v>
      </c>
      <c r="D139" s="1" t="s">
        <v>13739</v>
      </c>
      <c r="E139" s="1" t="s">
        <v>2185</v>
      </c>
      <c r="F139" s="1" t="s">
        <v>13740</v>
      </c>
      <c r="G139">
        <v>211000</v>
      </c>
      <c r="H139">
        <v>83</v>
      </c>
      <c r="I139" s="1" t="s">
        <v>11063</v>
      </c>
      <c r="J139" s="11">
        <v>44729.706458333334</v>
      </c>
      <c r="K139" s="1" t="s">
        <v>2186</v>
      </c>
      <c r="L139" s="1">
        <v>0.79</v>
      </c>
      <c r="M139" s="1">
        <v>0.64700000000000002</v>
      </c>
      <c r="N139">
        <v>10</v>
      </c>
      <c r="O139" s="1">
        <v>-5.9829999999999997</v>
      </c>
      <c r="P139">
        <v>0</v>
      </c>
      <c r="Q139" s="1">
        <v>0.13600000000000001</v>
      </c>
      <c r="R139" s="1">
        <v>0.51500000000000001</v>
      </c>
      <c r="S139" s="1">
        <v>0</v>
      </c>
      <c r="T139" s="1">
        <v>0.248</v>
      </c>
      <c r="U139" s="1">
        <v>0.65400000000000003</v>
      </c>
      <c r="V139" s="1">
        <v>87.998999999999995</v>
      </c>
      <c r="W139">
        <v>4</v>
      </c>
    </row>
    <row r="140" spans="1:23" x14ac:dyDescent="0.25">
      <c r="A140" s="1" t="s">
        <v>13741</v>
      </c>
      <c r="B140" s="1" t="s">
        <v>13742</v>
      </c>
      <c r="C140" s="1" t="s">
        <v>2189</v>
      </c>
      <c r="D140" s="1" t="s">
        <v>13743</v>
      </c>
      <c r="E140" s="1" t="s">
        <v>2190</v>
      </c>
      <c r="F140" s="1" t="s">
        <v>13744</v>
      </c>
      <c r="G140">
        <v>219333</v>
      </c>
      <c r="H140">
        <v>83</v>
      </c>
      <c r="I140" s="1" t="s">
        <v>11063</v>
      </c>
      <c r="J140" s="11">
        <v>44729.706458333334</v>
      </c>
      <c r="K140" s="1" t="s">
        <v>2191</v>
      </c>
      <c r="L140" s="1">
        <v>0.78900000000000003</v>
      </c>
      <c r="M140" s="1">
        <v>0.85799999999999998</v>
      </c>
      <c r="N140">
        <v>1</v>
      </c>
      <c r="O140" s="1">
        <v>-5.5419999999999998</v>
      </c>
      <c r="P140">
        <v>1</v>
      </c>
      <c r="Q140" s="1">
        <v>0.311</v>
      </c>
      <c r="R140" s="1">
        <v>0.127</v>
      </c>
      <c r="S140" s="1">
        <v>0</v>
      </c>
      <c r="T140" s="1">
        <v>0.34899999999999998</v>
      </c>
      <c r="U140" s="1">
        <v>0.77500000000000002</v>
      </c>
      <c r="V140" s="1">
        <v>140.02199999999999</v>
      </c>
      <c r="W140">
        <v>4</v>
      </c>
    </row>
    <row r="141" spans="1:23" x14ac:dyDescent="0.25">
      <c r="A141" s="1" t="s">
        <v>13745</v>
      </c>
      <c r="B141" s="1" t="s">
        <v>13746</v>
      </c>
      <c r="C141" s="1" t="s">
        <v>2192</v>
      </c>
      <c r="D141" s="1" t="s">
        <v>13747</v>
      </c>
      <c r="E141" s="1" t="s">
        <v>2193</v>
      </c>
      <c r="F141" s="1" t="s">
        <v>13748</v>
      </c>
      <c r="G141">
        <v>284733</v>
      </c>
      <c r="H141">
        <v>79</v>
      </c>
      <c r="I141" s="1" t="s">
        <v>11063</v>
      </c>
      <c r="J141" s="11">
        <v>44729.706458333334</v>
      </c>
      <c r="K141" s="1" t="s">
        <v>2194</v>
      </c>
      <c r="L141" s="1">
        <v>0.72699999999999998</v>
      </c>
      <c r="M141" s="1">
        <v>0.72899999999999998</v>
      </c>
      <c r="N141">
        <v>0</v>
      </c>
      <c r="O141" s="1">
        <v>-2.99</v>
      </c>
      <c r="P141">
        <v>1</v>
      </c>
      <c r="Q141" s="1">
        <v>0.32600000000000001</v>
      </c>
      <c r="R141" s="1">
        <v>0.17100000000000001</v>
      </c>
      <c r="S141" s="1">
        <v>0</v>
      </c>
      <c r="T141" s="1">
        <v>0.7</v>
      </c>
      <c r="U141" s="1">
        <v>0.51200000000000001</v>
      </c>
      <c r="V141" s="1">
        <v>117.932</v>
      </c>
      <c r="W141">
        <v>4</v>
      </c>
    </row>
    <row r="142" spans="1:23" x14ac:dyDescent="0.25">
      <c r="A142" s="1" t="s">
        <v>13749</v>
      </c>
      <c r="B142" s="1" t="s">
        <v>13750</v>
      </c>
      <c r="C142" s="1" t="s">
        <v>2195</v>
      </c>
      <c r="D142" s="1" t="s">
        <v>13751</v>
      </c>
      <c r="E142" s="1" t="s">
        <v>2196</v>
      </c>
      <c r="F142" s="1" t="s">
        <v>13752</v>
      </c>
      <c r="G142">
        <v>202720</v>
      </c>
      <c r="H142">
        <v>58</v>
      </c>
      <c r="I142" s="1" t="s">
        <v>11063</v>
      </c>
      <c r="J142" s="11">
        <v>44729.706458333334</v>
      </c>
      <c r="K142" s="1" t="s">
        <v>2178</v>
      </c>
      <c r="L142" s="1">
        <v>0.622</v>
      </c>
      <c r="M142" s="1">
        <v>0.71</v>
      </c>
      <c r="N142">
        <v>10</v>
      </c>
      <c r="O142" s="1">
        <v>-6.8250000000000002</v>
      </c>
      <c r="P142">
        <v>1</v>
      </c>
      <c r="Q142" s="1">
        <v>0.44800000000000001</v>
      </c>
      <c r="R142" s="1">
        <v>0.26800000000000002</v>
      </c>
      <c r="S142" s="1">
        <v>0.498</v>
      </c>
      <c r="T142" s="1">
        <v>0.72099999999999997</v>
      </c>
      <c r="U142" s="1">
        <v>0.62</v>
      </c>
      <c r="V142" s="1" t="s">
        <v>1607</v>
      </c>
      <c r="W142">
        <v>4</v>
      </c>
    </row>
    <row r="143" spans="1:23" x14ac:dyDescent="0.25">
      <c r="A143" s="1" t="s">
        <v>13753</v>
      </c>
      <c r="B143" s="1" t="s">
        <v>13754</v>
      </c>
      <c r="C143" s="1" t="s">
        <v>2197</v>
      </c>
      <c r="D143" s="1" t="s">
        <v>2197</v>
      </c>
      <c r="E143" s="1" t="s">
        <v>2198</v>
      </c>
      <c r="F143" s="1" t="s">
        <v>13516</v>
      </c>
      <c r="G143">
        <v>300916</v>
      </c>
      <c r="H143">
        <v>67</v>
      </c>
      <c r="I143" s="1" t="s">
        <v>11063</v>
      </c>
      <c r="J143" s="11">
        <v>44729.706458333334</v>
      </c>
      <c r="K143" s="1" t="s">
        <v>2199</v>
      </c>
      <c r="L143" s="1">
        <v>0.42799999999999999</v>
      </c>
      <c r="M143" s="1">
        <v>0.90700000000000003</v>
      </c>
      <c r="N143">
        <v>4</v>
      </c>
      <c r="O143" s="1">
        <v>-3.0630000000000002</v>
      </c>
      <c r="P143">
        <v>0</v>
      </c>
      <c r="Q143" s="1">
        <v>0.16300000000000001</v>
      </c>
      <c r="R143" s="1">
        <v>0.59399999999999997</v>
      </c>
      <c r="S143" s="1">
        <v>0.17100000000000001</v>
      </c>
      <c r="T143" s="1">
        <v>0.129</v>
      </c>
      <c r="U143" s="1">
        <v>0.24399999999999999</v>
      </c>
      <c r="V143" s="1">
        <v>149.95500000000001</v>
      </c>
      <c r="W143">
        <v>4</v>
      </c>
    </row>
    <row r="144" spans="1:23" x14ac:dyDescent="0.25">
      <c r="A144" s="1" t="s">
        <v>13755</v>
      </c>
      <c r="B144" s="1" t="s">
        <v>13756</v>
      </c>
      <c r="C144" s="1" t="s">
        <v>2200</v>
      </c>
      <c r="D144" s="1" t="s">
        <v>2200</v>
      </c>
      <c r="E144" s="1" t="s">
        <v>2201</v>
      </c>
      <c r="F144" s="1" t="s">
        <v>13757</v>
      </c>
      <c r="G144">
        <v>211884</v>
      </c>
      <c r="H144">
        <v>60</v>
      </c>
      <c r="I144" s="1" t="s">
        <v>11063</v>
      </c>
      <c r="J144" s="11">
        <v>44729.706458333334</v>
      </c>
      <c r="K144" s="1" t="s">
        <v>2202</v>
      </c>
      <c r="L144" s="1">
        <v>0.48899999999999999</v>
      </c>
      <c r="M144" s="1">
        <v>0.64100000000000001</v>
      </c>
      <c r="N144">
        <v>11</v>
      </c>
      <c r="O144" s="1">
        <v>-7.0110000000000001</v>
      </c>
      <c r="P144">
        <v>0</v>
      </c>
      <c r="Q144" s="1">
        <v>0.32</v>
      </c>
      <c r="R144" s="1">
        <v>0.59799999999999998</v>
      </c>
      <c r="S144" s="1">
        <v>0.20100000000000001</v>
      </c>
      <c r="T144" s="1">
        <v>0.122</v>
      </c>
      <c r="U144" s="1">
        <v>0.58699999999999997</v>
      </c>
      <c r="V144" s="1">
        <v>108.901</v>
      </c>
      <c r="W144">
        <v>4</v>
      </c>
    </row>
    <row r="145" spans="1:23" x14ac:dyDescent="0.25">
      <c r="A145" s="1" t="s">
        <v>12781</v>
      </c>
      <c r="B145" s="1" t="s">
        <v>12782</v>
      </c>
      <c r="C145" s="1" t="s">
        <v>1243</v>
      </c>
      <c r="D145" s="1" t="s">
        <v>12783</v>
      </c>
      <c r="E145" s="1" t="s">
        <v>1244</v>
      </c>
      <c r="F145" s="1" t="s">
        <v>11545</v>
      </c>
      <c r="G145">
        <v>230400</v>
      </c>
      <c r="H145">
        <v>66</v>
      </c>
      <c r="I145" s="1" t="s">
        <v>11063</v>
      </c>
      <c r="J145" s="11">
        <v>44729.706458333334</v>
      </c>
      <c r="K145" s="1" t="s">
        <v>1245</v>
      </c>
      <c r="L145" s="1">
        <v>0.69299999999999995</v>
      </c>
      <c r="M145" s="1">
        <v>0.86399999999999999</v>
      </c>
      <c r="N145">
        <v>4</v>
      </c>
      <c r="O145" s="1">
        <v>-4.17</v>
      </c>
      <c r="P145">
        <v>0</v>
      </c>
      <c r="Q145" s="1">
        <v>0.48299999999999998</v>
      </c>
      <c r="R145" s="1">
        <v>0.27800000000000002</v>
      </c>
      <c r="S145" s="1">
        <v>0.38800000000000001</v>
      </c>
      <c r="T145" s="1">
        <v>0.77700000000000002</v>
      </c>
      <c r="U145" s="1">
        <v>0.14199999999999999</v>
      </c>
      <c r="V145" s="1">
        <v>149.99799999999999</v>
      </c>
      <c r="W145">
        <v>4</v>
      </c>
    </row>
    <row r="146" spans="1:23" x14ac:dyDescent="0.25">
      <c r="A146" s="1" t="s">
        <v>11220</v>
      </c>
      <c r="B146" s="1" t="s">
        <v>11221</v>
      </c>
      <c r="C146" s="1" t="s">
        <v>20</v>
      </c>
      <c r="D146" s="1" t="s">
        <v>20</v>
      </c>
      <c r="E146" s="1" t="s">
        <v>21</v>
      </c>
      <c r="F146" s="1" t="s">
        <v>11222</v>
      </c>
      <c r="G146">
        <v>196899</v>
      </c>
      <c r="H146">
        <v>75</v>
      </c>
      <c r="I146" s="1" t="s">
        <v>11063</v>
      </c>
      <c r="J146" s="11">
        <v>44729.706458333334</v>
      </c>
      <c r="K146" s="1" t="s">
        <v>22</v>
      </c>
      <c r="L146" s="1">
        <v>0.68500000000000005</v>
      </c>
      <c r="M146" s="1">
        <v>0.91100000000000003</v>
      </c>
      <c r="N146">
        <v>9</v>
      </c>
      <c r="O146" s="1">
        <v>-4.9770000000000003</v>
      </c>
      <c r="P146">
        <v>1</v>
      </c>
      <c r="Q146" s="1">
        <v>0.14399999999999999</v>
      </c>
      <c r="R146" s="1">
        <v>0.55200000000000005</v>
      </c>
      <c r="S146" s="1">
        <v>0.247</v>
      </c>
      <c r="T146" s="1">
        <v>0.28499999999999998</v>
      </c>
      <c r="U146" s="1">
        <v>0.35099999999999998</v>
      </c>
      <c r="V146" s="1">
        <v>128.02000000000001</v>
      </c>
      <c r="W146">
        <v>4</v>
      </c>
    </row>
    <row r="147" spans="1:23" x14ac:dyDescent="0.25">
      <c r="A147" s="1" t="s">
        <v>13758</v>
      </c>
      <c r="B147" s="1" t="s">
        <v>13759</v>
      </c>
      <c r="C147" s="1" t="s">
        <v>2203</v>
      </c>
      <c r="D147" s="1" t="s">
        <v>13760</v>
      </c>
      <c r="E147" s="1" t="s">
        <v>2204</v>
      </c>
      <c r="F147" s="1" t="s">
        <v>13649</v>
      </c>
      <c r="G147">
        <v>219848</v>
      </c>
      <c r="H147">
        <v>0</v>
      </c>
      <c r="I147" s="1" t="s">
        <v>11063</v>
      </c>
      <c r="J147" s="11">
        <v>44729.706458333334</v>
      </c>
      <c r="K147" s="1" t="s">
        <v>298</v>
      </c>
      <c r="L147" s="1">
        <v>0.69399999999999995</v>
      </c>
      <c r="M147" s="1">
        <v>0.88700000000000001</v>
      </c>
      <c r="N147">
        <v>0</v>
      </c>
      <c r="O147" s="1">
        <v>-8.5030000000000001</v>
      </c>
      <c r="P147">
        <v>1</v>
      </c>
      <c r="Q147" s="1">
        <v>0.75900000000000001</v>
      </c>
      <c r="R147" s="1">
        <v>0.20899999999999999</v>
      </c>
      <c r="S147" s="1">
        <v>0.82599999999999996</v>
      </c>
      <c r="T147" s="1">
        <v>0.84</v>
      </c>
      <c r="U147" s="1">
        <v>0.85599999999999998</v>
      </c>
      <c r="V147" s="1">
        <v>120.04</v>
      </c>
      <c r="W147">
        <v>4</v>
      </c>
    </row>
    <row r="148" spans="1:23" x14ac:dyDescent="0.25">
      <c r="A148" s="1" t="s">
        <v>13761</v>
      </c>
      <c r="B148" s="1" t="s">
        <v>13762</v>
      </c>
      <c r="C148" s="1" t="s">
        <v>2205</v>
      </c>
      <c r="D148" s="1" t="s">
        <v>2205</v>
      </c>
      <c r="E148" s="1" t="s">
        <v>2206</v>
      </c>
      <c r="F148" s="1" t="s">
        <v>13763</v>
      </c>
      <c r="G148">
        <v>187029</v>
      </c>
      <c r="H148">
        <v>39</v>
      </c>
      <c r="I148" s="1" t="s">
        <v>11063</v>
      </c>
      <c r="J148" s="11">
        <v>44729.706458333334</v>
      </c>
      <c r="K148" s="1" t="s">
        <v>2207</v>
      </c>
      <c r="L148" s="1">
        <v>0.67100000000000004</v>
      </c>
      <c r="M148" s="1">
        <v>0.85499999999999998</v>
      </c>
      <c r="N148">
        <v>7</v>
      </c>
      <c r="O148" s="1">
        <v>-4.2539999999999996</v>
      </c>
      <c r="P148">
        <v>0</v>
      </c>
      <c r="Q148" s="1">
        <v>0.375</v>
      </c>
      <c r="R148" s="1">
        <v>0.437</v>
      </c>
      <c r="S148" s="1">
        <v>0</v>
      </c>
      <c r="T148" s="1">
        <v>0.13100000000000001</v>
      </c>
      <c r="U148" s="1">
        <v>0.32900000000000001</v>
      </c>
      <c r="V148" s="1">
        <v>117.98</v>
      </c>
      <c r="W148">
        <v>4</v>
      </c>
    </row>
    <row r="149" spans="1:23" x14ac:dyDescent="0.25">
      <c r="A149" s="1" t="s">
        <v>13764</v>
      </c>
      <c r="B149" s="1" t="s">
        <v>12605</v>
      </c>
      <c r="C149" s="1" t="s">
        <v>1665</v>
      </c>
      <c r="D149" s="1" t="s">
        <v>1665</v>
      </c>
      <c r="E149" s="1" t="s">
        <v>1666</v>
      </c>
      <c r="F149" s="1" t="s">
        <v>11569</v>
      </c>
      <c r="G149">
        <v>147976</v>
      </c>
      <c r="H149">
        <v>8</v>
      </c>
      <c r="I149" s="1" t="s">
        <v>11063</v>
      </c>
      <c r="J149" s="11">
        <v>44729.706458333334</v>
      </c>
      <c r="K149" s="1" t="s">
        <v>1667</v>
      </c>
      <c r="L149" s="1">
        <v>0.83799999999999997</v>
      </c>
      <c r="M149" s="1">
        <v>0.71099999999999997</v>
      </c>
      <c r="N149">
        <v>0</v>
      </c>
      <c r="O149" s="1">
        <v>-5.4870000000000001</v>
      </c>
      <c r="P149">
        <v>1</v>
      </c>
      <c r="Q149" s="1">
        <v>0.85499999999999998</v>
      </c>
      <c r="R149" s="1">
        <v>0.251</v>
      </c>
      <c r="S149" s="1">
        <v>0.76900000000000002</v>
      </c>
      <c r="T149" s="1">
        <v>0.96099999999999997</v>
      </c>
      <c r="U149" s="1">
        <v>0.29099999999999998</v>
      </c>
      <c r="V149" s="1">
        <v>123.985</v>
      </c>
      <c r="W149">
        <v>4</v>
      </c>
    </row>
    <row r="150" spans="1:23" x14ac:dyDescent="0.25">
      <c r="A150" s="1" t="s">
        <v>11223</v>
      </c>
      <c r="B150" s="1" t="s">
        <v>11224</v>
      </c>
      <c r="C150" s="1" t="s">
        <v>23</v>
      </c>
      <c r="D150" s="1" t="s">
        <v>23</v>
      </c>
      <c r="E150" s="1" t="s">
        <v>24</v>
      </c>
      <c r="F150" s="1" t="s">
        <v>11225</v>
      </c>
      <c r="G150">
        <v>171598</v>
      </c>
      <c r="H150">
        <v>69</v>
      </c>
      <c r="I150" s="1" t="s">
        <v>11063</v>
      </c>
      <c r="J150" s="11">
        <v>44729.706458333334</v>
      </c>
      <c r="K150" s="1" t="s">
        <v>25</v>
      </c>
      <c r="L150" s="1">
        <v>0.77900000000000003</v>
      </c>
      <c r="M150" s="1">
        <v>0.72699999999999998</v>
      </c>
      <c r="N150">
        <v>11</v>
      </c>
      <c r="O150" s="1">
        <v>-8.59</v>
      </c>
      <c r="P150">
        <v>0</v>
      </c>
      <c r="Q150" s="1">
        <v>0.53</v>
      </c>
      <c r="R150" s="1">
        <v>0.16500000000000001</v>
      </c>
      <c r="S150" s="1">
        <v>0.19400000000000001</v>
      </c>
      <c r="T150" s="1">
        <v>0.32</v>
      </c>
      <c r="U150" s="1">
        <v>0.45500000000000002</v>
      </c>
      <c r="V150" s="1">
        <v>124.021</v>
      </c>
      <c r="W150">
        <v>4</v>
      </c>
    </row>
    <row r="151" spans="1:23" x14ac:dyDescent="0.25">
      <c r="A151" s="1" t="s">
        <v>12601</v>
      </c>
      <c r="B151" s="1" t="s">
        <v>12602</v>
      </c>
      <c r="C151" s="1" t="s">
        <v>1659</v>
      </c>
      <c r="D151" s="1" t="s">
        <v>1659</v>
      </c>
      <c r="E151" s="1" t="s">
        <v>1660</v>
      </c>
      <c r="F151" s="1" t="s">
        <v>13527</v>
      </c>
      <c r="G151">
        <v>186209</v>
      </c>
      <c r="H151">
        <v>81</v>
      </c>
      <c r="I151" s="1" t="s">
        <v>11063</v>
      </c>
      <c r="J151" s="11">
        <v>44729.706458333334</v>
      </c>
      <c r="K151" s="1" t="s">
        <v>1661</v>
      </c>
      <c r="L151" s="1">
        <v>0.75800000000000001</v>
      </c>
      <c r="M151" s="1">
        <v>0.91300000000000003</v>
      </c>
      <c r="N151">
        <v>6</v>
      </c>
      <c r="O151" s="1">
        <v>-2.9260000000000002</v>
      </c>
      <c r="P151">
        <v>0</v>
      </c>
      <c r="Q151" s="1">
        <v>0.113</v>
      </c>
      <c r="R151" s="1">
        <v>0.36399999999999999</v>
      </c>
      <c r="S151" s="1">
        <v>0.69199999999999995</v>
      </c>
      <c r="T151" s="1">
        <v>0.193</v>
      </c>
      <c r="U151" s="1">
        <v>0.65800000000000003</v>
      </c>
      <c r="V151" s="1">
        <v>128.04</v>
      </c>
      <c r="W151">
        <v>4</v>
      </c>
    </row>
    <row r="152" spans="1:23" x14ac:dyDescent="0.25">
      <c r="A152" s="1" t="s">
        <v>13765</v>
      </c>
      <c r="B152" s="1" t="s">
        <v>11629</v>
      </c>
      <c r="C152" s="1" t="s">
        <v>352</v>
      </c>
      <c r="D152" s="1" t="s">
        <v>352</v>
      </c>
      <c r="E152" s="1" t="s">
        <v>353</v>
      </c>
      <c r="F152" s="1" t="s">
        <v>13766</v>
      </c>
      <c r="G152">
        <v>196375</v>
      </c>
      <c r="H152">
        <v>76</v>
      </c>
      <c r="I152" s="1" t="s">
        <v>11063</v>
      </c>
      <c r="J152" s="11">
        <v>44729.706458333334</v>
      </c>
      <c r="K152" s="1" t="s">
        <v>25</v>
      </c>
      <c r="L152" s="1">
        <v>0.78900000000000003</v>
      </c>
      <c r="M152" s="1">
        <v>0.435</v>
      </c>
      <c r="N152">
        <v>2</v>
      </c>
      <c r="O152" s="1">
        <v>-9.5060000000000002</v>
      </c>
      <c r="P152">
        <v>0</v>
      </c>
      <c r="Q152" s="1">
        <v>0.14899999999999999</v>
      </c>
      <c r="R152" s="1">
        <v>0.69099999999999995</v>
      </c>
      <c r="S152" s="1">
        <v>0.41799999999999998</v>
      </c>
      <c r="T152" s="1">
        <v>0.107</v>
      </c>
      <c r="U152" s="1">
        <v>0.16600000000000001</v>
      </c>
      <c r="V152" s="1">
        <v>122.995</v>
      </c>
      <c r="W152">
        <v>4</v>
      </c>
    </row>
    <row r="153" spans="1:23" x14ac:dyDescent="0.25">
      <c r="A153" s="1" t="s">
        <v>12598</v>
      </c>
      <c r="B153" s="1" t="s">
        <v>12599</v>
      </c>
      <c r="C153" s="1" t="s">
        <v>1656</v>
      </c>
      <c r="D153" s="1" t="s">
        <v>12600</v>
      </c>
      <c r="E153" s="1" t="s">
        <v>1657</v>
      </c>
      <c r="F153" s="1" t="s">
        <v>13767</v>
      </c>
      <c r="G153">
        <v>158095</v>
      </c>
      <c r="H153">
        <v>81</v>
      </c>
      <c r="I153" s="1" t="s">
        <v>11063</v>
      </c>
      <c r="J153" s="11">
        <v>44729.706458333334</v>
      </c>
      <c r="K153" s="1" t="s">
        <v>1658</v>
      </c>
      <c r="L153" s="1">
        <v>0.621</v>
      </c>
      <c r="M153" s="1">
        <v>0.98899999999999999</v>
      </c>
      <c r="N153">
        <v>10</v>
      </c>
      <c r="O153" s="1">
        <v>-4.2249999999999996</v>
      </c>
      <c r="P153">
        <v>0</v>
      </c>
      <c r="Q153" s="1">
        <v>0.434</v>
      </c>
      <c r="R153" s="1">
        <v>0.15</v>
      </c>
      <c r="S153" s="1">
        <v>0.35699999999999998</v>
      </c>
      <c r="T153" s="1">
        <v>0.184</v>
      </c>
      <c r="U153" s="1">
        <v>0.34799999999999998</v>
      </c>
      <c r="V153" s="1">
        <v>126.002</v>
      </c>
      <c r="W153">
        <v>4</v>
      </c>
    </row>
    <row r="154" spans="1:23" x14ac:dyDescent="0.25">
      <c r="A154" s="1" t="s">
        <v>12595</v>
      </c>
      <c r="B154" s="1" t="s">
        <v>12596</v>
      </c>
      <c r="C154" s="1" t="s">
        <v>1653</v>
      </c>
      <c r="D154" s="1" t="s">
        <v>12597</v>
      </c>
      <c r="E154" s="1" t="s">
        <v>1654</v>
      </c>
      <c r="F154" s="1" t="s">
        <v>13768</v>
      </c>
      <c r="G154">
        <v>102860</v>
      </c>
      <c r="H154">
        <v>74</v>
      </c>
      <c r="I154" s="1" t="s">
        <v>11063</v>
      </c>
      <c r="J154" s="11">
        <v>44729.706458333334</v>
      </c>
      <c r="K154" s="1" t="s">
        <v>1655</v>
      </c>
      <c r="L154" s="1">
        <v>0.874</v>
      </c>
      <c r="M154" s="1">
        <v>0.86899999999999999</v>
      </c>
      <c r="N154">
        <v>1</v>
      </c>
      <c r="O154" s="1">
        <v>-5.9960000000000004</v>
      </c>
      <c r="P154">
        <v>0</v>
      </c>
      <c r="Q154" s="1">
        <v>0.315</v>
      </c>
      <c r="R154" s="1">
        <v>0.11600000000000001</v>
      </c>
      <c r="S154" s="1">
        <v>0.23799999999999999</v>
      </c>
      <c r="T154" s="1">
        <v>0.16400000000000001</v>
      </c>
      <c r="U154" s="1">
        <v>0.72599999999999998</v>
      </c>
      <c r="V154" s="1">
        <v>126.027</v>
      </c>
      <c r="W154">
        <v>4</v>
      </c>
    </row>
    <row r="155" spans="1:23" x14ac:dyDescent="0.25">
      <c r="A155" s="1" t="s">
        <v>12591</v>
      </c>
      <c r="B155" s="1" t="s">
        <v>12592</v>
      </c>
      <c r="C155" s="1" t="s">
        <v>1647</v>
      </c>
      <c r="D155" s="1" t="s">
        <v>1647</v>
      </c>
      <c r="E155" s="1" t="s">
        <v>1648</v>
      </c>
      <c r="F155" s="1" t="s">
        <v>13769</v>
      </c>
      <c r="G155">
        <v>174193</v>
      </c>
      <c r="H155">
        <v>72</v>
      </c>
      <c r="I155" s="1" t="s">
        <v>11063</v>
      </c>
      <c r="J155" s="11">
        <v>44729.706458333334</v>
      </c>
      <c r="K155" s="1" t="s">
        <v>1649</v>
      </c>
      <c r="L155" s="1">
        <v>0.81200000000000006</v>
      </c>
      <c r="M155" s="1">
        <v>0.63400000000000001</v>
      </c>
      <c r="N155">
        <v>8</v>
      </c>
      <c r="O155" s="1">
        <v>-4.96</v>
      </c>
      <c r="P155">
        <v>1</v>
      </c>
      <c r="Q155" s="1">
        <v>0.16300000000000001</v>
      </c>
      <c r="R155" s="1">
        <v>0.56399999999999995</v>
      </c>
      <c r="S155" s="1">
        <v>0</v>
      </c>
      <c r="T155" s="1">
        <v>0.27600000000000002</v>
      </c>
      <c r="U155" s="1">
        <v>0.46300000000000002</v>
      </c>
      <c r="V155" s="1">
        <v>124.074</v>
      </c>
      <c r="W155">
        <v>4</v>
      </c>
    </row>
    <row r="156" spans="1:23" x14ac:dyDescent="0.25">
      <c r="A156" s="1" t="s">
        <v>12593</v>
      </c>
      <c r="B156" s="1" t="s">
        <v>12594</v>
      </c>
      <c r="C156" s="1" t="s">
        <v>1650</v>
      </c>
      <c r="D156" s="1" t="s">
        <v>1650</v>
      </c>
      <c r="E156" s="1" t="s">
        <v>1651</v>
      </c>
      <c r="F156" s="1" t="s">
        <v>11335</v>
      </c>
      <c r="G156">
        <v>186727</v>
      </c>
      <c r="H156">
        <v>69</v>
      </c>
      <c r="I156" s="1" t="s">
        <v>11063</v>
      </c>
      <c r="J156" s="11">
        <v>44729.706458333334</v>
      </c>
      <c r="K156" s="1" t="s">
        <v>1652</v>
      </c>
      <c r="L156" s="1">
        <v>0.68300000000000005</v>
      </c>
      <c r="M156" s="1">
        <v>0.77</v>
      </c>
      <c r="N156">
        <v>11</v>
      </c>
      <c r="O156" s="1">
        <v>-6.641</v>
      </c>
      <c r="P156">
        <v>0</v>
      </c>
      <c r="Q156" s="1">
        <v>0.51200000000000001</v>
      </c>
      <c r="R156" s="1">
        <v>0.98799999999999999</v>
      </c>
      <c r="S156" s="1">
        <v>0.89600000000000002</v>
      </c>
      <c r="T156" s="1">
        <v>0.379</v>
      </c>
      <c r="U156" s="1">
        <v>0.52700000000000002</v>
      </c>
      <c r="V156" s="1">
        <v>126.006</v>
      </c>
      <c r="W156">
        <v>4</v>
      </c>
    </row>
    <row r="157" spans="1:23" x14ac:dyDescent="0.25">
      <c r="A157" s="1" t="s">
        <v>11229</v>
      </c>
      <c r="B157" s="1" t="s">
        <v>11230</v>
      </c>
      <c r="C157" s="1" t="s">
        <v>29</v>
      </c>
      <c r="D157" s="1" t="s">
        <v>29</v>
      </c>
      <c r="E157" s="1" t="s">
        <v>30</v>
      </c>
      <c r="F157" s="1" t="s">
        <v>11231</v>
      </c>
      <c r="G157">
        <v>186666</v>
      </c>
      <c r="H157">
        <v>65</v>
      </c>
      <c r="I157" s="1" t="s">
        <v>11063</v>
      </c>
      <c r="J157" s="11">
        <v>44729.706458333334</v>
      </c>
      <c r="K157" s="1" t="s">
        <v>31</v>
      </c>
      <c r="L157" s="1">
        <v>0.64300000000000002</v>
      </c>
      <c r="M157" s="1">
        <v>0.76200000000000001</v>
      </c>
      <c r="N157">
        <v>7</v>
      </c>
      <c r="O157" s="1">
        <v>-4.0030000000000001</v>
      </c>
      <c r="P157">
        <v>0</v>
      </c>
      <c r="Q157" s="1">
        <v>0.373</v>
      </c>
      <c r="R157" s="1">
        <v>0.52500000000000002</v>
      </c>
      <c r="S157" s="1">
        <v>0</v>
      </c>
      <c r="T157" s="1">
        <v>0.34499999999999997</v>
      </c>
      <c r="U157" s="1">
        <v>0.39900000000000002</v>
      </c>
      <c r="V157" s="1">
        <v>125.947</v>
      </c>
      <c r="W157">
        <v>4</v>
      </c>
    </row>
    <row r="158" spans="1:23" x14ac:dyDescent="0.25">
      <c r="A158" s="1" t="s">
        <v>11226</v>
      </c>
      <c r="B158" s="1" t="s">
        <v>11227</v>
      </c>
      <c r="C158" s="1" t="s">
        <v>26</v>
      </c>
      <c r="D158" s="1" t="s">
        <v>26</v>
      </c>
      <c r="E158" s="1" t="s">
        <v>27</v>
      </c>
      <c r="F158" s="1" t="s">
        <v>11228</v>
      </c>
      <c r="G158">
        <v>202905</v>
      </c>
      <c r="H158">
        <v>65</v>
      </c>
      <c r="I158" s="1" t="s">
        <v>11063</v>
      </c>
      <c r="J158" s="11">
        <v>44729.706458333334</v>
      </c>
      <c r="K158" s="1" t="s">
        <v>28</v>
      </c>
      <c r="L158" s="1">
        <v>0.67300000000000004</v>
      </c>
      <c r="M158" s="1">
        <v>0.625</v>
      </c>
      <c r="N158">
        <v>9</v>
      </c>
      <c r="O158" s="1">
        <v>-6.8540000000000001</v>
      </c>
      <c r="P158">
        <v>0</v>
      </c>
      <c r="Q158" s="1">
        <v>0.27200000000000002</v>
      </c>
      <c r="R158" s="1">
        <v>0.24299999999999999</v>
      </c>
      <c r="S158" s="1">
        <v>0.219</v>
      </c>
      <c r="T158" s="1">
        <v>0.57699999999999996</v>
      </c>
      <c r="U158" s="1">
        <v>0.38600000000000001</v>
      </c>
      <c r="V158" s="1">
        <v>124.001</v>
      </c>
      <c r="W158">
        <v>4</v>
      </c>
    </row>
    <row r="159" spans="1:23" x14ac:dyDescent="0.25">
      <c r="A159" s="1" t="s">
        <v>11641</v>
      </c>
      <c r="B159" s="1" t="s">
        <v>11642</v>
      </c>
      <c r="C159" s="1" t="s">
        <v>362</v>
      </c>
      <c r="D159" s="1" t="s">
        <v>362</v>
      </c>
      <c r="E159" s="1" t="s">
        <v>363</v>
      </c>
      <c r="F159" s="1" t="s">
        <v>11643</v>
      </c>
      <c r="G159">
        <v>287120</v>
      </c>
      <c r="H159">
        <v>88</v>
      </c>
      <c r="I159" s="1" t="s">
        <v>11063</v>
      </c>
      <c r="J159" s="11">
        <v>44729.706458333334</v>
      </c>
      <c r="K159" s="1" t="s">
        <v>364</v>
      </c>
      <c r="L159" s="1">
        <v>0.76200000000000001</v>
      </c>
      <c r="M159" s="1">
        <v>0.76600000000000001</v>
      </c>
      <c r="N159">
        <v>7</v>
      </c>
      <c r="O159" s="1">
        <v>-3.9550000000000001</v>
      </c>
      <c r="P159">
        <v>1</v>
      </c>
      <c r="Q159" s="1">
        <v>0.34300000000000003</v>
      </c>
      <c r="R159" s="1">
        <v>0.77600000000000002</v>
      </c>
      <c r="S159" s="1">
        <v>0.69799999999999995</v>
      </c>
      <c r="T159" s="1">
        <v>0.128</v>
      </c>
      <c r="U159" s="1">
        <v>0.442</v>
      </c>
      <c r="V159" s="1">
        <v>130.001</v>
      </c>
      <c r="W159">
        <v>4</v>
      </c>
    </row>
    <row r="160" spans="1:23" x14ac:dyDescent="0.25">
      <c r="A160" s="1" t="s">
        <v>12585</v>
      </c>
      <c r="B160" s="1" t="s">
        <v>12586</v>
      </c>
      <c r="C160" s="1" t="s">
        <v>1557</v>
      </c>
      <c r="D160" s="1" t="s">
        <v>1557</v>
      </c>
      <c r="E160" s="1" t="s">
        <v>1558</v>
      </c>
      <c r="F160" s="1" t="s">
        <v>13607</v>
      </c>
      <c r="G160">
        <v>186140</v>
      </c>
      <c r="H160">
        <v>79</v>
      </c>
      <c r="I160" s="1" t="s">
        <v>11063</v>
      </c>
      <c r="J160" s="11">
        <v>44729.706458333334</v>
      </c>
      <c r="K160" s="1" t="s">
        <v>1559</v>
      </c>
      <c r="L160" s="1">
        <v>0.53900000000000003</v>
      </c>
      <c r="M160" s="1">
        <v>0.70799999999999996</v>
      </c>
      <c r="N160">
        <v>5</v>
      </c>
      <c r="O160" s="1">
        <v>-6.1890000000000001</v>
      </c>
      <c r="P160">
        <v>1</v>
      </c>
      <c r="Q160" s="1">
        <v>0.97599999999999998</v>
      </c>
      <c r="R160" s="1">
        <v>0.129</v>
      </c>
      <c r="S160" s="1">
        <v>0</v>
      </c>
      <c r="T160" s="1">
        <v>0.14000000000000001</v>
      </c>
      <c r="U160" s="1">
        <v>0.38100000000000001</v>
      </c>
      <c r="V160" s="1">
        <v>123.039</v>
      </c>
      <c r="W160">
        <v>4</v>
      </c>
    </row>
    <row r="161" spans="1:23" x14ac:dyDescent="0.25">
      <c r="A161" s="1" t="s">
        <v>12587</v>
      </c>
      <c r="B161" s="1" t="s">
        <v>12588</v>
      </c>
      <c r="C161" s="1" t="s">
        <v>1641</v>
      </c>
      <c r="D161" s="1" t="s">
        <v>1641</v>
      </c>
      <c r="E161" s="1" t="s">
        <v>1642</v>
      </c>
      <c r="F161" s="1" t="s">
        <v>11282</v>
      </c>
      <c r="G161">
        <v>181728</v>
      </c>
      <c r="H161">
        <v>75</v>
      </c>
      <c r="I161" s="1" t="s">
        <v>11063</v>
      </c>
      <c r="J161" s="11">
        <v>44729.706458333334</v>
      </c>
      <c r="K161" s="1" t="s">
        <v>1643</v>
      </c>
      <c r="L161" s="1">
        <v>0.68600000000000005</v>
      </c>
      <c r="M161" s="1">
        <v>0.85599999999999998</v>
      </c>
      <c r="N161">
        <v>9</v>
      </c>
      <c r="O161" s="1">
        <v>-2.7170000000000001</v>
      </c>
      <c r="P161">
        <v>0</v>
      </c>
      <c r="Q161" s="1">
        <v>0.42599999999999999</v>
      </c>
      <c r="R161" s="1">
        <v>0.89600000000000002</v>
      </c>
      <c r="S161" s="1">
        <v>0</v>
      </c>
      <c r="T161" s="1">
        <v>0.64800000000000002</v>
      </c>
      <c r="U161" s="1">
        <v>0.73299999999999998</v>
      </c>
      <c r="V161" s="1">
        <v>123.997</v>
      </c>
      <c r="W161">
        <v>4</v>
      </c>
    </row>
    <row r="162" spans="1:23" x14ac:dyDescent="0.25">
      <c r="A162" s="1" t="s">
        <v>11217</v>
      </c>
      <c r="B162" s="1" t="s">
        <v>11218</v>
      </c>
      <c r="C162" s="1" t="s">
        <v>17</v>
      </c>
      <c r="D162" s="1" t="s">
        <v>17</v>
      </c>
      <c r="E162" s="1" t="s">
        <v>18</v>
      </c>
      <c r="F162" s="1" t="s">
        <v>11219</v>
      </c>
      <c r="G162">
        <v>162603</v>
      </c>
      <c r="H162">
        <v>83</v>
      </c>
      <c r="I162" s="1" t="s">
        <v>11063</v>
      </c>
      <c r="J162" s="11">
        <v>44729.706458333334</v>
      </c>
      <c r="K162" s="1" t="s">
        <v>19</v>
      </c>
      <c r="L162" s="1">
        <v>0.78700000000000003</v>
      </c>
      <c r="M162" s="1">
        <v>0.83299999999999996</v>
      </c>
      <c r="N162">
        <v>8</v>
      </c>
      <c r="O162" s="1">
        <v>-4.4029999999999996</v>
      </c>
      <c r="P162">
        <v>1</v>
      </c>
      <c r="Q162" s="1">
        <v>0.47799999999999998</v>
      </c>
      <c r="R162" s="1">
        <v>0.18</v>
      </c>
      <c r="S162" s="1">
        <v>0.747</v>
      </c>
      <c r="T162" s="1">
        <v>0.374</v>
      </c>
      <c r="U162" s="1">
        <v>0.79600000000000004</v>
      </c>
      <c r="V162" s="1">
        <v>123.97</v>
      </c>
      <c r="W162">
        <v>4</v>
      </c>
    </row>
    <row r="163" spans="1:23" x14ac:dyDescent="0.25">
      <c r="A163" s="1" t="s">
        <v>12589</v>
      </c>
      <c r="B163" s="1" t="s">
        <v>12590</v>
      </c>
      <c r="C163" s="1" t="s">
        <v>1644</v>
      </c>
      <c r="D163" s="1" t="s">
        <v>1644</v>
      </c>
      <c r="E163" s="1" t="s">
        <v>1645</v>
      </c>
      <c r="F163" s="1" t="s">
        <v>11545</v>
      </c>
      <c r="G163">
        <v>131065</v>
      </c>
      <c r="H163">
        <v>77</v>
      </c>
      <c r="I163" s="1" t="s">
        <v>11063</v>
      </c>
      <c r="J163" s="11">
        <v>44729.706458333334</v>
      </c>
      <c r="K163" s="1" t="s">
        <v>1646</v>
      </c>
      <c r="L163" s="1">
        <v>0.91500000000000004</v>
      </c>
      <c r="M163" s="1">
        <v>0.72</v>
      </c>
      <c r="N163">
        <v>8</v>
      </c>
      <c r="O163" s="1">
        <v>-3.1259999999999999</v>
      </c>
      <c r="P163">
        <v>1</v>
      </c>
      <c r="Q163" s="1">
        <v>0.45900000000000002</v>
      </c>
      <c r="R163" s="1">
        <v>0.25</v>
      </c>
      <c r="S163" s="1">
        <v>0.14199999999999999</v>
      </c>
      <c r="T163" s="1">
        <v>0.94199999999999995</v>
      </c>
      <c r="U163" s="1">
        <v>0.63100000000000001</v>
      </c>
      <c r="V163" s="1">
        <v>126.986</v>
      </c>
      <c r="W163">
        <v>4</v>
      </c>
    </row>
    <row r="164" spans="1:23" x14ac:dyDescent="0.25">
      <c r="A164" s="1" t="s">
        <v>11232</v>
      </c>
      <c r="B164" s="1" t="s">
        <v>11233</v>
      </c>
      <c r="C164" s="1" t="s">
        <v>33</v>
      </c>
      <c r="D164" s="1" t="s">
        <v>33</v>
      </c>
      <c r="E164" s="1" t="s">
        <v>34</v>
      </c>
      <c r="F164" s="1" t="s">
        <v>11234</v>
      </c>
      <c r="G164">
        <v>200211</v>
      </c>
      <c r="H164">
        <v>72</v>
      </c>
      <c r="I164" s="1" t="s">
        <v>11063</v>
      </c>
      <c r="J164" s="11">
        <v>44729.706458333334</v>
      </c>
      <c r="K164" s="1" t="s">
        <v>35</v>
      </c>
      <c r="L164" s="1">
        <v>0.79700000000000004</v>
      </c>
      <c r="M164" s="1">
        <v>0.64900000000000002</v>
      </c>
      <c r="N164">
        <v>3</v>
      </c>
      <c r="O164" s="1">
        <v>-5.5060000000000002</v>
      </c>
      <c r="P164">
        <v>0</v>
      </c>
      <c r="Q164" s="1">
        <v>0.182</v>
      </c>
      <c r="R164" s="1">
        <v>0.24</v>
      </c>
      <c r="S164" s="1">
        <v>0.12</v>
      </c>
      <c r="T164" s="1">
        <v>0.153</v>
      </c>
      <c r="U164" s="1">
        <v>0.437</v>
      </c>
      <c r="V164" s="1">
        <v>117.971</v>
      </c>
      <c r="W164">
        <v>4</v>
      </c>
    </row>
    <row r="165" spans="1:23" x14ac:dyDescent="0.25">
      <c r="A165" s="1" t="s">
        <v>12580</v>
      </c>
      <c r="B165" s="1" t="s">
        <v>12581</v>
      </c>
      <c r="C165" s="1" t="s">
        <v>1632</v>
      </c>
      <c r="D165" s="1" t="s">
        <v>1632</v>
      </c>
      <c r="E165" s="1" t="s">
        <v>1633</v>
      </c>
      <c r="F165" s="1" t="s">
        <v>13770</v>
      </c>
      <c r="G165">
        <v>169672</v>
      </c>
      <c r="H165">
        <v>76</v>
      </c>
      <c r="I165" s="1" t="s">
        <v>11063</v>
      </c>
      <c r="J165" s="11">
        <v>44729.706458333334</v>
      </c>
      <c r="K165" s="1" t="s">
        <v>1634</v>
      </c>
      <c r="L165" s="1">
        <v>0.67300000000000004</v>
      </c>
      <c r="M165" s="1">
        <v>0.72899999999999998</v>
      </c>
      <c r="N165">
        <v>6</v>
      </c>
      <c r="O165" s="1">
        <v>-4.8789999999999996</v>
      </c>
      <c r="P165">
        <v>1</v>
      </c>
      <c r="Q165" s="1">
        <v>0.496</v>
      </c>
      <c r="R165" s="1">
        <v>0.83</v>
      </c>
      <c r="S165" s="1">
        <v>0</v>
      </c>
      <c r="T165" s="1">
        <v>0.1</v>
      </c>
      <c r="U165" s="1">
        <v>0.67500000000000004</v>
      </c>
      <c r="V165" s="1">
        <v>122.023</v>
      </c>
      <c r="W165">
        <v>4</v>
      </c>
    </row>
    <row r="166" spans="1:23" x14ac:dyDescent="0.25">
      <c r="A166" s="1" t="s">
        <v>13771</v>
      </c>
      <c r="B166" s="1" t="s">
        <v>12582</v>
      </c>
      <c r="C166" s="1" t="s">
        <v>1635</v>
      </c>
      <c r="D166" s="1" t="s">
        <v>1635</v>
      </c>
      <c r="E166" s="1" t="s">
        <v>1636</v>
      </c>
      <c r="F166" s="1" t="s">
        <v>11335</v>
      </c>
      <c r="G166">
        <v>249678</v>
      </c>
      <c r="H166">
        <v>1</v>
      </c>
      <c r="I166" s="1" t="s">
        <v>11063</v>
      </c>
      <c r="J166" s="11">
        <v>44729.706458333334</v>
      </c>
      <c r="K166" s="1" t="s">
        <v>1637</v>
      </c>
      <c r="L166" s="1">
        <v>0.81200000000000006</v>
      </c>
      <c r="M166" s="1">
        <v>0.79600000000000004</v>
      </c>
      <c r="N166">
        <v>8</v>
      </c>
      <c r="O166" s="1">
        <v>-10.548</v>
      </c>
      <c r="P166">
        <v>1</v>
      </c>
      <c r="Q166" s="1">
        <v>0.35599999999999998</v>
      </c>
      <c r="R166" s="1">
        <v>0.82599999999999996</v>
      </c>
      <c r="S166" s="1">
        <v>0.92100000000000004</v>
      </c>
      <c r="T166" s="1">
        <v>0.36499999999999999</v>
      </c>
      <c r="U166" s="1">
        <v>0.96099999999999997</v>
      </c>
      <c r="V166" s="1">
        <v>125.976</v>
      </c>
      <c r="W166">
        <v>4</v>
      </c>
    </row>
    <row r="167" spans="1:23" x14ac:dyDescent="0.25">
      <c r="A167" s="1" t="s">
        <v>12574</v>
      </c>
      <c r="B167" s="1" t="s">
        <v>12575</v>
      </c>
      <c r="C167" s="1" t="s">
        <v>1623</v>
      </c>
      <c r="D167" s="1" t="s">
        <v>1623</v>
      </c>
      <c r="E167" s="1" t="s">
        <v>1624</v>
      </c>
      <c r="F167" s="1" t="s">
        <v>11282</v>
      </c>
      <c r="G167">
        <v>165524</v>
      </c>
      <c r="H167">
        <v>78</v>
      </c>
      <c r="I167" s="1" t="s">
        <v>11063</v>
      </c>
      <c r="J167" s="11">
        <v>44729.706458333334</v>
      </c>
      <c r="K167" s="1" t="s">
        <v>1625</v>
      </c>
      <c r="L167" s="1">
        <v>0.53900000000000003</v>
      </c>
      <c r="M167" s="1">
        <v>0.71499999999999997</v>
      </c>
      <c r="N167">
        <v>11</v>
      </c>
      <c r="O167" s="1">
        <v>-6.6390000000000002</v>
      </c>
      <c r="P167">
        <v>0</v>
      </c>
      <c r="Q167" s="1">
        <v>0.59499999999999997</v>
      </c>
      <c r="R167" s="1">
        <v>0.26500000000000001</v>
      </c>
      <c r="S167" s="1">
        <v>0</v>
      </c>
      <c r="T167" s="1">
        <v>0.60899999999999999</v>
      </c>
      <c r="U167" s="1">
        <v>0.48899999999999999</v>
      </c>
      <c r="V167" s="1">
        <v>123.854</v>
      </c>
      <c r="W167">
        <v>4</v>
      </c>
    </row>
    <row r="168" spans="1:23" x14ac:dyDescent="0.25">
      <c r="A168" s="1" t="s">
        <v>12576</v>
      </c>
      <c r="B168" s="1" t="s">
        <v>12577</v>
      </c>
      <c r="C168" s="1" t="s">
        <v>1626</v>
      </c>
      <c r="D168" s="1" t="s">
        <v>12578</v>
      </c>
      <c r="E168" s="1" t="s">
        <v>1627</v>
      </c>
      <c r="F168" s="1" t="s">
        <v>11219</v>
      </c>
      <c r="G168">
        <v>202735</v>
      </c>
      <c r="H168">
        <v>90</v>
      </c>
      <c r="I168" s="1" t="s">
        <v>11063</v>
      </c>
      <c r="J168" s="11">
        <v>44729.706458333334</v>
      </c>
      <c r="K168" s="1" t="s">
        <v>1628</v>
      </c>
      <c r="L168" s="1">
        <v>0.79600000000000004</v>
      </c>
      <c r="M168" s="1">
        <v>0.79800000000000004</v>
      </c>
      <c r="N168">
        <v>1</v>
      </c>
      <c r="O168" s="1">
        <v>-6.3120000000000003</v>
      </c>
      <c r="P168">
        <v>1</v>
      </c>
      <c r="Q168" s="1">
        <v>0.317</v>
      </c>
      <c r="R168" s="1">
        <v>0.34</v>
      </c>
      <c r="S168" s="1">
        <v>0.41899999999999998</v>
      </c>
      <c r="T168" s="1">
        <v>0.95199999999999996</v>
      </c>
      <c r="U168" s="1">
        <v>0.94199999999999995</v>
      </c>
      <c r="V168" s="1">
        <v>116.032</v>
      </c>
      <c r="W168">
        <v>4</v>
      </c>
    </row>
    <row r="169" spans="1:23" x14ac:dyDescent="0.25">
      <c r="A169" s="1" t="s">
        <v>13772</v>
      </c>
      <c r="B169" s="1" t="s">
        <v>12579</v>
      </c>
      <c r="C169" s="1" t="s">
        <v>1629</v>
      </c>
      <c r="D169" s="1" t="s">
        <v>1629</v>
      </c>
      <c r="E169" s="1" t="s">
        <v>1630</v>
      </c>
      <c r="F169" s="1" t="s">
        <v>11504</v>
      </c>
      <c r="G169">
        <v>158807</v>
      </c>
      <c r="H169">
        <v>13</v>
      </c>
      <c r="I169" s="1" t="s">
        <v>11063</v>
      </c>
      <c r="J169" s="11">
        <v>44729.706458333334</v>
      </c>
      <c r="K169" s="1" t="s">
        <v>1631</v>
      </c>
      <c r="L169" s="1">
        <v>0.59599999999999997</v>
      </c>
      <c r="M169" s="1">
        <v>0.74299999999999999</v>
      </c>
      <c r="N169">
        <v>6</v>
      </c>
      <c r="O169" s="1">
        <v>-4.149</v>
      </c>
      <c r="P169">
        <v>1</v>
      </c>
      <c r="Q169" s="1">
        <v>0.30199999999999999</v>
      </c>
      <c r="R169" s="1">
        <v>0.69599999999999995</v>
      </c>
      <c r="S169" s="1">
        <v>0.23699999999999999</v>
      </c>
      <c r="T169" s="1">
        <v>0.20200000000000001</v>
      </c>
      <c r="U169" s="1">
        <v>0.53100000000000003</v>
      </c>
      <c r="V169" s="1">
        <v>125.883</v>
      </c>
      <c r="W169">
        <v>4</v>
      </c>
    </row>
    <row r="170" spans="1:23" x14ac:dyDescent="0.25">
      <c r="A170" s="1" t="s">
        <v>11235</v>
      </c>
      <c r="B170" s="1" t="s">
        <v>11236</v>
      </c>
      <c r="C170" s="1" t="s">
        <v>36</v>
      </c>
      <c r="D170" s="1" t="s">
        <v>36</v>
      </c>
      <c r="E170" s="1" t="s">
        <v>37</v>
      </c>
      <c r="F170" s="1" t="s">
        <v>11237</v>
      </c>
      <c r="G170">
        <v>161266</v>
      </c>
      <c r="H170">
        <v>81</v>
      </c>
      <c r="I170" s="1" t="s">
        <v>11063</v>
      </c>
      <c r="J170" s="11">
        <v>44729.706458333334</v>
      </c>
      <c r="K170" s="1" t="s">
        <v>38</v>
      </c>
      <c r="L170" s="1">
        <v>0.68500000000000005</v>
      </c>
      <c r="M170" s="1">
        <v>0.88600000000000001</v>
      </c>
      <c r="N170">
        <v>0</v>
      </c>
      <c r="O170" s="1">
        <v>-4.1790000000000003</v>
      </c>
      <c r="P170">
        <v>1</v>
      </c>
      <c r="Q170" s="1">
        <v>0.34</v>
      </c>
      <c r="R170" s="1">
        <v>0.28000000000000003</v>
      </c>
      <c r="S170" s="1">
        <v>0</v>
      </c>
      <c r="T170" s="1">
        <v>0.48099999999999998</v>
      </c>
      <c r="U170" s="1">
        <v>0.61499999999999999</v>
      </c>
      <c r="V170" s="1">
        <v>125.03400000000001</v>
      </c>
      <c r="W170">
        <v>4</v>
      </c>
    </row>
    <row r="171" spans="1:23" x14ac:dyDescent="0.25">
      <c r="A171" s="1" t="s">
        <v>11238</v>
      </c>
      <c r="B171" s="1" t="s">
        <v>11239</v>
      </c>
      <c r="C171" s="1" t="s">
        <v>39</v>
      </c>
      <c r="D171" s="1" t="s">
        <v>39</v>
      </c>
      <c r="E171" s="1" t="s">
        <v>40</v>
      </c>
      <c r="F171" s="1" t="s">
        <v>11240</v>
      </c>
      <c r="G171">
        <v>159315</v>
      </c>
      <c r="H171">
        <v>68</v>
      </c>
      <c r="I171" s="1" t="s">
        <v>11063</v>
      </c>
      <c r="J171" s="11">
        <v>44729.706458333334</v>
      </c>
      <c r="K171" s="1" t="s">
        <v>41</v>
      </c>
      <c r="L171" s="1">
        <v>0.63200000000000001</v>
      </c>
      <c r="M171" s="1">
        <v>0.69099999999999995</v>
      </c>
      <c r="N171">
        <v>9</v>
      </c>
      <c r="O171" s="1">
        <v>-5.226</v>
      </c>
      <c r="P171">
        <v>0</v>
      </c>
      <c r="Q171" s="1">
        <v>0.60299999999999998</v>
      </c>
      <c r="R171" s="1">
        <v>0.60399999999999998</v>
      </c>
      <c r="S171" s="1">
        <v>0.14899999999999999</v>
      </c>
      <c r="T171" s="1">
        <v>0.19</v>
      </c>
      <c r="U171" s="1">
        <v>0.76800000000000002</v>
      </c>
      <c r="V171" s="1">
        <v>116.02800000000001</v>
      </c>
      <c r="W171">
        <v>4</v>
      </c>
    </row>
    <row r="172" spans="1:23" x14ac:dyDescent="0.25">
      <c r="A172" s="1" t="s">
        <v>11241</v>
      </c>
      <c r="B172" s="1" t="s">
        <v>11242</v>
      </c>
      <c r="C172" s="1" t="s">
        <v>42</v>
      </c>
      <c r="D172" s="1" t="s">
        <v>42</v>
      </c>
      <c r="E172" s="1" t="s">
        <v>43</v>
      </c>
      <c r="F172" s="1" t="s">
        <v>11243</v>
      </c>
      <c r="G172">
        <v>216770</v>
      </c>
      <c r="H172">
        <v>37</v>
      </c>
      <c r="I172" s="1" t="s">
        <v>11063</v>
      </c>
      <c r="J172" s="11">
        <v>44729.706458333334</v>
      </c>
      <c r="K172" s="1" t="s">
        <v>44</v>
      </c>
      <c r="L172" s="1">
        <v>0.69099999999999995</v>
      </c>
      <c r="M172" s="1">
        <v>0.80500000000000005</v>
      </c>
      <c r="N172">
        <v>11</v>
      </c>
      <c r="O172" s="1">
        <v>-5.3959999999999999</v>
      </c>
      <c r="P172">
        <v>0</v>
      </c>
      <c r="Q172" s="1">
        <v>0.123</v>
      </c>
      <c r="R172" s="1">
        <v>0.53200000000000003</v>
      </c>
      <c r="S172" s="1">
        <v>0</v>
      </c>
      <c r="T172" s="1">
        <v>0.189</v>
      </c>
      <c r="U172" s="1">
        <v>0.873</v>
      </c>
      <c r="V172" s="1">
        <v>117.974</v>
      </c>
      <c r="W172">
        <v>4</v>
      </c>
    </row>
    <row r="173" spans="1:23" x14ac:dyDescent="0.25">
      <c r="A173" s="1" t="s">
        <v>12572</v>
      </c>
      <c r="B173" s="1" t="s">
        <v>12573</v>
      </c>
      <c r="C173" s="1" t="s">
        <v>1620</v>
      </c>
      <c r="D173" s="1" t="s">
        <v>1620</v>
      </c>
      <c r="E173" s="1" t="s">
        <v>1621</v>
      </c>
      <c r="F173" s="1" t="s">
        <v>11282</v>
      </c>
      <c r="G173">
        <v>167998</v>
      </c>
      <c r="H173">
        <v>70</v>
      </c>
      <c r="I173" s="1" t="s">
        <v>11063</v>
      </c>
      <c r="J173" s="11">
        <v>44729.706458333334</v>
      </c>
      <c r="K173" s="1" t="s">
        <v>1601</v>
      </c>
      <c r="L173" s="1">
        <v>0.74099999999999999</v>
      </c>
      <c r="M173" s="1">
        <v>0.76</v>
      </c>
      <c r="N173">
        <v>5</v>
      </c>
      <c r="O173" s="1">
        <v>-5.359</v>
      </c>
      <c r="P173">
        <v>0</v>
      </c>
      <c r="Q173" s="1">
        <v>0.44700000000000001</v>
      </c>
      <c r="R173" s="1">
        <v>0.41499999999999998</v>
      </c>
      <c r="S173" s="1">
        <v>0.42699999999999999</v>
      </c>
      <c r="T173" s="1">
        <v>0.95</v>
      </c>
      <c r="U173" s="1">
        <v>0.58799999999999997</v>
      </c>
      <c r="V173" s="1">
        <v>120.01</v>
      </c>
      <c r="W173">
        <v>4</v>
      </c>
    </row>
    <row r="174" spans="1:23" x14ac:dyDescent="0.25">
      <c r="A174" s="1" t="s">
        <v>11244</v>
      </c>
      <c r="B174" s="1" t="s">
        <v>11245</v>
      </c>
      <c r="C174" s="1" t="s">
        <v>45</v>
      </c>
      <c r="D174" s="1" t="s">
        <v>45</v>
      </c>
      <c r="E174" s="1" t="s">
        <v>46</v>
      </c>
      <c r="F174" s="1" t="s">
        <v>11246</v>
      </c>
      <c r="G174">
        <v>157890</v>
      </c>
      <c r="H174">
        <v>87</v>
      </c>
      <c r="I174" s="1" t="s">
        <v>11063</v>
      </c>
      <c r="J174" s="11">
        <v>44729.706458333334</v>
      </c>
      <c r="K174" s="1" t="s">
        <v>47</v>
      </c>
      <c r="L174" s="1">
        <v>0.85399999999999998</v>
      </c>
      <c r="M174" s="1">
        <v>0.80600000000000005</v>
      </c>
      <c r="N174">
        <v>11</v>
      </c>
      <c r="O174" s="1">
        <v>-8.2620000000000005</v>
      </c>
      <c r="P174">
        <v>0</v>
      </c>
      <c r="Q174" s="1">
        <v>0.88600000000000001</v>
      </c>
      <c r="R174" s="1">
        <v>0.20899999999999999</v>
      </c>
      <c r="S174" s="1">
        <v>0.54200000000000004</v>
      </c>
      <c r="T174" s="1">
        <v>0.70299999999999996</v>
      </c>
      <c r="U174" s="1">
        <v>0.63700000000000001</v>
      </c>
      <c r="V174" s="1">
        <v>124.92700000000001</v>
      </c>
      <c r="W174">
        <v>4</v>
      </c>
    </row>
    <row r="175" spans="1:23" x14ac:dyDescent="0.25">
      <c r="A175" s="1" t="s">
        <v>12570</v>
      </c>
      <c r="B175" s="1" t="s">
        <v>12571</v>
      </c>
      <c r="C175" s="1" t="s">
        <v>1267</v>
      </c>
      <c r="D175" s="1" t="s">
        <v>1267</v>
      </c>
      <c r="E175" s="1" t="s">
        <v>1619</v>
      </c>
      <c r="F175" s="1" t="s">
        <v>13773</v>
      </c>
      <c r="G175">
        <v>160000</v>
      </c>
      <c r="H175">
        <v>82</v>
      </c>
      <c r="I175" s="1" t="s">
        <v>11063</v>
      </c>
      <c r="J175" s="11">
        <v>44729.706458333334</v>
      </c>
      <c r="K175" s="1" t="s">
        <v>2208</v>
      </c>
      <c r="L175" s="1">
        <v>0.67</v>
      </c>
      <c r="M175" s="1">
        <v>0.89600000000000002</v>
      </c>
      <c r="N175">
        <v>1</v>
      </c>
      <c r="O175" s="1">
        <v>-4.673</v>
      </c>
      <c r="P175">
        <v>1</v>
      </c>
      <c r="Q175" s="1">
        <v>0.57999999999999996</v>
      </c>
      <c r="R175" s="1">
        <v>0.34200000000000003</v>
      </c>
      <c r="S175" s="1">
        <v>0.32100000000000001</v>
      </c>
      <c r="T175" s="1">
        <v>0.34399999999999997</v>
      </c>
      <c r="U175" s="1">
        <v>0.40300000000000002</v>
      </c>
      <c r="V175" s="1">
        <v>101.21599999999999</v>
      </c>
      <c r="W175">
        <v>3</v>
      </c>
    </row>
    <row r="176" spans="1:23" x14ac:dyDescent="0.25">
      <c r="A176" s="1" t="s">
        <v>11247</v>
      </c>
      <c r="B176" s="1" t="s">
        <v>11248</v>
      </c>
      <c r="C176" s="1" t="s">
        <v>48</v>
      </c>
      <c r="D176" s="1" t="s">
        <v>48</v>
      </c>
      <c r="E176" s="1" t="s">
        <v>49</v>
      </c>
      <c r="F176" s="1" t="s">
        <v>11249</v>
      </c>
      <c r="G176">
        <v>197472</v>
      </c>
      <c r="H176">
        <v>77</v>
      </c>
      <c r="I176" s="1" t="s">
        <v>11063</v>
      </c>
      <c r="J176" s="11">
        <v>44729.706458333334</v>
      </c>
      <c r="K176" s="1" t="s">
        <v>50</v>
      </c>
      <c r="L176" s="1">
        <v>0.77300000000000002</v>
      </c>
      <c r="M176" s="1">
        <v>0.74</v>
      </c>
      <c r="N176">
        <v>7</v>
      </c>
      <c r="O176" s="1">
        <v>-8.1690000000000005</v>
      </c>
      <c r="P176">
        <v>0</v>
      </c>
      <c r="Q176" s="1">
        <v>0.38600000000000001</v>
      </c>
      <c r="R176" s="1">
        <v>0.627</v>
      </c>
      <c r="S176" s="1">
        <v>0.183</v>
      </c>
      <c r="T176" s="1">
        <v>0.82899999999999996</v>
      </c>
      <c r="U176" s="1">
        <v>0.504</v>
      </c>
      <c r="V176" s="1">
        <v>124.014</v>
      </c>
      <c r="W176">
        <v>4</v>
      </c>
    </row>
    <row r="177" spans="1:23" x14ac:dyDescent="0.25">
      <c r="A177" s="1" t="s">
        <v>11250</v>
      </c>
      <c r="B177" s="1" t="s">
        <v>11251</v>
      </c>
      <c r="C177" s="1" t="s">
        <v>51</v>
      </c>
      <c r="D177" s="1" t="s">
        <v>51</v>
      </c>
      <c r="E177" s="1" t="s">
        <v>52</v>
      </c>
      <c r="F177" s="1" t="s">
        <v>11252</v>
      </c>
      <c r="G177">
        <v>148960</v>
      </c>
      <c r="H177">
        <v>77</v>
      </c>
      <c r="I177" s="1" t="s">
        <v>11063</v>
      </c>
      <c r="J177" s="11">
        <v>44729.706458333334</v>
      </c>
      <c r="K177" s="1" t="s">
        <v>53</v>
      </c>
      <c r="L177" s="1">
        <v>0.69499999999999995</v>
      </c>
      <c r="M177" s="1">
        <v>0.78100000000000003</v>
      </c>
      <c r="N177">
        <v>7</v>
      </c>
      <c r="O177" s="1">
        <v>-5.5780000000000003</v>
      </c>
      <c r="P177">
        <v>0</v>
      </c>
      <c r="Q177" s="1">
        <v>0.45200000000000001</v>
      </c>
      <c r="R177" s="1">
        <v>0.185</v>
      </c>
      <c r="S177" s="1">
        <v>0.312</v>
      </c>
      <c r="T177" s="1">
        <v>0.29499999999999998</v>
      </c>
      <c r="U177" s="1">
        <v>0.45600000000000002</v>
      </c>
      <c r="V177" s="1">
        <v>124.04</v>
      </c>
      <c r="W177">
        <v>4</v>
      </c>
    </row>
    <row r="178" spans="1:23" x14ac:dyDescent="0.25">
      <c r="A178" s="1" t="s">
        <v>11253</v>
      </c>
      <c r="B178" s="1" t="s">
        <v>11254</v>
      </c>
      <c r="C178" s="1" t="s">
        <v>54</v>
      </c>
      <c r="D178" s="1" t="s">
        <v>54</v>
      </c>
      <c r="E178" s="1" t="s">
        <v>55</v>
      </c>
      <c r="F178" s="1" t="s">
        <v>11255</v>
      </c>
      <c r="G178">
        <v>189880</v>
      </c>
      <c r="H178">
        <v>79</v>
      </c>
      <c r="I178" s="1" t="s">
        <v>11063</v>
      </c>
      <c r="J178" s="11">
        <v>44729.706458333334</v>
      </c>
      <c r="K178" s="1" t="s">
        <v>56</v>
      </c>
      <c r="L178" s="1">
        <v>0.878</v>
      </c>
      <c r="M178" s="1">
        <v>0.875</v>
      </c>
      <c r="N178">
        <v>1</v>
      </c>
      <c r="O178" s="1">
        <v>-4.923</v>
      </c>
      <c r="P178">
        <v>1</v>
      </c>
      <c r="Q178" s="1">
        <v>0.65800000000000003</v>
      </c>
      <c r="R178" s="1">
        <v>0.50700000000000001</v>
      </c>
      <c r="S178" s="1">
        <v>0.34200000000000003</v>
      </c>
      <c r="T178" s="1">
        <v>0.35599999999999998</v>
      </c>
      <c r="U178" s="1">
        <v>0.84</v>
      </c>
      <c r="V178" s="1">
        <v>124.006</v>
      </c>
      <c r="W178">
        <v>4</v>
      </c>
    </row>
    <row r="179" spans="1:23" x14ac:dyDescent="0.25">
      <c r="A179" s="1" t="s">
        <v>12567</v>
      </c>
      <c r="B179" s="1" t="s">
        <v>12568</v>
      </c>
      <c r="C179" s="1" t="s">
        <v>1471</v>
      </c>
      <c r="D179" s="1" t="s">
        <v>12569</v>
      </c>
      <c r="E179" s="1" t="s">
        <v>1617</v>
      </c>
      <c r="F179" s="1" t="s">
        <v>11249</v>
      </c>
      <c r="G179">
        <v>178625</v>
      </c>
      <c r="H179">
        <v>76</v>
      </c>
      <c r="I179" s="1" t="s">
        <v>11063</v>
      </c>
      <c r="J179" s="11">
        <v>44729.706458333334</v>
      </c>
      <c r="K179" s="1" t="s">
        <v>1618</v>
      </c>
      <c r="L179" s="1">
        <v>0.66800000000000004</v>
      </c>
      <c r="M179" s="1">
        <v>0.81599999999999995</v>
      </c>
      <c r="N179">
        <v>4</v>
      </c>
      <c r="O179" s="1">
        <v>-5.6479999999999997</v>
      </c>
      <c r="P179">
        <v>0</v>
      </c>
      <c r="Q179" s="1">
        <v>0.36699999999999999</v>
      </c>
      <c r="R179" s="1">
        <v>0.55700000000000005</v>
      </c>
      <c r="S179" s="1">
        <v>0.10199999999999999</v>
      </c>
      <c r="T179" s="1">
        <v>0.19700000000000001</v>
      </c>
      <c r="U179" s="1">
        <v>0.5</v>
      </c>
      <c r="V179" s="1">
        <v>129.971</v>
      </c>
      <c r="W179">
        <v>4</v>
      </c>
    </row>
    <row r="180" spans="1:23" x14ac:dyDescent="0.25">
      <c r="A180" s="1" t="s">
        <v>11256</v>
      </c>
      <c r="B180" s="1" t="s">
        <v>11257</v>
      </c>
      <c r="C180" s="1" t="s">
        <v>57</v>
      </c>
      <c r="D180" s="1" t="s">
        <v>57</v>
      </c>
      <c r="E180" s="1" t="s">
        <v>58</v>
      </c>
      <c r="F180" s="1" t="s">
        <v>11258</v>
      </c>
      <c r="G180">
        <v>164818</v>
      </c>
      <c r="H180">
        <v>90</v>
      </c>
      <c r="I180" s="1" t="s">
        <v>11063</v>
      </c>
      <c r="J180" s="11">
        <v>44729.706458333334</v>
      </c>
      <c r="K180" s="1" t="s">
        <v>59</v>
      </c>
      <c r="L180" s="1">
        <v>0.754</v>
      </c>
      <c r="M180" s="1">
        <v>0.76300000000000001</v>
      </c>
      <c r="N180">
        <v>7</v>
      </c>
      <c r="O180" s="1">
        <v>-4.6269999999999998</v>
      </c>
      <c r="P180">
        <v>0</v>
      </c>
      <c r="Q180" s="1">
        <v>0.435</v>
      </c>
      <c r="R180" s="1">
        <v>0.30099999999999999</v>
      </c>
      <c r="S180" s="1">
        <v>0.223</v>
      </c>
      <c r="T180" s="1">
        <v>0.90100000000000002</v>
      </c>
      <c r="U180" s="1">
        <v>0.46400000000000002</v>
      </c>
      <c r="V180" s="1">
        <v>117.953</v>
      </c>
      <c r="W180">
        <v>4</v>
      </c>
    </row>
    <row r="181" spans="1:23" x14ac:dyDescent="0.25">
      <c r="A181" s="1" t="s">
        <v>11259</v>
      </c>
      <c r="B181" s="1" t="s">
        <v>11260</v>
      </c>
      <c r="C181" s="1" t="s">
        <v>60</v>
      </c>
      <c r="D181" s="1" t="s">
        <v>60</v>
      </c>
      <c r="E181" s="1" t="s">
        <v>61</v>
      </c>
      <c r="F181" s="1" t="s">
        <v>11261</v>
      </c>
      <c r="G181">
        <v>215203</v>
      </c>
      <c r="H181">
        <v>82</v>
      </c>
      <c r="I181" s="1" t="s">
        <v>11063</v>
      </c>
      <c r="J181" s="11">
        <v>44729.706458333334</v>
      </c>
      <c r="K181" s="1" t="s">
        <v>62</v>
      </c>
      <c r="L181" s="1">
        <v>0.75</v>
      </c>
      <c r="M181" s="1">
        <v>0.79700000000000004</v>
      </c>
      <c r="N181">
        <v>0</v>
      </c>
      <c r="O181" s="1">
        <v>-4.8259999999999996</v>
      </c>
      <c r="P181">
        <v>1</v>
      </c>
      <c r="Q181" s="1">
        <v>0.11799999999999999</v>
      </c>
      <c r="R181" s="1">
        <v>0.29299999999999998</v>
      </c>
      <c r="S181" s="1">
        <v>0</v>
      </c>
      <c r="T181" s="1">
        <v>0.39200000000000002</v>
      </c>
      <c r="U181" s="1">
        <v>0.52300000000000002</v>
      </c>
      <c r="V181" s="1">
        <v>105.949</v>
      </c>
      <c r="W181">
        <v>4</v>
      </c>
    </row>
    <row r="182" spans="1:23" x14ac:dyDescent="0.25">
      <c r="A182" s="1" t="s">
        <v>13774</v>
      </c>
      <c r="B182" s="1" t="s">
        <v>12564</v>
      </c>
      <c r="C182" s="1" t="s">
        <v>2209</v>
      </c>
      <c r="D182" s="1" t="s">
        <v>2209</v>
      </c>
      <c r="E182" s="1" t="s">
        <v>1613</v>
      </c>
      <c r="F182" s="1" t="s">
        <v>11369</v>
      </c>
      <c r="G182">
        <v>199090</v>
      </c>
      <c r="H182">
        <v>68</v>
      </c>
      <c r="I182" s="1" t="s">
        <v>11063</v>
      </c>
      <c r="J182" s="11">
        <v>44729.706458333334</v>
      </c>
      <c r="K182" s="1" t="s">
        <v>1614</v>
      </c>
      <c r="L182" s="1">
        <v>0.63800000000000001</v>
      </c>
      <c r="M182" s="1">
        <v>0.872</v>
      </c>
      <c r="N182">
        <v>2</v>
      </c>
      <c r="O182" s="1">
        <v>-6.2210000000000001</v>
      </c>
      <c r="P182">
        <v>1</v>
      </c>
      <c r="Q182" s="1">
        <v>0.41499999999999998</v>
      </c>
      <c r="R182" s="1">
        <v>0.24099999999999999</v>
      </c>
      <c r="S182" s="1">
        <v>0.159</v>
      </c>
      <c r="T182" s="1">
        <v>0.11799999999999999</v>
      </c>
      <c r="U182" s="1">
        <v>0.253</v>
      </c>
      <c r="V182" s="1">
        <v>121.041</v>
      </c>
      <c r="W182">
        <v>4</v>
      </c>
    </row>
    <row r="183" spans="1:23" x14ac:dyDescent="0.25">
      <c r="A183" s="1" t="s">
        <v>12565</v>
      </c>
      <c r="B183" s="1" t="s">
        <v>12566</v>
      </c>
      <c r="C183" s="1" t="s">
        <v>1615</v>
      </c>
      <c r="D183" s="1" t="s">
        <v>1615</v>
      </c>
      <c r="E183" s="1" t="s">
        <v>1616</v>
      </c>
      <c r="F183" s="1" t="s">
        <v>11489</v>
      </c>
      <c r="G183">
        <v>153166</v>
      </c>
      <c r="H183">
        <v>70</v>
      </c>
      <c r="I183" s="1" t="s">
        <v>11063</v>
      </c>
      <c r="J183" s="11">
        <v>44729.706458333334</v>
      </c>
      <c r="K183" s="1" t="s">
        <v>50</v>
      </c>
      <c r="L183" s="1">
        <v>0.77900000000000003</v>
      </c>
      <c r="M183" s="1">
        <v>0.76300000000000001</v>
      </c>
      <c r="N183">
        <v>5</v>
      </c>
      <c r="O183" s="1">
        <v>-5.58</v>
      </c>
      <c r="P183">
        <v>0</v>
      </c>
      <c r="Q183" s="1">
        <v>0.34</v>
      </c>
      <c r="R183" s="1">
        <v>0.35</v>
      </c>
      <c r="S183" s="1">
        <v>0.16500000000000001</v>
      </c>
      <c r="T183" s="1">
        <v>0.112</v>
      </c>
      <c r="U183" s="1">
        <v>0.86899999999999999</v>
      </c>
      <c r="V183" s="1">
        <v>119.94</v>
      </c>
      <c r="W183">
        <v>4</v>
      </c>
    </row>
    <row r="184" spans="1:23" x14ac:dyDescent="0.25">
      <c r="A184" s="1" t="s">
        <v>11262</v>
      </c>
      <c r="B184" s="1" t="s">
        <v>11263</v>
      </c>
      <c r="C184" s="1" t="s">
        <v>63</v>
      </c>
      <c r="D184" s="1" t="s">
        <v>63</v>
      </c>
      <c r="E184" s="1" t="s">
        <v>64</v>
      </c>
      <c r="F184" s="1" t="s">
        <v>11264</v>
      </c>
      <c r="G184">
        <v>167142</v>
      </c>
      <c r="H184">
        <v>79</v>
      </c>
      <c r="I184" s="1" t="s">
        <v>11063</v>
      </c>
      <c r="J184" s="11">
        <v>44729.706458333334</v>
      </c>
      <c r="K184" s="1" t="s">
        <v>65</v>
      </c>
      <c r="L184" s="1">
        <v>0.63</v>
      </c>
      <c r="M184" s="1">
        <v>0.91</v>
      </c>
      <c r="N184">
        <v>10</v>
      </c>
      <c r="O184" s="1">
        <v>-2.681</v>
      </c>
      <c r="P184">
        <v>0</v>
      </c>
      <c r="Q184" s="1">
        <v>0.57999999999999996</v>
      </c>
      <c r="R184" s="1">
        <v>0.23100000000000001</v>
      </c>
      <c r="S184" s="1">
        <v>0.191</v>
      </c>
      <c r="T184" s="1">
        <v>0.125</v>
      </c>
      <c r="U184" s="1">
        <v>0.52500000000000002</v>
      </c>
      <c r="V184" s="1">
        <v>123.017</v>
      </c>
      <c r="W184">
        <v>4</v>
      </c>
    </row>
    <row r="185" spans="1:23" x14ac:dyDescent="0.25">
      <c r="A185" s="1" t="s">
        <v>12561</v>
      </c>
      <c r="B185" s="1" t="s">
        <v>12562</v>
      </c>
      <c r="C185" s="1" t="s">
        <v>1608</v>
      </c>
      <c r="D185" s="1" t="s">
        <v>1608</v>
      </c>
      <c r="E185" s="1" t="s">
        <v>1609</v>
      </c>
      <c r="F185" s="1" t="s">
        <v>13775</v>
      </c>
      <c r="G185">
        <v>174215</v>
      </c>
      <c r="H185">
        <v>79</v>
      </c>
      <c r="I185" s="1" t="s">
        <v>11063</v>
      </c>
      <c r="J185" s="11">
        <v>44729.706458333334</v>
      </c>
      <c r="K185" s="1" t="s">
        <v>1610</v>
      </c>
      <c r="L185" s="1">
        <v>0.68700000000000006</v>
      </c>
      <c r="M185" s="1">
        <v>0.89500000000000002</v>
      </c>
      <c r="N185">
        <v>9</v>
      </c>
      <c r="O185" s="1">
        <v>-2.9830000000000001</v>
      </c>
      <c r="P185">
        <v>1</v>
      </c>
      <c r="Q185" s="1">
        <v>0.47399999999999998</v>
      </c>
      <c r="R185" s="1">
        <v>0.14899999999999999</v>
      </c>
      <c r="S185" s="1">
        <v>0.59199999999999997</v>
      </c>
      <c r="T185" s="1">
        <v>0.121</v>
      </c>
      <c r="U185" s="1">
        <v>0.68600000000000005</v>
      </c>
      <c r="V185" s="1">
        <v>124.041</v>
      </c>
      <c r="W185">
        <v>4</v>
      </c>
    </row>
    <row r="186" spans="1:23" x14ac:dyDescent="0.25">
      <c r="A186" s="1" t="s">
        <v>13776</v>
      </c>
      <c r="B186" s="1" t="s">
        <v>12563</v>
      </c>
      <c r="C186" s="1" t="s">
        <v>2210</v>
      </c>
      <c r="D186" s="1" t="s">
        <v>2210</v>
      </c>
      <c r="E186" s="1" t="s">
        <v>1611</v>
      </c>
      <c r="F186" s="1" t="s">
        <v>11449</v>
      </c>
      <c r="G186">
        <v>158774</v>
      </c>
      <c r="H186">
        <v>74</v>
      </c>
      <c r="I186" s="1" t="s">
        <v>11063</v>
      </c>
      <c r="J186" s="11">
        <v>44729.706458333334</v>
      </c>
      <c r="K186" s="1" t="s">
        <v>1612</v>
      </c>
      <c r="L186" s="1">
        <v>0.308</v>
      </c>
      <c r="M186" s="1">
        <v>0.86099999999999999</v>
      </c>
      <c r="N186">
        <v>11</v>
      </c>
      <c r="O186" s="1">
        <v>-4.1120000000000001</v>
      </c>
      <c r="P186">
        <v>0</v>
      </c>
      <c r="Q186" s="1">
        <v>0.17199999999999999</v>
      </c>
      <c r="R186" s="1">
        <v>0.12</v>
      </c>
      <c r="S186" s="1">
        <v>0.10299999999999999</v>
      </c>
      <c r="T186" s="1">
        <v>0.27700000000000002</v>
      </c>
      <c r="U186" s="1">
        <v>0.38600000000000001</v>
      </c>
      <c r="V186" s="1">
        <v>171.96600000000001</v>
      </c>
      <c r="W186">
        <v>4</v>
      </c>
    </row>
    <row r="187" spans="1:23" x14ac:dyDescent="0.25">
      <c r="A187" s="1" t="s">
        <v>12559</v>
      </c>
      <c r="B187" s="1" t="s">
        <v>12560</v>
      </c>
      <c r="C187" s="1" t="s">
        <v>1604</v>
      </c>
      <c r="D187" s="1" t="s">
        <v>1604</v>
      </c>
      <c r="E187" s="1" t="s">
        <v>1605</v>
      </c>
      <c r="F187" s="1" t="s">
        <v>13777</v>
      </c>
      <c r="G187">
        <v>358983</v>
      </c>
      <c r="H187">
        <v>75</v>
      </c>
      <c r="I187" s="1" t="s">
        <v>11063</v>
      </c>
      <c r="J187" s="11">
        <v>44729.706458333334</v>
      </c>
      <c r="K187" s="1" t="s">
        <v>1606</v>
      </c>
      <c r="L187" s="1">
        <v>0.66700000000000004</v>
      </c>
      <c r="M187" s="1">
        <v>0.92</v>
      </c>
      <c r="N187">
        <v>9</v>
      </c>
      <c r="O187" s="1">
        <v>-2.71</v>
      </c>
      <c r="P187">
        <v>1</v>
      </c>
      <c r="Q187" s="1">
        <v>0.77300000000000002</v>
      </c>
      <c r="R187" s="1">
        <v>0.752</v>
      </c>
      <c r="S187" s="1">
        <v>0.23200000000000001</v>
      </c>
      <c r="T187" s="1">
        <v>0.126</v>
      </c>
      <c r="U187" s="1">
        <v>0.14599999999999999</v>
      </c>
      <c r="V187" s="1">
        <v>114.977</v>
      </c>
      <c r="W187">
        <v>4</v>
      </c>
    </row>
    <row r="188" spans="1:23" x14ac:dyDescent="0.25">
      <c r="A188" s="1" t="s">
        <v>11265</v>
      </c>
      <c r="B188" s="1" t="s">
        <v>11266</v>
      </c>
      <c r="C188" s="1" t="s">
        <v>66</v>
      </c>
      <c r="D188" s="1" t="s">
        <v>66</v>
      </c>
      <c r="E188" s="1" t="s">
        <v>67</v>
      </c>
      <c r="F188" s="1" t="s">
        <v>11231</v>
      </c>
      <c r="G188">
        <v>148197</v>
      </c>
      <c r="H188">
        <v>91</v>
      </c>
      <c r="I188" s="1" t="s">
        <v>11063</v>
      </c>
      <c r="J188" s="11">
        <v>44729.706458333334</v>
      </c>
      <c r="K188" s="1" t="s">
        <v>68</v>
      </c>
      <c r="L188" s="1">
        <v>0.67100000000000004</v>
      </c>
      <c r="M188" s="1">
        <v>0.63600000000000001</v>
      </c>
      <c r="N188">
        <v>6</v>
      </c>
      <c r="O188" s="1">
        <v>-8.1170000000000009</v>
      </c>
      <c r="P188">
        <v>0</v>
      </c>
      <c r="Q188" s="1">
        <v>0.10299999999999999</v>
      </c>
      <c r="R188" s="1">
        <v>0.51500000000000001</v>
      </c>
      <c r="S188" s="1">
        <v>0.41099999999999998</v>
      </c>
      <c r="T188" s="1">
        <v>0.17199999999999999</v>
      </c>
      <c r="U188" s="1">
        <v>0.26200000000000001</v>
      </c>
      <c r="V188" s="1">
        <v>120.96599999999999</v>
      </c>
      <c r="W188">
        <v>4</v>
      </c>
    </row>
    <row r="189" spans="1:23" x14ac:dyDescent="0.25">
      <c r="A189" s="1" t="s">
        <v>11709</v>
      </c>
      <c r="B189" s="1" t="s">
        <v>11710</v>
      </c>
      <c r="C189" s="1" t="s">
        <v>413</v>
      </c>
      <c r="D189" s="1" t="s">
        <v>413</v>
      </c>
      <c r="E189" s="1" t="s">
        <v>414</v>
      </c>
      <c r="F189" s="1" t="s">
        <v>11240</v>
      </c>
      <c r="G189">
        <v>177689</v>
      </c>
      <c r="H189">
        <v>9</v>
      </c>
      <c r="I189" s="1" t="s">
        <v>11063</v>
      </c>
      <c r="J189" s="11">
        <v>44729.706458333334</v>
      </c>
      <c r="K189" s="1" t="s">
        <v>415</v>
      </c>
      <c r="L189" s="1">
        <v>0.77400000000000002</v>
      </c>
      <c r="M189" s="1">
        <v>0.78400000000000003</v>
      </c>
      <c r="N189">
        <v>10</v>
      </c>
      <c r="O189" s="1">
        <v>-4.5490000000000004</v>
      </c>
      <c r="P189">
        <v>1</v>
      </c>
      <c r="Q189" s="1">
        <v>0.35099999999999998</v>
      </c>
      <c r="R189" s="1">
        <v>0.19400000000000001</v>
      </c>
      <c r="S189" s="1">
        <v>0.107</v>
      </c>
      <c r="T189" s="1">
        <v>0.29299999999999998</v>
      </c>
      <c r="U189" s="1">
        <v>0.53300000000000003</v>
      </c>
      <c r="V189" s="1">
        <v>127.042</v>
      </c>
      <c r="W189">
        <v>4</v>
      </c>
    </row>
    <row r="190" spans="1:23" x14ac:dyDescent="0.25">
      <c r="A190" s="1" t="s">
        <v>13778</v>
      </c>
      <c r="B190" s="1" t="s">
        <v>12558</v>
      </c>
      <c r="C190" s="1" t="s">
        <v>2211</v>
      </c>
      <c r="D190" s="1" t="s">
        <v>2211</v>
      </c>
      <c r="E190" s="1" t="s">
        <v>1602</v>
      </c>
      <c r="F190" s="1" t="s">
        <v>13779</v>
      </c>
      <c r="G190">
        <v>232959</v>
      </c>
      <c r="H190">
        <v>68</v>
      </c>
      <c r="I190" s="1" t="s">
        <v>11063</v>
      </c>
      <c r="J190" s="11">
        <v>44729.706458333334</v>
      </c>
      <c r="K190" s="1" t="s">
        <v>1603</v>
      </c>
      <c r="L190" s="1">
        <v>0.47799999999999998</v>
      </c>
      <c r="M190" s="1">
        <v>0.82199999999999995</v>
      </c>
      <c r="N190">
        <v>2</v>
      </c>
      <c r="O190" s="1">
        <v>-1.9610000000000001</v>
      </c>
      <c r="P190">
        <v>0</v>
      </c>
      <c r="Q190" s="1">
        <v>0.64200000000000002</v>
      </c>
      <c r="R190" s="1">
        <v>0.10100000000000001</v>
      </c>
      <c r="S190" s="1">
        <v>0.66</v>
      </c>
      <c r="T190" s="1">
        <v>0.12</v>
      </c>
      <c r="U190" s="1">
        <v>0.309</v>
      </c>
      <c r="V190" s="1">
        <v>130.05799999999999</v>
      </c>
      <c r="W190">
        <v>4</v>
      </c>
    </row>
    <row r="191" spans="1:23" x14ac:dyDescent="0.25">
      <c r="A191" s="1" t="s">
        <v>11267</v>
      </c>
      <c r="B191" s="1" t="s">
        <v>11268</v>
      </c>
      <c r="C191" s="1" t="s">
        <v>69</v>
      </c>
      <c r="D191" s="1" t="s">
        <v>69</v>
      </c>
      <c r="E191" s="1" t="s">
        <v>70</v>
      </c>
      <c r="F191" s="1" t="s">
        <v>11269</v>
      </c>
      <c r="G191">
        <v>168053</v>
      </c>
      <c r="H191">
        <v>73</v>
      </c>
      <c r="I191" s="1" t="s">
        <v>11063</v>
      </c>
      <c r="J191" s="11">
        <v>44729.706458333334</v>
      </c>
      <c r="K191" s="1" t="s">
        <v>71</v>
      </c>
      <c r="L191" s="1">
        <v>0.78800000000000003</v>
      </c>
      <c r="M191" s="1">
        <v>0.94499999999999995</v>
      </c>
      <c r="N191">
        <v>9</v>
      </c>
      <c r="O191" s="1">
        <v>-5.0910000000000002</v>
      </c>
      <c r="P191">
        <v>1</v>
      </c>
      <c r="Q191" s="1">
        <v>0.59899999999999998</v>
      </c>
      <c r="R191" s="1">
        <v>0.223</v>
      </c>
      <c r="S191" s="1">
        <v>0.29699999999999999</v>
      </c>
      <c r="T191" s="1">
        <v>0.115</v>
      </c>
      <c r="U191" s="1">
        <v>0.46600000000000003</v>
      </c>
      <c r="V191" s="1">
        <v>128.036</v>
      </c>
      <c r="W191">
        <v>4</v>
      </c>
    </row>
    <row r="192" spans="1:23" x14ac:dyDescent="0.25">
      <c r="A192" s="1" t="s">
        <v>13780</v>
      </c>
      <c r="B192" s="1" t="s">
        <v>13781</v>
      </c>
      <c r="C192" s="1" t="s">
        <v>2212</v>
      </c>
      <c r="D192" s="1" t="s">
        <v>2212</v>
      </c>
      <c r="E192" s="1" t="s">
        <v>2213</v>
      </c>
      <c r="F192" s="1" t="s">
        <v>13782</v>
      </c>
      <c r="G192">
        <v>141373</v>
      </c>
      <c r="H192">
        <v>2</v>
      </c>
      <c r="I192" s="1" t="s">
        <v>11063</v>
      </c>
      <c r="J192" s="11">
        <v>44729.706458333334</v>
      </c>
      <c r="K192" s="1" t="s">
        <v>2214</v>
      </c>
      <c r="L192" s="1">
        <v>0.80400000000000005</v>
      </c>
      <c r="M192" s="1">
        <v>0.80300000000000005</v>
      </c>
      <c r="N192">
        <v>1</v>
      </c>
      <c r="O192" s="1">
        <v>-4.673</v>
      </c>
      <c r="P192">
        <v>1</v>
      </c>
      <c r="Q192" s="1">
        <v>0.34599999999999997</v>
      </c>
      <c r="R192" s="1">
        <v>0.40899999999999997</v>
      </c>
      <c r="S192" s="1">
        <v>0.78600000000000003</v>
      </c>
      <c r="T192" s="1">
        <v>0.11899999999999999</v>
      </c>
      <c r="U192" s="1">
        <v>0.33900000000000002</v>
      </c>
      <c r="V192" s="1" t="s">
        <v>1607</v>
      </c>
      <c r="W192">
        <v>4</v>
      </c>
    </row>
    <row r="193" spans="1:23" x14ac:dyDescent="0.25">
      <c r="A193" s="1" t="s">
        <v>13783</v>
      </c>
      <c r="B193" s="1" t="s">
        <v>13784</v>
      </c>
      <c r="C193" s="1" t="s">
        <v>2215</v>
      </c>
      <c r="D193" s="1" t="s">
        <v>2215</v>
      </c>
      <c r="E193" s="1" t="s">
        <v>2216</v>
      </c>
      <c r="F193" s="1" t="s">
        <v>13785</v>
      </c>
      <c r="G193">
        <v>132346</v>
      </c>
      <c r="H193">
        <v>82</v>
      </c>
      <c r="I193" s="1" t="s">
        <v>11063</v>
      </c>
      <c r="J193" s="11">
        <v>44729.706458333334</v>
      </c>
      <c r="K193" s="1" t="s">
        <v>2214</v>
      </c>
      <c r="L193" s="1">
        <v>0.78400000000000003</v>
      </c>
      <c r="M193" s="1">
        <v>0.57199999999999995</v>
      </c>
      <c r="N193">
        <v>0</v>
      </c>
      <c r="O193" s="1">
        <v>-9.8529999999999998</v>
      </c>
      <c r="P193">
        <v>1</v>
      </c>
      <c r="Q193" s="1">
        <v>0.57299999999999995</v>
      </c>
      <c r="R193" s="1">
        <v>0.748</v>
      </c>
      <c r="S193" s="1">
        <v>0.84299999999999997</v>
      </c>
      <c r="T193" s="1">
        <v>0.13900000000000001</v>
      </c>
      <c r="U193" s="1">
        <v>0.20899999999999999</v>
      </c>
      <c r="V193" s="1">
        <v>96.180999999999997</v>
      </c>
      <c r="W193">
        <v>4</v>
      </c>
    </row>
    <row r="194" spans="1:23" x14ac:dyDescent="0.25">
      <c r="A194" s="1" t="s">
        <v>13786</v>
      </c>
      <c r="B194" s="1" t="s">
        <v>13787</v>
      </c>
      <c r="C194" s="1" t="s">
        <v>2217</v>
      </c>
      <c r="D194" s="1" t="s">
        <v>2217</v>
      </c>
      <c r="E194" s="1" t="s">
        <v>2218</v>
      </c>
      <c r="F194" s="1" t="s">
        <v>11563</v>
      </c>
      <c r="G194">
        <v>162732</v>
      </c>
      <c r="H194">
        <v>60</v>
      </c>
      <c r="I194" s="1" t="s">
        <v>11063</v>
      </c>
      <c r="J194" s="11">
        <v>44729.706458333334</v>
      </c>
      <c r="K194" s="1" t="s">
        <v>961</v>
      </c>
      <c r="L194" s="1">
        <v>0.76200000000000001</v>
      </c>
      <c r="M194" s="1">
        <v>0.72399999999999998</v>
      </c>
      <c r="N194">
        <v>11</v>
      </c>
      <c r="O194" s="1">
        <v>-6.3090000000000002</v>
      </c>
      <c r="P194">
        <v>0</v>
      </c>
      <c r="Q194" s="1">
        <v>0.624</v>
      </c>
      <c r="R194" s="1">
        <v>0.13800000000000001</v>
      </c>
      <c r="S194" s="1">
        <v>0.77100000000000002</v>
      </c>
      <c r="T194" s="1">
        <v>0.187</v>
      </c>
      <c r="U194" s="1">
        <v>0.77500000000000002</v>
      </c>
      <c r="V194" s="1">
        <v>132.05099999999999</v>
      </c>
      <c r="W194">
        <v>4</v>
      </c>
    </row>
    <row r="195" spans="1:23" x14ac:dyDescent="0.25">
      <c r="A195" s="1" t="s">
        <v>13788</v>
      </c>
      <c r="B195" s="1" t="s">
        <v>13787</v>
      </c>
      <c r="C195" s="1" t="s">
        <v>2219</v>
      </c>
      <c r="D195" s="1" t="s">
        <v>2219</v>
      </c>
      <c r="E195" s="1" t="s">
        <v>2218</v>
      </c>
      <c r="F195" s="1" t="s">
        <v>13789</v>
      </c>
      <c r="G195">
        <v>166848</v>
      </c>
      <c r="H195">
        <v>72</v>
      </c>
      <c r="I195" s="1" t="s">
        <v>11063</v>
      </c>
      <c r="J195" s="11">
        <v>44729.706458333334</v>
      </c>
      <c r="K195" s="1" t="s">
        <v>961</v>
      </c>
      <c r="L195" s="1">
        <v>0.88300000000000001</v>
      </c>
      <c r="M195" s="1">
        <v>0.81699999999999995</v>
      </c>
      <c r="N195">
        <v>0</v>
      </c>
      <c r="O195" s="1">
        <v>-5.4139999999999997</v>
      </c>
      <c r="P195">
        <v>1</v>
      </c>
      <c r="Q195" s="1">
        <v>0.23499999999999999</v>
      </c>
      <c r="R195" s="1">
        <v>0.60099999999999998</v>
      </c>
      <c r="S195" s="1">
        <v>0.44900000000000001</v>
      </c>
      <c r="T195" s="1">
        <v>0.11</v>
      </c>
      <c r="U195" s="1">
        <v>0.59499999999999997</v>
      </c>
      <c r="V195" s="1">
        <v>128.078</v>
      </c>
      <c r="W195">
        <v>4</v>
      </c>
    </row>
    <row r="196" spans="1:23" x14ac:dyDescent="0.25">
      <c r="A196" s="1" t="s">
        <v>13790</v>
      </c>
      <c r="B196" s="1" t="s">
        <v>13791</v>
      </c>
      <c r="C196" s="1" t="s">
        <v>2220</v>
      </c>
      <c r="D196" s="1" t="s">
        <v>13792</v>
      </c>
      <c r="E196" s="1" t="s">
        <v>2221</v>
      </c>
      <c r="F196" s="1" t="s">
        <v>13793</v>
      </c>
      <c r="G196">
        <v>286587</v>
      </c>
      <c r="H196">
        <v>34</v>
      </c>
      <c r="I196" s="1" t="s">
        <v>11063</v>
      </c>
      <c r="J196" s="11">
        <v>44729.706458333334</v>
      </c>
      <c r="K196" s="1" t="s">
        <v>2222</v>
      </c>
      <c r="L196" s="1">
        <v>0.34200000000000003</v>
      </c>
      <c r="M196" s="1">
        <v>0.79800000000000004</v>
      </c>
      <c r="N196">
        <v>1</v>
      </c>
      <c r="O196" s="1">
        <v>-4.2240000000000002</v>
      </c>
      <c r="P196">
        <v>1</v>
      </c>
      <c r="Q196" s="1">
        <v>0.54</v>
      </c>
      <c r="R196" s="1">
        <v>0.14499999999999999</v>
      </c>
      <c r="S196" s="1">
        <v>0</v>
      </c>
      <c r="T196" s="1">
        <v>0.35799999999999998</v>
      </c>
      <c r="U196" s="1">
        <v>0.253</v>
      </c>
      <c r="V196" s="1">
        <v>134.71299999999999</v>
      </c>
      <c r="W196">
        <v>4</v>
      </c>
    </row>
    <row r="197" spans="1:23" x14ac:dyDescent="0.25">
      <c r="A197" s="1" t="s">
        <v>13794</v>
      </c>
      <c r="B197" s="1" t="s">
        <v>13795</v>
      </c>
      <c r="C197" s="1" t="s">
        <v>2223</v>
      </c>
      <c r="D197" s="1" t="s">
        <v>13796</v>
      </c>
      <c r="E197" s="1" t="s">
        <v>2224</v>
      </c>
      <c r="F197" s="1" t="s">
        <v>13797</v>
      </c>
      <c r="G197">
        <v>207906</v>
      </c>
      <c r="H197">
        <v>44</v>
      </c>
      <c r="I197" s="1" t="s">
        <v>11063</v>
      </c>
      <c r="J197" s="11">
        <v>44729.706458333334</v>
      </c>
      <c r="K197" s="1" t="s">
        <v>2225</v>
      </c>
      <c r="L197" s="1">
        <v>0.442</v>
      </c>
      <c r="M197" s="1">
        <v>0.73599999999999999</v>
      </c>
      <c r="N197">
        <v>3</v>
      </c>
      <c r="O197" s="1">
        <v>-4.0830000000000002</v>
      </c>
      <c r="P197">
        <v>0</v>
      </c>
      <c r="Q197" s="1">
        <v>0.68899999999999995</v>
      </c>
      <c r="R197" s="1">
        <v>0.40799999999999997</v>
      </c>
      <c r="S197" s="1">
        <v>0.86899999999999999</v>
      </c>
      <c r="T197" s="1">
        <v>0.33100000000000002</v>
      </c>
      <c r="U197" s="1">
        <v>0.46200000000000002</v>
      </c>
      <c r="V197" s="1">
        <v>171.762</v>
      </c>
      <c r="W197">
        <v>4</v>
      </c>
    </row>
    <row r="198" spans="1:23" x14ac:dyDescent="0.25">
      <c r="A198" s="1" t="s">
        <v>13798</v>
      </c>
      <c r="B198" s="1" t="s">
        <v>13799</v>
      </c>
      <c r="C198" s="1" t="s">
        <v>2226</v>
      </c>
      <c r="D198" s="1" t="s">
        <v>13800</v>
      </c>
      <c r="E198" s="1" t="s">
        <v>2227</v>
      </c>
      <c r="F198" s="1" t="s">
        <v>13801</v>
      </c>
      <c r="G198">
        <v>186885</v>
      </c>
      <c r="H198">
        <v>49</v>
      </c>
      <c r="I198" s="1" t="s">
        <v>11063</v>
      </c>
      <c r="J198" s="11">
        <v>44729.706458333334</v>
      </c>
      <c r="K198" s="1" t="s">
        <v>2228</v>
      </c>
      <c r="L198" s="1">
        <v>0.72199999999999998</v>
      </c>
      <c r="M198" s="1">
        <v>0.64700000000000002</v>
      </c>
      <c r="N198">
        <v>7</v>
      </c>
      <c r="O198" s="1">
        <v>-6.1710000000000003</v>
      </c>
      <c r="P198">
        <v>0</v>
      </c>
      <c r="Q198" s="1">
        <v>0.16700000000000001</v>
      </c>
      <c r="R198" s="1">
        <v>0.24</v>
      </c>
      <c r="S198" s="1">
        <v>0.44400000000000001</v>
      </c>
      <c r="T198" s="1">
        <v>0.46200000000000002</v>
      </c>
      <c r="U198" s="1">
        <v>0.10199999999999999</v>
      </c>
      <c r="V198" s="1">
        <v>122.026</v>
      </c>
      <c r="W198">
        <v>4</v>
      </c>
    </row>
    <row r="199" spans="1:23" x14ac:dyDescent="0.25">
      <c r="A199" s="1" t="s">
        <v>13802</v>
      </c>
      <c r="B199" s="1" t="s">
        <v>13803</v>
      </c>
      <c r="C199" s="1" t="s">
        <v>2229</v>
      </c>
      <c r="D199" s="1" t="s">
        <v>2229</v>
      </c>
      <c r="E199" s="1" t="s">
        <v>2230</v>
      </c>
      <c r="F199" s="1" t="s">
        <v>11771</v>
      </c>
      <c r="G199">
        <v>194350</v>
      </c>
      <c r="H199">
        <v>3</v>
      </c>
      <c r="I199" s="1" t="s">
        <v>11063</v>
      </c>
      <c r="J199" s="11">
        <v>44729.706458333334</v>
      </c>
      <c r="K199" s="1" t="s">
        <v>50</v>
      </c>
      <c r="L199" s="1">
        <v>0.51100000000000001</v>
      </c>
      <c r="M199" s="1">
        <v>0.432</v>
      </c>
      <c r="N199">
        <v>8</v>
      </c>
      <c r="O199" s="1">
        <v>-12.19</v>
      </c>
      <c r="P199">
        <v>0</v>
      </c>
      <c r="Q199" s="1">
        <v>0.153</v>
      </c>
      <c r="R199" s="1">
        <v>0.159</v>
      </c>
      <c r="S199" s="1">
        <v>0.27200000000000002</v>
      </c>
      <c r="T199" s="1">
        <v>0.94099999999999995</v>
      </c>
      <c r="U199" s="1">
        <v>0.53900000000000003</v>
      </c>
      <c r="V199" s="1">
        <v>90.882999999999996</v>
      </c>
      <c r="W199">
        <v>4</v>
      </c>
    </row>
    <row r="200" spans="1:23" x14ac:dyDescent="0.25">
      <c r="A200" s="1" t="s">
        <v>13804</v>
      </c>
      <c r="B200" s="1" t="s">
        <v>13805</v>
      </c>
      <c r="C200" s="1" t="s">
        <v>2231</v>
      </c>
      <c r="D200" s="1" t="s">
        <v>13806</v>
      </c>
      <c r="E200" s="1" t="s">
        <v>2232</v>
      </c>
      <c r="F200" s="1" t="s">
        <v>13769</v>
      </c>
      <c r="G200">
        <v>191956</v>
      </c>
      <c r="H200">
        <v>65</v>
      </c>
      <c r="I200" s="1" t="s">
        <v>11063</v>
      </c>
      <c r="J200" s="11">
        <v>44729.706458333334</v>
      </c>
      <c r="K200" s="1" t="s">
        <v>2233</v>
      </c>
      <c r="L200" s="1">
        <v>0.72499999999999998</v>
      </c>
      <c r="M200" s="1">
        <v>0.747</v>
      </c>
      <c r="N200">
        <v>11</v>
      </c>
      <c r="O200" s="1">
        <v>-5.5449999999999999</v>
      </c>
      <c r="P200">
        <v>1</v>
      </c>
      <c r="Q200" s="1">
        <v>0.876</v>
      </c>
      <c r="R200" s="1">
        <v>0.27200000000000002</v>
      </c>
      <c r="S200" s="1">
        <v>0.46800000000000003</v>
      </c>
      <c r="T200" s="1">
        <v>0.104</v>
      </c>
      <c r="U200" s="1">
        <v>0.38</v>
      </c>
      <c r="V200" s="1">
        <v>132.92099999999999</v>
      </c>
      <c r="W200">
        <v>4</v>
      </c>
    </row>
    <row r="201" spans="1:23" x14ac:dyDescent="0.25">
      <c r="A201" s="1" t="s">
        <v>13807</v>
      </c>
      <c r="B201" s="1" t="s">
        <v>13808</v>
      </c>
      <c r="C201" s="1" t="s">
        <v>2234</v>
      </c>
      <c r="D201" s="1" t="s">
        <v>13809</v>
      </c>
      <c r="E201" s="1" t="s">
        <v>2235</v>
      </c>
      <c r="F201" s="1" t="s">
        <v>13810</v>
      </c>
      <c r="G201">
        <v>90937</v>
      </c>
      <c r="H201">
        <v>64</v>
      </c>
      <c r="I201" s="1" t="s">
        <v>11063</v>
      </c>
      <c r="J201" s="11">
        <v>44729.706458333334</v>
      </c>
      <c r="K201" s="1" t="s">
        <v>50</v>
      </c>
      <c r="L201" s="1">
        <v>0.66300000000000003</v>
      </c>
      <c r="M201" s="1">
        <v>0.98299999999999998</v>
      </c>
      <c r="N201">
        <v>4</v>
      </c>
      <c r="O201" s="1">
        <v>-2.6789999999999998</v>
      </c>
      <c r="P201">
        <v>0</v>
      </c>
      <c r="Q201" s="1">
        <v>0.61199999999999999</v>
      </c>
      <c r="R201" s="1">
        <v>0.28399999999999997</v>
      </c>
      <c r="S201" s="1">
        <v>0</v>
      </c>
      <c r="T201" s="1">
        <v>0.33300000000000002</v>
      </c>
      <c r="U201" s="1">
        <v>0.72499999999999998</v>
      </c>
      <c r="V201" s="1">
        <v>127.986</v>
      </c>
      <c r="W201">
        <v>4</v>
      </c>
    </row>
    <row r="202" spans="1:23" x14ac:dyDescent="0.25">
      <c r="A202" s="1" t="s">
        <v>13811</v>
      </c>
      <c r="B202" s="1" t="s">
        <v>13805</v>
      </c>
      <c r="C202" s="1" t="s">
        <v>2236</v>
      </c>
      <c r="D202" s="1" t="s">
        <v>13812</v>
      </c>
      <c r="E202" s="1" t="s">
        <v>2232</v>
      </c>
      <c r="F202" s="1" t="s">
        <v>13813</v>
      </c>
      <c r="G202">
        <v>193653</v>
      </c>
      <c r="H202">
        <v>72</v>
      </c>
      <c r="I202" s="1" t="s">
        <v>11063</v>
      </c>
      <c r="J202" s="11">
        <v>44729.706458333334</v>
      </c>
      <c r="K202" s="1" t="s">
        <v>2233</v>
      </c>
      <c r="L202" s="1">
        <v>0.35599999999999998</v>
      </c>
      <c r="M202" s="1">
        <v>0.872</v>
      </c>
      <c r="N202">
        <v>2</v>
      </c>
      <c r="O202" s="1">
        <v>-7.8369999999999997</v>
      </c>
      <c r="P202">
        <v>1</v>
      </c>
      <c r="Q202" s="1">
        <v>0.68</v>
      </c>
      <c r="R202" s="1">
        <v>0.41699999999999998</v>
      </c>
      <c r="S202" s="1">
        <v>0.97499999999999998</v>
      </c>
      <c r="T202" s="1">
        <v>0.997</v>
      </c>
      <c r="U202" s="1">
        <v>0.60699999999999998</v>
      </c>
      <c r="V202" s="1">
        <v>166.3</v>
      </c>
      <c r="W202">
        <v>4</v>
      </c>
    </row>
    <row r="203" spans="1:23" x14ac:dyDescent="0.25">
      <c r="A203" s="1" t="s">
        <v>13814</v>
      </c>
      <c r="B203" s="1" t="s">
        <v>13815</v>
      </c>
      <c r="C203" s="1" t="s">
        <v>2237</v>
      </c>
      <c r="D203" s="1" t="s">
        <v>2238</v>
      </c>
      <c r="E203" s="1" t="s">
        <v>2238</v>
      </c>
      <c r="F203" s="1" t="s">
        <v>13816</v>
      </c>
      <c r="G203">
        <v>236133</v>
      </c>
      <c r="H203">
        <v>51</v>
      </c>
      <c r="I203" s="1" t="s">
        <v>11063</v>
      </c>
      <c r="J203" s="11">
        <v>44729.706458333334</v>
      </c>
      <c r="K203" s="1" t="s">
        <v>2239</v>
      </c>
      <c r="L203" s="1">
        <v>0.65900000000000003</v>
      </c>
      <c r="M203" s="1">
        <v>0.94499999999999995</v>
      </c>
      <c r="N203">
        <v>8</v>
      </c>
      <c r="O203" s="1">
        <v>-3.746</v>
      </c>
      <c r="P203">
        <v>1</v>
      </c>
      <c r="Q203" s="1">
        <v>0.27100000000000002</v>
      </c>
      <c r="R203" s="1">
        <v>0.89400000000000002</v>
      </c>
      <c r="S203" s="1">
        <v>0.93300000000000005</v>
      </c>
      <c r="T203" s="1">
        <v>0.29099999999999998</v>
      </c>
      <c r="U203" s="1">
        <v>0.6</v>
      </c>
      <c r="V203" s="1">
        <v>119.928</v>
      </c>
      <c r="W203">
        <v>4</v>
      </c>
    </row>
    <row r="204" spans="1:23" x14ac:dyDescent="0.25">
      <c r="A204" s="1" t="s">
        <v>13817</v>
      </c>
      <c r="B204" s="1" t="s">
        <v>13815</v>
      </c>
      <c r="C204" s="1" t="s">
        <v>2240</v>
      </c>
      <c r="D204" s="1" t="s">
        <v>2238</v>
      </c>
      <c r="E204" s="1" t="s">
        <v>2238</v>
      </c>
      <c r="F204" s="1" t="s">
        <v>13816</v>
      </c>
      <c r="G204">
        <v>200826</v>
      </c>
      <c r="H204">
        <v>52</v>
      </c>
      <c r="I204" s="1" t="s">
        <v>11063</v>
      </c>
      <c r="J204" s="11">
        <v>44729.706458333334</v>
      </c>
      <c r="K204" s="1" t="s">
        <v>2239</v>
      </c>
      <c r="L204" s="1">
        <v>0.61899999999999999</v>
      </c>
      <c r="M204" s="1">
        <v>0.72599999999999998</v>
      </c>
      <c r="N204">
        <v>7</v>
      </c>
      <c r="O204" s="1">
        <v>-6.4219999999999997</v>
      </c>
      <c r="P204">
        <v>1</v>
      </c>
      <c r="Q204" s="1">
        <v>0.125</v>
      </c>
      <c r="R204" s="1">
        <v>0.23100000000000001</v>
      </c>
      <c r="S204" s="1">
        <v>0.76600000000000001</v>
      </c>
      <c r="T204" s="1">
        <v>0.65200000000000002</v>
      </c>
      <c r="U204" s="1">
        <v>0.42399999999999999</v>
      </c>
      <c r="V204" s="1">
        <v>116.96599999999999</v>
      </c>
      <c r="W204">
        <v>4</v>
      </c>
    </row>
    <row r="205" spans="1:23" x14ac:dyDescent="0.25">
      <c r="A205" s="1" t="s">
        <v>13818</v>
      </c>
      <c r="B205" s="1" t="s">
        <v>13815</v>
      </c>
      <c r="C205" s="1" t="s">
        <v>2241</v>
      </c>
      <c r="D205" s="1" t="s">
        <v>2238</v>
      </c>
      <c r="E205" s="1" t="s">
        <v>2238</v>
      </c>
      <c r="F205" s="1" t="s">
        <v>13816</v>
      </c>
      <c r="G205">
        <v>234960</v>
      </c>
      <c r="H205">
        <v>59</v>
      </c>
      <c r="I205" s="1" t="s">
        <v>11063</v>
      </c>
      <c r="J205" s="11">
        <v>44729.706458333334</v>
      </c>
      <c r="K205" s="1" t="s">
        <v>2239</v>
      </c>
      <c r="L205" s="1">
        <v>0.69299999999999995</v>
      </c>
      <c r="M205" s="1">
        <v>0.78900000000000003</v>
      </c>
      <c r="N205">
        <v>9</v>
      </c>
      <c r="O205" s="1">
        <v>-5.13</v>
      </c>
      <c r="P205">
        <v>1</v>
      </c>
      <c r="Q205" s="1">
        <v>0.38400000000000001</v>
      </c>
      <c r="R205" s="1">
        <v>0.16800000000000001</v>
      </c>
      <c r="S205" s="1">
        <v>0.36599999999999999</v>
      </c>
      <c r="T205" s="1">
        <v>0.98499999999999999</v>
      </c>
      <c r="U205" s="1">
        <v>0.28299999999999997</v>
      </c>
      <c r="V205" s="1">
        <v>117.05500000000001</v>
      </c>
      <c r="W205">
        <v>4</v>
      </c>
    </row>
    <row r="206" spans="1:23" x14ac:dyDescent="0.25">
      <c r="A206" s="1" t="s">
        <v>13819</v>
      </c>
      <c r="B206" s="1" t="s">
        <v>13820</v>
      </c>
      <c r="C206" s="1" t="s">
        <v>2242</v>
      </c>
      <c r="D206" s="1" t="s">
        <v>13821</v>
      </c>
      <c r="E206" s="1" t="s">
        <v>2243</v>
      </c>
      <c r="F206" s="1" t="s">
        <v>13822</v>
      </c>
      <c r="G206">
        <v>262773</v>
      </c>
      <c r="H206">
        <v>61</v>
      </c>
      <c r="I206" s="1" t="s">
        <v>11063</v>
      </c>
      <c r="J206" s="11">
        <v>44729.706458333334</v>
      </c>
      <c r="K206" s="1" t="s">
        <v>2239</v>
      </c>
      <c r="L206" s="1">
        <v>0.61499999999999999</v>
      </c>
      <c r="M206" s="1">
        <v>0.97</v>
      </c>
      <c r="N206">
        <v>9</v>
      </c>
      <c r="O206" s="1">
        <v>1.3420000000000001</v>
      </c>
      <c r="P206">
        <v>0</v>
      </c>
      <c r="Q206" s="1">
        <v>0.11899999999999999</v>
      </c>
      <c r="R206" s="1">
        <v>0.104</v>
      </c>
      <c r="S206" s="1">
        <v>0.38400000000000001</v>
      </c>
      <c r="T206" s="1">
        <v>0.17799999999999999</v>
      </c>
      <c r="U206" s="1">
        <v>0.50700000000000001</v>
      </c>
      <c r="V206" s="1">
        <v>122.99299999999999</v>
      </c>
      <c r="W206">
        <v>4</v>
      </c>
    </row>
    <row r="207" spans="1:23" x14ac:dyDescent="0.25">
      <c r="A207" s="1" t="s">
        <v>13823</v>
      </c>
      <c r="B207" s="1" t="s">
        <v>13815</v>
      </c>
      <c r="C207" s="1" t="s">
        <v>2244</v>
      </c>
      <c r="D207" s="1" t="s">
        <v>2245</v>
      </c>
      <c r="E207" s="1" t="s">
        <v>2238</v>
      </c>
      <c r="F207" s="1" t="s">
        <v>13824</v>
      </c>
      <c r="G207">
        <v>211880</v>
      </c>
      <c r="H207">
        <v>57</v>
      </c>
      <c r="I207" s="1" t="s">
        <v>11063</v>
      </c>
      <c r="J207" s="11">
        <v>44729.706458333334</v>
      </c>
      <c r="K207" s="1" t="s">
        <v>2239</v>
      </c>
      <c r="L207" s="1">
        <v>0.59099999999999997</v>
      </c>
      <c r="M207" s="1">
        <v>0.96099999999999997</v>
      </c>
      <c r="N207">
        <v>4</v>
      </c>
      <c r="O207" s="1">
        <v>-5.2089999999999996</v>
      </c>
      <c r="P207">
        <v>1</v>
      </c>
      <c r="Q207" s="1">
        <v>0.34499999999999997</v>
      </c>
      <c r="R207" s="1">
        <v>0.52300000000000002</v>
      </c>
      <c r="S207" s="1">
        <v>0</v>
      </c>
      <c r="T207" s="1">
        <v>0.753</v>
      </c>
      <c r="U207" s="1">
        <v>0.53600000000000003</v>
      </c>
      <c r="V207" s="1">
        <v>113.07599999999999</v>
      </c>
      <c r="W207">
        <v>4</v>
      </c>
    </row>
    <row r="208" spans="1:23" x14ac:dyDescent="0.25">
      <c r="A208" s="1" t="s">
        <v>13825</v>
      </c>
      <c r="B208" s="1" t="s">
        <v>13815</v>
      </c>
      <c r="C208" s="1" t="s">
        <v>2245</v>
      </c>
      <c r="D208" s="1" t="s">
        <v>2238</v>
      </c>
      <c r="E208" s="1" t="s">
        <v>2238</v>
      </c>
      <c r="F208" s="1" t="s">
        <v>13816</v>
      </c>
      <c r="G208">
        <v>242266</v>
      </c>
      <c r="H208">
        <v>66</v>
      </c>
      <c r="I208" s="1" t="s">
        <v>11063</v>
      </c>
      <c r="J208" s="11">
        <v>44729.706458333334</v>
      </c>
      <c r="K208" s="1" t="s">
        <v>2239</v>
      </c>
      <c r="L208" s="1">
        <v>0.61299999999999999</v>
      </c>
      <c r="M208" s="1">
        <v>0.96199999999999997</v>
      </c>
      <c r="N208">
        <v>6</v>
      </c>
      <c r="O208" s="1">
        <v>-5.07</v>
      </c>
      <c r="P208">
        <v>0</v>
      </c>
      <c r="Q208" s="1">
        <v>0.27800000000000002</v>
      </c>
      <c r="R208" s="1">
        <v>0.34</v>
      </c>
      <c r="S208" s="1">
        <v>0</v>
      </c>
      <c r="T208" s="1">
        <v>0.82399999999999995</v>
      </c>
      <c r="U208" s="1">
        <v>0.496</v>
      </c>
      <c r="V208" s="1">
        <v>113.015</v>
      </c>
      <c r="W208">
        <v>4</v>
      </c>
    </row>
    <row r="209" spans="1:23" x14ac:dyDescent="0.25">
      <c r="A209" s="1" t="s">
        <v>13826</v>
      </c>
      <c r="B209" s="1" t="s">
        <v>13505</v>
      </c>
      <c r="C209" s="1" t="s">
        <v>2246</v>
      </c>
      <c r="D209" s="1" t="s">
        <v>13506</v>
      </c>
      <c r="E209" s="1" t="s">
        <v>1975</v>
      </c>
      <c r="F209" s="1" t="s">
        <v>11426</v>
      </c>
      <c r="G209">
        <v>204763</v>
      </c>
      <c r="H209">
        <v>70</v>
      </c>
      <c r="I209" s="1" t="s">
        <v>11063</v>
      </c>
      <c r="J209" s="11">
        <v>44729.706458333334</v>
      </c>
      <c r="K209" s="1" t="s">
        <v>1976</v>
      </c>
      <c r="L209" s="1">
        <v>0.62</v>
      </c>
      <c r="M209" s="1">
        <v>0.80500000000000005</v>
      </c>
      <c r="N209">
        <v>5</v>
      </c>
      <c r="O209" s="1">
        <v>-5.5380000000000003</v>
      </c>
      <c r="P209">
        <v>1</v>
      </c>
      <c r="Q209" s="1">
        <v>0.41699999999999998</v>
      </c>
      <c r="R209" s="1">
        <v>0.56399999999999995</v>
      </c>
      <c r="S209" s="1">
        <v>0.91500000000000004</v>
      </c>
      <c r="T209" s="1">
        <v>0.28499999999999998</v>
      </c>
      <c r="U209" s="1">
        <v>0.58599999999999997</v>
      </c>
      <c r="V209" s="1">
        <v>122.062</v>
      </c>
      <c r="W209">
        <v>4</v>
      </c>
    </row>
    <row r="210" spans="1:23" x14ac:dyDescent="0.25">
      <c r="A210" s="1" t="s">
        <v>13827</v>
      </c>
      <c r="B210" s="1" t="s">
        <v>13828</v>
      </c>
      <c r="C210" s="1" t="s">
        <v>2247</v>
      </c>
      <c r="D210" s="1" t="s">
        <v>13829</v>
      </c>
      <c r="E210" s="1" t="s">
        <v>2248</v>
      </c>
      <c r="F210" s="1" t="s">
        <v>11587</v>
      </c>
      <c r="G210">
        <v>205933</v>
      </c>
      <c r="H210">
        <v>78</v>
      </c>
      <c r="I210" s="1" t="s">
        <v>11063</v>
      </c>
      <c r="J210" s="11">
        <v>44729.706458333334</v>
      </c>
      <c r="K210" s="1" t="s">
        <v>2249</v>
      </c>
      <c r="L210" s="1">
        <v>0.56000000000000005</v>
      </c>
      <c r="M210" s="1">
        <v>0.872</v>
      </c>
      <c r="N210">
        <v>3</v>
      </c>
      <c r="O210" s="1">
        <v>-4.2690000000000001</v>
      </c>
      <c r="P210">
        <v>1</v>
      </c>
      <c r="Q210" s="1">
        <v>0.14000000000000001</v>
      </c>
      <c r="R210" s="1">
        <v>0.23899999999999999</v>
      </c>
      <c r="S210" s="1">
        <v>0.69799999999999995</v>
      </c>
      <c r="T210" s="1">
        <v>0.371</v>
      </c>
      <c r="U210" s="1">
        <v>0.68200000000000005</v>
      </c>
      <c r="V210" s="1">
        <v>126.05</v>
      </c>
      <c r="W210">
        <v>4</v>
      </c>
    </row>
    <row r="211" spans="1:23" x14ac:dyDescent="0.25">
      <c r="A211" s="1" t="s">
        <v>13830</v>
      </c>
      <c r="B211" s="1" t="s">
        <v>13505</v>
      </c>
      <c r="C211" s="1" t="s">
        <v>2250</v>
      </c>
      <c r="D211" s="1" t="s">
        <v>13831</v>
      </c>
      <c r="E211" s="1" t="s">
        <v>1975</v>
      </c>
      <c r="F211" s="1" t="s">
        <v>11587</v>
      </c>
      <c r="G211">
        <v>193400</v>
      </c>
      <c r="H211">
        <v>80</v>
      </c>
      <c r="I211" s="1" t="s">
        <v>11063</v>
      </c>
      <c r="J211" s="11">
        <v>44729.706458333334</v>
      </c>
      <c r="K211" s="1" t="s">
        <v>1976</v>
      </c>
      <c r="L211" s="1">
        <v>0.78300000000000003</v>
      </c>
      <c r="M211" s="1">
        <v>0.57999999999999996</v>
      </c>
      <c r="N211">
        <v>7</v>
      </c>
      <c r="O211" s="1">
        <v>-6.548</v>
      </c>
      <c r="P211">
        <v>1</v>
      </c>
      <c r="Q211" s="1">
        <v>0.40799999999999997</v>
      </c>
      <c r="R211" s="1">
        <v>0.114</v>
      </c>
      <c r="S211" s="1">
        <v>0.22800000000000001</v>
      </c>
      <c r="T211" s="1">
        <v>0.108</v>
      </c>
      <c r="U211" s="1">
        <v>0.66</v>
      </c>
      <c r="V211" s="1">
        <v>120.021</v>
      </c>
      <c r="W211">
        <v>4</v>
      </c>
    </row>
    <row r="212" spans="1:23" x14ac:dyDescent="0.25">
      <c r="A212" s="1" t="s">
        <v>13832</v>
      </c>
      <c r="B212" s="1" t="s">
        <v>13833</v>
      </c>
      <c r="C212" s="1" t="s">
        <v>2251</v>
      </c>
      <c r="D212" s="1" t="s">
        <v>2251</v>
      </c>
      <c r="E212" s="1" t="s">
        <v>2252</v>
      </c>
      <c r="F212" s="1" t="s">
        <v>13834</v>
      </c>
      <c r="G212">
        <v>332289</v>
      </c>
      <c r="H212">
        <v>57</v>
      </c>
      <c r="I212" s="1" t="s">
        <v>11063</v>
      </c>
      <c r="J212" s="11">
        <v>44729.706458333334</v>
      </c>
      <c r="K212" s="1" t="s">
        <v>2253</v>
      </c>
      <c r="L212" s="1">
        <v>0.64500000000000002</v>
      </c>
      <c r="M212" s="1">
        <v>0.85</v>
      </c>
      <c r="N212">
        <v>11</v>
      </c>
      <c r="O212" s="1">
        <v>-5.952</v>
      </c>
      <c r="P212">
        <v>0</v>
      </c>
      <c r="Q212" s="1">
        <v>0.25600000000000001</v>
      </c>
      <c r="R212" s="1">
        <v>0.105</v>
      </c>
      <c r="S212" s="1">
        <v>0.30199999999999999</v>
      </c>
      <c r="T212" s="1">
        <v>0.36399999999999999</v>
      </c>
      <c r="U212" s="1">
        <v>0.47099999999999997</v>
      </c>
      <c r="V212" s="1">
        <v>127.997</v>
      </c>
      <c r="W212">
        <v>4</v>
      </c>
    </row>
    <row r="213" spans="1:23" x14ac:dyDescent="0.25">
      <c r="A213" s="1" t="s">
        <v>13835</v>
      </c>
      <c r="B213" s="1" t="s">
        <v>13836</v>
      </c>
      <c r="C213" s="1" t="s">
        <v>2254</v>
      </c>
      <c r="D213" s="1" t="s">
        <v>13837</v>
      </c>
      <c r="E213" s="1" t="s">
        <v>2255</v>
      </c>
      <c r="F213" s="1" t="s">
        <v>13838</v>
      </c>
      <c r="G213">
        <v>233478</v>
      </c>
      <c r="H213">
        <v>86</v>
      </c>
      <c r="I213" s="1" t="s">
        <v>11063</v>
      </c>
      <c r="J213" s="11">
        <v>44729.706458333334</v>
      </c>
      <c r="K213" s="1" t="s">
        <v>2178</v>
      </c>
      <c r="L213" s="1">
        <v>0.72599999999999998</v>
      </c>
      <c r="M213" s="1">
        <v>0.69799999999999995</v>
      </c>
      <c r="N213">
        <v>5</v>
      </c>
      <c r="O213" s="1">
        <v>-4.165</v>
      </c>
      <c r="P213">
        <v>1</v>
      </c>
      <c r="Q213" s="1">
        <v>0.43099999999999999</v>
      </c>
      <c r="R213" s="1">
        <v>0.49</v>
      </c>
      <c r="S213" s="1">
        <v>0</v>
      </c>
      <c r="T213" s="1">
        <v>0.309</v>
      </c>
      <c r="U213" s="1">
        <v>0.86699999999999999</v>
      </c>
      <c r="V213" s="1">
        <v>143.994</v>
      </c>
      <c r="W213">
        <v>4</v>
      </c>
    </row>
    <row r="214" spans="1:23" x14ac:dyDescent="0.25">
      <c r="A214" s="1" t="s">
        <v>13839</v>
      </c>
      <c r="B214" s="1" t="s">
        <v>13836</v>
      </c>
      <c r="C214" s="1" t="s">
        <v>2256</v>
      </c>
      <c r="D214" s="1" t="s">
        <v>2256</v>
      </c>
      <c r="E214" s="1" t="s">
        <v>2255</v>
      </c>
      <c r="F214" s="1" t="s">
        <v>13840</v>
      </c>
      <c r="G214">
        <v>225983</v>
      </c>
      <c r="H214">
        <v>79</v>
      </c>
      <c r="I214" s="1" t="s">
        <v>11063</v>
      </c>
      <c r="J214" s="11">
        <v>44729.706458333334</v>
      </c>
      <c r="K214" s="1" t="s">
        <v>2178</v>
      </c>
      <c r="L214" s="1">
        <v>0.81799999999999995</v>
      </c>
      <c r="M214" s="1">
        <v>0.80300000000000005</v>
      </c>
      <c r="N214">
        <v>1</v>
      </c>
      <c r="O214" s="1">
        <v>-4.282</v>
      </c>
      <c r="P214">
        <v>1</v>
      </c>
      <c r="Q214" s="1">
        <v>0.79700000000000004</v>
      </c>
      <c r="R214" s="1">
        <v>0.34</v>
      </c>
      <c r="S214" s="1">
        <v>0</v>
      </c>
      <c r="T214" s="1">
        <v>0.153</v>
      </c>
      <c r="U214" s="1">
        <v>0.63200000000000001</v>
      </c>
      <c r="V214" s="1">
        <v>106.97</v>
      </c>
      <c r="W214">
        <v>4</v>
      </c>
    </row>
    <row r="215" spans="1:23" x14ac:dyDescent="0.25">
      <c r="A215" s="1" t="s">
        <v>13841</v>
      </c>
      <c r="B215" s="1" t="s">
        <v>13836</v>
      </c>
      <c r="C215" s="1" t="s">
        <v>2257</v>
      </c>
      <c r="D215" s="1" t="s">
        <v>2256</v>
      </c>
      <c r="E215" s="1" t="s">
        <v>2255</v>
      </c>
      <c r="F215" s="1" t="s">
        <v>13840</v>
      </c>
      <c r="G215">
        <v>206693</v>
      </c>
      <c r="H215">
        <v>83</v>
      </c>
      <c r="I215" s="1" t="s">
        <v>11063</v>
      </c>
      <c r="J215" s="11">
        <v>44729.706458333334</v>
      </c>
      <c r="K215" s="1" t="s">
        <v>2178</v>
      </c>
      <c r="L215" s="1">
        <v>0.85299999999999998</v>
      </c>
      <c r="M215" s="1">
        <v>0.56000000000000005</v>
      </c>
      <c r="N215">
        <v>1</v>
      </c>
      <c r="O215" s="1">
        <v>-4.9610000000000003</v>
      </c>
      <c r="P215">
        <v>1</v>
      </c>
      <c r="Q215" s="1">
        <v>0.40600000000000003</v>
      </c>
      <c r="R215" s="1">
        <v>0.13</v>
      </c>
      <c r="S215" s="1">
        <v>0</v>
      </c>
      <c r="T215" s="1">
        <v>0.94399999999999995</v>
      </c>
      <c r="U215" s="1">
        <v>0.86</v>
      </c>
      <c r="V215" s="1">
        <v>134.066</v>
      </c>
      <c r="W215">
        <v>4</v>
      </c>
    </row>
    <row r="216" spans="1:23" x14ac:dyDescent="0.25">
      <c r="A216" s="1" t="s">
        <v>13842</v>
      </c>
      <c r="B216" s="1" t="s">
        <v>13843</v>
      </c>
      <c r="C216" s="1" t="s">
        <v>2258</v>
      </c>
      <c r="D216" s="1" t="s">
        <v>13844</v>
      </c>
      <c r="E216" s="1" t="s">
        <v>2259</v>
      </c>
      <c r="F216" s="1" t="s">
        <v>13845</v>
      </c>
      <c r="G216">
        <v>272417</v>
      </c>
      <c r="H216">
        <v>65</v>
      </c>
      <c r="I216" s="1" t="s">
        <v>11063</v>
      </c>
      <c r="J216" s="11">
        <v>44729.706458333334</v>
      </c>
      <c r="K216" s="1" t="s">
        <v>2260</v>
      </c>
      <c r="L216" s="1">
        <v>0.45900000000000002</v>
      </c>
      <c r="M216" s="1">
        <v>0.89900000000000002</v>
      </c>
      <c r="N216">
        <v>2</v>
      </c>
      <c r="O216" s="1">
        <v>-2.9780000000000002</v>
      </c>
      <c r="P216">
        <v>1</v>
      </c>
      <c r="Q216" s="1">
        <v>0.21</v>
      </c>
      <c r="R216" s="1">
        <v>0.38</v>
      </c>
      <c r="S216" s="1">
        <v>0</v>
      </c>
      <c r="T216" s="1">
        <v>0.126</v>
      </c>
      <c r="U216" s="1">
        <v>0.437</v>
      </c>
      <c r="V216" s="1">
        <v>176.38399999999999</v>
      </c>
      <c r="W216">
        <v>4</v>
      </c>
    </row>
    <row r="217" spans="1:23" x14ac:dyDescent="0.25">
      <c r="A217" s="1" t="s">
        <v>13846</v>
      </c>
      <c r="B217" s="1" t="s">
        <v>13843</v>
      </c>
      <c r="C217" s="1" t="s">
        <v>2261</v>
      </c>
      <c r="D217" s="1" t="s">
        <v>13847</v>
      </c>
      <c r="E217" s="1" t="s">
        <v>2259</v>
      </c>
      <c r="F217" s="1" t="s">
        <v>13848</v>
      </c>
      <c r="G217">
        <v>250760</v>
      </c>
      <c r="H217">
        <v>78</v>
      </c>
      <c r="I217" s="1" t="s">
        <v>11063</v>
      </c>
      <c r="J217" s="11">
        <v>44729.706458333334</v>
      </c>
      <c r="K217" s="1" t="s">
        <v>2260</v>
      </c>
      <c r="L217" s="1">
        <v>0.63700000000000001</v>
      </c>
      <c r="M217" s="1">
        <v>0.67800000000000005</v>
      </c>
      <c r="N217">
        <v>0</v>
      </c>
      <c r="O217" s="1">
        <v>-3.798</v>
      </c>
      <c r="P217">
        <v>1</v>
      </c>
      <c r="Q217" s="1">
        <v>0.26600000000000001</v>
      </c>
      <c r="R217" s="1">
        <v>0.20899999999999999</v>
      </c>
      <c r="S217" s="1">
        <v>0</v>
      </c>
      <c r="T217" s="1">
        <v>0.156</v>
      </c>
      <c r="U217" s="1">
        <v>0.254</v>
      </c>
      <c r="V217" s="1">
        <v>84.039000000000001</v>
      </c>
      <c r="W217">
        <v>4</v>
      </c>
    </row>
    <row r="218" spans="1:23" x14ac:dyDescent="0.25">
      <c r="A218" s="1" t="s">
        <v>13849</v>
      </c>
      <c r="B218" s="1" t="s">
        <v>11781</v>
      </c>
      <c r="C218" s="1" t="s">
        <v>2262</v>
      </c>
      <c r="D218" s="1" t="s">
        <v>11782</v>
      </c>
      <c r="E218" s="1" t="s">
        <v>469</v>
      </c>
      <c r="F218" s="1" t="s">
        <v>11704</v>
      </c>
      <c r="G218">
        <v>205825</v>
      </c>
      <c r="H218">
        <v>31</v>
      </c>
      <c r="I218" s="1" t="s">
        <v>11063</v>
      </c>
      <c r="J218" s="11">
        <v>44729.706458333334</v>
      </c>
      <c r="K218" s="1" t="s">
        <v>470</v>
      </c>
      <c r="L218" s="1">
        <v>0.58499999999999996</v>
      </c>
      <c r="M218" s="1">
        <v>0.83899999999999997</v>
      </c>
      <c r="N218">
        <v>6</v>
      </c>
      <c r="O218" s="1">
        <v>-6.7779999999999996</v>
      </c>
      <c r="P218">
        <v>1</v>
      </c>
      <c r="Q218" s="1">
        <v>0.46800000000000003</v>
      </c>
      <c r="R218" s="1">
        <v>0.44900000000000001</v>
      </c>
      <c r="S218" s="1">
        <v>0.41699999999999998</v>
      </c>
      <c r="T218" s="1">
        <v>0.35599999999999998</v>
      </c>
      <c r="U218" s="1">
        <v>0.48499999999999999</v>
      </c>
      <c r="V218" s="1">
        <v>95.009</v>
      </c>
      <c r="W218">
        <v>4</v>
      </c>
    </row>
    <row r="219" spans="1:23" x14ac:dyDescent="0.25">
      <c r="A219" s="1" t="s">
        <v>13850</v>
      </c>
      <c r="B219" s="1" t="s">
        <v>11781</v>
      </c>
      <c r="C219" s="1" t="s">
        <v>2263</v>
      </c>
      <c r="D219" s="1" t="s">
        <v>11782</v>
      </c>
      <c r="E219" s="1" t="s">
        <v>469</v>
      </c>
      <c r="F219" s="1" t="s">
        <v>11704</v>
      </c>
      <c r="G219">
        <v>241366</v>
      </c>
      <c r="H219">
        <v>34</v>
      </c>
      <c r="I219" s="1" t="s">
        <v>11063</v>
      </c>
      <c r="J219" s="11">
        <v>44729.706458333334</v>
      </c>
      <c r="K219" s="1" t="s">
        <v>470</v>
      </c>
      <c r="L219" s="1">
        <v>0.80300000000000005</v>
      </c>
      <c r="M219" s="1">
        <v>0.88100000000000001</v>
      </c>
      <c r="N219">
        <v>1</v>
      </c>
      <c r="O219" s="1">
        <v>-6.6280000000000001</v>
      </c>
      <c r="P219">
        <v>0</v>
      </c>
      <c r="Q219" s="1">
        <v>0.189</v>
      </c>
      <c r="R219" s="1">
        <v>0.16700000000000001</v>
      </c>
      <c r="S219" s="1">
        <v>0.2</v>
      </c>
      <c r="T219" s="1">
        <v>0.221</v>
      </c>
      <c r="U219" s="1">
        <v>0.77600000000000002</v>
      </c>
      <c r="V219" s="1">
        <v>125.992</v>
      </c>
      <c r="W219">
        <v>4</v>
      </c>
    </row>
    <row r="220" spans="1:23" x14ac:dyDescent="0.25">
      <c r="A220" s="1" t="s">
        <v>11780</v>
      </c>
      <c r="B220" s="1" t="s">
        <v>11781</v>
      </c>
      <c r="C220" s="1" t="s">
        <v>468</v>
      </c>
      <c r="D220" s="1" t="s">
        <v>11782</v>
      </c>
      <c r="E220" s="1" t="s">
        <v>469</v>
      </c>
      <c r="F220" s="1" t="s">
        <v>11704</v>
      </c>
      <c r="G220">
        <v>212596</v>
      </c>
      <c r="H220">
        <v>44</v>
      </c>
      <c r="I220" s="1" t="s">
        <v>11063</v>
      </c>
      <c r="J220" s="11">
        <v>44729.706458333334</v>
      </c>
      <c r="K220" s="1" t="s">
        <v>470</v>
      </c>
      <c r="L220" s="1">
        <v>0.55400000000000005</v>
      </c>
      <c r="M220" s="1">
        <v>0.84799999999999998</v>
      </c>
      <c r="N220">
        <v>1</v>
      </c>
      <c r="O220" s="1">
        <v>-4.8570000000000002</v>
      </c>
      <c r="P220">
        <v>1</v>
      </c>
      <c r="Q220" s="1">
        <v>0.81499999999999995</v>
      </c>
      <c r="R220" s="1">
        <v>0.86699999999999999</v>
      </c>
      <c r="S220" s="1">
        <v>0.29799999999999999</v>
      </c>
      <c r="T220" s="1">
        <v>0.42</v>
      </c>
      <c r="U220" s="1">
        <v>0.56100000000000005</v>
      </c>
      <c r="V220" s="1">
        <v>89.998999999999995</v>
      </c>
      <c r="W220">
        <v>4</v>
      </c>
    </row>
    <row r="221" spans="1:23" x14ac:dyDescent="0.25">
      <c r="A221" s="1" t="s">
        <v>13851</v>
      </c>
      <c r="B221" s="1" t="s">
        <v>11781</v>
      </c>
      <c r="C221" s="1" t="s">
        <v>2264</v>
      </c>
      <c r="D221" s="1" t="s">
        <v>11782</v>
      </c>
      <c r="E221" s="1" t="s">
        <v>469</v>
      </c>
      <c r="F221" s="1" t="s">
        <v>11704</v>
      </c>
      <c r="G221">
        <v>185869</v>
      </c>
      <c r="H221">
        <v>42</v>
      </c>
      <c r="I221" s="1" t="s">
        <v>11063</v>
      </c>
      <c r="J221" s="11">
        <v>44729.706458333334</v>
      </c>
      <c r="K221" s="1" t="s">
        <v>470</v>
      </c>
      <c r="L221" s="1">
        <v>0.61399999999999999</v>
      </c>
      <c r="M221" s="1">
        <v>0.66300000000000003</v>
      </c>
      <c r="N221">
        <v>8</v>
      </c>
      <c r="O221" s="1">
        <v>-7.1050000000000004</v>
      </c>
      <c r="P221">
        <v>1</v>
      </c>
      <c r="Q221" s="1">
        <v>0.40600000000000003</v>
      </c>
      <c r="R221" s="1">
        <v>0.23</v>
      </c>
      <c r="S221" s="1">
        <v>0.32800000000000001</v>
      </c>
      <c r="T221" s="1">
        <v>0.29699999999999999</v>
      </c>
      <c r="U221" s="1">
        <v>0.40300000000000002</v>
      </c>
      <c r="V221" s="1">
        <v>140.01499999999999</v>
      </c>
      <c r="W221">
        <v>4</v>
      </c>
    </row>
    <row r="222" spans="1:23" x14ac:dyDescent="0.25">
      <c r="A222" s="1" t="s">
        <v>13852</v>
      </c>
      <c r="B222" s="1" t="s">
        <v>11781</v>
      </c>
      <c r="C222" s="1" t="s">
        <v>2265</v>
      </c>
      <c r="D222" s="1" t="s">
        <v>11782</v>
      </c>
      <c r="E222" s="1" t="s">
        <v>469</v>
      </c>
      <c r="F222" s="1" t="s">
        <v>11704</v>
      </c>
      <c r="G222">
        <v>190554</v>
      </c>
      <c r="H222">
        <v>43</v>
      </c>
      <c r="I222" s="1" t="s">
        <v>11063</v>
      </c>
      <c r="J222" s="11">
        <v>44729.706458333334</v>
      </c>
      <c r="K222" s="1" t="s">
        <v>470</v>
      </c>
      <c r="L222" s="1">
        <v>0.77200000000000002</v>
      </c>
      <c r="M222" s="1">
        <v>0.81699999999999995</v>
      </c>
      <c r="N222">
        <v>6</v>
      </c>
      <c r="O222" s="1">
        <v>-4.6879999999999997</v>
      </c>
      <c r="P222">
        <v>0</v>
      </c>
      <c r="Q222" s="1">
        <v>0.26500000000000001</v>
      </c>
      <c r="R222" s="1">
        <v>0.314</v>
      </c>
      <c r="S222" s="1">
        <v>0.33800000000000002</v>
      </c>
      <c r="T222" s="1">
        <v>0.76100000000000001</v>
      </c>
      <c r="U222" s="1">
        <v>0.52300000000000002</v>
      </c>
      <c r="V222" s="1">
        <v>104.04</v>
      </c>
      <c r="W222">
        <v>4</v>
      </c>
    </row>
    <row r="223" spans="1:23" x14ac:dyDescent="0.25">
      <c r="A223" s="1" t="s">
        <v>13853</v>
      </c>
      <c r="B223" s="1" t="s">
        <v>13854</v>
      </c>
      <c r="C223" s="1" t="s">
        <v>2266</v>
      </c>
      <c r="D223" s="1" t="s">
        <v>2266</v>
      </c>
      <c r="E223" s="1" t="s">
        <v>2267</v>
      </c>
      <c r="F223" s="1" t="s">
        <v>13855</v>
      </c>
      <c r="G223">
        <v>169033</v>
      </c>
      <c r="H223">
        <v>38</v>
      </c>
      <c r="I223" s="1" t="s">
        <v>11063</v>
      </c>
      <c r="J223" s="11">
        <v>44729.706458333334</v>
      </c>
      <c r="K223" s="1" t="s">
        <v>2268</v>
      </c>
      <c r="L223" s="1">
        <v>0.60099999999999998</v>
      </c>
      <c r="M223" s="1">
        <v>0.66100000000000003</v>
      </c>
      <c r="N223">
        <v>3</v>
      </c>
      <c r="O223" s="1">
        <v>-4.5469999999999997</v>
      </c>
      <c r="P223">
        <v>0</v>
      </c>
      <c r="Q223" s="1">
        <v>0.59499999999999997</v>
      </c>
      <c r="R223" s="1">
        <v>0.30299999999999999</v>
      </c>
      <c r="S223" s="1">
        <v>0</v>
      </c>
      <c r="T223" s="1">
        <v>0.124</v>
      </c>
      <c r="U223" s="1">
        <v>0.373</v>
      </c>
      <c r="V223" s="1">
        <v>144.755</v>
      </c>
      <c r="W223">
        <v>4</v>
      </c>
    </row>
    <row r="224" spans="1:23" x14ac:dyDescent="0.25">
      <c r="A224" s="1" t="s">
        <v>13856</v>
      </c>
      <c r="B224" s="1" t="s">
        <v>13857</v>
      </c>
      <c r="C224" s="1" t="s">
        <v>2269</v>
      </c>
      <c r="D224" s="1" t="s">
        <v>13858</v>
      </c>
      <c r="E224" s="1" t="s">
        <v>2270</v>
      </c>
      <c r="F224" s="1" t="s">
        <v>13859</v>
      </c>
      <c r="G224">
        <v>167000</v>
      </c>
      <c r="H224">
        <v>59</v>
      </c>
      <c r="I224" s="1" t="s">
        <v>11063</v>
      </c>
      <c r="J224" s="11">
        <v>44729.706458333334</v>
      </c>
      <c r="K224" s="1" t="s">
        <v>2268</v>
      </c>
      <c r="L224" s="1">
        <v>0.63200000000000001</v>
      </c>
      <c r="M224" s="1">
        <v>0.68100000000000005</v>
      </c>
      <c r="N224">
        <v>0</v>
      </c>
      <c r="O224" s="1">
        <v>-5.0229999999999997</v>
      </c>
      <c r="P224">
        <v>0</v>
      </c>
      <c r="Q224" s="1">
        <v>0.115</v>
      </c>
      <c r="R224" s="1">
        <v>0.128</v>
      </c>
      <c r="S224" s="1">
        <v>0.153</v>
      </c>
      <c r="T224" s="1">
        <v>0.11600000000000001</v>
      </c>
      <c r="U224" s="1">
        <v>0.63300000000000001</v>
      </c>
      <c r="V224" s="1">
        <v>126.477</v>
      </c>
      <c r="W224">
        <v>5</v>
      </c>
    </row>
    <row r="225" spans="1:23" x14ac:dyDescent="0.25">
      <c r="A225" s="1" t="s">
        <v>13860</v>
      </c>
      <c r="B225" s="1" t="s">
        <v>11781</v>
      </c>
      <c r="C225" s="1" t="s">
        <v>2271</v>
      </c>
      <c r="D225" s="1" t="s">
        <v>11782</v>
      </c>
      <c r="E225" s="1" t="s">
        <v>469</v>
      </c>
      <c r="F225" s="1" t="s">
        <v>11704</v>
      </c>
      <c r="G225">
        <v>229804</v>
      </c>
      <c r="H225">
        <v>52</v>
      </c>
      <c r="I225" s="1" t="s">
        <v>11063</v>
      </c>
      <c r="J225" s="11">
        <v>44729.706458333334</v>
      </c>
      <c r="K225" s="1" t="s">
        <v>470</v>
      </c>
      <c r="L225" s="1">
        <v>0.76700000000000002</v>
      </c>
      <c r="M225" s="1">
        <v>0.93799999999999994</v>
      </c>
      <c r="N225">
        <v>5</v>
      </c>
      <c r="O225" s="1">
        <v>-4.4329999999999998</v>
      </c>
      <c r="P225">
        <v>0</v>
      </c>
      <c r="Q225" s="1">
        <v>0.505</v>
      </c>
      <c r="R225" s="1">
        <v>0.59199999999999997</v>
      </c>
      <c r="S225" s="1">
        <v>0.193</v>
      </c>
      <c r="T225" s="1">
        <v>0.11799999999999999</v>
      </c>
      <c r="U225" s="1">
        <v>0.86799999999999999</v>
      </c>
      <c r="V225" s="1">
        <v>123.992</v>
      </c>
      <c r="W225">
        <v>4</v>
      </c>
    </row>
    <row r="226" spans="1:23" x14ac:dyDescent="0.25">
      <c r="A226" s="1" t="s">
        <v>13861</v>
      </c>
      <c r="B226" s="1" t="s">
        <v>13862</v>
      </c>
      <c r="C226" s="1" t="s">
        <v>2272</v>
      </c>
      <c r="D226" s="1" t="s">
        <v>2272</v>
      </c>
      <c r="E226" s="1" t="s">
        <v>2273</v>
      </c>
      <c r="F226" s="1" t="s">
        <v>13863</v>
      </c>
      <c r="G226">
        <v>203510</v>
      </c>
      <c r="H226">
        <v>55</v>
      </c>
      <c r="I226" s="1" t="s">
        <v>11063</v>
      </c>
      <c r="J226" s="11">
        <v>44729.706458333334</v>
      </c>
      <c r="K226" s="1" t="s">
        <v>2274</v>
      </c>
      <c r="L226" s="1">
        <v>0.70299999999999996</v>
      </c>
      <c r="M226" s="1">
        <v>0.83699999999999997</v>
      </c>
      <c r="N226">
        <v>9</v>
      </c>
      <c r="O226" s="1">
        <v>-4.9329999999999998</v>
      </c>
      <c r="P226">
        <v>0</v>
      </c>
      <c r="Q226" s="1">
        <v>0.23400000000000001</v>
      </c>
      <c r="R226" s="1">
        <v>0.186</v>
      </c>
      <c r="S226" s="1">
        <v>0.161</v>
      </c>
      <c r="T226" s="1">
        <v>0.57599999999999996</v>
      </c>
      <c r="U226" s="1">
        <v>0.68</v>
      </c>
      <c r="V226" s="1">
        <v>106.051</v>
      </c>
      <c r="W226">
        <v>4</v>
      </c>
    </row>
    <row r="227" spans="1:23" x14ac:dyDescent="0.25">
      <c r="A227" s="1" t="s">
        <v>13864</v>
      </c>
      <c r="B227" s="1" t="s">
        <v>13865</v>
      </c>
      <c r="C227" s="1" t="s">
        <v>2275</v>
      </c>
      <c r="D227" s="1" t="s">
        <v>2275</v>
      </c>
      <c r="E227" s="1" t="s">
        <v>2276</v>
      </c>
      <c r="F227" s="1" t="s">
        <v>13866</v>
      </c>
      <c r="G227">
        <v>196000</v>
      </c>
      <c r="H227">
        <v>63</v>
      </c>
      <c r="I227" s="1" t="s">
        <v>11063</v>
      </c>
      <c r="J227" s="11">
        <v>44729.706458333334</v>
      </c>
      <c r="K227" s="1" t="s">
        <v>2277</v>
      </c>
      <c r="L227" s="1">
        <v>0.91600000000000004</v>
      </c>
      <c r="M227" s="1">
        <v>0.80400000000000005</v>
      </c>
      <c r="N227">
        <v>0</v>
      </c>
      <c r="O227" s="1">
        <v>-3.4060000000000001</v>
      </c>
      <c r="P227">
        <v>1</v>
      </c>
      <c r="Q227" s="1">
        <v>0.49</v>
      </c>
      <c r="R227" s="1">
        <v>0.37</v>
      </c>
      <c r="S227" s="1">
        <v>0.11799999999999999</v>
      </c>
      <c r="T227" s="1">
        <v>0.81200000000000006</v>
      </c>
      <c r="U227" s="1">
        <v>0.53800000000000003</v>
      </c>
      <c r="V227" s="1">
        <v>120.02800000000001</v>
      </c>
      <c r="W227">
        <v>4</v>
      </c>
    </row>
    <row r="228" spans="1:23" x14ac:dyDescent="0.25">
      <c r="A228" s="1" t="s">
        <v>13867</v>
      </c>
      <c r="B228" s="1" t="s">
        <v>13868</v>
      </c>
      <c r="C228" s="1" t="s">
        <v>2278</v>
      </c>
      <c r="D228" s="1" t="s">
        <v>11375</v>
      </c>
      <c r="E228" s="1" t="s">
        <v>2279</v>
      </c>
      <c r="F228" s="1" t="s">
        <v>13869</v>
      </c>
      <c r="G228">
        <v>231013</v>
      </c>
      <c r="H228">
        <v>80</v>
      </c>
      <c r="I228" s="1" t="s">
        <v>11063</v>
      </c>
      <c r="J228" s="11">
        <v>44729.706458333334</v>
      </c>
      <c r="K228" s="1" t="s">
        <v>919</v>
      </c>
      <c r="L228" s="1">
        <v>0.27900000000000003</v>
      </c>
      <c r="M228" s="1">
        <v>0.74199999999999999</v>
      </c>
      <c r="N228">
        <v>4</v>
      </c>
      <c r="O228" s="1">
        <v>-6.46</v>
      </c>
      <c r="P228">
        <v>0</v>
      </c>
      <c r="Q228" s="1">
        <v>0.89800000000000002</v>
      </c>
      <c r="R228" s="1">
        <v>0.185</v>
      </c>
      <c r="S228" s="1">
        <v>0</v>
      </c>
      <c r="T228" s="1">
        <v>0.59299999999999997</v>
      </c>
      <c r="U228" s="1">
        <v>0.32800000000000001</v>
      </c>
      <c r="V228" s="1">
        <v>189.86799999999999</v>
      </c>
      <c r="W228">
        <v>4</v>
      </c>
    </row>
    <row r="229" spans="1:23" x14ac:dyDescent="0.25">
      <c r="A229" s="1" t="s">
        <v>13870</v>
      </c>
      <c r="B229" s="1" t="s">
        <v>13871</v>
      </c>
      <c r="C229" s="1" t="s">
        <v>2280</v>
      </c>
      <c r="D229" s="1" t="s">
        <v>2280</v>
      </c>
      <c r="E229" s="1" t="s">
        <v>2281</v>
      </c>
      <c r="F229" s="1" t="s">
        <v>11261</v>
      </c>
      <c r="G229">
        <v>170502</v>
      </c>
      <c r="H229">
        <v>59</v>
      </c>
      <c r="I229" s="1" t="s">
        <v>11063</v>
      </c>
      <c r="J229" s="11">
        <v>44729.706458333334</v>
      </c>
      <c r="K229" s="1" t="s">
        <v>1001</v>
      </c>
      <c r="L229" s="1">
        <v>0.71799999999999997</v>
      </c>
      <c r="M229" s="1">
        <v>0.45800000000000002</v>
      </c>
      <c r="N229">
        <v>2</v>
      </c>
      <c r="O229" s="1">
        <v>-7.8449999999999998</v>
      </c>
      <c r="P229">
        <v>0</v>
      </c>
      <c r="Q229" s="1">
        <v>0.51900000000000002</v>
      </c>
      <c r="R229" s="1">
        <v>0.222</v>
      </c>
      <c r="S229" s="1">
        <v>0</v>
      </c>
      <c r="T229" s="1">
        <v>0.123</v>
      </c>
      <c r="U229" s="1">
        <v>0.28199999999999997</v>
      </c>
      <c r="V229" s="1">
        <v>90.025999999999996</v>
      </c>
      <c r="W229">
        <v>4</v>
      </c>
    </row>
    <row r="230" spans="1:23" x14ac:dyDescent="0.25">
      <c r="A230" s="1" t="s">
        <v>13872</v>
      </c>
      <c r="B230" s="1" t="s">
        <v>13873</v>
      </c>
      <c r="C230" s="1" t="s">
        <v>2282</v>
      </c>
      <c r="D230" s="1" t="s">
        <v>2282</v>
      </c>
      <c r="E230" s="1" t="s">
        <v>2283</v>
      </c>
      <c r="F230" s="1" t="s">
        <v>13874</v>
      </c>
      <c r="G230">
        <v>250634</v>
      </c>
      <c r="H230">
        <v>60</v>
      </c>
      <c r="I230" s="1" t="s">
        <v>11063</v>
      </c>
      <c r="J230" s="11">
        <v>44729.706458333334</v>
      </c>
      <c r="K230" s="1" t="s">
        <v>1964</v>
      </c>
      <c r="L230" s="1">
        <v>0.59699999999999998</v>
      </c>
      <c r="M230" s="1">
        <v>0.92600000000000005</v>
      </c>
      <c r="N230">
        <v>6</v>
      </c>
      <c r="O230" s="1">
        <v>-3.746</v>
      </c>
      <c r="P230">
        <v>0</v>
      </c>
      <c r="Q230" s="1">
        <v>0.55300000000000005</v>
      </c>
      <c r="R230" s="1">
        <v>0.58299999999999996</v>
      </c>
      <c r="S230" s="1">
        <v>0.60799999999999998</v>
      </c>
      <c r="T230" s="1">
        <v>0.125</v>
      </c>
      <c r="U230" s="1">
        <v>0.36399999999999999</v>
      </c>
      <c r="V230" s="1">
        <v>140.04499999999999</v>
      </c>
      <c r="W230">
        <v>4</v>
      </c>
    </row>
    <row r="231" spans="1:23" x14ac:dyDescent="0.25">
      <c r="A231" s="1" t="s">
        <v>13875</v>
      </c>
      <c r="B231" s="1" t="s">
        <v>11271</v>
      </c>
      <c r="C231" s="1" t="s">
        <v>466</v>
      </c>
      <c r="D231" s="1" t="s">
        <v>2288</v>
      </c>
      <c r="E231" s="1" t="s">
        <v>73</v>
      </c>
      <c r="F231" s="1" t="s">
        <v>11272</v>
      </c>
      <c r="G231">
        <v>322298</v>
      </c>
      <c r="H231">
        <v>54</v>
      </c>
      <c r="I231" s="1" t="s">
        <v>11063</v>
      </c>
      <c r="J231" s="11">
        <v>44729.706458333334</v>
      </c>
      <c r="K231" s="1" t="s">
        <v>74</v>
      </c>
      <c r="L231" s="1">
        <v>0.46100000000000002</v>
      </c>
      <c r="M231" s="1">
        <v>0.64400000000000002</v>
      </c>
      <c r="N231">
        <v>9</v>
      </c>
      <c r="O231" s="1">
        <v>-6.12</v>
      </c>
      <c r="P231">
        <v>1</v>
      </c>
      <c r="Q231" s="1">
        <v>0.48199999999999998</v>
      </c>
      <c r="R231" s="1">
        <v>0.13800000000000001</v>
      </c>
      <c r="S231" s="1">
        <v>0.54</v>
      </c>
      <c r="T231" s="1">
        <v>0.14199999999999999</v>
      </c>
      <c r="U231" s="1">
        <v>0.372</v>
      </c>
      <c r="V231" s="1">
        <v>122.012</v>
      </c>
      <c r="W231">
        <v>4</v>
      </c>
    </row>
    <row r="232" spans="1:23" x14ac:dyDescent="0.25">
      <c r="A232" s="1" t="s">
        <v>13876</v>
      </c>
      <c r="B232" s="1" t="s">
        <v>11271</v>
      </c>
      <c r="C232" s="1" t="s">
        <v>2284</v>
      </c>
      <c r="D232" s="1" t="s">
        <v>2288</v>
      </c>
      <c r="E232" s="1" t="s">
        <v>73</v>
      </c>
      <c r="F232" s="1" t="s">
        <v>11272</v>
      </c>
      <c r="G232">
        <v>207518</v>
      </c>
      <c r="H232">
        <v>52</v>
      </c>
      <c r="I232" s="1" t="s">
        <v>11063</v>
      </c>
      <c r="J232" s="11">
        <v>44729.706458333334</v>
      </c>
      <c r="K232" s="1" t="s">
        <v>74</v>
      </c>
      <c r="L232" s="1">
        <v>0.42299999999999999</v>
      </c>
      <c r="M232" s="1">
        <v>0.30099999999999999</v>
      </c>
      <c r="N232">
        <v>9</v>
      </c>
      <c r="O232" s="1">
        <v>-11.553000000000001</v>
      </c>
      <c r="P232">
        <v>0</v>
      </c>
      <c r="Q232" s="1">
        <v>0.30099999999999999</v>
      </c>
      <c r="R232" s="1">
        <v>0.51</v>
      </c>
      <c r="S232" s="1">
        <v>0.19900000000000001</v>
      </c>
      <c r="T232" s="1">
        <v>0.27200000000000002</v>
      </c>
      <c r="U232" s="1">
        <v>0.108</v>
      </c>
      <c r="V232" s="1">
        <v>129.85900000000001</v>
      </c>
      <c r="W232">
        <v>4</v>
      </c>
    </row>
    <row r="233" spans="1:23" x14ac:dyDescent="0.25">
      <c r="A233" s="1" t="s">
        <v>13877</v>
      </c>
      <c r="B233" s="1" t="s">
        <v>11271</v>
      </c>
      <c r="C233" s="1" t="s">
        <v>2285</v>
      </c>
      <c r="D233" s="1" t="s">
        <v>2288</v>
      </c>
      <c r="E233" s="1" t="s">
        <v>73</v>
      </c>
      <c r="F233" s="1" t="s">
        <v>11272</v>
      </c>
      <c r="G233">
        <v>263063</v>
      </c>
      <c r="H233">
        <v>52</v>
      </c>
      <c r="I233" s="1" t="s">
        <v>11063</v>
      </c>
      <c r="J233" s="11">
        <v>44729.706458333334</v>
      </c>
      <c r="K233" s="1" t="s">
        <v>74</v>
      </c>
      <c r="L233" s="1">
        <v>0.66100000000000003</v>
      </c>
      <c r="M233" s="1">
        <v>0.55200000000000005</v>
      </c>
      <c r="N233">
        <v>2</v>
      </c>
      <c r="O233" s="1">
        <v>-8.1180000000000003</v>
      </c>
      <c r="P233">
        <v>1</v>
      </c>
      <c r="Q233" s="1">
        <v>0.46500000000000002</v>
      </c>
      <c r="R233" s="1">
        <v>0.46400000000000002</v>
      </c>
      <c r="S233" s="1">
        <v>0.76</v>
      </c>
      <c r="T233" s="1">
        <v>0.11700000000000001</v>
      </c>
      <c r="U233" s="1">
        <v>0.183</v>
      </c>
      <c r="V233" s="1">
        <v>125.023</v>
      </c>
      <c r="W233">
        <v>4</v>
      </c>
    </row>
    <row r="234" spans="1:23" x14ac:dyDescent="0.25">
      <c r="A234" s="1" t="s">
        <v>13878</v>
      </c>
      <c r="B234" s="1" t="s">
        <v>11271</v>
      </c>
      <c r="C234" s="1" t="s">
        <v>2286</v>
      </c>
      <c r="D234" s="1" t="s">
        <v>2288</v>
      </c>
      <c r="E234" s="1" t="s">
        <v>73</v>
      </c>
      <c r="F234" s="1" t="s">
        <v>11272</v>
      </c>
      <c r="G234">
        <v>184611</v>
      </c>
      <c r="H234">
        <v>58</v>
      </c>
      <c r="I234" s="1" t="s">
        <v>11063</v>
      </c>
      <c r="J234" s="11">
        <v>44729.706458333334</v>
      </c>
      <c r="K234" s="1" t="s">
        <v>74</v>
      </c>
      <c r="L234" s="1">
        <v>0.73699999999999999</v>
      </c>
      <c r="M234" s="1">
        <v>0.70699999999999996</v>
      </c>
      <c r="N234">
        <v>0</v>
      </c>
      <c r="O234" s="1">
        <v>-6.9790000000000001</v>
      </c>
      <c r="P234">
        <v>1</v>
      </c>
      <c r="Q234" s="1">
        <v>0.36899999999999999</v>
      </c>
      <c r="R234" s="1">
        <v>0.27200000000000002</v>
      </c>
      <c r="S234" s="1">
        <v>0.44700000000000001</v>
      </c>
      <c r="T234" s="1">
        <v>0.28299999999999997</v>
      </c>
      <c r="U234" s="1">
        <v>0.60799999999999998</v>
      </c>
      <c r="V234" s="1">
        <v>118.979</v>
      </c>
      <c r="W234">
        <v>4</v>
      </c>
    </row>
    <row r="235" spans="1:23" x14ac:dyDescent="0.25">
      <c r="A235" s="1" t="s">
        <v>11270</v>
      </c>
      <c r="B235" s="1" t="s">
        <v>11271</v>
      </c>
      <c r="C235" s="1" t="s">
        <v>72</v>
      </c>
      <c r="D235" s="1" t="s">
        <v>2288</v>
      </c>
      <c r="E235" s="1" t="s">
        <v>73</v>
      </c>
      <c r="F235" s="1" t="s">
        <v>11272</v>
      </c>
      <c r="G235">
        <v>224876</v>
      </c>
      <c r="H235">
        <v>55</v>
      </c>
      <c r="I235" s="1" t="s">
        <v>11063</v>
      </c>
      <c r="J235" s="11">
        <v>44729.706458333334</v>
      </c>
      <c r="K235" s="1" t="s">
        <v>74</v>
      </c>
      <c r="L235" s="1">
        <v>0.71899999999999997</v>
      </c>
      <c r="M235" s="1">
        <v>0.38100000000000001</v>
      </c>
      <c r="N235">
        <v>1</v>
      </c>
      <c r="O235" s="1">
        <v>-9.1300000000000008</v>
      </c>
      <c r="P235">
        <v>1</v>
      </c>
      <c r="Q235" s="1">
        <v>0.63</v>
      </c>
      <c r="R235" s="1">
        <v>0.313</v>
      </c>
      <c r="S235" s="1">
        <v>0.873</v>
      </c>
      <c r="T235" s="1">
        <v>0.10100000000000001</v>
      </c>
      <c r="U235" s="1">
        <v>0.36399999999999999</v>
      </c>
      <c r="V235" s="1">
        <v>111.06399999999999</v>
      </c>
      <c r="W235">
        <v>3</v>
      </c>
    </row>
    <row r="236" spans="1:23" x14ac:dyDescent="0.25">
      <c r="A236" s="1" t="s">
        <v>11273</v>
      </c>
      <c r="B236" s="1" t="s">
        <v>11271</v>
      </c>
      <c r="C236" s="1" t="s">
        <v>75</v>
      </c>
      <c r="D236" s="1" t="s">
        <v>2288</v>
      </c>
      <c r="E236" s="1" t="s">
        <v>73</v>
      </c>
      <c r="F236" s="1" t="s">
        <v>11272</v>
      </c>
      <c r="G236">
        <v>275828</v>
      </c>
      <c r="H236">
        <v>57</v>
      </c>
      <c r="I236" s="1" t="s">
        <v>11063</v>
      </c>
      <c r="J236" s="11">
        <v>44729.706458333334</v>
      </c>
      <c r="K236" s="1" t="s">
        <v>74</v>
      </c>
      <c r="L236" s="1">
        <v>0.45</v>
      </c>
      <c r="M236" s="1">
        <v>0.81699999999999995</v>
      </c>
      <c r="N236">
        <v>5</v>
      </c>
      <c r="O236" s="1">
        <v>-6.4880000000000004</v>
      </c>
      <c r="P236">
        <v>0</v>
      </c>
      <c r="Q236" s="1">
        <v>0.21199999999999999</v>
      </c>
      <c r="R236" s="1">
        <v>0.49299999999999999</v>
      </c>
      <c r="S236" s="1">
        <v>0.432</v>
      </c>
      <c r="T236" s="1">
        <v>0.16800000000000001</v>
      </c>
      <c r="U236" s="1">
        <v>0.95799999999999996</v>
      </c>
      <c r="V236" s="1">
        <v>123.934</v>
      </c>
      <c r="W236">
        <v>4</v>
      </c>
    </row>
    <row r="237" spans="1:23" x14ac:dyDescent="0.25">
      <c r="A237" s="1" t="s">
        <v>11274</v>
      </c>
      <c r="B237" s="1" t="s">
        <v>11275</v>
      </c>
      <c r="C237" s="1" t="s">
        <v>2287</v>
      </c>
      <c r="D237" s="1" t="s">
        <v>2288</v>
      </c>
      <c r="E237" s="1" t="s">
        <v>76</v>
      </c>
      <c r="F237" s="1" t="s">
        <v>11272</v>
      </c>
      <c r="G237">
        <v>186805</v>
      </c>
      <c r="H237">
        <v>69</v>
      </c>
      <c r="I237" s="1" t="s">
        <v>11063</v>
      </c>
      <c r="J237" s="11">
        <v>44729.706458333334</v>
      </c>
      <c r="K237" s="1" t="s">
        <v>77</v>
      </c>
      <c r="L237" s="1">
        <v>0.58399999999999996</v>
      </c>
      <c r="M237" s="1">
        <v>0.71799999999999997</v>
      </c>
      <c r="N237">
        <v>11</v>
      </c>
      <c r="O237" s="1">
        <v>-7.8239999999999998</v>
      </c>
      <c r="P237">
        <v>0</v>
      </c>
      <c r="Q237" s="1">
        <v>0.126</v>
      </c>
      <c r="R237" s="1">
        <v>0.20499999999999999</v>
      </c>
      <c r="S237" s="1">
        <v>0.29899999999999999</v>
      </c>
      <c r="T237" s="1">
        <v>0.90600000000000003</v>
      </c>
      <c r="U237" s="1">
        <v>0.155</v>
      </c>
      <c r="V237" s="1">
        <v>99.840999999999994</v>
      </c>
      <c r="W237">
        <v>4</v>
      </c>
    </row>
    <row r="238" spans="1:23" x14ac:dyDescent="0.25">
      <c r="A238" s="1" t="s">
        <v>13879</v>
      </c>
      <c r="B238" s="1" t="s">
        <v>11271</v>
      </c>
      <c r="C238" s="1" t="s">
        <v>2288</v>
      </c>
      <c r="D238" s="1" t="s">
        <v>2288</v>
      </c>
      <c r="E238" s="1" t="s">
        <v>73</v>
      </c>
      <c r="F238" s="1" t="s">
        <v>11272</v>
      </c>
      <c r="G238">
        <v>215708</v>
      </c>
      <c r="H238">
        <v>53</v>
      </c>
      <c r="I238" s="1" t="s">
        <v>11063</v>
      </c>
      <c r="J238" s="11">
        <v>44729.706458333334</v>
      </c>
      <c r="K238" s="1" t="s">
        <v>74</v>
      </c>
      <c r="L238" s="1">
        <v>0.27500000000000002</v>
      </c>
      <c r="M238" s="1">
        <v>0.44400000000000001</v>
      </c>
      <c r="N238">
        <v>2</v>
      </c>
      <c r="O238" s="1">
        <v>-13.202999999999999</v>
      </c>
      <c r="P238">
        <v>1</v>
      </c>
      <c r="Q238" s="1">
        <v>0.40899999999999997</v>
      </c>
      <c r="R238" s="1">
        <v>0.33800000000000002</v>
      </c>
      <c r="S238" s="1">
        <v>0.89700000000000002</v>
      </c>
      <c r="T238" s="1">
        <v>0.70699999999999996</v>
      </c>
      <c r="U238" s="1">
        <v>0.97199999999999998</v>
      </c>
      <c r="V238" s="1">
        <v>155.03899999999999</v>
      </c>
      <c r="W238">
        <v>4</v>
      </c>
    </row>
    <row r="239" spans="1:23" x14ac:dyDescent="0.25">
      <c r="A239" s="1" t="s">
        <v>11276</v>
      </c>
      <c r="B239" s="1" t="s">
        <v>11277</v>
      </c>
      <c r="C239" s="1" t="s">
        <v>2289</v>
      </c>
      <c r="D239" s="1" t="s">
        <v>2288</v>
      </c>
      <c r="E239" s="1" t="s">
        <v>78</v>
      </c>
      <c r="F239" s="1" t="s">
        <v>11272</v>
      </c>
      <c r="G239">
        <v>264966</v>
      </c>
      <c r="H239">
        <v>59</v>
      </c>
      <c r="I239" s="1" t="s">
        <v>11063</v>
      </c>
      <c r="J239" s="11">
        <v>44729.706458333334</v>
      </c>
      <c r="K239" s="1" t="s">
        <v>79</v>
      </c>
      <c r="L239" s="1">
        <v>0.56399999999999995</v>
      </c>
      <c r="M239" s="1">
        <v>0.70099999999999996</v>
      </c>
      <c r="N239">
        <v>7</v>
      </c>
      <c r="O239" s="1">
        <v>-7.3780000000000001</v>
      </c>
      <c r="P239">
        <v>1</v>
      </c>
      <c r="Q239" s="1">
        <v>0.252</v>
      </c>
      <c r="R239" s="1">
        <v>0.11899999999999999</v>
      </c>
      <c r="S239" s="1">
        <v>0.33400000000000002</v>
      </c>
      <c r="T239" s="1">
        <v>0.38500000000000001</v>
      </c>
      <c r="U239" s="1">
        <v>0.21199999999999999</v>
      </c>
      <c r="V239" s="1">
        <v>136.499</v>
      </c>
      <c r="W239">
        <v>4</v>
      </c>
    </row>
    <row r="240" spans="1:23" x14ac:dyDescent="0.25">
      <c r="A240" s="1" t="s">
        <v>13880</v>
      </c>
      <c r="B240" s="1" t="s">
        <v>13881</v>
      </c>
      <c r="C240" s="1" t="s">
        <v>2290</v>
      </c>
      <c r="D240" s="1" t="s">
        <v>2288</v>
      </c>
      <c r="E240" s="1" t="s">
        <v>2291</v>
      </c>
      <c r="F240" s="1" t="s">
        <v>11272</v>
      </c>
      <c r="G240">
        <v>207360</v>
      </c>
      <c r="H240">
        <v>66</v>
      </c>
      <c r="I240" s="1" t="s">
        <v>11063</v>
      </c>
      <c r="J240" s="11">
        <v>44729.706458333334</v>
      </c>
      <c r="K240" s="1" t="s">
        <v>2292</v>
      </c>
      <c r="L240" s="1">
        <v>0.53100000000000003</v>
      </c>
      <c r="M240" s="1">
        <v>0.61199999999999999</v>
      </c>
      <c r="N240">
        <v>1</v>
      </c>
      <c r="O240" s="1">
        <v>-7.9660000000000002</v>
      </c>
      <c r="P240">
        <v>1</v>
      </c>
      <c r="Q240" s="1">
        <v>0.30599999999999999</v>
      </c>
      <c r="R240" s="1">
        <v>0.11899999999999999</v>
      </c>
      <c r="S240" s="1">
        <v>0.98399999999999999</v>
      </c>
      <c r="T240" s="1">
        <v>0.311</v>
      </c>
      <c r="U240" s="1">
        <v>0.22600000000000001</v>
      </c>
      <c r="V240" s="1">
        <v>105.997</v>
      </c>
      <c r="W240">
        <v>4</v>
      </c>
    </row>
    <row r="241" spans="1:23" x14ac:dyDescent="0.25">
      <c r="A241" s="1" t="s">
        <v>13882</v>
      </c>
      <c r="B241" s="1" t="s">
        <v>11271</v>
      </c>
      <c r="C241" s="1" t="s">
        <v>2293</v>
      </c>
      <c r="D241" s="1" t="s">
        <v>2288</v>
      </c>
      <c r="E241" s="1" t="s">
        <v>73</v>
      </c>
      <c r="F241" s="1" t="s">
        <v>11272</v>
      </c>
      <c r="G241">
        <v>214047</v>
      </c>
      <c r="H241">
        <v>57</v>
      </c>
      <c r="I241" s="1" t="s">
        <v>11063</v>
      </c>
      <c r="J241" s="11">
        <v>44729.706458333334</v>
      </c>
      <c r="K241" s="1" t="s">
        <v>74</v>
      </c>
      <c r="L241" s="1">
        <v>0.17599999999999999</v>
      </c>
      <c r="M241" s="1">
        <v>0.61399999999999999</v>
      </c>
      <c r="N241">
        <v>11</v>
      </c>
      <c r="O241" s="1">
        <v>-8.3260000000000005</v>
      </c>
      <c r="P241">
        <v>0</v>
      </c>
      <c r="Q241" s="1">
        <v>0.49199999999999999</v>
      </c>
      <c r="R241" s="1">
        <v>0.13300000000000001</v>
      </c>
      <c r="S241" s="1">
        <v>0.96099999999999997</v>
      </c>
      <c r="T241" s="1">
        <v>0.107</v>
      </c>
      <c r="U241" s="1">
        <v>0.379</v>
      </c>
      <c r="V241" s="1">
        <v>172.00700000000001</v>
      </c>
      <c r="W241">
        <v>4</v>
      </c>
    </row>
    <row r="242" spans="1:23" x14ac:dyDescent="0.25">
      <c r="A242" s="1" t="s">
        <v>11278</v>
      </c>
      <c r="B242" s="1" t="s">
        <v>11279</v>
      </c>
      <c r="C242" s="1" t="s">
        <v>2294</v>
      </c>
      <c r="D242" s="1" t="s">
        <v>2288</v>
      </c>
      <c r="E242" s="1" t="s">
        <v>80</v>
      </c>
      <c r="F242" s="1" t="s">
        <v>11272</v>
      </c>
      <c r="G242">
        <v>281210</v>
      </c>
      <c r="H242">
        <v>64</v>
      </c>
      <c r="I242" s="1" t="s">
        <v>11063</v>
      </c>
      <c r="J242" s="11">
        <v>44729.706458333334</v>
      </c>
      <c r="K242" s="1" t="s">
        <v>81</v>
      </c>
      <c r="L242" s="1">
        <v>0.77700000000000002</v>
      </c>
      <c r="M242" s="1">
        <v>0.69599999999999995</v>
      </c>
      <c r="N242">
        <v>10</v>
      </c>
      <c r="O242" s="1">
        <v>-7.8090000000000002</v>
      </c>
      <c r="P242">
        <v>0</v>
      </c>
      <c r="Q242" s="1">
        <v>0.16600000000000001</v>
      </c>
      <c r="R242" s="1">
        <v>0.20899999999999999</v>
      </c>
      <c r="S242" s="1">
        <v>0.59799999999999998</v>
      </c>
      <c r="T242" s="1">
        <v>0.34100000000000003</v>
      </c>
      <c r="U242" s="1">
        <v>0.52900000000000003</v>
      </c>
      <c r="V242" s="1">
        <v>129.02600000000001</v>
      </c>
      <c r="W242">
        <v>4</v>
      </c>
    </row>
    <row r="243" spans="1:23" x14ac:dyDescent="0.25">
      <c r="A243" s="1" t="s">
        <v>12550</v>
      </c>
      <c r="B243" s="1" t="s">
        <v>12551</v>
      </c>
      <c r="C243" s="1" t="s">
        <v>1503</v>
      </c>
      <c r="D243" s="1" t="s">
        <v>2288</v>
      </c>
      <c r="E243" s="1" t="s">
        <v>1504</v>
      </c>
      <c r="F243" s="1" t="s">
        <v>11272</v>
      </c>
      <c r="G243">
        <v>214071</v>
      </c>
      <c r="H243">
        <v>81</v>
      </c>
      <c r="I243" s="1" t="s">
        <v>11063</v>
      </c>
      <c r="J243" s="11">
        <v>44729.706458333334</v>
      </c>
      <c r="K243" s="1" t="s">
        <v>1505</v>
      </c>
      <c r="L243" s="1">
        <v>0.66500000000000004</v>
      </c>
      <c r="M243" s="1">
        <v>0.73799999999999999</v>
      </c>
      <c r="N243">
        <v>0</v>
      </c>
      <c r="O243" s="1">
        <v>-5.931</v>
      </c>
      <c r="P243">
        <v>0</v>
      </c>
      <c r="Q243" s="1">
        <v>0.379</v>
      </c>
      <c r="R243" s="1">
        <v>0.124</v>
      </c>
      <c r="S243" s="1">
        <v>0.59799999999999998</v>
      </c>
      <c r="T243" s="1">
        <v>0.92300000000000004</v>
      </c>
      <c r="U243" s="1">
        <v>0.38900000000000001</v>
      </c>
      <c r="V243" s="1">
        <v>125.03700000000001</v>
      </c>
      <c r="W243">
        <v>4</v>
      </c>
    </row>
    <row r="244" spans="1:23" x14ac:dyDescent="0.25">
      <c r="A244" s="1" t="s">
        <v>13883</v>
      </c>
      <c r="B244" s="1" t="s">
        <v>13884</v>
      </c>
      <c r="C244" s="1" t="s">
        <v>2295</v>
      </c>
      <c r="D244" s="1" t="s">
        <v>13885</v>
      </c>
      <c r="E244" s="1" t="s">
        <v>2296</v>
      </c>
      <c r="F244" s="1" t="s">
        <v>13886</v>
      </c>
      <c r="G244">
        <v>177696</v>
      </c>
      <c r="H244">
        <v>42</v>
      </c>
      <c r="I244" s="1" t="s">
        <v>11063</v>
      </c>
      <c r="J244" s="11">
        <v>44729.706458333334</v>
      </c>
      <c r="K244" s="1" t="s">
        <v>2297</v>
      </c>
      <c r="L244" s="1">
        <v>0.71</v>
      </c>
      <c r="M244" s="1">
        <v>0.872</v>
      </c>
      <c r="N244">
        <v>0</v>
      </c>
      <c r="O244" s="1">
        <v>-4.87</v>
      </c>
      <c r="P244">
        <v>0</v>
      </c>
      <c r="Q244" s="1">
        <v>0.58799999999999997</v>
      </c>
      <c r="R244" s="1">
        <v>0.28599999999999998</v>
      </c>
      <c r="S244" s="1">
        <v>0.314</v>
      </c>
      <c r="T244" s="1">
        <v>0.69699999999999995</v>
      </c>
      <c r="U244" s="1">
        <v>0.33600000000000002</v>
      </c>
      <c r="V244" s="1">
        <v>125.01300000000001</v>
      </c>
      <c r="W244">
        <v>4</v>
      </c>
    </row>
    <row r="245" spans="1:23" x14ac:dyDescent="0.25">
      <c r="A245" s="1" t="s">
        <v>13887</v>
      </c>
      <c r="B245" s="1" t="s">
        <v>13888</v>
      </c>
      <c r="C245" s="1" t="s">
        <v>2298</v>
      </c>
      <c r="D245" s="1" t="s">
        <v>13889</v>
      </c>
      <c r="E245" s="1" t="s">
        <v>2299</v>
      </c>
      <c r="F245" s="1" t="s">
        <v>13890</v>
      </c>
      <c r="G245">
        <v>174155</v>
      </c>
      <c r="H245">
        <v>38</v>
      </c>
      <c r="I245" s="1" t="s">
        <v>11063</v>
      </c>
      <c r="J245" s="11">
        <v>44729.706458333334</v>
      </c>
      <c r="K245" s="1" t="s">
        <v>2300</v>
      </c>
      <c r="L245" s="1">
        <v>0.53300000000000003</v>
      </c>
      <c r="M245" s="1">
        <v>0.67500000000000004</v>
      </c>
      <c r="N245">
        <v>5</v>
      </c>
      <c r="O245" s="1">
        <v>-4.9539999999999997</v>
      </c>
      <c r="P245">
        <v>1</v>
      </c>
      <c r="Q245" s="1">
        <v>0.68700000000000006</v>
      </c>
      <c r="R245" s="1">
        <v>0.24</v>
      </c>
      <c r="S245" s="1">
        <v>0</v>
      </c>
      <c r="T245" s="1">
        <v>0.11600000000000001</v>
      </c>
      <c r="U245" s="1">
        <v>0.374</v>
      </c>
      <c r="V245" s="1">
        <v>154.096</v>
      </c>
      <c r="W245">
        <v>4</v>
      </c>
    </row>
    <row r="246" spans="1:23" x14ac:dyDescent="0.25">
      <c r="A246" s="1" t="s">
        <v>13891</v>
      </c>
      <c r="B246" s="1" t="s">
        <v>13503</v>
      </c>
      <c r="C246" s="1" t="s">
        <v>2301</v>
      </c>
      <c r="D246" s="1" t="s">
        <v>2301</v>
      </c>
      <c r="E246" s="1" t="s">
        <v>1972</v>
      </c>
      <c r="F246" s="1" t="s">
        <v>13886</v>
      </c>
      <c r="G246">
        <v>176723</v>
      </c>
      <c r="H246">
        <v>44</v>
      </c>
      <c r="I246" s="1" t="s">
        <v>11063</v>
      </c>
      <c r="J246" s="11">
        <v>44729.706458333334</v>
      </c>
      <c r="K246" s="1" t="s">
        <v>1973</v>
      </c>
      <c r="L246" s="1">
        <v>0.56299999999999994</v>
      </c>
      <c r="M246" s="1">
        <v>0.65</v>
      </c>
      <c r="N246">
        <v>5</v>
      </c>
      <c r="O246" s="1">
        <v>-7.258</v>
      </c>
      <c r="P246">
        <v>0</v>
      </c>
      <c r="Q246" s="1">
        <v>0.313</v>
      </c>
      <c r="R246" s="1">
        <v>0.106</v>
      </c>
      <c r="S246" s="1">
        <v>0.157</v>
      </c>
      <c r="T246" s="1">
        <v>0.33300000000000002</v>
      </c>
      <c r="U246" s="1">
        <v>0.25</v>
      </c>
      <c r="V246" s="1">
        <v>90.994</v>
      </c>
      <c r="W246">
        <v>4</v>
      </c>
    </row>
    <row r="247" spans="1:23" x14ac:dyDescent="0.25">
      <c r="A247" s="1" t="s">
        <v>13892</v>
      </c>
      <c r="B247" s="1" t="s">
        <v>13893</v>
      </c>
      <c r="C247" s="1" t="s">
        <v>2302</v>
      </c>
      <c r="D247" s="1" t="s">
        <v>2302</v>
      </c>
      <c r="E247" s="1" t="s">
        <v>2303</v>
      </c>
      <c r="F247" s="1" t="s">
        <v>13886</v>
      </c>
      <c r="G247">
        <v>145807</v>
      </c>
      <c r="H247">
        <v>68</v>
      </c>
      <c r="I247" s="1" t="s">
        <v>11063</v>
      </c>
      <c r="J247" s="11">
        <v>44729.706458333334</v>
      </c>
      <c r="K247" s="1" t="s">
        <v>2304</v>
      </c>
      <c r="L247" s="1">
        <v>0.70099999999999996</v>
      </c>
      <c r="M247" s="1">
        <v>0.90100000000000002</v>
      </c>
      <c r="N247">
        <v>5</v>
      </c>
      <c r="O247" s="1">
        <v>-4.34</v>
      </c>
      <c r="P247">
        <v>1</v>
      </c>
      <c r="Q247" s="1">
        <v>0.46</v>
      </c>
      <c r="R247" s="1">
        <v>0.18</v>
      </c>
      <c r="S247" s="1">
        <v>0.108</v>
      </c>
      <c r="T247" s="1">
        <v>0.66500000000000004</v>
      </c>
      <c r="U247" s="1">
        <v>0.90800000000000003</v>
      </c>
      <c r="V247" s="1">
        <v>121.02200000000001</v>
      </c>
      <c r="W247">
        <v>4</v>
      </c>
    </row>
    <row r="248" spans="1:23" x14ac:dyDescent="0.25">
      <c r="A248" s="1" t="s">
        <v>13894</v>
      </c>
      <c r="B248" s="1" t="s">
        <v>13895</v>
      </c>
      <c r="C248" s="1" t="s">
        <v>2305</v>
      </c>
      <c r="D248" s="1" t="s">
        <v>13896</v>
      </c>
      <c r="E248" s="1" t="s">
        <v>2306</v>
      </c>
      <c r="F248" s="1" t="s">
        <v>13886</v>
      </c>
      <c r="G248">
        <v>303882</v>
      </c>
      <c r="H248">
        <v>53</v>
      </c>
      <c r="I248" s="1" t="s">
        <v>11063</v>
      </c>
      <c r="J248" s="11">
        <v>44729.706458333334</v>
      </c>
      <c r="K248" s="1" t="s">
        <v>2307</v>
      </c>
      <c r="L248" s="1">
        <v>0.47399999999999998</v>
      </c>
      <c r="M248" s="1">
        <v>0.80300000000000005</v>
      </c>
      <c r="N248">
        <v>8</v>
      </c>
      <c r="O248" s="1">
        <v>-3.1829999999999998</v>
      </c>
      <c r="P248">
        <v>0</v>
      </c>
      <c r="Q248" s="1">
        <v>0.80800000000000005</v>
      </c>
      <c r="R248" s="1">
        <v>0.91800000000000004</v>
      </c>
      <c r="S248" s="1">
        <v>0</v>
      </c>
      <c r="T248" s="1">
        <v>0.24399999999999999</v>
      </c>
      <c r="U248" s="1">
        <v>0.24</v>
      </c>
      <c r="V248" s="1">
        <v>170.00399999999999</v>
      </c>
      <c r="W248">
        <v>3</v>
      </c>
    </row>
    <row r="249" spans="1:23" x14ac:dyDescent="0.25">
      <c r="A249" s="1" t="s">
        <v>13897</v>
      </c>
      <c r="B249" s="1" t="s">
        <v>11184</v>
      </c>
      <c r="C249" s="1" t="s">
        <v>2308</v>
      </c>
      <c r="D249" s="1" t="s">
        <v>2308</v>
      </c>
      <c r="E249" s="1" t="s">
        <v>2057</v>
      </c>
      <c r="F249" s="1" t="s">
        <v>13890</v>
      </c>
      <c r="G249">
        <v>256500</v>
      </c>
      <c r="H249">
        <v>57</v>
      </c>
      <c r="I249" s="1" t="s">
        <v>11063</v>
      </c>
      <c r="J249" s="11">
        <v>44729.706458333334</v>
      </c>
      <c r="K249" s="1" t="s">
        <v>50</v>
      </c>
      <c r="L249" s="1">
        <v>0.69199999999999995</v>
      </c>
      <c r="M249" s="1">
        <v>0.69399999999999995</v>
      </c>
      <c r="N249">
        <v>9</v>
      </c>
      <c r="O249" s="1">
        <v>-6.5110000000000001</v>
      </c>
      <c r="P249">
        <v>0</v>
      </c>
      <c r="Q249" s="1">
        <v>0.10299999999999999</v>
      </c>
      <c r="R249" s="1">
        <v>0.28199999999999997</v>
      </c>
      <c r="S249" s="1">
        <v>0</v>
      </c>
      <c r="T249" s="1">
        <v>0.16800000000000001</v>
      </c>
      <c r="U249" s="1">
        <v>0.33700000000000002</v>
      </c>
      <c r="V249" s="1">
        <v>159.94</v>
      </c>
      <c r="W249">
        <v>4</v>
      </c>
    </row>
    <row r="250" spans="1:23" x14ac:dyDescent="0.25">
      <c r="A250" s="1" t="s">
        <v>13898</v>
      </c>
      <c r="B250" s="1" t="s">
        <v>13702</v>
      </c>
      <c r="C250" s="1" t="s">
        <v>2309</v>
      </c>
      <c r="D250" s="1" t="s">
        <v>2309</v>
      </c>
      <c r="E250" s="1" t="s">
        <v>2155</v>
      </c>
      <c r="F250" s="1" t="s">
        <v>13775</v>
      </c>
      <c r="G250">
        <v>171666</v>
      </c>
      <c r="H250">
        <v>43</v>
      </c>
      <c r="I250" s="1" t="s">
        <v>11063</v>
      </c>
      <c r="J250" s="11">
        <v>44729.706458333334</v>
      </c>
      <c r="K250" s="1" t="s">
        <v>332</v>
      </c>
      <c r="L250" s="1">
        <v>0.69899999999999995</v>
      </c>
      <c r="M250" s="1">
        <v>0.68600000000000005</v>
      </c>
      <c r="N250">
        <v>2</v>
      </c>
      <c r="O250" s="1">
        <v>-8.3970000000000002</v>
      </c>
      <c r="P250">
        <v>0</v>
      </c>
      <c r="Q250" s="1">
        <v>0.875</v>
      </c>
      <c r="R250" s="1">
        <v>0.64800000000000002</v>
      </c>
      <c r="S250" s="1">
        <v>0.21099999999999999</v>
      </c>
      <c r="T250" s="1">
        <v>0.125</v>
      </c>
      <c r="U250" s="1">
        <v>0.186</v>
      </c>
      <c r="V250" s="1">
        <v>108.047</v>
      </c>
      <c r="W250">
        <v>4</v>
      </c>
    </row>
    <row r="251" spans="1:23" x14ac:dyDescent="0.25">
      <c r="A251" s="1" t="s">
        <v>13899</v>
      </c>
      <c r="B251" s="1" t="s">
        <v>13900</v>
      </c>
      <c r="C251" s="1" t="s">
        <v>2310</v>
      </c>
      <c r="D251" s="1" t="s">
        <v>2310</v>
      </c>
      <c r="E251" s="1" t="s">
        <v>2311</v>
      </c>
      <c r="F251" s="1" t="s">
        <v>11285</v>
      </c>
      <c r="G251">
        <v>173750</v>
      </c>
      <c r="H251">
        <v>69</v>
      </c>
      <c r="I251" s="1" t="s">
        <v>11063</v>
      </c>
      <c r="J251" s="11">
        <v>44729.706458333334</v>
      </c>
      <c r="K251" s="1" t="s">
        <v>332</v>
      </c>
      <c r="L251" s="1">
        <v>0.80800000000000005</v>
      </c>
      <c r="M251" s="1">
        <v>0.53800000000000003</v>
      </c>
      <c r="N251">
        <v>0</v>
      </c>
      <c r="O251" s="1">
        <v>-10.211</v>
      </c>
      <c r="P251">
        <v>0</v>
      </c>
      <c r="Q251" s="1">
        <v>0.60799999999999998</v>
      </c>
      <c r="R251" s="1">
        <v>0.108</v>
      </c>
      <c r="S251" s="1">
        <v>0.74299999999999999</v>
      </c>
      <c r="T251" s="1">
        <v>0.55500000000000005</v>
      </c>
      <c r="U251" s="1">
        <v>0.41599999999999998</v>
      </c>
      <c r="V251" s="1">
        <v>108.026</v>
      </c>
      <c r="W251">
        <v>4</v>
      </c>
    </row>
    <row r="252" spans="1:23" x14ac:dyDescent="0.25">
      <c r="A252" s="1" t="s">
        <v>13901</v>
      </c>
      <c r="B252" s="1" t="s">
        <v>13902</v>
      </c>
      <c r="C252" s="1" t="s">
        <v>2312</v>
      </c>
      <c r="D252" s="1" t="s">
        <v>2312</v>
      </c>
      <c r="E252" s="1" t="s">
        <v>2313</v>
      </c>
      <c r="F252" s="1" t="s">
        <v>13903</v>
      </c>
      <c r="G252">
        <v>224360</v>
      </c>
      <c r="H252">
        <v>61</v>
      </c>
      <c r="I252" s="1" t="s">
        <v>11063</v>
      </c>
      <c r="J252" s="11">
        <v>44729.706458333334</v>
      </c>
      <c r="K252" s="1" t="s">
        <v>2314</v>
      </c>
      <c r="L252" s="1">
        <v>0.52400000000000002</v>
      </c>
      <c r="M252" s="1">
        <v>0.80600000000000005</v>
      </c>
      <c r="N252">
        <v>1</v>
      </c>
      <c r="O252" s="1">
        <v>-3.4470000000000001</v>
      </c>
      <c r="P252">
        <v>0</v>
      </c>
      <c r="Q252" s="1">
        <v>0.40600000000000003</v>
      </c>
      <c r="R252" s="1">
        <v>0.19700000000000001</v>
      </c>
      <c r="S252" s="1">
        <v>0</v>
      </c>
      <c r="T252" s="1">
        <v>0.10100000000000001</v>
      </c>
      <c r="U252" s="1">
        <v>0.45</v>
      </c>
      <c r="V252" s="1">
        <v>115.172</v>
      </c>
      <c r="W252">
        <v>4</v>
      </c>
    </row>
    <row r="253" spans="1:23" x14ac:dyDescent="0.25">
      <c r="A253" s="1" t="s">
        <v>13904</v>
      </c>
      <c r="B253" s="1" t="s">
        <v>13905</v>
      </c>
      <c r="C253" s="1" t="s">
        <v>2315</v>
      </c>
      <c r="D253" s="1" t="s">
        <v>13906</v>
      </c>
      <c r="E253" s="1" t="s">
        <v>2316</v>
      </c>
      <c r="F253" s="1" t="s">
        <v>13907</v>
      </c>
      <c r="G253">
        <v>217626</v>
      </c>
      <c r="H253">
        <v>61</v>
      </c>
      <c r="I253" s="1" t="s">
        <v>11063</v>
      </c>
      <c r="J253" s="11">
        <v>44729.706458333334</v>
      </c>
      <c r="K253" s="1" t="s">
        <v>2317</v>
      </c>
      <c r="L253" s="1">
        <v>0.59299999999999997</v>
      </c>
      <c r="M253" s="1">
        <v>0.95099999999999996</v>
      </c>
      <c r="N253">
        <v>6</v>
      </c>
      <c r="O253" s="1">
        <v>-1.335</v>
      </c>
      <c r="P253">
        <v>0</v>
      </c>
      <c r="Q253" s="1">
        <v>0.69699999999999995</v>
      </c>
      <c r="R253" s="1">
        <v>0.14199999999999999</v>
      </c>
      <c r="S253" s="1">
        <v>0.113</v>
      </c>
      <c r="T253" s="1">
        <v>0.96099999999999997</v>
      </c>
      <c r="U253" s="1">
        <v>0.64</v>
      </c>
      <c r="V253" s="1">
        <v>102.04</v>
      </c>
      <c r="W253">
        <v>4</v>
      </c>
    </row>
    <row r="254" spans="1:23" x14ac:dyDescent="0.25">
      <c r="A254" s="1" t="s">
        <v>13908</v>
      </c>
      <c r="B254" s="1" t="s">
        <v>13909</v>
      </c>
      <c r="C254" s="1" t="s">
        <v>2318</v>
      </c>
      <c r="D254" s="1" t="s">
        <v>13910</v>
      </c>
      <c r="E254" s="1" t="s">
        <v>2319</v>
      </c>
      <c r="F254" s="1" t="s">
        <v>13911</v>
      </c>
      <c r="G254">
        <v>269120</v>
      </c>
      <c r="H254">
        <v>61</v>
      </c>
      <c r="I254" s="1" t="s">
        <v>11063</v>
      </c>
      <c r="J254" s="11">
        <v>44729.706458333334</v>
      </c>
      <c r="K254" s="1" t="s">
        <v>2320</v>
      </c>
      <c r="L254" s="1">
        <v>0.45500000000000002</v>
      </c>
      <c r="M254" s="1">
        <v>0.91800000000000004</v>
      </c>
      <c r="N254">
        <v>1</v>
      </c>
      <c r="O254" s="1">
        <v>-4.5030000000000001</v>
      </c>
      <c r="P254">
        <v>1</v>
      </c>
      <c r="Q254" s="1">
        <v>0.14099999999999999</v>
      </c>
      <c r="R254" s="1">
        <v>0.73199999999999998</v>
      </c>
      <c r="S254" s="1">
        <v>0</v>
      </c>
      <c r="T254" s="1">
        <v>0.249</v>
      </c>
      <c r="U254" s="1">
        <v>0.498</v>
      </c>
      <c r="V254" s="1">
        <v>96.513000000000005</v>
      </c>
      <c r="W254">
        <v>4</v>
      </c>
    </row>
    <row r="255" spans="1:23" x14ac:dyDescent="0.25">
      <c r="A255" s="1" t="s">
        <v>13912</v>
      </c>
      <c r="B255" s="1" t="s">
        <v>13909</v>
      </c>
      <c r="C255" s="1" t="s">
        <v>2321</v>
      </c>
      <c r="D255" s="1" t="s">
        <v>2321</v>
      </c>
      <c r="E255" s="1" t="s">
        <v>2319</v>
      </c>
      <c r="F255" s="1" t="s">
        <v>13913</v>
      </c>
      <c r="G255">
        <v>254093</v>
      </c>
      <c r="H255">
        <v>52</v>
      </c>
      <c r="I255" s="1" t="s">
        <v>11063</v>
      </c>
      <c r="J255" s="11">
        <v>44729.706458333334</v>
      </c>
      <c r="K255" s="1" t="s">
        <v>2320</v>
      </c>
      <c r="L255" s="1">
        <v>0.626</v>
      </c>
      <c r="M255" s="1">
        <v>0.75800000000000001</v>
      </c>
      <c r="N255">
        <v>5</v>
      </c>
      <c r="O255" s="1">
        <v>-4.6429999999999998</v>
      </c>
      <c r="P255">
        <v>0</v>
      </c>
      <c r="Q255" s="1">
        <v>0.436</v>
      </c>
      <c r="R255" s="1">
        <v>0.152</v>
      </c>
      <c r="S255" s="1">
        <v>0</v>
      </c>
      <c r="T255" s="1">
        <v>0.14000000000000001</v>
      </c>
      <c r="U255" s="1">
        <v>0.82099999999999995</v>
      </c>
      <c r="V255" s="1">
        <v>130.047</v>
      </c>
      <c r="W255">
        <v>4</v>
      </c>
    </row>
    <row r="256" spans="1:23" x14ac:dyDescent="0.25">
      <c r="A256" s="1" t="s">
        <v>11280</v>
      </c>
      <c r="B256" s="1" t="s">
        <v>11281</v>
      </c>
      <c r="C256" s="1" t="s">
        <v>82</v>
      </c>
      <c r="D256" s="1" t="s">
        <v>82</v>
      </c>
      <c r="E256" s="1" t="s">
        <v>83</v>
      </c>
      <c r="F256" s="1" t="s">
        <v>11282</v>
      </c>
      <c r="G256">
        <v>157444</v>
      </c>
      <c r="H256">
        <v>84</v>
      </c>
      <c r="I256" s="1" t="s">
        <v>11063</v>
      </c>
      <c r="J256" s="11">
        <v>44729.706458333334</v>
      </c>
      <c r="K256" s="1" t="s">
        <v>84</v>
      </c>
      <c r="L256" s="1">
        <v>0.84799999999999998</v>
      </c>
      <c r="M256" s="1">
        <v>0.82099999999999995</v>
      </c>
      <c r="N256">
        <v>2</v>
      </c>
      <c r="O256" s="1">
        <v>-5.4080000000000004</v>
      </c>
      <c r="P256">
        <v>0</v>
      </c>
      <c r="Q256" s="1">
        <v>0.52700000000000002</v>
      </c>
      <c r="R256" s="1">
        <v>0.16900000000000001</v>
      </c>
      <c r="S256" s="1">
        <v>0.40300000000000002</v>
      </c>
      <c r="T256" s="1">
        <v>0.96199999999999997</v>
      </c>
      <c r="U256" s="1">
        <v>0.249</v>
      </c>
      <c r="V256" s="1">
        <v>125.051</v>
      </c>
      <c r="W256">
        <v>4</v>
      </c>
    </row>
    <row r="257" spans="1:23" x14ac:dyDescent="0.25">
      <c r="A257" s="1" t="s">
        <v>13914</v>
      </c>
      <c r="B257" s="1" t="s">
        <v>13915</v>
      </c>
      <c r="C257" s="1" t="s">
        <v>2322</v>
      </c>
      <c r="D257" s="1" t="s">
        <v>2322</v>
      </c>
      <c r="E257" s="1" t="s">
        <v>2323</v>
      </c>
      <c r="F257" s="1" t="s">
        <v>11295</v>
      </c>
      <c r="G257">
        <v>169108</v>
      </c>
      <c r="H257">
        <v>67</v>
      </c>
      <c r="I257" s="1" t="s">
        <v>11063</v>
      </c>
      <c r="J257" s="11">
        <v>44729.706458333334</v>
      </c>
      <c r="K257" s="1" t="s">
        <v>2324</v>
      </c>
      <c r="L257" s="1">
        <v>0.58899999999999997</v>
      </c>
      <c r="M257" s="1">
        <v>0.91200000000000003</v>
      </c>
      <c r="N257">
        <v>9</v>
      </c>
      <c r="O257" s="1">
        <v>-3.8780000000000001</v>
      </c>
      <c r="P257">
        <v>0</v>
      </c>
      <c r="Q257" s="1">
        <v>0.76600000000000001</v>
      </c>
      <c r="R257" s="1">
        <v>0.36599999999999999</v>
      </c>
      <c r="S257" s="1">
        <v>0</v>
      </c>
      <c r="T257" s="1">
        <v>0.752</v>
      </c>
      <c r="U257" s="1">
        <v>0.42599999999999999</v>
      </c>
      <c r="V257" s="1">
        <v>123.946</v>
      </c>
      <c r="W257">
        <v>4</v>
      </c>
    </row>
    <row r="258" spans="1:23" x14ac:dyDescent="0.25">
      <c r="A258" s="1" t="s">
        <v>11283</v>
      </c>
      <c r="B258" s="1" t="s">
        <v>11284</v>
      </c>
      <c r="C258" s="1" t="s">
        <v>85</v>
      </c>
      <c r="D258" s="1" t="s">
        <v>85</v>
      </c>
      <c r="E258" s="1" t="s">
        <v>86</v>
      </c>
      <c r="F258" s="1" t="s">
        <v>11285</v>
      </c>
      <c r="G258">
        <v>192000</v>
      </c>
      <c r="H258">
        <v>66</v>
      </c>
      <c r="I258" s="1" t="s">
        <v>11063</v>
      </c>
      <c r="J258" s="11">
        <v>44729.706458333334</v>
      </c>
      <c r="K258" s="1" t="s">
        <v>87</v>
      </c>
      <c r="L258" s="1">
        <v>0.69299999999999995</v>
      </c>
      <c r="M258" s="1">
        <v>0.72899999999999998</v>
      </c>
      <c r="N258">
        <v>8</v>
      </c>
      <c r="O258" s="1">
        <v>-5.3170000000000002</v>
      </c>
      <c r="P258">
        <v>0</v>
      </c>
      <c r="Q258" s="1">
        <v>0.47699999999999998</v>
      </c>
      <c r="R258" s="1">
        <v>0.159</v>
      </c>
      <c r="S258" s="1">
        <v>0.217</v>
      </c>
      <c r="T258" s="1">
        <v>0.14499999999999999</v>
      </c>
      <c r="U258" s="1">
        <v>0.40799999999999997</v>
      </c>
      <c r="V258" s="1">
        <v>125.035</v>
      </c>
      <c r="W258">
        <v>4</v>
      </c>
    </row>
    <row r="259" spans="1:23" x14ac:dyDescent="0.25">
      <c r="A259" s="1" t="s">
        <v>11286</v>
      </c>
      <c r="B259" s="1" t="s">
        <v>11287</v>
      </c>
      <c r="C259" s="1" t="s">
        <v>88</v>
      </c>
      <c r="D259" s="1" t="s">
        <v>11288</v>
      </c>
      <c r="E259" s="1" t="s">
        <v>89</v>
      </c>
      <c r="F259" s="1" t="s">
        <v>11225</v>
      </c>
      <c r="G259">
        <v>230945</v>
      </c>
      <c r="H259">
        <v>79</v>
      </c>
      <c r="I259" s="1" t="s">
        <v>11063</v>
      </c>
      <c r="J259" s="11">
        <v>44729.706458333334</v>
      </c>
      <c r="K259" s="1" t="s">
        <v>90</v>
      </c>
      <c r="L259" s="1">
        <v>0.65600000000000003</v>
      </c>
      <c r="M259" s="1">
        <v>0.65500000000000003</v>
      </c>
      <c r="N259">
        <v>7</v>
      </c>
      <c r="O259" s="1">
        <v>-6.766</v>
      </c>
      <c r="P259">
        <v>0</v>
      </c>
      <c r="Q259" s="1">
        <v>0.24</v>
      </c>
      <c r="R259" s="1">
        <v>0.2</v>
      </c>
      <c r="S259" s="1">
        <v>0.81599999999999995</v>
      </c>
      <c r="T259" s="1">
        <v>0.10299999999999999</v>
      </c>
      <c r="U259" s="1">
        <v>0.55500000000000005</v>
      </c>
      <c r="V259" s="1">
        <v>127.001</v>
      </c>
      <c r="W259">
        <v>4</v>
      </c>
    </row>
    <row r="260" spans="1:23" x14ac:dyDescent="0.25">
      <c r="A260" s="1" t="s">
        <v>11289</v>
      </c>
      <c r="B260" s="1" t="s">
        <v>11290</v>
      </c>
      <c r="C260" s="1" t="s">
        <v>2325</v>
      </c>
      <c r="D260" s="1" t="s">
        <v>11291</v>
      </c>
      <c r="E260" s="1" t="s">
        <v>91</v>
      </c>
      <c r="F260" s="1" t="s">
        <v>11292</v>
      </c>
      <c r="G260">
        <v>280002</v>
      </c>
      <c r="H260">
        <v>58</v>
      </c>
      <c r="I260" s="1" t="s">
        <v>11063</v>
      </c>
      <c r="J260" s="11">
        <v>44729.706458333334</v>
      </c>
      <c r="K260" s="1" t="s">
        <v>92</v>
      </c>
      <c r="L260" s="1">
        <v>0.66300000000000003</v>
      </c>
      <c r="M260" s="1">
        <v>0.78200000000000003</v>
      </c>
      <c r="N260">
        <v>7</v>
      </c>
      <c r="O260" s="1">
        <v>-5.3570000000000002</v>
      </c>
      <c r="P260">
        <v>1</v>
      </c>
      <c r="Q260" s="1">
        <v>0.14299999999999999</v>
      </c>
      <c r="R260" s="1">
        <v>0.32100000000000001</v>
      </c>
      <c r="S260" s="1">
        <v>0.17299999999999999</v>
      </c>
      <c r="T260" s="1">
        <v>0.23599999999999999</v>
      </c>
      <c r="U260" s="1">
        <v>0.35799999999999998</v>
      </c>
      <c r="V260" s="1">
        <v>125.94499999999999</v>
      </c>
      <c r="W260">
        <v>4</v>
      </c>
    </row>
    <row r="261" spans="1:23" x14ac:dyDescent="0.25">
      <c r="A261" s="1" t="s">
        <v>13916</v>
      </c>
      <c r="B261" s="1" t="s">
        <v>11642</v>
      </c>
      <c r="C261" s="1" t="s">
        <v>362</v>
      </c>
      <c r="D261" s="1" t="s">
        <v>13917</v>
      </c>
      <c r="E261" s="1" t="s">
        <v>363</v>
      </c>
      <c r="F261" s="1" t="s">
        <v>13918</v>
      </c>
      <c r="G261">
        <v>287120</v>
      </c>
      <c r="H261">
        <v>78</v>
      </c>
      <c r="I261" s="1" t="s">
        <v>11063</v>
      </c>
      <c r="J261" s="11">
        <v>44729.706458333334</v>
      </c>
      <c r="K261" s="1" t="s">
        <v>364</v>
      </c>
      <c r="L261" s="1">
        <v>0.76200000000000001</v>
      </c>
      <c r="M261" s="1">
        <v>0.76600000000000001</v>
      </c>
      <c r="N261">
        <v>7</v>
      </c>
      <c r="O261" s="1">
        <v>-3.9550000000000001</v>
      </c>
      <c r="P261">
        <v>1</v>
      </c>
      <c r="Q261" s="1">
        <v>0.34300000000000003</v>
      </c>
      <c r="R261" s="1">
        <v>0.77600000000000002</v>
      </c>
      <c r="S261" s="1">
        <v>0.69799999999999995</v>
      </c>
      <c r="T261" s="1">
        <v>0.128</v>
      </c>
      <c r="U261" s="1">
        <v>0.442</v>
      </c>
      <c r="V261" s="1">
        <v>130.001</v>
      </c>
      <c r="W261">
        <v>4</v>
      </c>
    </row>
    <row r="262" spans="1:23" x14ac:dyDescent="0.25">
      <c r="A262" s="1" t="s">
        <v>13919</v>
      </c>
      <c r="B262" s="1" t="s">
        <v>13920</v>
      </c>
      <c r="C262" s="1" t="s">
        <v>2326</v>
      </c>
      <c r="D262" s="1" t="s">
        <v>13921</v>
      </c>
      <c r="E262" s="1" t="s">
        <v>2327</v>
      </c>
      <c r="F262" s="1" t="s">
        <v>13922</v>
      </c>
      <c r="G262">
        <v>247426</v>
      </c>
      <c r="H262">
        <v>85</v>
      </c>
      <c r="I262" s="1" t="s">
        <v>11063</v>
      </c>
      <c r="J262" s="11">
        <v>44729.706458333334</v>
      </c>
      <c r="K262" s="1" t="s">
        <v>2328</v>
      </c>
      <c r="L262" s="1">
        <v>0.53200000000000003</v>
      </c>
      <c r="M262" s="1">
        <v>0.78300000000000003</v>
      </c>
      <c r="N262">
        <v>2</v>
      </c>
      <c r="O262" s="1">
        <v>-5.6970000000000001</v>
      </c>
      <c r="P262">
        <v>1</v>
      </c>
      <c r="Q262" s="1">
        <v>0.52300000000000002</v>
      </c>
      <c r="R262" s="1">
        <v>0.38</v>
      </c>
      <c r="S262" s="1">
        <v>0.12</v>
      </c>
      <c r="T262" s="1">
        <v>0.161</v>
      </c>
      <c r="U262" s="1">
        <v>0.64300000000000002</v>
      </c>
      <c r="V262" s="1">
        <v>124.08</v>
      </c>
      <c r="W262">
        <v>4</v>
      </c>
    </row>
    <row r="263" spans="1:23" x14ac:dyDescent="0.25">
      <c r="A263" s="1" t="s">
        <v>13923</v>
      </c>
      <c r="B263" s="1" t="s">
        <v>13924</v>
      </c>
      <c r="C263" s="1" t="s">
        <v>2329</v>
      </c>
      <c r="D263" s="1" t="s">
        <v>13925</v>
      </c>
      <c r="E263" s="1" t="s">
        <v>2330</v>
      </c>
      <c r="F263" s="1" t="s">
        <v>13926</v>
      </c>
      <c r="G263">
        <v>373318</v>
      </c>
      <c r="H263">
        <v>34</v>
      </c>
      <c r="I263" s="1" t="s">
        <v>11063</v>
      </c>
      <c r="J263" s="11">
        <v>44729.706458333334</v>
      </c>
      <c r="K263" s="1" t="s">
        <v>2331</v>
      </c>
      <c r="L263" s="1">
        <v>0.55700000000000005</v>
      </c>
      <c r="M263" s="1">
        <v>0.56599999999999995</v>
      </c>
      <c r="N263">
        <v>9</v>
      </c>
      <c r="O263" s="1">
        <v>-12.563000000000001</v>
      </c>
      <c r="P263">
        <v>0</v>
      </c>
      <c r="Q263" s="1">
        <v>0.42399999999999999</v>
      </c>
      <c r="R263" s="1">
        <v>0.20899999999999999</v>
      </c>
      <c r="S263" s="1">
        <v>0.42</v>
      </c>
      <c r="T263" s="1">
        <v>0.112</v>
      </c>
      <c r="U263" s="1">
        <v>0.11700000000000001</v>
      </c>
      <c r="V263" s="1">
        <v>129.98699999999999</v>
      </c>
      <c r="W263">
        <v>4</v>
      </c>
    </row>
    <row r="264" spans="1:23" x14ac:dyDescent="0.25">
      <c r="A264" s="1" t="s">
        <v>13927</v>
      </c>
      <c r="B264" s="1" t="s">
        <v>13924</v>
      </c>
      <c r="C264" s="1" t="s">
        <v>2332</v>
      </c>
      <c r="D264" s="1" t="s">
        <v>32</v>
      </c>
      <c r="E264" s="1" t="s">
        <v>2330</v>
      </c>
      <c r="F264" s="1" t="s">
        <v>13928</v>
      </c>
      <c r="G264">
        <v>352346</v>
      </c>
      <c r="H264">
        <v>51</v>
      </c>
      <c r="I264" s="1" t="s">
        <v>11063</v>
      </c>
      <c r="J264" s="11">
        <v>44729.706458333334</v>
      </c>
      <c r="K264" s="1" t="s">
        <v>2331</v>
      </c>
      <c r="L264" s="1">
        <v>0.33200000000000002</v>
      </c>
      <c r="M264" s="1">
        <v>0.59599999999999997</v>
      </c>
      <c r="N264">
        <v>9</v>
      </c>
      <c r="O264" s="1">
        <v>-5.6070000000000002</v>
      </c>
      <c r="P264">
        <v>0</v>
      </c>
      <c r="Q264" s="1">
        <v>0.52100000000000002</v>
      </c>
      <c r="R264" s="1">
        <v>0.372</v>
      </c>
      <c r="S264" s="1">
        <v>0.41299999999999998</v>
      </c>
      <c r="T264" s="1">
        <v>0.29799999999999999</v>
      </c>
      <c r="U264" s="1">
        <v>0.996</v>
      </c>
      <c r="V264" s="1">
        <v>140.10400000000001</v>
      </c>
      <c r="W264">
        <v>4</v>
      </c>
    </row>
    <row r="265" spans="1:23" x14ac:dyDescent="0.25">
      <c r="A265" s="1" t="s">
        <v>13929</v>
      </c>
      <c r="B265" s="1" t="s">
        <v>13930</v>
      </c>
      <c r="C265" s="1" t="s">
        <v>2333</v>
      </c>
      <c r="D265" s="1" t="s">
        <v>2333</v>
      </c>
      <c r="E265" s="1" t="s">
        <v>2334</v>
      </c>
      <c r="F265" s="1" t="s">
        <v>13931</v>
      </c>
      <c r="G265">
        <v>193714</v>
      </c>
      <c r="H265">
        <v>65</v>
      </c>
      <c r="I265" s="1" t="s">
        <v>11063</v>
      </c>
      <c r="J265" s="11">
        <v>44729.706458333334</v>
      </c>
      <c r="K265" s="1" t="s">
        <v>2335</v>
      </c>
      <c r="L265" s="1">
        <v>0.56599999999999995</v>
      </c>
      <c r="M265" s="1">
        <v>0.76100000000000001</v>
      </c>
      <c r="N265">
        <v>10</v>
      </c>
      <c r="O265" s="1">
        <v>-3.7959999999999998</v>
      </c>
      <c r="P265">
        <v>0</v>
      </c>
      <c r="Q265" s="1">
        <v>0.52200000000000002</v>
      </c>
      <c r="R265" s="1">
        <v>0.11600000000000001</v>
      </c>
      <c r="S265" s="1">
        <v>0.29399999999999998</v>
      </c>
      <c r="T265" s="1">
        <v>0.112</v>
      </c>
      <c r="U265" s="1">
        <v>0.35299999999999998</v>
      </c>
      <c r="V265" s="1">
        <v>140.00399999999999</v>
      </c>
      <c r="W265">
        <v>4</v>
      </c>
    </row>
    <row r="266" spans="1:23" x14ac:dyDescent="0.25">
      <c r="A266" s="1" t="s">
        <v>13932</v>
      </c>
      <c r="B266" s="1" t="s">
        <v>13933</v>
      </c>
      <c r="C266" s="1" t="s">
        <v>2336</v>
      </c>
      <c r="D266" s="1" t="s">
        <v>2336</v>
      </c>
      <c r="E266" s="1" t="s">
        <v>2337</v>
      </c>
      <c r="F266" s="1" t="s">
        <v>13934</v>
      </c>
      <c r="G266">
        <v>187918</v>
      </c>
      <c r="H266">
        <v>67</v>
      </c>
      <c r="I266" s="1" t="s">
        <v>11063</v>
      </c>
      <c r="J266" s="11">
        <v>44729.706458333334</v>
      </c>
      <c r="K266" s="1" t="s">
        <v>2338</v>
      </c>
      <c r="L266" s="1">
        <v>0.70299999999999996</v>
      </c>
      <c r="M266" s="1">
        <v>0.46100000000000002</v>
      </c>
      <c r="N266">
        <v>5</v>
      </c>
      <c r="O266" s="1">
        <v>-10.581</v>
      </c>
      <c r="P266">
        <v>0</v>
      </c>
      <c r="Q266" s="1">
        <v>0.34100000000000003</v>
      </c>
      <c r="R266" s="1">
        <v>0.40200000000000002</v>
      </c>
      <c r="S266" s="1">
        <v>0.97499999999999998</v>
      </c>
      <c r="T266" s="1">
        <v>0.114</v>
      </c>
      <c r="U266" s="1">
        <v>0.39</v>
      </c>
      <c r="V266" s="1">
        <v>99.941000000000003</v>
      </c>
      <c r="W266">
        <v>4</v>
      </c>
    </row>
    <row r="267" spans="1:23" x14ac:dyDescent="0.25">
      <c r="A267" s="1" t="s">
        <v>13935</v>
      </c>
      <c r="B267" s="1" t="s">
        <v>13936</v>
      </c>
      <c r="C267" s="1" t="s">
        <v>2339</v>
      </c>
      <c r="D267" s="1" t="s">
        <v>13937</v>
      </c>
      <c r="E267" s="1" t="s">
        <v>2340</v>
      </c>
      <c r="F267" s="1" t="s">
        <v>13863</v>
      </c>
      <c r="G267">
        <v>233133</v>
      </c>
      <c r="H267">
        <v>60</v>
      </c>
      <c r="I267" s="1" t="s">
        <v>11063</v>
      </c>
      <c r="J267" s="11">
        <v>44729.706458333334</v>
      </c>
      <c r="K267" s="1" t="s">
        <v>2341</v>
      </c>
      <c r="L267" s="1">
        <v>0.621</v>
      </c>
      <c r="M267" s="1">
        <v>0.55100000000000005</v>
      </c>
      <c r="N267">
        <v>7</v>
      </c>
      <c r="O267" s="1">
        <v>-7.89</v>
      </c>
      <c r="P267">
        <v>1</v>
      </c>
      <c r="Q267" s="1">
        <v>0.47399999999999998</v>
      </c>
      <c r="R267" s="1">
        <v>0.48599999999999999</v>
      </c>
      <c r="S267" s="1">
        <v>0</v>
      </c>
      <c r="T267" s="1">
        <v>0.115</v>
      </c>
      <c r="U267" s="1">
        <v>0.222</v>
      </c>
      <c r="V267" s="1">
        <v>105.05200000000001</v>
      </c>
      <c r="W267">
        <v>4</v>
      </c>
    </row>
    <row r="268" spans="1:23" x14ac:dyDescent="0.25">
      <c r="A268" s="1" t="s">
        <v>13938</v>
      </c>
      <c r="B268" s="1" t="s">
        <v>13939</v>
      </c>
      <c r="C268" s="1" t="s">
        <v>2342</v>
      </c>
      <c r="D268" s="1" t="s">
        <v>13940</v>
      </c>
      <c r="E268" s="1" t="s">
        <v>2343</v>
      </c>
      <c r="F268" s="1" t="s">
        <v>13941</v>
      </c>
      <c r="G268">
        <v>179047</v>
      </c>
      <c r="H268">
        <v>58</v>
      </c>
      <c r="I268" s="1" t="s">
        <v>11063</v>
      </c>
      <c r="J268" s="11">
        <v>44729.706458333334</v>
      </c>
      <c r="K268" s="1" t="s">
        <v>2344</v>
      </c>
      <c r="L268" s="1">
        <v>0.71499999999999997</v>
      </c>
      <c r="M268" s="1">
        <v>0.91400000000000003</v>
      </c>
      <c r="N268">
        <v>0</v>
      </c>
      <c r="O268" s="1">
        <v>-3.87</v>
      </c>
      <c r="P268">
        <v>1</v>
      </c>
      <c r="Q268" s="1">
        <v>0.214</v>
      </c>
      <c r="R268" s="1">
        <v>0.254</v>
      </c>
      <c r="S268" s="1">
        <v>0</v>
      </c>
      <c r="T268" s="1">
        <v>0.96099999999999997</v>
      </c>
      <c r="U268" s="1">
        <v>0.56499999999999995</v>
      </c>
      <c r="V268" s="1">
        <v>125.82599999999999</v>
      </c>
      <c r="W268">
        <v>4</v>
      </c>
    </row>
    <row r="269" spans="1:23" x14ac:dyDescent="0.25">
      <c r="A269" s="1" t="s">
        <v>13942</v>
      </c>
      <c r="B269" s="1" t="s">
        <v>13943</v>
      </c>
      <c r="C269" s="1" t="s">
        <v>2345</v>
      </c>
      <c r="D269" s="1" t="s">
        <v>13944</v>
      </c>
      <c r="E269" s="1" t="s">
        <v>2346</v>
      </c>
      <c r="F269" s="1" t="s">
        <v>13945</v>
      </c>
      <c r="G269">
        <v>248826</v>
      </c>
      <c r="H269">
        <v>58</v>
      </c>
      <c r="I269" s="1" t="s">
        <v>11063</v>
      </c>
      <c r="J269" s="11">
        <v>44729.706458333334</v>
      </c>
      <c r="K269" s="1" t="s">
        <v>2347</v>
      </c>
      <c r="L269" s="1">
        <v>0.42199999999999999</v>
      </c>
      <c r="M269" s="1">
        <v>0.30199999999999999</v>
      </c>
      <c r="N269">
        <v>11</v>
      </c>
      <c r="O269" s="1">
        <v>-9.2140000000000004</v>
      </c>
      <c r="P269">
        <v>1</v>
      </c>
      <c r="Q269" s="1">
        <v>0.372</v>
      </c>
      <c r="R269" s="1">
        <v>0.629</v>
      </c>
      <c r="S269" s="1">
        <v>0.78300000000000003</v>
      </c>
      <c r="T269" s="1">
        <v>0.104</v>
      </c>
      <c r="U269" s="1">
        <v>0.123</v>
      </c>
      <c r="V269" s="1">
        <v>114.089</v>
      </c>
      <c r="W269">
        <v>4</v>
      </c>
    </row>
    <row r="270" spans="1:23" x14ac:dyDescent="0.25">
      <c r="A270" s="1" t="s">
        <v>13946</v>
      </c>
      <c r="B270" s="1" t="s">
        <v>13947</v>
      </c>
      <c r="C270" s="1" t="s">
        <v>2348</v>
      </c>
      <c r="D270" s="1" t="s">
        <v>2348</v>
      </c>
      <c r="E270" s="1" t="s">
        <v>2349</v>
      </c>
      <c r="F270" s="1" t="s">
        <v>11786</v>
      </c>
      <c r="G270">
        <v>182564</v>
      </c>
      <c r="H270">
        <v>69</v>
      </c>
      <c r="I270" s="1" t="s">
        <v>11063</v>
      </c>
      <c r="J270" s="11">
        <v>44729.706458333334</v>
      </c>
      <c r="K270" s="1" t="s">
        <v>2350</v>
      </c>
      <c r="L270" s="1">
        <v>0.621</v>
      </c>
      <c r="M270" s="1">
        <v>0.88500000000000001</v>
      </c>
      <c r="N270">
        <v>6</v>
      </c>
      <c r="O270" s="1">
        <v>-4.593</v>
      </c>
      <c r="P270">
        <v>1</v>
      </c>
      <c r="Q270" s="1">
        <v>0.41499999999999998</v>
      </c>
      <c r="R270" s="1">
        <v>0.26500000000000001</v>
      </c>
      <c r="S270" s="1">
        <v>0</v>
      </c>
      <c r="T270" s="1">
        <v>0.71899999999999997</v>
      </c>
      <c r="U270" s="1">
        <v>0.41099999999999998</v>
      </c>
      <c r="V270" s="1">
        <v>117.021</v>
      </c>
      <c r="W270">
        <v>4</v>
      </c>
    </row>
    <row r="271" spans="1:23" x14ac:dyDescent="0.25">
      <c r="A271" s="1" t="s">
        <v>13948</v>
      </c>
      <c r="B271" s="1" t="s">
        <v>13949</v>
      </c>
      <c r="C271" s="1" t="s">
        <v>2351</v>
      </c>
      <c r="D271" s="1" t="s">
        <v>2351</v>
      </c>
      <c r="E271" s="1" t="s">
        <v>2352</v>
      </c>
      <c r="F271" s="1" t="s">
        <v>13950</v>
      </c>
      <c r="G271">
        <v>238019</v>
      </c>
      <c r="H271">
        <v>48</v>
      </c>
      <c r="I271" s="1" t="s">
        <v>11063</v>
      </c>
      <c r="J271" s="11">
        <v>44729.706458333334</v>
      </c>
      <c r="K271" s="1" t="s">
        <v>2353</v>
      </c>
      <c r="L271" s="1">
        <v>0.32400000000000001</v>
      </c>
      <c r="M271" s="1">
        <v>0.74299999999999999</v>
      </c>
      <c r="N271">
        <v>6</v>
      </c>
      <c r="O271" s="1">
        <v>-3.3580000000000001</v>
      </c>
      <c r="P271">
        <v>0</v>
      </c>
      <c r="Q271" s="1">
        <v>0.80500000000000005</v>
      </c>
      <c r="R271" s="1">
        <v>0.123</v>
      </c>
      <c r="S271" s="1">
        <v>0.16500000000000001</v>
      </c>
      <c r="T271" s="1">
        <v>0.99299999999999999</v>
      </c>
      <c r="U271" s="1">
        <v>0.86399999999999999</v>
      </c>
      <c r="V271" s="1">
        <v>74.617999999999995</v>
      </c>
      <c r="W271">
        <v>4</v>
      </c>
    </row>
    <row r="272" spans="1:23" x14ac:dyDescent="0.25">
      <c r="A272" s="1" t="s">
        <v>13951</v>
      </c>
      <c r="B272" s="1" t="s">
        <v>13952</v>
      </c>
      <c r="C272" s="1" t="s">
        <v>2354</v>
      </c>
      <c r="D272" s="1" t="s">
        <v>13953</v>
      </c>
      <c r="E272" s="1" t="s">
        <v>2355</v>
      </c>
      <c r="F272" s="1" t="s">
        <v>11295</v>
      </c>
      <c r="G272">
        <v>185888</v>
      </c>
      <c r="H272">
        <v>45</v>
      </c>
      <c r="I272" s="1" t="s">
        <v>11063</v>
      </c>
      <c r="J272" s="11">
        <v>44729.706458333334</v>
      </c>
      <c r="K272" s="1" t="s">
        <v>2356</v>
      </c>
      <c r="L272" s="1">
        <v>0.52600000000000002</v>
      </c>
      <c r="M272" s="1">
        <v>0.55800000000000005</v>
      </c>
      <c r="N272">
        <v>3</v>
      </c>
      <c r="O272" s="1">
        <v>-6.9169999999999998</v>
      </c>
      <c r="P272">
        <v>1</v>
      </c>
      <c r="Q272" s="1">
        <v>0.433</v>
      </c>
      <c r="R272" s="1">
        <v>0.224</v>
      </c>
      <c r="S272" s="1">
        <v>0</v>
      </c>
      <c r="T272" s="1">
        <v>0.112</v>
      </c>
      <c r="U272" s="1">
        <v>0.191</v>
      </c>
      <c r="V272" s="1">
        <v>160.066</v>
      </c>
      <c r="W272">
        <v>4</v>
      </c>
    </row>
    <row r="273" spans="1:23" x14ac:dyDescent="0.25">
      <c r="A273" s="1" t="s">
        <v>13954</v>
      </c>
      <c r="B273" s="1" t="s">
        <v>13955</v>
      </c>
      <c r="C273" s="1" t="s">
        <v>2357</v>
      </c>
      <c r="D273" s="1" t="s">
        <v>2357</v>
      </c>
      <c r="E273" s="1" t="s">
        <v>2358</v>
      </c>
      <c r="F273" s="1" t="s">
        <v>11295</v>
      </c>
      <c r="G273">
        <v>131475</v>
      </c>
      <c r="H273">
        <v>53</v>
      </c>
      <c r="I273" s="1" t="s">
        <v>11063</v>
      </c>
      <c r="J273" s="11">
        <v>44729.706458333334</v>
      </c>
      <c r="K273" s="1" t="s">
        <v>947</v>
      </c>
      <c r="L273" s="1">
        <v>0.60599999999999998</v>
      </c>
      <c r="M273" s="1">
        <v>0.877</v>
      </c>
      <c r="N273">
        <v>5</v>
      </c>
      <c r="O273" s="1">
        <v>-6.0369999999999999</v>
      </c>
      <c r="P273">
        <v>1</v>
      </c>
      <c r="Q273" s="1">
        <v>0.51700000000000002</v>
      </c>
      <c r="R273" s="1">
        <v>0.45500000000000002</v>
      </c>
      <c r="S273" s="1">
        <v>0.28399999999999997</v>
      </c>
      <c r="T273" s="1">
        <v>0.20399999999999999</v>
      </c>
      <c r="U273" s="1">
        <v>0.15</v>
      </c>
      <c r="V273" s="1">
        <v>144.084</v>
      </c>
      <c r="W273">
        <v>4</v>
      </c>
    </row>
    <row r="274" spans="1:23" x14ac:dyDescent="0.25">
      <c r="A274" s="1" t="s">
        <v>13956</v>
      </c>
      <c r="B274" s="1" t="s">
        <v>13957</v>
      </c>
      <c r="C274" s="1" t="s">
        <v>2359</v>
      </c>
      <c r="D274" s="1" t="s">
        <v>2359</v>
      </c>
      <c r="E274" s="1" t="s">
        <v>2360</v>
      </c>
      <c r="F274" s="1" t="s">
        <v>11295</v>
      </c>
      <c r="G274">
        <v>182506</v>
      </c>
      <c r="H274">
        <v>77</v>
      </c>
      <c r="I274" s="1" t="s">
        <v>11063</v>
      </c>
      <c r="J274" s="11">
        <v>44729.706458333334</v>
      </c>
      <c r="K274" s="1" t="s">
        <v>2361</v>
      </c>
      <c r="L274" s="1">
        <v>0.71399999999999997</v>
      </c>
      <c r="M274" s="1">
        <v>0.80200000000000005</v>
      </c>
      <c r="N274">
        <v>1</v>
      </c>
      <c r="O274" s="1">
        <v>-5.3390000000000004</v>
      </c>
      <c r="P274">
        <v>1</v>
      </c>
      <c r="Q274" s="1">
        <v>0.38200000000000001</v>
      </c>
      <c r="R274" s="1">
        <v>0.55700000000000005</v>
      </c>
      <c r="S274" s="1">
        <v>0</v>
      </c>
      <c r="T274" s="1">
        <v>0.66400000000000003</v>
      </c>
      <c r="U274" s="1">
        <v>0.88200000000000001</v>
      </c>
      <c r="V274" s="1">
        <v>132.005</v>
      </c>
      <c r="W274">
        <v>4</v>
      </c>
    </row>
    <row r="275" spans="1:23" x14ac:dyDescent="0.25">
      <c r="A275" s="1" t="s">
        <v>13958</v>
      </c>
      <c r="B275" s="1" t="s">
        <v>13959</v>
      </c>
      <c r="C275" s="1" t="s">
        <v>2362</v>
      </c>
      <c r="D275" s="1" t="s">
        <v>2362</v>
      </c>
      <c r="E275" s="1" t="s">
        <v>2363</v>
      </c>
      <c r="F275" s="1" t="s">
        <v>11295</v>
      </c>
      <c r="G275">
        <v>146512</v>
      </c>
      <c r="H275">
        <v>61</v>
      </c>
      <c r="I275" s="1" t="s">
        <v>11063</v>
      </c>
      <c r="J275" s="11">
        <v>44729.706458333334</v>
      </c>
      <c r="K275" s="1" t="s">
        <v>2364</v>
      </c>
      <c r="L275" s="1">
        <v>0.63100000000000001</v>
      </c>
      <c r="M275" s="1">
        <v>0.84099999999999997</v>
      </c>
      <c r="N275">
        <v>5</v>
      </c>
      <c r="O275" s="1">
        <v>-4.2839999999999998</v>
      </c>
      <c r="P275">
        <v>1</v>
      </c>
      <c r="Q275" s="1">
        <v>0.434</v>
      </c>
      <c r="R275" s="1">
        <v>0.30599999999999999</v>
      </c>
      <c r="S275" s="1">
        <v>0.49</v>
      </c>
      <c r="T275" s="1">
        <v>0.157</v>
      </c>
      <c r="U275" s="1">
        <v>0.36599999999999999</v>
      </c>
      <c r="V275" s="1">
        <v>124.998</v>
      </c>
      <c r="W275">
        <v>4</v>
      </c>
    </row>
    <row r="276" spans="1:23" x14ac:dyDescent="0.25">
      <c r="A276" s="1" t="s">
        <v>11661</v>
      </c>
      <c r="B276" s="1" t="s">
        <v>11662</v>
      </c>
      <c r="C276" s="1" t="s">
        <v>379</v>
      </c>
      <c r="D276" s="1" t="s">
        <v>379</v>
      </c>
      <c r="E276" s="1" t="s">
        <v>380</v>
      </c>
      <c r="F276" s="1" t="s">
        <v>11295</v>
      </c>
      <c r="G276">
        <v>212935</v>
      </c>
      <c r="H276">
        <v>43</v>
      </c>
      <c r="I276" s="1" t="s">
        <v>11063</v>
      </c>
      <c r="J276" s="11">
        <v>44729.706458333334</v>
      </c>
      <c r="K276" s="1" t="s">
        <v>381</v>
      </c>
      <c r="L276" s="1">
        <v>0.45500000000000002</v>
      </c>
      <c r="M276" s="1">
        <v>0.755</v>
      </c>
      <c r="N276">
        <v>7</v>
      </c>
      <c r="O276" s="1">
        <v>-6.8879999999999999</v>
      </c>
      <c r="P276">
        <v>1</v>
      </c>
      <c r="Q276" s="1">
        <v>0.25</v>
      </c>
      <c r="R276" s="1">
        <v>0.439</v>
      </c>
      <c r="S276" s="1">
        <v>0.17799999999999999</v>
      </c>
      <c r="T276" s="1">
        <v>0.245</v>
      </c>
      <c r="U276" s="1">
        <v>0.35199999999999998</v>
      </c>
      <c r="V276" s="1">
        <v>140.797</v>
      </c>
      <c r="W276">
        <v>4</v>
      </c>
    </row>
    <row r="277" spans="1:23" x14ac:dyDescent="0.25">
      <c r="A277" s="1" t="s">
        <v>13960</v>
      </c>
      <c r="B277" s="1" t="s">
        <v>13961</v>
      </c>
      <c r="C277" s="1" t="s">
        <v>2365</v>
      </c>
      <c r="D277" s="1" t="s">
        <v>13962</v>
      </c>
      <c r="E277" s="1" t="s">
        <v>2366</v>
      </c>
      <c r="F277" s="1" t="s">
        <v>13963</v>
      </c>
      <c r="G277">
        <v>160000</v>
      </c>
      <c r="H277">
        <v>36</v>
      </c>
      <c r="I277" s="1" t="s">
        <v>11063</v>
      </c>
      <c r="J277" s="11">
        <v>44729.706458333334</v>
      </c>
      <c r="K277" s="1" t="s">
        <v>2367</v>
      </c>
      <c r="L277" s="1">
        <v>0.55900000000000005</v>
      </c>
      <c r="M277" s="1">
        <v>0.90200000000000002</v>
      </c>
      <c r="N277">
        <v>11</v>
      </c>
      <c r="O277" s="1">
        <v>-6.2809999999999997</v>
      </c>
      <c r="P277">
        <v>0</v>
      </c>
      <c r="Q277" s="1">
        <v>0.34699999999999998</v>
      </c>
      <c r="R277" s="1">
        <v>0.442</v>
      </c>
      <c r="S277" s="1">
        <v>0.95499999999999996</v>
      </c>
      <c r="T277" s="1">
        <v>0.22</v>
      </c>
      <c r="U277" s="1">
        <v>0.71199999999999997</v>
      </c>
      <c r="V277" s="1">
        <v>125.977</v>
      </c>
      <c r="W277">
        <v>4</v>
      </c>
    </row>
    <row r="278" spans="1:23" x14ac:dyDescent="0.25">
      <c r="A278" s="1" t="s">
        <v>13964</v>
      </c>
      <c r="B278" s="1" t="s">
        <v>13965</v>
      </c>
      <c r="C278" s="1" t="s">
        <v>2368</v>
      </c>
      <c r="D278" s="1" t="s">
        <v>2368</v>
      </c>
      <c r="E278" s="1" t="s">
        <v>2369</v>
      </c>
      <c r="F278" s="1" t="s">
        <v>11295</v>
      </c>
      <c r="G278">
        <v>197266</v>
      </c>
      <c r="H278">
        <v>61</v>
      </c>
      <c r="I278" s="1" t="s">
        <v>11063</v>
      </c>
      <c r="J278" s="11">
        <v>44729.706458333334</v>
      </c>
      <c r="K278" s="1" t="s">
        <v>2370</v>
      </c>
      <c r="L278" s="1">
        <v>0.57899999999999996</v>
      </c>
      <c r="M278" s="1">
        <v>0.78300000000000003</v>
      </c>
      <c r="N278">
        <v>8</v>
      </c>
      <c r="O278" s="1">
        <v>-6.4</v>
      </c>
      <c r="P278">
        <v>1</v>
      </c>
      <c r="Q278" s="1">
        <v>0.45300000000000001</v>
      </c>
      <c r="R278" s="1">
        <v>0.97899999999999998</v>
      </c>
      <c r="S278" s="1">
        <v>0.24399999999999999</v>
      </c>
      <c r="T278" s="1">
        <v>0.11600000000000001</v>
      </c>
      <c r="U278" s="1">
        <v>0.69</v>
      </c>
      <c r="V278" s="1">
        <v>165.05699999999999</v>
      </c>
      <c r="W278">
        <v>4</v>
      </c>
    </row>
    <row r="279" spans="1:23" x14ac:dyDescent="0.25">
      <c r="A279" s="1" t="s">
        <v>13966</v>
      </c>
      <c r="B279" s="1" t="s">
        <v>11367</v>
      </c>
      <c r="C279" s="1" t="s">
        <v>2371</v>
      </c>
      <c r="D279" s="1" t="s">
        <v>2371</v>
      </c>
      <c r="E279" s="1" t="s">
        <v>154</v>
      </c>
      <c r="F279" s="1" t="s">
        <v>11295</v>
      </c>
      <c r="G279">
        <v>242349</v>
      </c>
      <c r="H279">
        <v>61</v>
      </c>
      <c r="I279" s="1" t="s">
        <v>11063</v>
      </c>
      <c r="J279" s="11">
        <v>44729.706458333334</v>
      </c>
      <c r="K279" s="1" t="s">
        <v>2372</v>
      </c>
      <c r="L279" s="1">
        <v>0.61099999999999999</v>
      </c>
      <c r="M279" s="1">
        <v>0.59899999999999998</v>
      </c>
      <c r="N279">
        <v>10</v>
      </c>
      <c r="O279" s="1">
        <v>-4.9089999999999998</v>
      </c>
      <c r="P279">
        <v>1</v>
      </c>
      <c r="Q279" s="1">
        <v>0.26900000000000002</v>
      </c>
      <c r="R279" s="1">
        <v>0.11899999999999999</v>
      </c>
      <c r="S279" s="1">
        <v>0.122</v>
      </c>
      <c r="T279" s="1">
        <v>0.121</v>
      </c>
      <c r="U279" s="1">
        <v>0.10100000000000001</v>
      </c>
      <c r="V279" s="1">
        <v>80.031000000000006</v>
      </c>
      <c r="W279">
        <v>4</v>
      </c>
    </row>
    <row r="280" spans="1:23" x14ac:dyDescent="0.25">
      <c r="A280" s="1" t="s">
        <v>13967</v>
      </c>
      <c r="B280" s="1" t="s">
        <v>13503</v>
      </c>
      <c r="C280" s="1" t="s">
        <v>2373</v>
      </c>
      <c r="D280" s="1" t="s">
        <v>2373</v>
      </c>
      <c r="E280" s="1" t="s">
        <v>1972</v>
      </c>
      <c r="F280" s="1" t="s">
        <v>11295</v>
      </c>
      <c r="G280">
        <v>236400</v>
      </c>
      <c r="H280">
        <v>48</v>
      </c>
      <c r="I280" s="1" t="s">
        <v>11063</v>
      </c>
      <c r="J280" s="11">
        <v>44729.706458333334</v>
      </c>
      <c r="K280" s="1" t="s">
        <v>1973</v>
      </c>
      <c r="L280" s="1">
        <v>0.26</v>
      </c>
      <c r="M280" s="1">
        <v>0.67200000000000004</v>
      </c>
      <c r="N280">
        <v>0</v>
      </c>
      <c r="O280" s="1">
        <v>-6.1840000000000002</v>
      </c>
      <c r="P280">
        <v>0</v>
      </c>
      <c r="Q280" s="1">
        <v>0.311</v>
      </c>
      <c r="R280" s="1">
        <v>0.90600000000000003</v>
      </c>
      <c r="S280" s="1">
        <v>0.20899999999999999</v>
      </c>
      <c r="T280" s="1">
        <v>0.1</v>
      </c>
      <c r="U280" s="1">
        <v>0.20599999999999999</v>
      </c>
      <c r="V280" s="1">
        <v>99.908000000000001</v>
      </c>
      <c r="W280">
        <v>4</v>
      </c>
    </row>
    <row r="281" spans="1:23" x14ac:dyDescent="0.25">
      <c r="A281" s="1" t="s">
        <v>13968</v>
      </c>
      <c r="B281" s="1" t="s">
        <v>13969</v>
      </c>
      <c r="C281" s="1" t="s">
        <v>2374</v>
      </c>
      <c r="D281" s="1" t="s">
        <v>2374</v>
      </c>
      <c r="E281" s="1" t="s">
        <v>2375</v>
      </c>
      <c r="F281" s="1" t="s">
        <v>13970</v>
      </c>
      <c r="G281">
        <v>270373</v>
      </c>
      <c r="H281">
        <v>49</v>
      </c>
      <c r="I281" s="1" t="s">
        <v>11063</v>
      </c>
      <c r="J281" s="11">
        <v>44729.706458333334</v>
      </c>
      <c r="K281" s="1" t="s">
        <v>2376</v>
      </c>
      <c r="L281" s="1">
        <v>0.75600000000000001</v>
      </c>
      <c r="M281" s="1">
        <v>0.52700000000000002</v>
      </c>
      <c r="N281">
        <v>0</v>
      </c>
      <c r="O281" s="1">
        <v>-12.538</v>
      </c>
      <c r="P281">
        <v>1</v>
      </c>
      <c r="Q281" s="1">
        <v>0.49199999999999999</v>
      </c>
      <c r="R281" s="1">
        <v>0.17199999999999999</v>
      </c>
      <c r="S281" s="1">
        <v>0.83699999999999997</v>
      </c>
      <c r="T281" s="1">
        <v>0.11899999999999999</v>
      </c>
      <c r="U281" s="1">
        <v>0.16600000000000001</v>
      </c>
      <c r="V281" s="1">
        <v>130.005</v>
      </c>
      <c r="W281">
        <v>4</v>
      </c>
    </row>
    <row r="282" spans="1:23" x14ac:dyDescent="0.25">
      <c r="A282" s="1" t="s">
        <v>11293</v>
      </c>
      <c r="B282" s="1" t="s">
        <v>11294</v>
      </c>
      <c r="C282" s="1" t="s">
        <v>93</v>
      </c>
      <c r="D282" s="1" t="s">
        <v>93</v>
      </c>
      <c r="E282" s="1" t="s">
        <v>94</v>
      </c>
      <c r="F282" s="1" t="s">
        <v>11295</v>
      </c>
      <c r="G282">
        <v>169756</v>
      </c>
      <c r="H282">
        <v>86</v>
      </c>
      <c r="I282" s="1" t="s">
        <v>11063</v>
      </c>
      <c r="J282" s="11">
        <v>44729.706458333334</v>
      </c>
      <c r="K282" s="1" t="s">
        <v>95</v>
      </c>
      <c r="L282" s="1">
        <v>0.60099999999999998</v>
      </c>
      <c r="M282" s="1">
        <v>0.71299999999999997</v>
      </c>
      <c r="N282">
        <v>4</v>
      </c>
      <c r="O282" s="1">
        <v>-3.758</v>
      </c>
      <c r="P282">
        <v>0</v>
      </c>
      <c r="Q282" s="1">
        <v>0.44900000000000001</v>
      </c>
      <c r="R282" s="1">
        <v>0.28199999999999997</v>
      </c>
      <c r="S282" s="1">
        <v>0</v>
      </c>
      <c r="T282" s="1">
        <v>0.158</v>
      </c>
      <c r="U282" s="1">
        <v>0.46400000000000002</v>
      </c>
      <c r="V282" s="1">
        <v>122.872</v>
      </c>
      <c r="W282">
        <v>4</v>
      </c>
    </row>
    <row r="283" spans="1:23" x14ac:dyDescent="0.25">
      <c r="A283" s="1" t="s">
        <v>13971</v>
      </c>
      <c r="B283" s="1" t="s">
        <v>13972</v>
      </c>
      <c r="C283" s="1" t="s">
        <v>2377</v>
      </c>
      <c r="D283" s="1" t="s">
        <v>2377</v>
      </c>
      <c r="E283" s="1" t="s">
        <v>2378</v>
      </c>
      <c r="F283" s="1" t="s">
        <v>13973</v>
      </c>
      <c r="G283">
        <v>196871</v>
      </c>
      <c r="H283">
        <v>34</v>
      </c>
      <c r="I283" s="1" t="s">
        <v>11063</v>
      </c>
      <c r="J283" s="11">
        <v>44729.706458333334</v>
      </c>
      <c r="K283" s="1" t="s">
        <v>2379</v>
      </c>
      <c r="L283" s="1">
        <v>0.46</v>
      </c>
      <c r="M283" s="1">
        <v>0.78600000000000003</v>
      </c>
      <c r="N283">
        <v>6</v>
      </c>
      <c r="O283" s="1">
        <v>-4.9610000000000003</v>
      </c>
      <c r="P283">
        <v>1</v>
      </c>
      <c r="Q283" s="1">
        <v>0.42499999999999999</v>
      </c>
      <c r="R283" s="1">
        <v>0.26400000000000001</v>
      </c>
      <c r="S283" s="1">
        <v>0.1</v>
      </c>
      <c r="T283" s="1">
        <v>0.245</v>
      </c>
      <c r="U283" s="1">
        <v>0.40699999999999997</v>
      </c>
      <c r="V283" s="1">
        <v>159.946</v>
      </c>
      <c r="W283">
        <v>4</v>
      </c>
    </row>
    <row r="284" spans="1:23" x14ac:dyDescent="0.25">
      <c r="A284" s="1" t="s">
        <v>13974</v>
      </c>
      <c r="B284" s="1" t="s">
        <v>13975</v>
      </c>
      <c r="C284" s="1" t="s">
        <v>2380</v>
      </c>
      <c r="D284" s="1" t="s">
        <v>2380</v>
      </c>
      <c r="E284" s="1" t="s">
        <v>2381</v>
      </c>
      <c r="F284" s="1" t="s">
        <v>13976</v>
      </c>
      <c r="G284">
        <v>198000</v>
      </c>
      <c r="H284">
        <v>37</v>
      </c>
      <c r="I284" s="1" t="s">
        <v>11063</v>
      </c>
      <c r="J284" s="11">
        <v>44729.706458333334</v>
      </c>
      <c r="K284" s="1" t="s">
        <v>996</v>
      </c>
      <c r="L284" s="1">
        <v>0.30099999999999999</v>
      </c>
      <c r="M284" s="1">
        <v>0.72099999999999997</v>
      </c>
      <c r="N284">
        <v>5</v>
      </c>
      <c r="O284" s="1">
        <v>-7.5110000000000001</v>
      </c>
      <c r="P284">
        <v>0</v>
      </c>
      <c r="Q284" s="1">
        <v>0.69399999999999995</v>
      </c>
      <c r="R284" s="1">
        <v>0.192</v>
      </c>
      <c r="S284" s="1">
        <v>0.14000000000000001</v>
      </c>
      <c r="T284" s="1">
        <v>0.66800000000000004</v>
      </c>
      <c r="U284" s="1">
        <v>0.24</v>
      </c>
      <c r="V284" s="1">
        <v>159.81299999999999</v>
      </c>
      <c r="W284">
        <v>4</v>
      </c>
    </row>
    <row r="285" spans="1:23" x14ac:dyDescent="0.25">
      <c r="A285" s="1" t="s">
        <v>11296</v>
      </c>
      <c r="B285" s="1" t="s">
        <v>11297</v>
      </c>
      <c r="C285" s="1" t="s">
        <v>96</v>
      </c>
      <c r="D285" s="1" t="s">
        <v>11298</v>
      </c>
      <c r="E285" s="1" t="s">
        <v>97</v>
      </c>
      <c r="F285" s="1" t="s">
        <v>11299</v>
      </c>
      <c r="G285">
        <v>281514</v>
      </c>
      <c r="H285">
        <v>34</v>
      </c>
      <c r="I285" s="1" t="s">
        <v>11063</v>
      </c>
      <c r="J285" s="11">
        <v>44729.706458333334</v>
      </c>
      <c r="K285" s="1" t="s">
        <v>50</v>
      </c>
      <c r="L285" s="1">
        <v>0.82299999999999995</v>
      </c>
      <c r="M285" s="1">
        <v>0.59</v>
      </c>
      <c r="N285">
        <v>11</v>
      </c>
      <c r="O285" s="1">
        <v>-9.8620000000000001</v>
      </c>
      <c r="P285">
        <v>0</v>
      </c>
      <c r="Q285" s="1">
        <v>0.224</v>
      </c>
      <c r="R285" s="1">
        <v>0.29599999999999999</v>
      </c>
      <c r="S285" s="1">
        <v>0.84899999999999998</v>
      </c>
      <c r="T285" s="1">
        <v>0.68600000000000005</v>
      </c>
      <c r="U285" s="1">
        <v>0.34399999999999997</v>
      </c>
      <c r="V285" s="1">
        <v>120.02800000000001</v>
      </c>
      <c r="W285">
        <v>4</v>
      </c>
    </row>
    <row r="286" spans="1:23" x14ac:dyDescent="0.25">
      <c r="A286" s="1" t="s">
        <v>13977</v>
      </c>
      <c r="B286" s="1" t="s">
        <v>13978</v>
      </c>
      <c r="C286" s="1" t="s">
        <v>2382</v>
      </c>
      <c r="D286" s="1" t="s">
        <v>2382</v>
      </c>
      <c r="E286" s="1" t="s">
        <v>2383</v>
      </c>
      <c r="F286" s="1" t="s">
        <v>13979</v>
      </c>
      <c r="G286">
        <v>222073</v>
      </c>
      <c r="H286">
        <v>31</v>
      </c>
      <c r="I286" s="1" t="s">
        <v>11063</v>
      </c>
      <c r="J286" s="11">
        <v>44729.706458333334</v>
      </c>
      <c r="K286" s="1" t="s">
        <v>2384</v>
      </c>
      <c r="L286" s="1">
        <v>0.623</v>
      </c>
      <c r="M286" s="1">
        <v>0.60499999999999998</v>
      </c>
      <c r="N286">
        <v>8</v>
      </c>
      <c r="O286" s="1">
        <v>-9.18</v>
      </c>
      <c r="P286">
        <v>1</v>
      </c>
      <c r="Q286" s="1">
        <v>0.44400000000000001</v>
      </c>
      <c r="R286" s="1">
        <v>0.96599999999999997</v>
      </c>
      <c r="S286" s="1">
        <v>0.11799999999999999</v>
      </c>
      <c r="T286" s="1">
        <v>0.34</v>
      </c>
      <c r="U286" s="1">
        <v>0.222</v>
      </c>
      <c r="V286" s="1">
        <v>107.03400000000001</v>
      </c>
      <c r="W286">
        <v>4</v>
      </c>
    </row>
    <row r="287" spans="1:23" x14ac:dyDescent="0.25">
      <c r="A287" s="1" t="s">
        <v>13980</v>
      </c>
      <c r="B287" s="1" t="s">
        <v>13981</v>
      </c>
      <c r="C287" s="1" t="s">
        <v>2385</v>
      </c>
      <c r="D287" s="1" t="s">
        <v>2385</v>
      </c>
      <c r="E287" s="1" t="s">
        <v>2386</v>
      </c>
      <c r="F287" s="1" t="s">
        <v>13982</v>
      </c>
      <c r="G287">
        <v>243116</v>
      </c>
      <c r="H287">
        <v>38</v>
      </c>
      <c r="I287" s="1" t="s">
        <v>11063</v>
      </c>
      <c r="J287" s="11">
        <v>44729.706458333334</v>
      </c>
      <c r="K287" s="1" t="s">
        <v>50</v>
      </c>
      <c r="L287" s="1">
        <v>0.52300000000000002</v>
      </c>
      <c r="M287" s="1">
        <v>0.88200000000000001</v>
      </c>
      <c r="N287">
        <v>7</v>
      </c>
      <c r="O287" s="1">
        <v>-3.3180000000000001</v>
      </c>
      <c r="P287">
        <v>0</v>
      </c>
      <c r="Q287" s="1">
        <v>0.20799999999999999</v>
      </c>
      <c r="R287" s="1">
        <v>0.54700000000000004</v>
      </c>
      <c r="S287" s="1">
        <v>0.51300000000000001</v>
      </c>
      <c r="T287" s="1">
        <v>0.88100000000000001</v>
      </c>
      <c r="U287" s="1">
        <v>0.30399999999999999</v>
      </c>
      <c r="V287" s="1">
        <v>153.971</v>
      </c>
      <c r="W287">
        <v>4</v>
      </c>
    </row>
    <row r="288" spans="1:23" x14ac:dyDescent="0.25">
      <c r="A288" s="1" t="s">
        <v>13983</v>
      </c>
      <c r="B288" s="1" t="s">
        <v>13984</v>
      </c>
      <c r="C288" s="1" t="s">
        <v>2387</v>
      </c>
      <c r="D288" s="1" t="s">
        <v>13985</v>
      </c>
      <c r="E288" s="1" t="s">
        <v>2388</v>
      </c>
      <c r="F288" s="1" t="s">
        <v>13986</v>
      </c>
      <c r="G288">
        <v>252261</v>
      </c>
      <c r="H288">
        <v>43</v>
      </c>
      <c r="I288" s="1" t="s">
        <v>11063</v>
      </c>
      <c r="J288" s="11">
        <v>44729.706458333334</v>
      </c>
      <c r="K288" s="1" t="s">
        <v>933</v>
      </c>
      <c r="L288" s="1">
        <v>0.40600000000000003</v>
      </c>
      <c r="M288" s="1">
        <v>0.755</v>
      </c>
      <c r="N288">
        <v>11</v>
      </c>
      <c r="O288" s="1">
        <v>-6.4429999999999996</v>
      </c>
      <c r="P288">
        <v>1</v>
      </c>
      <c r="Q288" s="1">
        <v>0.47599999999999998</v>
      </c>
      <c r="R288" s="1">
        <v>0.26400000000000001</v>
      </c>
      <c r="S288" s="1">
        <v>0</v>
      </c>
      <c r="T288" s="1">
        <v>0.318</v>
      </c>
      <c r="U288" s="1">
        <v>0.29699999999999999</v>
      </c>
      <c r="V288" s="1">
        <v>80.296999999999997</v>
      </c>
      <c r="W288">
        <v>4</v>
      </c>
    </row>
    <row r="289" spans="1:23" x14ac:dyDescent="0.25">
      <c r="A289" s="1" t="s">
        <v>13987</v>
      </c>
      <c r="B289" s="1" t="s">
        <v>13988</v>
      </c>
      <c r="C289" s="1" t="s">
        <v>2389</v>
      </c>
      <c r="D289" s="1" t="s">
        <v>2389</v>
      </c>
      <c r="E289" s="1" t="s">
        <v>2390</v>
      </c>
      <c r="F289" s="1" t="s">
        <v>13989</v>
      </c>
      <c r="G289">
        <v>266595</v>
      </c>
      <c r="H289">
        <v>28</v>
      </c>
      <c r="I289" s="1" t="s">
        <v>11063</v>
      </c>
      <c r="J289" s="11">
        <v>44729.706458333334</v>
      </c>
      <c r="K289" s="1" t="s">
        <v>2391</v>
      </c>
      <c r="L289" s="1">
        <v>0.25</v>
      </c>
      <c r="M289" s="1">
        <v>0.81299999999999994</v>
      </c>
      <c r="N289">
        <v>10</v>
      </c>
      <c r="O289" s="1">
        <v>-3.794</v>
      </c>
      <c r="P289">
        <v>0</v>
      </c>
      <c r="Q289" s="1">
        <v>0.81299999999999994</v>
      </c>
      <c r="R289" s="1">
        <v>0.13400000000000001</v>
      </c>
      <c r="S289" s="1">
        <v>0</v>
      </c>
      <c r="T289" s="1">
        <v>0.71699999999999997</v>
      </c>
      <c r="U289" s="1">
        <v>0.115</v>
      </c>
      <c r="V289" s="1">
        <v>171.66499999999999</v>
      </c>
      <c r="W289">
        <v>4</v>
      </c>
    </row>
    <row r="290" spans="1:23" x14ac:dyDescent="0.25">
      <c r="A290" s="1" t="s">
        <v>13990</v>
      </c>
      <c r="B290" s="1" t="s">
        <v>13991</v>
      </c>
      <c r="C290" s="1" t="s">
        <v>2392</v>
      </c>
      <c r="D290" s="1" t="s">
        <v>2392</v>
      </c>
      <c r="E290" s="1" t="s">
        <v>2393</v>
      </c>
      <c r="F290" s="1" t="s">
        <v>13992</v>
      </c>
      <c r="G290">
        <v>436150</v>
      </c>
      <c r="H290">
        <v>56</v>
      </c>
      <c r="I290" s="1" t="s">
        <v>11063</v>
      </c>
      <c r="J290" s="11">
        <v>44729.706458333334</v>
      </c>
      <c r="K290" s="1" t="s">
        <v>2394</v>
      </c>
      <c r="L290" s="1">
        <v>0.84699999999999998</v>
      </c>
      <c r="M290" s="1">
        <v>0.34599999999999997</v>
      </c>
      <c r="N290">
        <v>7</v>
      </c>
      <c r="O290" s="1">
        <v>-11.243</v>
      </c>
      <c r="P290">
        <v>1</v>
      </c>
      <c r="Q290" s="1">
        <v>0.93600000000000005</v>
      </c>
      <c r="R290" s="1">
        <v>0.33900000000000002</v>
      </c>
      <c r="S290" s="1">
        <v>0.91800000000000004</v>
      </c>
      <c r="T290" s="1">
        <v>0.70399999999999996</v>
      </c>
      <c r="U290" s="1">
        <v>0.40400000000000003</v>
      </c>
      <c r="V290" s="1">
        <v>126.009</v>
      </c>
      <c r="W290">
        <v>4</v>
      </c>
    </row>
    <row r="291" spans="1:23" x14ac:dyDescent="0.25">
      <c r="A291" s="1" t="s">
        <v>13993</v>
      </c>
      <c r="B291" s="1" t="s">
        <v>13994</v>
      </c>
      <c r="C291" s="1" t="s">
        <v>2395</v>
      </c>
      <c r="D291" s="1" t="s">
        <v>2395</v>
      </c>
      <c r="E291" s="1" t="s">
        <v>2396</v>
      </c>
      <c r="F291" s="1" t="s">
        <v>11563</v>
      </c>
      <c r="G291">
        <v>217417</v>
      </c>
      <c r="H291">
        <v>19</v>
      </c>
      <c r="I291" s="1" t="s">
        <v>11063</v>
      </c>
      <c r="J291" s="11">
        <v>44729.706458333334</v>
      </c>
      <c r="K291" s="1" t="s">
        <v>50</v>
      </c>
      <c r="L291" s="1">
        <v>0.38300000000000001</v>
      </c>
      <c r="M291" s="1">
        <v>0.48699999999999999</v>
      </c>
      <c r="N291">
        <v>8</v>
      </c>
      <c r="O291" s="1">
        <v>-10.071999999999999</v>
      </c>
      <c r="P291">
        <v>0</v>
      </c>
      <c r="Q291" s="1">
        <v>0.38900000000000001</v>
      </c>
      <c r="R291" s="1">
        <v>0.33900000000000002</v>
      </c>
      <c r="S291" s="1">
        <v>0.105</v>
      </c>
      <c r="T291" s="1">
        <v>0.109</v>
      </c>
      <c r="U291" s="1">
        <v>0.186</v>
      </c>
      <c r="V291" s="1">
        <v>160.25399999999999</v>
      </c>
      <c r="W291">
        <v>4</v>
      </c>
    </row>
    <row r="292" spans="1:23" x14ac:dyDescent="0.25">
      <c r="A292" s="1" t="s">
        <v>13995</v>
      </c>
      <c r="B292" s="1" t="s">
        <v>13996</v>
      </c>
      <c r="C292" s="1" t="s">
        <v>2397</v>
      </c>
      <c r="D292" s="1" t="s">
        <v>2397</v>
      </c>
      <c r="E292" s="1" t="s">
        <v>2398</v>
      </c>
      <c r="F292" s="1" t="s">
        <v>13997</v>
      </c>
      <c r="G292">
        <v>202529</v>
      </c>
      <c r="H292">
        <v>56</v>
      </c>
      <c r="I292" s="1" t="s">
        <v>11063</v>
      </c>
      <c r="J292" s="11">
        <v>44729.706458333334</v>
      </c>
      <c r="K292" s="1" t="s">
        <v>50</v>
      </c>
      <c r="L292" s="1">
        <v>0.84599999999999997</v>
      </c>
      <c r="M292" s="1">
        <v>0.50600000000000001</v>
      </c>
      <c r="N292">
        <v>8</v>
      </c>
      <c r="O292" s="1">
        <v>-9.1259999999999994</v>
      </c>
      <c r="P292">
        <v>0</v>
      </c>
      <c r="Q292" s="1">
        <v>0.308</v>
      </c>
      <c r="R292" s="1">
        <v>0.79100000000000004</v>
      </c>
      <c r="S292" s="1">
        <v>0.107</v>
      </c>
      <c r="T292" s="1">
        <v>0.107</v>
      </c>
      <c r="U292" s="1">
        <v>0.29599999999999999</v>
      </c>
      <c r="V292" s="1">
        <v>114.95699999999999</v>
      </c>
      <c r="W292">
        <v>4</v>
      </c>
    </row>
    <row r="293" spans="1:23" x14ac:dyDescent="0.25">
      <c r="A293" s="1" t="s">
        <v>13998</v>
      </c>
      <c r="B293" s="1" t="s">
        <v>13999</v>
      </c>
      <c r="C293" s="1" t="s">
        <v>2399</v>
      </c>
      <c r="D293" s="1" t="s">
        <v>2399</v>
      </c>
      <c r="E293" s="1" t="s">
        <v>2400</v>
      </c>
      <c r="F293" s="1" t="s">
        <v>14000</v>
      </c>
      <c r="G293">
        <v>228577</v>
      </c>
      <c r="H293">
        <v>47</v>
      </c>
      <c r="I293" s="1" t="s">
        <v>11063</v>
      </c>
      <c r="J293" s="11">
        <v>44729.706458333334</v>
      </c>
      <c r="K293" s="1" t="s">
        <v>2401</v>
      </c>
      <c r="L293" s="1">
        <v>0.38200000000000001</v>
      </c>
      <c r="M293" s="1">
        <v>0.26400000000000001</v>
      </c>
      <c r="N293">
        <v>9</v>
      </c>
      <c r="O293" s="1">
        <v>-13.448</v>
      </c>
      <c r="P293">
        <v>1</v>
      </c>
      <c r="Q293" s="1">
        <v>0.378</v>
      </c>
      <c r="R293" s="1">
        <v>0.80800000000000005</v>
      </c>
      <c r="S293" s="1">
        <v>0.88700000000000001</v>
      </c>
      <c r="T293" s="1">
        <v>0.85099999999999998</v>
      </c>
      <c r="U293" s="1">
        <v>0.107</v>
      </c>
      <c r="V293" s="1">
        <v>115.794</v>
      </c>
      <c r="W293">
        <v>4</v>
      </c>
    </row>
    <row r="294" spans="1:23" x14ac:dyDescent="0.25">
      <c r="A294" s="1" t="s">
        <v>14001</v>
      </c>
      <c r="B294" s="1" t="s">
        <v>13924</v>
      </c>
      <c r="C294" s="1" t="s">
        <v>2402</v>
      </c>
      <c r="D294" s="1" t="s">
        <v>32</v>
      </c>
      <c r="E294" s="1" t="s">
        <v>2330</v>
      </c>
      <c r="F294" s="1" t="s">
        <v>13928</v>
      </c>
      <c r="G294">
        <v>355893</v>
      </c>
      <c r="H294">
        <v>44</v>
      </c>
      <c r="I294" s="1" t="s">
        <v>11063</v>
      </c>
      <c r="J294" s="11">
        <v>44729.706458333334</v>
      </c>
      <c r="K294" s="1" t="s">
        <v>2331</v>
      </c>
      <c r="L294" s="1">
        <v>0.33100000000000002</v>
      </c>
      <c r="M294" s="1">
        <v>0.42199999999999999</v>
      </c>
      <c r="N294">
        <v>7</v>
      </c>
      <c r="O294" s="1">
        <v>-10.653</v>
      </c>
      <c r="P294">
        <v>1</v>
      </c>
      <c r="Q294" s="1">
        <v>0.311</v>
      </c>
      <c r="R294" s="1">
        <v>0.69199999999999995</v>
      </c>
      <c r="S294" s="1">
        <v>0.72899999999999998</v>
      </c>
      <c r="T294" s="1">
        <v>0.107</v>
      </c>
      <c r="U294" s="1">
        <v>0.105</v>
      </c>
      <c r="V294" s="1">
        <v>79.950999999999993</v>
      </c>
      <c r="W294">
        <v>4</v>
      </c>
    </row>
    <row r="295" spans="1:23" x14ac:dyDescent="0.25">
      <c r="A295" s="1" t="s">
        <v>14002</v>
      </c>
      <c r="B295" s="1" t="s">
        <v>14003</v>
      </c>
      <c r="C295" s="1" t="s">
        <v>2403</v>
      </c>
      <c r="D295" s="1" t="s">
        <v>2404</v>
      </c>
      <c r="E295" s="1" t="s">
        <v>2404</v>
      </c>
      <c r="F295" s="1" t="s">
        <v>14004</v>
      </c>
      <c r="G295">
        <v>218307</v>
      </c>
      <c r="H295">
        <v>34</v>
      </c>
      <c r="I295" s="1" t="s">
        <v>11063</v>
      </c>
      <c r="J295" s="11">
        <v>44729.706458333334</v>
      </c>
      <c r="K295" s="1" t="s">
        <v>2405</v>
      </c>
      <c r="L295" s="1">
        <v>0.48</v>
      </c>
      <c r="M295" s="1">
        <v>0.35099999999999998</v>
      </c>
      <c r="N295">
        <v>0</v>
      </c>
      <c r="O295" s="1">
        <v>-6.6890000000000001</v>
      </c>
      <c r="P295">
        <v>1</v>
      </c>
      <c r="Q295" s="1">
        <v>0.251</v>
      </c>
      <c r="R295" s="1">
        <v>0.46</v>
      </c>
      <c r="S295" s="1">
        <v>0.59799999999999998</v>
      </c>
      <c r="T295" s="1">
        <v>0.10299999999999999</v>
      </c>
      <c r="U295" s="1">
        <v>0.39600000000000002</v>
      </c>
      <c r="V295" s="1">
        <v>83.403999999999996</v>
      </c>
      <c r="W295">
        <v>4</v>
      </c>
    </row>
    <row r="296" spans="1:23" x14ac:dyDescent="0.25">
      <c r="A296" s="1" t="s">
        <v>14005</v>
      </c>
      <c r="B296" s="1" t="s">
        <v>14006</v>
      </c>
      <c r="C296" s="1" t="s">
        <v>2406</v>
      </c>
      <c r="D296" s="1" t="s">
        <v>2406</v>
      </c>
      <c r="E296" s="1" t="s">
        <v>2407</v>
      </c>
      <c r="F296" s="1" t="s">
        <v>13767</v>
      </c>
      <c r="G296">
        <v>169218</v>
      </c>
      <c r="H296">
        <v>33</v>
      </c>
      <c r="I296" s="1" t="s">
        <v>11063</v>
      </c>
      <c r="J296" s="11">
        <v>44729.706458333334</v>
      </c>
      <c r="K296" s="1" t="s">
        <v>994</v>
      </c>
      <c r="L296" s="1">
        <v>0.83099999999999996</v>
      </c>
      <c r="M296" s="1">
        <v>0.61399999999999999</v>
      </c>
      <c r="N296">
        <v>7</v>
      </c>
      <c r="O296" s="1">
        <v>-7.5410000000000004</v>
      </c>
      <c r="P296">
        <v>0</v>
      </c>
      <c r="Q296" s="1">
        <v>0.54600000000000004</v>
      </c>
      <c r="R296" s="1">
        <v>0.84299999999999997</v>
      </c>
      <c r="S296" s="1">
        <v>0.22</v>
      </c>
      <c r="T296" s="1">
        <v>0.152</v>
      </c>
      <c r="U296" s="1">
        <v>0.36599999999999999</v>
      </c>
      <c r="V296" s="1">
        <v>127.97499999999999</v>
      </c>
      <c r="W296">
        <v>4</v>
      </c>
    </row>
    <row r="297" spans="1:23" x14ac:dyDescent="0.25">
      <c r="A297" s="1" t="s">
        <v>14007</v>
      </c>
      <c r="B297" s="1" t="s">
        <v>14008</v>
      </c>
      <c r="C297" s="1" t="s">
        <v>2408</v>
      </c>
      <c r="D297" s="1" t="s">
        <v>2408</v>
      </c>
      <c r="E297" s="1" t="s">
        <v>2409</v>
      </c>
      <c r="F297" s="1" t="s">
        <v>11643</v>
      </c>
      <c r="G297">
        <v>181395</v>
      </c>
      <c r="H297">
        <v>30</v>
      </c>
      <c r="I297" s="1" t="s">
        <v>11063</v>
      </c>
      <c r="J297" s="11">
        <v>44729.706458333334</v>
      </c>
      <c r="K297" s="1" t="s">
        <v>50</v>
      </c>
      <c r="L297" s="1">
        <v>0.27900000000000003</v>
      </c>
      <c r="M297" s="1">
        <v>0.23400000000000001</v>
      </c>
      <c r="N297">
        <v>7</v>
      </c>
      <c r="O297" s="1">
        <v>-17.103999999999999</v>
      </c>
      <c r="P297">
        <v>1</v>
      </c>
      <c r="Q297" s="1">
        <v>0.34499999999999997</v>
      </c>
      <c r="R297" s="1">
        <v>0.63700000000000001</v>
      </c>
      <c r="S297" s="1">
        <v>0.14499999999999999</v>
      </c>
      <c r="T297" s="1">
        <v>0.124</v>
      </c>
      <c r="U297" s="1">
        <v>0.111</v>
      </c>
      <c r="V297" s="1">
        <v>78.375</v>
      </c>
      <c r="W297">
        <v>1</v>
      </c>
    </row>
    <row r="298" spans="1:23" x14ac:dyDescent="0.25">
      <c r="A298" s="1" t="s">
        <v>11783</v>
      </c>
      <c r="B298" s="1" t="s">
        <v>11784</v>
      </c>
      <c r="C298" s="1" t="s">
        <v>471</v>
      </c>
      <c r="D298" s="1" t="s">
        <v>11785</v>
      </c>
      <c r="E298" s="1" t="s">
        <v>472</v>
      </c>
      <c r="F298" s="1" t="s">
        <v>11786</v>
      </c>
      <c r="G298">
        <v>138181</v>
      </c>
      <c r="H298">
        <v>32</v>
      </c>
      <c r="I298" s="1" t="s">
        <v>11063</v>
      </c>
      <c r="J298" s="11">
        <v>44729.706458333334</v>
      </c>
      <c r="K298" s="1" t="s">
        <v>50</v>
      </c>
      <c r="L298" s="1">
        <v>0.79500000000000004</v>
      </c>
      <c r="M298" s="1">
        <v>0.68300000000000005</v>
      </c>
      <c r="N298">
        <v>9</v>
      </c>
      <c r="O298" s="1">
        <v>-9.8049999999999997</v>
      </c>
      <c r="P298">
        <v>0</v>
      </c>
      <c r="Q298" s="1">
        <v>0.35</v>
      </c>
      <c r="R298" s="1">
        <v>0.25700000000000001</v>
      </c>
      <c r="S298" s="1">
        <v>0.68799999999999994</v>
      </c>
      <c r="T298" s="1">
        <v>0.81200000000000006</v>
      </c>
      <c r="U298" s="1">
        <v>0.88600000000000001</v>
      </c>
      <c r="V298" s="1">
        <v>131.97399999999999</v>
      </c>
      <c r="W298">
        <v>4</v>
      </c>
    </row>
    <row r="299" spans="1:23" x14ac:dyDescent="0.25">
      <c r="A299" s="1" t="s">
        <v>11300</v>
      </c>
      <c r="B299" s="1" t="s">
        <v>11301</v>
      </c>
      <c r="C299" s="1" t="s">
        <v>98</v>
      </c>
      <c r="D299" s="1" t="s">
        <v>98</v>
      </c>
      <c r="E299" s="1" t="s">
        <v>99</v>
      </c>
      <c r="F299" s="1" t="s">
        <v>11302</v>
      </c>
      <c r="G299">
        <v>205440</v>
      </c>
      <c r="H299">
        <v>57</v>
      </c>
      <c r="I299" s="1" t="s">
        <v>11063</v>
      </c>
      <c r="J299" s="11">
        <v>44729.706458333334</v>
      </c>
      <c r="K299" s="1" t="s">
        <v>100</v>
      </c>
      <c r="L299" s="1">
        <v>0.54600000000000004</v>
      </c>
      <c r="M299" s="1">
        <v>0.89400000000000002</v>
      </c>
      <c r="N299">
        <v>8</v>
      </c>
      <c r="O299" s="1">
        <v>-3.56</v>
      </c>
      <c r="P299">
        <v>1</v>
      </c>
      <c r="Q299" s="1">
        <v>0.89800000000000002</v>
      </c>
      <c r="R299" s="1">
        <v>0.45900000000000002</v>
      </c>
      <c r="S299" s="1">
        <v>0.106</v>
      </c>
      <c r="T299" s="1">
        <v>0.32200000000000001</v>
      </c>
      <c r="U299" s="1">
        <v>0.38700000000000001</v>
      </c>
      <c r="V299" s="1">
        <v>125.03100000000001</v>
      </c>
      <c r="W299">
        <v>4</v>
      </c>
    </row>
    <row r="300" spans="1:23" x14ac:dyDescent="0.25">
      <c r="A300" s="1" t="s">
        <v>14009</v>
      </c>
      <c r="B300" s="1" t="s">
        <v>11371</v>
      </c>
      <c r="C300" s="1" t="s">
        <v>2410</v>
      </c>
      <c r="D300" s="1" t="s">
        <v>14010</v>
      </c>
      <c r="E300" s="1" t="s">
        <v>157</v>
      </c>
      <c r="F300" s="1" t="s">
        <v>13922</v>
      </c>
      <c r="G300">
        <v>213933</v>
      </c>
      <c r="H300">
        <v>68</v>
      </c>
      <c r="I300" s="1" t="s">
        <v>11063</v>
      </c>
      <c r="J300" s="11">
        <v>44729.706458333334</v>
      </c>
      <c r="K300" s="1" t="s">
        <v>158</v>
      </c>
      <c r="L300" s="1">
        <v>0.51300000000000001</v>
      </c>
      <c r="M300" s="1">
        <v>0.628</v>
      </c>
      <c r="N300">
        <v>4</v>
      </c>
      <c r="O300" s="1">
        <v>-9.0559999999999992</v>
      </c>
      <c r="P300">
        <v>0</v>
      </c>
      <c r="Q300" s="1">
        <v>0.19</v>
      </c>
      <c r="R300" s="1">
        <v>0.997</v>
      </c>
      <c r="S300" s="1">
        <v>0</v>
      </c>
      <c r="T300" s="1">
        <v>0.14599999999999999</v>
      </c>
      <c r="U300" s="1">
        <v>0.501</v>
      </c>
      <c r="V300" s="1">
        <v>70.567999999999998</v>
      </c>
      <c r="W300">
        <v>4</v>
      </c>
    </row>
    <row r="301" spans="1:23" x14ac:dyDescent="0.25">
      <c r="A301" s="1" t="s">
        <v>14011</v>
      </c>
      <c r="B301" s="1" t="s">
        <v>11371</v>
      </c>
      <c r="C301" s="1" t="s">
        <v>2411</v>
      </c>
      <c r="D301" s="1" t="s">
        <v>14010</v>
      </c>
      <c r="E301" s="1" t="s">
        <v>157</v>
      </c>
      <c r="F301" s="1" t="s">
        <v>13922</v>
      </c>
      <c r="G301">
        <v>232146</v>
      </c>
      <c r="H301">
        <v>74</v>
      </c>
      <c r="I301" s="1" t="s">
        <v>11063</v>
      </c>
      <c r="J301" s="11">
        <v>44729.706458333334</v>
      </c>
      <c r="K301" s="1" t="s">
        <v>158</v>
      </c>
      <c r="L301" s="1">
        <v>0.73399999999999999</v>
      </c>
      <c r="M301" s="1">
        <v>0.80900000000000005</v>
      </c>
      <c r="N301">
        <v>10</v>
      </c>
      <c r="O301" s="1">
        <v>-7.2640000000000002</v>
      </c>
      <c r="P301">
        <v>0</v>
      </c>
      <c r="Q301" s="1">
        <v>0.83899999999999997</v>
      </c>
      <c r="R301" s="1">
        <v>0.26600000000000001</v>
      </c>
      <c r="S301" s="1">
        <v>0</v>
      </c>
      <c r="T301" s="1">
        <v>0.64200000000000002</v>
      </c>
      <c r="U301" s="1">
        <v>0.254</v>
      </c>
      <c r="V301" s="1">
        <v>116.024</v>
      </c>
      <c r="W301">
        <v>4</v>
      </c>
    </row>
    <row r="302" spans="1:23" x14ac:dyDescent="0.25">
      <c r="A302" s="1" t="s">
        <v>14012</v>
      </c>
      <c r="B302" s="1" t="s">
        <v>11371</v>
      </c>
      <c r="C302" s="1" t="s">
        <v>2412</v>
      </c>
      <c r="D302" s="1" t="s">
        <v>14013</v>
      </c>
      <c r="E302" s="1" t="s">
        <v>157</v>
      </c>
      <c r="F302" s="1" t="s">
        <v>14014</v>
      </c>
      <c r="G302">
        <v>206066</v>
      </c>
      <c r="H302">
        <v>78</v>
      </c>
      <c r="I302" s="1" t="s">
        <v>11063</v>
      </c>
      <c r="J302" s="11">
        <v>44729.706458333334</v>
      </c>
      <c r="K302" s="1" t="s">
        <v>158</v>
      </c>
      <c r="L302" s="1">
        <v>0.79100000000000004</v>
      </c>
      <c r="M302" s="1">
        <v>0.59</v>
      </c>
      <c r="N302">
        <v>1</v>
      </c>
      <c r="O302" s="1">
        <v>-9.2059999999999995</v>
      </c>
      <c r="P302">
        <v>0</v>
      </c>
      <c r="Q302" s="1">
        <v>0.79300000000000004</v>
      </c>
      <c r="R302" s="1">
        <v>0.99399999999999999</v>
      </c>
      <c r="S302" s="1">
        <v>0.20300000000000001</v>
      </c>
      <c r="T302" s="1">
        <v>0.65</v>
      </c>
      <c r="U302" s="1">
        <v>0.71399999999999997</v>
      </c>
      <c r="V302" s="1">
        <v>119.95099999999999</v>
      </c>
      <c r="W302">
        <v>4</v>
      </c>
    </row>
    <row r="303" spans="1:23" x14ac:dyDescent="0.25">
      <c r="A303" s="1" t="s">
        <v>14015</v>
      </c>
      <c r="B303" s="1" t="s">
        <v>14016</v>
      </c>
      <c r="C303" s="1" t="s">
        <v>2413</v>
      </c>
      <c r="D303" s="1" t="s">
        <v>14017</v>
      </c>
      <c r="E303" s="1" t="s">
        <v>2414</v>
      </c>
      <c r="F303" s="1" t="s">
        <v>14018</v>
      </c>
      <c r="G303">
        <v>174782</v>
      </c>
      <c r="H303">
        <v>38</v>
      </c>
      <c r="I303" s="1" t="s">
        <v>11063</v>
      </c>
      <c r="J303" s="11">
        <v>44729.706458333334</v>
      </c>
      <c r="K303" s="1" t="s">
        <v>998</v>
      </c>
      <c r="L303" s="1">
        <v>0.63800000000000001</v>
      </c>
      <c r="M303" s="1">
        <v>0.82899999999999996</v>
      </c>
      <c r="N303">
        <v>6</v>
      </c>
      <c r="O303" s="1">
        <v>-4.1269999999999998</v>
      </c>
      <c r="P303">
        <v>0</v>
      </c>
      <c r="Q303" s="1">
        <v>0.41699999999999998</v>
      </c>
      <c r="R303" s="1">
        <v>0.16700000000000001</v>
      </c>
      <c r="S303" s="1">
        <v>0.46100000000000002</v>
      </c>
      <c r="T303" s="1">
        <v>0.25800000000000001</v>
      </c>
      <c r="U303" s="1">
        <v>0.13400000000000001</v>
      </c>
      <c r="V303" s="1">
        <v>91.974999999999994</v>
      </c>
      <c r="W303">
        <v>4</v>
      </c>
    </row>
    <row r="304" spans="1:23" x14ac:dyDescent="0.25">
      <c r="A304" s="1" t="s">
        <v>14019</v>
      </c>
      <c r="B304" s="1" t="s">
        <v>14020</v>
      </c>
      <c r="C304" s="1" t="s">
        <v>2415</v>
      </c>
      <c r="D304" s="1" t="s">
        <v>14021</v>
      </c>
      <c r="E304" s="1" t="s">
        <v>2416</v>
      </c>
      <c r="F304" s="1" t="s">
        <v>14022</v>
      </c>
      <c r="G304">
        <v>228533</v>
      </c>
      <c r="H304">
        <v>64</v>
      </c>
      <c r="I304" s="1" t="s">
        <v>11063</v>
      </c>
      <c r="J304" s="11">
        <v>44729.706458333334</v>
      </c>
      <c r="K304" s="1" t="s">
        <v>2417</v>
      </c>
      <c r="L304" s="1">
        <v>0.40799999999999997</v>
      </c>
      <c r="M304" s="1">
        <v>0.86799999999999999</v>
      </c>
      <c r="N304">
        <v>2</v>
      </c>
      <c r="O304" s="1">
        <v>-4.4379999999999997</v>
      </c>
      <c r="P304">
        <v>0</v>
      </c>
      <c r="Q304" s="1">
        <v>0.83699999999999997</v>
      </c>
      <c r="R304" s="1">
        <v>0.82</v>
      </c>
      <c r="S304" s="1">
        <v>0</v>
      </c>
      <c r="T304" s="1">
        <v>0.151</v>
      </c>
      <c r="U304" s="1">
        <v>0.38700000000000001</v>
      </c>
      <c r="V304" s="1">
        <v>83.468999999999994</v>
      </c>
      <c r="W304">
        <v>4</v>
      </c>
    </row>
    <row r="305" spans="1:23" x14ac:dyDescent="0.25">
      <c r="A305" s="1" t="s">
        <v>14023</v>
      </c>
      <c r="B305" s="1" t="s">
        <v>14024</v>
      </c>
      <c r="C305" s="1" t="s">
        <v>2418</v>
      </c>
      <c r="D305" s="1" t="s">
        <v>14025</v>
      </c>
      <c r="E305" s="1" t="s">
        <v>2419</v>
      </c>
      <c r="F305" s="1" t="s">
        <v>14026</v>
      </c>
      <c r="G305">
        <v>250706</v>
      </c>
      <c r="H305">
        <v>66</v>
      </c>
      <c r="I305" s="1" t="s">
        <v>11063</v>
      </c>
      <c r="J305" s="11">
        <v>44729.706458333334</v>
      </c>
      <c r="K305" s="1" t="s">
        <v>2420</v>
      </c>
      <c r="L305" s="1">
        <v>0.439</v>
      </c>
      <c r="M305" s="1">
        <v>0.48899999999999999</v>
      </c>
      <c r="N305">
        <v>8</v>
      </c>
      <c r="O305" s="1">
        <v>-6.2859999999999996</v>
      </c>
      <c r="P305">
        <v>1</v>
      </c>
      <c r="Q305" s="1">
        <v>0.36799999999999999</v>
      </c>
      <c r="R305" s="1">
        <v>0.13200000000000001</v>
      </c>
      <c r="S305" s="1">
        <v>0.64300000000000002</v>
      </c>
      <c r="T305" s="1">
        <v>0.114</v>
      </c>
      <c r="U305" s="1">
        <v>0.253</v>
      </c>
      <c r="V305" s="1">
        <v>143.80799999999999</v>
      </c>
      <c r="W305">
        <v>4</v>
      </c>
    </row>
    <row r="306" spans="1:23" x14ac:dyDescent="0.25">
      <c r="A306" s="1" t="s">
        <v>14027</v>
      </c>
      <c r="B306" s="1" t="s">
        <v>14028</v>
      </c>
      <c r="C306" s="1" t="s">
        <v>2421</v>
      </c>
      <c r="D306" s="1" t="s">
        <v>2433</v>
      </c>
      <c r="E306" s="1" t="s">
        <v>2422</v>
      </c>
      <c r="F306" s="1" t="s">
        <v>11305</v>
      </c>
      <c r="G306">
        <v>259972</v>
      </c>
      <c r="H306">
        <v>54</v>
      </c>
      <c r="I306" s="1" t="s">
        <v>11063</v>
      </c>
      <c r="J306" s="11">
        <v>44729.706458333334</v>
      </c>
      <c r="K306" s="1" t="s">
        <v>103</v>
      </c>
      <c r="L306" s="1">
        <v>0.65400000000000003</v>
      </c>
      <c r="M306" s="1">
        <v>0.73</v>
      </c>
      <c r="N306">
        <v>11</v>
      </c>
      <c r="O306" s="1">
        <v>-7.3390000000000004</v>
      </c>
      <c r="P306">
        <v>0</v>
      </c>
      <c r="Q306" s="1">
        <v>0.46100000000000002</v>
      </c>
      <c r="R306" s="1">
        <v>0.35699999999999998</v>
      </c>
      <c r="S306" s="1">
        <v>0.45500000000000002</v>
      </c>
      <c r="T306" s="1">
        <v>0.36899999999999999</v>
      </c>
      <c r="U306" s="1">
        <v>0.79300000000000004</v>
      </c>
      <c r="V306" s="1">
        <v>101.996</v>
      </c>
      <c r="W306">
        <v>4</v>
      </c>
    </row>
    <row r="307" spans="1:23" x14ac:dyDescent="0.25">
      <c r="A307" s="1" t="s">
        <v>14029</v>
      </c>
      <c r="B307" s="1" t="s">
        <v>14030</v>
      </c>
      <c r="C307" s="1" t="s">
        <v>2423</v>
      </c>
      <c r="D307" s="1" t="s">
        <v>2433</v>
      </c>
      <c r="E307" s="1" t="s">
        <v>2424</v>
      </c>
      <c r="F307" s="1" t="s">
        <v>11305</v>
      </c>
      <c r="G307">
        <v>281106</v>
      </c>
      <c r="H307">
        <v>49</v>
      </c>
      <c r="I307" s="1" t="s">
        <v>11063</v>
      </c>
      <c r="J307" s="11">
        <v>44729.706458333334</v>
      </c>
      <c r="K307" s="1" t="s">
        <v>103</v>
      </c>
      <c r="L307" s="1">
        <v>0.40300000000000002</v>
      </c>
      <c r="M307" s="1">
        <v>0.64600000000000002</v>
      </c>
      <c r="N307">
        <v>0</v>
      </c>
      <c r="O307" s="1">
        <v>-8.19</v>
      </c>
      <c r="P307">
        <v>0</v>
      </c>
      <c r="Q307" s="1">
        <v>0.372</v>
      </c>
      <c r="R307" s="1">
        <v>0.443</v>
      </c>
      <c r="S307" s="1">
        <v>0.55700000000000005</v>
      </c>
      <c r="T307" s="1">
        <v>0.13100000000000001</v>
      </c>
      <c r="U307" s="1">
        <v>0.41799999999999998</v>
      </c>
      <c r="V307" s="1">
        <v>93.980999999999995</v>
      </c>
      <c r="W307">
        <v>4</v>
      </c>
    </row>
    <row r="308" spans="1:23" x14ac:dyDescent="0.25">
      <c r="A308" s="1" t="s">
        <v>14031</v>
      </c>
      <c r="B308" s="1" t="s">
        <v>11304</v>
      </c>
      <c r="C308" s="1" t="s">
        <v>2425</v>
      </c>
      <c r="D308" s="1" t="s">
        <v>2433</v>
      </c>
      <c r="E308" s="1" t="s">
        <v>102</v>
      </c>
      <c r="F308" s="1" t="s">
        <v>11305</v>
      </c>
      <c r="G308">
        <v>218826</v>
      </c>
      <c r="H308">
        <v>44</v>
      </c>
      <c r="I308" s="1" t="s">
        <v>11063</v>
      </c>
      <c r="J308" s="11">
        <v>44729.706458333334</v>
      </c>
      <c r="K308" s="1" t="s">
        <v>103</v>
      </c>
      <c r="L308" s="1">
        <v>0.64600000000000002</v>
      </c>
      <c r="M308" s="1">
        <v>0.81100000000000005</v>
      </c>
      <c r="N308">
        <v>11</v>
      </c>
      <c r="O308" s="1">
        <v>-8.782</v>
      </c>
      <c r="P308">
        <v>0</v>
      </c>
      <c r="Q308" s="1">
        <v>0.373</v>
      </c>
      <c r="R308" s="1">
        <v>0.36</v>
      </c>
      <c r="S308" s="1">
        <v>0.33300000000000002</v>
      </c>
      <c r="T308" s="1">
        <v>0.76900000000000002</v>
      </c>
      <c r="U308" s="1">
        <v>0.53100000000000003</v>
      </c>
      <c r="V308" s="1">
        <v>112.12</v>
      </c>
      <c r="W308">
        <v>4</v>
      </c>
    </row>
    <row r="309" spans="1:23" x14ac:dyDescent="0.25">
      <c r="A309" s="1" t="s">
        <v>11303</v>
      </c>
      <c r="B309" s="1" t="s">
        <v>11304</v>
      </c>
      <c r="C309" s="1" t="s">
        <v>101</v>
      </c>
      <c r="D309" s="1" t="s">
        <v>2433</v>
      </c>
      <c r="E309" s="1" t="s">
        <v>102</v>
      </c>
      <c r="F309" s="1" t="s">
        <v>11305</v>
      </c>
      <c r="G309">
        <v>240053</v>
      </c>
      <c r="H309">
        <v>45</v>
      </c>
      <c r="I309" s="1" t="s">
        <v>11063</v>
      </c>
      <c r="J309" s="11">
        <v>44729.706458333334</v>
      </c>
      <c r="K309" s="1" t="s">
        <v>103</v>
      </c>
      <c r="L309" s="1">
        <v>0.53500000000000003</v>
      </c>
      <c r="M309" s="1">
        <v>0.71699999999999997</v>
      </c>
      <c r="N309">
        <v>8</v>
      </c>
      <c r="O309" s="1">
        <v>-7.601</v>
      </c>
      <c r="P309">
        <v>1</v>
      </c>
      <c r="Q309" s="1">
        <v>0.34799999999999998</v>
      </c>
      <c r="R309" s="1">
        <v>0.39200000000000002</v>
      </c>
      <c r="S309" s="1">
        <v>0.112</v>
      </c>
      <c r="T309" s="1">
        <v>0.501</v>
      </c>
      <c r="U309" s="1">
        <v>0.39800000000000002</v>
      </c>
      <c r="V309" s="1">
        <v>144.97999999999999</v>
      </c>
      <c r="W309">
        <v>4</v>
      </c>
    </row>
    <row r="310" spans="1:23" x14ac:dyDescent="0.25">
      <c r="A310" s="1" t="s">
        <v>14032</v>
      </c>
      <c r="B310" s="1" t="s">
        <v>14033</v>
      </c>
      <c r="C310" s="1" t="s">
        <v>2426</v>
      </c>
      <c r="D310" s="1" t="s">
        <v>2433</v>
      </c>
      <c r="E310" s="1" t="s">
        <v>2427</v>
      </c>
      <c r="F310" s="1" t="s">
        <v>11305</v>
      </c>
      <c r="G310">
        <v>279733</v>
      </c>
      <c r="H310">
        <v>47</v>
      </c>
      <c r="I310" s="1" t="s">
        <v>11063</v>
      </c>
      <c r="J310" s="11">
        <v>44729.706458333334</v>
      </c>
      <c r="K310" s="1" t="s">
        <v>103</v>
      </c>
      <c r="L310" s="1">
        <v>0.57499999999999996</v>
      </c>
      <c r="M310" s="1">
        <v>0.6</v>
      </c>
      <c r="N310">
        <v>9</v>
      </c>
      <c r="O310" s="1">
        <v>-9.8160000000000007</v>
      </c>
      <c r="P310">
        <v>0</v>
      </c>
      <c r="Q310" s="1">
        <v>0.3</v>
      </c>
      <c r="R310" s="1">
        <v>0.20799999999999999</v>
      </c>
      <c r="S310" s="1">
        <v>0.83299999999999996</v>
      </c>
      <c r="T310" s="1">
        <v>0.14399999999999999</v>
      </c>
      <c r="U310" s="1">
        <v>0.72699999999999998</v>
      </c>
      <c r="V310" s="1">
        <v>100.004</v>
      </c>
      <c r="W310">
        <v>4</v>
      </c>
    </row>
    <row r="311" spans="1:23" x14ac:dyDescent="0.25">
      <c r="A311" s="1" t="s">
        <v>14034</v>
      </c>
      <c r="B311" s="1" t="s">
        <v>14033</v>
      </c>
      <c r="C311" s="1" t="s">
        <v>2428</v>
      </c>
      <c r="D311" s="1" t="s">
        <v>2433</v>
      </c>
      <c r="E311" s="1" t="s">
        <v>2427</v>
      </c>
      <c r="F311" s="1" t="s">
        <v>11305</v>
      </c>
      <c r="G311">
        <v>216600</v>
      </c>
      <c r="H311">
        <v>42</v>
      </c>
      <c r="I311" s="1" t="s">
        <v>11063</v>
      </c>
      <c r="J311" s="11">
        <v>44729.706458333334</v>
      </c>
      <c r="K311" s="1" t="s">
        <v>103</v>
      </c>
      <c r="L311" s="1">
        <v>0.222</v>
      </c>
      <c r="M311" s="1">
        <v>0.19800000000000001</v>
      </c>
      <c r="N311">
        <v>0</v>
      </c>
      <c r="O311" s="1">
        <v>-15.525</v>
      </c>
      <c r="P311">
        <v>0</v>
      </c>
      <c r="Q311" s="1">
        <v>0.35899999999999999</v>
      </c>
      <c r="R311" s="1">
        <v>0.73799999999999999</v>
      </c>
      <c r="S311" s="1">
        <v>0.69099999999999995</v>
      </c>
      <c r="T311" s="1">
        <v>0.105</v>
      </c>
      <c r="U311" s="1">
        <v>0.66800000000000004</v>
      </c>
      <c r="V311" s="1">
        <v>71.497</v>
      </c>
      <c r="W311">
        <v>4</v>
      </c>
    </row>
    <row r="312" spans="1:23" x14ac:dyDescent="0.25">
      <c r="A312" s="1" t="s">
        <v>14035</v>
      </c>
      <c r="B312" s="1" t="s">
        <v>11304</v>
      </c>
      <c r="C312" s="1" t="s">
        <v>2429</v>
      </c>
      <c r="D312" s="1" t="s">
        <v>2433</v>
      </c>
      <c r="E312" s="1" t="s">
        <v>102</v>
      </c>
      <c r="F312" s="1" t="s">
        <v>11305</v>
      </c>
      <c r="G312">
        <v>234680</v>
      </c>
      <c r="H312">
        <v>47</v>
      </c>
      <c r="I312" s="1" t="s">
        <v>11063</v>
      </c>
      <c r="J312" s="11">
        <v>44729.706458333334</v>
      </c>
      <c r="K312" s="1" t="s">
        <v>103</v>
      </c>
      <c r="L312" s="1">
        <v>0.55900000000000005</v>
      </c>
      <c r="M312" s="1">
        <v>0.72</v>
      </c>
      <c r="N312">
        <v>0</v>
      </c>
      <c r="O312" s="1">
        <v>-6.3330000000000002</v>
      </c>
      <c r="P312">
        <v>1</v>
      </c>
      <c r="Q312" s="1">
        <v>0.27600000000000002</v>
      </c>
      <c r="R312" s="1">
        <v>0.32</v>
      </c>
      <c r="S312" s="1">
        <v>0.21199999999999999</v>
      </c>
      <c r="T312" s="1">
        <v>0.98899999999999999</v>
      </c>
      <c r="U312" s="1">
        <v>0.48299999999999998</v>
      </c>
      <c r="V312" s="1">
        <v>94.983000000000004</v>
      </c>
      <c r="W312">
        <v>4</v>
      </c>
    </row>
    <row r="313" spans="1:23" x14ac:dyDescent="0.25">
      <c r="A313" s="1" t="s">
        <v>14036</v>
      </c>
      <c r="B313" s="1" t="s">
        <v>14037</v>
      </c>
      <c r="C313" s="1" t="s">
        <v>131</v>
      </c>
      <c r="D313" s="1" t="s">
        <v>2433</v>
      </c>
      <c r="E313" s="1" t="s">
        <v>2430</v>
      </c>
      <c r="F313" s="1" t="s">
        <v>11305</v>
      </c>
      <c r="G313">
        <v>258398</v>
      </c>
      <c r="H313">
        <v>46</v>
      </c>
      <c r="I313" s="1" t="s">
        <v>11063</v>
      </c>
      <c r="J313" s="11">
        <v>44729.706458333334</v>
      </c>
      <c r="K313" s="1" t="s">
        <v>2431</v>
      </c>
      <c r="L313" s="1">
        <v>0.59099999999999997</v>
      </c>
      <c r="M313" s="1">
        <v>0.42</v>
      </c>
      <c r="N313">
        <v>0</v>
      </c>
      <c r="O313" s="1">
        <v>-12.477</v>
      </c>
      <c r="P313">
        <v>0</v>
      </c>
      <c r="Q313" s="1">
        <v>0.37</v>
      </c>
      <c r="R313" s="1">
        <v>0.38100000000000001</v>
      </c>
      <c r="S313" s="1">
        <v>0.19600000000000001</v>
      </c>
      <c r="T313" s="1">
        <v>0.53300000000000003</v>
      </c>
      <c r="U313" s="1">
        <v>0.13700000000000001</v>
      </c>
      <c r="V313" s="1">
        <v>130.04</v>
      </c>
      <c r="W313">
        <v>4</v>
      </c>
    </row>
    <row r="314" spans="1:23" x14ac:dyDescent="0.25">
      <c r="A314" s="1" t="s">
        <v>14038</v>
      </c>
      <c r="B314" s="1" t="s">
        <v>14033</v>
      </c>
      <c r="C314" s="1" t="s">
        <v>2432</v>
      </c>
      <c r="D314" s="1" t="s">
        <v>2433</v>
      </c>
      <c r="E314" s="1" t="s">
        <v>2427</v>
      </c>
      <c r="F314" s="1" t="s">
        <v>11305</v>
      </c>
      <c r="G314">
        <v>219226</v>
      </c>
      <c r="H314">
        <v>46</v>
      </c>
      <c r="I314" s="1" t="s">
        <v>11063</v>
      </c>
      <c r="J314" s="11">
        <v>44729.706458333334</v>
      </c>
      <c r="K314" s="1" t="s">
        <v>103</v>
      </c>
      <c r="L314" s="1">
        <v>0.59</v>
      </c>
      <c r="M314" s="1">
        <v>0.85</v>
      </c>
      <c r="N314">
        <v>2</v>
      </c>
      <c r="O314" s="1">
        <v>-6.3860000000000001</v>
      </c>
      <c r="P314">
        <v>0</v>
      </c>
      <c r="Q314" s="1">
        <v>0.32</v>
      </c>
      <c r="R314" s="1">
        <v>0.81499999999999995</v>
      </c>
      <c r="S314" s="1">
        <v>0.94199999999999995</v>
      </c>
      <c r="T314" s="1">
        <v>0.107</v>
      </c>
      <c r="U314" s="1">
        <v>0.48699999999999999</v>
      </c>
      <c r="V314" s="1">
        <v>88.010999999999996</v>
      </c>
      <c r="W314">
        <v>4</v>
      </c>
    </row>
    <row r="315" spans="1:23" x14ac:dyDescent="0.25">
      <c r="A315" s="1" t="s">
        <v>11306</v>
      </c>
      <c r="B315" s="1" t="s">
        <v>11307</v>
      </c>
      <c r="C315" s="1" t="s">
        <v>104</v>
      </c>
      <c r="D315" s="1" t="s">
        <v>2433</v>
      </c>
      <c r="E315" s="1" t="s">
        <v>105</v>
      </c>
      <c r="F315" s="1" t="s">
        <v>11305</v>
      </c>
      <c r="G315">
        <v>198760</v>
      </c>
      <c r="H315">
        <v>55</v>
      </c>
      <c r="I315" s="1" t="s">
        <v>11063</v>
      </c>
      <c r="J315" s="11">
        <v>44729.706458333334</v>
      </c>
      <c r="K315" s="1" t="s">
        <v>106</v>
      </c>
      <c r="L315" s="1">
        <v>0.61</v>
      </c>
      <c r="M315" s="1">
        <v>0.53800000000000003</v>
      </c>
      <c r="N315">
        <v>9</v>
      </c>
      <c r="O315" s="1">
        <v>-7.4279999999999999</v>
      </c>
      <c r="P315">
        <v>0</v>
      </c>
      <c r="Q315" s="1">
        <v>0.31900000000000001</v>
      </c>
      <c r="R315" s="1">
        <v>0.38500000000000001</v>
      </c>
      <c r="S315" s="1">
        <v>0</v>
      </c>
      <c r="T315" s="1">
        <v>0.79100000000000004</v>
      </c>
      <c r="U315" s="1">
        <v>0.55600000000000005</v>
      </c>
      <c r="V315" s="1">
        <v>92.022000000000006</v>
      </c>
      <c r="W315">
        <v>4</v>
      </c>
    </row>
    <row r="316" spans="1:23" x14ac:dyDescent="0.25">
      <c r="A316" s="1" t="s">
        <v>14039</v>
      </c>
      <c r="B316" s="1" t="s">
        <v>14040</v>
      </c>
      <c r="C316" s="1" t="s">
        <v>2433</v>
      </c>
      <c r="D316" s="1" t="s">
        <v>2433</v>
      </c>
      <c r="E316" s="1" t="s">
        <v>2434</v>
      </c>
      <c r="F316" s="1" t="s">
        <v>11305</v>
      </c>
      <c r="G316">
        <v>221880</v>
      </c>
      <c r="H316">
        <v>48</v>
      </c>
      <c r="I316" s="1" t="s">
        <v>11063</v>
      </c>
      <c r="J316" s="11">
        <v>44729.706458333334</v>
      </c>
      <c r="K316" s="1" t="s">
        <v>103</v>
      </c>
      <c r="L316" s="1">
        <v>0.60399999999999998</v>
      </c>
      <c r="M316" s="1">
        <v>0.68100000000000005</v>
      </c>
      <c r="N316">
        <v>10</v>
      </c>
      <c r="O316" s="1">
        <v>-8.9329999999999998</v>
      </c>
      <c r="P316">
        <v>1</v>
      </c>
      <c r="Q316" s="1">
        <v>0.26500000000000001</v>
      </c>
      <c r="R316" s="1">
        <v>0.60699999999999998</v>
      </c>
      <c r="S316" s="1">
        <v>0.30199999999999999</v>
      </c>
      <c r="T316" s="1">
        <v>0.113</v>
      </c>
      <c r="U316" s="1">
        <v>0.56299999999999994</v>
      </c>
      <c r="V316" s="1">
        <v>91.006</v>
      </c>
      <c r="W316">
        <v>4</v>
      </c>
    </row>
    <row r="317" spans="1:23" x14ac:dyDescent="0.25">
      <c r="A317" s="1" t="s">
        <v>14041</v>
      </c>
      <c r="B317" s="1" t="s">
        <v>14033</v>
      </c>
      <c r="C317" s="1" t="s">
        <v>2435</v>
      </c>
      <c r="D317" s="1" t="s">
        <v>2433</v>
      </c>
      <c r="E317" s="1" t="s">
        <v>2427</v>
      </c>
      <c r="F317" s="1" t="s">
        <v>11305</v>
      </c>
      <c r="G317">
        <v>214000</v>
      </c>
      <c r="H317">
        <v>49</v>
      </c>
      <c r="I317" s="1" t="s">
        <v>11063</v>
      </c>
      <c r="J317" s="11">
        <v>44729.706458333334</v>
      </c>
      <c r="K317" s="1" t="s">
        <v>103</v>
      </c>
      <c r="L317" s="1">
        <v>0.49099999999999999</v>
      </c>
      <c r="M317" s="1">
        <v>0.69899999999999995</v>
      </c>
      <c r="N317">
        <v>2</v>
      </c>
      <c r="O317" s="1">
        <v>-10.5</v>
      </c>
      <c r="P317">
        <v>1</v>
      </c>
      <c r="Q317" s="1">
        <v>0.92400000000000004</v>
      </c>
      <c r="R317" s="1">
        <v>0.16200000000000001</v>
      </c>
      <c r="S317" s="1">
        <v>0.86399999999999999</v>
      </c>
      <c r="T317" s="1">
        <v>0.105</v>
      </c>
      <c r="U317" s="1">
        <v>0.76200000000000001</v>
      </c>
      <c r="V317" s="1">
        <v>130.32499999999999</v>
      </c>
      <c r="W317">
        <v>4</v>
      </c>
    </row>
    <row r="318" spans="1:23" x14ac:dyDescent="0.25">
      <c r="A318" s="1" t="s">
        <v>14042</v>
      </c>
      <c r="B318" s="1" t="s">
        <v>14043</v>
      </c>
      <c r="C318" s="1" t="s">
        <v>2436</v>
      </c>
      <c r="D318" s="1" t="s">
        <v>14044</v>
      </c>
      <c r="E318" s="1" t="s">
        <v>2437</v>
      </c>
      <c r="F318" s="1" t="s">
        <v>14045</v>
      </c>
      <c r="G318">
        <v>234026</v>
      </c>
      <c r="H318">
        <v>70</v>
      </c>
      <c r="I318" s="1" t="s">
        <v>11063</v>
      </c>
      <c r="J318" s="11">
        <v>44729.706458333334</v>
      </c>
      <c r="K318" s="1" t="s">
        <v>2438</v>
      </c>
      <c r="L318" s="1">
        <v>0.97499999999999998</v>
      </c>
      <c r="M318" s="1">
        <v>0.71099999999999997</v>
      </c>
      <c r="N318">
        <v>8</v>
      </c>
      <c r="O318" s="1">
        <v>-3.9039999999999999</v>
      </c>
      <c r="P318">
        <v>1</v>
      </c>
      <c r="Q318" s="1">
        <v>0.63200000000000001</v>
      </c>
      <c r="R318" s="1">
        <v>0.16800000000000001</v>
      </c>
      <c r="S318" s="1">
        <v>0.55200000000000005</v>
      </c>
      <c r="T318" s="1">
        <v>0.79900000000000004</v>
      </c>
      <c r="U318" s="1">
        <v>0.81499999999999995</v>
      </c>
      <c r="V318" s="1">
        <v>110.621</v>
      </c>
      <c r="W318">
        <v>4</v>
      </c>
    </row>
    <row r="319" spans="1:23" x14ac:dyDescent="0.25">
      <c r="A319" s="1" t="s">
        <v>11308</v>
      </c>
      <c r="B319" s="1" t="s">
        <v>11309</v>
      </c>
      <c r="C319" s="1" t="s">
        <v>2439</v>
      </c>
      <c r="D319" s="1" t="s">
        <v>2439</v>
      </c>
      <c r="E319" s="1" t="s">
        <v>107</v>
      </c>
      <c r="F319" s="1" t="s">
        <v>11310</v>
      </c>
      <c r="G319">
        <v>208473</v>
      </c>
      <c r="H319">
        <v>73</v>
      </c>
      <c r="I319" s="1" t="s">
        <v>11063</v>
      </c>
      <c r="J319" s="11">
        <v>44729.706458333334</v>
      </c>
      <c r="K319" s="1" t="s">
        <v>108</v>
      </c>
      <c r="L319" s="1">
        <v>0.73699999999999999</v>
      </c>
      <c r="M319" s="1">
        <v>0.82799999999999996</v>
      </c>
      <c r="N319">
        <v>11</v>
      </c>
      <c r="O319" s="1">
        <v>-4.7110000000000003</v>
      </c>
      <c r="P319">
        <v>1</v>
      </c>
      <c r="Q319" s="1">
        <v>0.39600000000000002</v>
      </c>
      <c r="R319" s="1">
        <v>0.14899999999999999</v>
      </c>
      <c r="S319" s="1">
        <v>0.58799999999999997</v>
      </c>
      <c r="T319" s="1">
        <v>0.86199999999999999</v>
      </c>
      <c r="U319" s="1">
        <v>0.51700000000000002</v>
      </c>
      <c r="V319" s="1">
        <v>124.051</v>
      </c>
      <c r="W319">
        <v>4</v>
      </c>
    </row>
    <row r="320" spans="1:23" x14ac:dyDescent="0.25">
      <c r="A320" s="1" t="s">
        <v>14046</v>
      </c>
      <c r="B320" s="1" t="s">
        <v>13634</v>
      </c>
      <c r="C320" s="1" t="s">
        <v>2440</v>
      </c>
      <c r="D320" s="1" t="s">
        <v>14047</v>
      </c>
      <c r="E320" s="1" t="s">
        <v>2085</v>
      </c>
      <c r="F320" s="1" t="s">
        <v>11243</v>
      </c>
      <c r="G320">
        <v>168259</v>
      </c>
      <c r="H320">
        <v>74</v>
      </c>
      <c r="I320" s="1" t="s">
        <v>11063</v>
      </c>
      <c r="J320" s="11">
        <v>44729.706458333334</v>
      </c>
      <c r="K320" s="1" t="s">
        <v>2086</v>
      </c>
      <c r="L320" s="1">
        <v>0.68200000000000005</v>
      </c>
      <c r="M320" s="1">
        <v>0.72</v>
      </c>
      <c r="N320">
        <v>11</v>
      </c>
      <c r="O320" s="1">
        <v>-8.1760000000000002</v>
      </c>
      <c r="P320">
        <v>0</v>
      </c>
      <c r="Q320" s="1">
        <v>0.38200000000000001</v>
      </c>
      <c r="R320" s="1">
        <v>0.32100000000000001</v>
      </c>
      <c r="S320" s="1">
        <v>0</v>
      </c>
      <c r="T320" s="1">
        <v>0.20499999999999999</v>
      </c>
      <c r="U320" s="1">
        <v>0.64900000000000002</v>
      </c>
      <c r="V320" s="1">
        <v>116.988</v>
      </c>
      <c r="W320">
        <v>4</v>
      </c>
    </row>
    <row r="321" spans="1:23" x14ac:dyDescent="0.25">
      <c r="A321" s="1" t="s">
        <v>14048</v>
      </c>
      <c r="B321" s="1" t="s">
        <v>14049</v>
      </c>
      <c r="C321" s="1" t="s">
        <v>2441</v>
      </c>
      <c r="D321" s="1" t="s">
        <v>14050</v>
      </c>
      <c r="E321" s="1" t="s">
        <v>2442</v>
      </c>
      <c r="F321" s="1" t="s">
        <v>11387</v>
      </c>
      <c r="G321">
        <v>231960</v>
      </c>
      <c r="H321">
        <v>60</v>
      </c>
      <c r="I321" s="1" t="s">
        <v>11063</v>
      </c>
      <c r="J321" s="11">
        <v>44729.706458333334</v>
      </c>
      <c r="K321" s="1" t="s">
        <v>2438</v>
      </c>
      <c r="L321" s="1">
        <v>0.73399999999999999</v>
      </c>
      <c r="M321" s="1">
        <v>0.92700000000000005</v>
      </c>
      <c r="N321">
        <v>8</v>
      </c>
      <c r="O321" s="1">
        <v>-4.2439999999999998</v>
      </c>
      <c r="P321">
        <v>0</v>
      </c>
      <c r="Q321" s="1">
        <v>0.42</v>
      </c>
      <c r="R321" s="1">
        <v>0.76</v>
      </c>
      <c r="S321" s="1">
        <v>0.13400000000000001</v>
      </c>
      <c r="T321" s="1">
        <v>0.46500000000000002</v>
      </c>
      <c r="U321" s="1">
        <v>0.90100000000000002</v>
      </c>
      <c r="V321" s="1">
        <v>118.039</v>
      </c>
      <c r="W321">
        <v>4</v>
      </c>
    </row>
    <row r="322" spans="1:23" x14ac:dyDescent="0.25">
      <c r="A322" s="1" t="s">
        <v>14051</v>
      </c>
      <c r="B322" s="1" t="s">
        <v>14052</v>
      </c>
      <c r="C322" s="1" t="s">
        <v>2443</v>
      </c>
      <c r="D322" s="1" t="s">
        <v>14044</v>
      </c>
      <c r="E322" s="1" t="s">
        <v>2444</v>
      </c>
      <c r="F322" s="1" t="s">
        <v>14045</v>
      </c>
      <c r="G322">
        <v>184400</v>
      </c>
      <c r="H322">
        <v>75</v>
      </c>
      <c r="I322" s="1" t="s">
        <v>11063</v>
      </c>
      <c r="J322" s="11">
        <v>44729.706458333334</v>
      </c>
      <c r="K322" s="1" t="s">
        <v>2445</v>
      </c>
      <c r="L322" s="1">
        <v>0.65300000000000002</v>
      </c>
      <c r="M322" s="1">
        <v>0.60399999999999998</v>
      </c>
      <c r="N322">
        <v>8</v>
      </c>
      <c r="O322" s="1">
        <v>-6.0170000000000003</v>
      </c>
      <c r="P322">
        <v>1</v>
      </c>
      <c r="Q322" s="1">
        <v>0.27800000000000002</v>
      </c>
      <c r="R322" s="1">
        <v>0.29199999999999998</v>
      </c>
      <c r="S322" s="1">
        <v>0</v>
      </c>
      <c r="T322" s="1">
        <v>0.97</v>
      </c>
      <c r="U322" s="1">
        <v>0.10100000000000001</v>
      </c>
      <c r="V322" s="1">
        <v>118.01600000000001</v>
      </c>
      <c r="W322">
        <v>4</v>
      </c>
    </row>
    <row r="323" spans="1:23" x14ac:dyDescent="0.25">
      <c r="A323" s="1" t="s">
        <v>14053</v>
      </c>
      <c r="B323" s="1" t="s">
        <v>14054</v>
      </c>
      <c r="C323" s="1" t="s">
        <v>2446</v>
      </c>
      <c r="D323" s="1" t="s">
        <v>14055</v>
      </c>
      <c r="E323" s="1" t="s">
        <v>2447</v>
      </c>
      <c r="F323" s="1" t="s">
        <v>13822</v>
      </c>
      <c r="G323">
        <v>223080</v>
      </c>
      <c r="H323">
        <v>80</v>
      </c>
      <c r="I323" s="1" t="s">
        <v>11063</v>
      </c>
      <c r="J323" s="11">
        <v>44729.706458333334</v>
      </c>
      <c r="K323" s="1" t="s">
        <v>2448</v>
      </c>
      <c r="L323" s="1">
        <v>0.872</v>
      </c>
      <c r="M323" s="1">
        <v>0.872</v>
      </c>
      <c r="N323">
        <v>1</v>
      </c>
      <c r="O323" s="1">
        <v>-6.3280000000000003</v>
      </c>
      <c r="P323">
        <v>1</v>
      </c>
      <c r="Q323" s="1">
        <v>0.13900000000000001</v>
      </c>
      <c r="R323" s="1">
        <v>0.47599999999999998</v>
      </c>
      <c r="S323" s="1">
        <v>0.112</v>
      </c>
      <c r="T323" s="1">
        <v>0.54300000000000004</v>
      </c>
      <c r="U323" s="1">
        <v>0.80900000000000005</v>
      </c>
      <c r="V323" s="1">
        <v>116.94799999999999</v>
      </c>
      <c r="W323">
        <v>4</v>
      </c>
    </row>
    <row r="324" spans="1:23" x14ac:dyDescent="0.25">
      <c r="A324" s="1" t="s">
        <v>14056</v>
      </c>
      <c r="B324" s="1" t="s">
        <v>14057</v>
      </c>
      <c r="C324" s="1" t="s">
        <v>2449</v>
      </c>
      <c r="D324" s="1" t="s">
        <v>14055</v>
      </c>
      <c r="E324" s="1" t="s">
        <v>2450</v>
      </c>
      <c r="F324" s="1" t="s">
        <v>13822</v>
      </c>
      <c r="G324">
        <v>242293</v>
      </c>
      <c r="H324">
        <v>82</v>
      </c>
      <c r="I324" s="1" t="s">
        <v>11063</v>
      </c>
      <c r="J324" s="11">
        <v>44729.706458333334</v>
      </c>
      <c r="K324" s="1" t="s">
        <v>2451</v>
      </c>
      <c r="L324" s="1">
        <v>0.80800000000000005</v>
      </c>
      <c r="M324" s="1">
        <v>0.97</v>
      </c>
      <c r="N324">
        <v>10</v>
      </c>
      <c r="O324" s="1">
        <v>-6.0979999999999999</v>
      </c>
      <c r="P324">
        <v>0</v>
      </c>
      <c r="Q324" s="1">
        <v>0.50600000000000001</v>
      </c>
      <c r="R324" s="1">
        <v>0.56899999999999995</v>
      </c>
      <c r="S324" s="1">
        <v>0.61299999999999999</v>
      </c>
      <c r="T324" s="1">
        <v>0.154</v>
      </c>
      <c r="U324" s="1">
        <v>0.86799999999999999</v>
      </c>
      <c r="V324" s="1">
        <v>114.328</v>
      </c>
      <c r="W324">
        <v>4</v>
      </c>
    </row>
    <row r="325" spans="1:23" x14ac:dyDescent="0.25">
      <c r="A325" s="1" t="s">
        <v>11311</v>
      </c>
      <c r="B325" s="1" t="s">
        <v>11312</v>
      </c>
      <c r="C325" s="1" t="s">
        <v>2452</v>
      </c>
      <c r="D325" s="1" t="s">
        <v>2452</v>
      </c>
      <c r="E325" s="1" t="s">
        <v>109</v>
      </c>
      <c r="F325" s="1" t="s">
        <v>11313</v>
      </c>
      <c r="G325">
        <v>253121</v>
      </c>
      <c r="H325">
        <v>63</v>
      </c>
      <c r="I325" s="1" t="s">
        <v>11063</v>
      </c>
      <c r="J325" s="11">
        <v>44729.706458333334</v>
      </c>
      <c r="K325" s="1" t="s">
        <v>110</v>
      </c>
      <c r="L325" s="1">
        <v>0.63500000000000001</v>
      </c>
      <c r="M325" s="1">
        <v>0.83499999999999996</v>
      </c>
      <c r="N325">
        <v>8</v>
      </c>
      <c r="O325" s="1">
        <v>-2.8759999999999999</v>
      </c>
      <c r="P325">
        <v>1</v>
      </c>
      <c r="Q325" s="1">
        <v>0.58899999999999997</v>
      </c>
      <c r="R325" s="1">
        <v>0.94799999999999995</v>
      </c>
      <c r="S325" s="1">
        <v>0.11899999999999999</v>
      </c>
      <c r="T325" s="1">
        <v>0.28499999999999998</v>
      </c>
      <c r="U325" s="1">
        <v>0.216</v>
      </c>
      <c r="V325" s="1">
        <v>109.98699999999999</v>
      </c>
      <c r="W325">
        <v>4</v>
      </c>
    </row>
    <row r="326" spans="1:23" x14ac:dyDescent="0.25">
      <c r="A326" s="1" t="s">
        <v>14058</v>
      </c>
      <c r="B326" s="1" t="s">
        <v>14059</v>
      </c>
      <c r="C326" s="1" t="s">
        <v>2374</v>
      </c>
      <c r="D326" s="1" t="s">
        <v>2374</v>
      </c>
      <c r="E326" s="1" t="s">
        <v>2453</v>
      </c>
      <c r="F326" s="1" t="s">
        <v>14060</v>
      </c>
      <c r="G326">
        <v>164166</v>
      </c>
      <c r="H326">
        <v>62</v>
      </c>
      <c r="I326" s="1" t="s">
        <v>11063</v>
      </c>
      <c r="J326" s="11">
        <v>44729.706458333334</v>
      </c>
      <c r="K326" s="1" t="s">
        <v>2454</v>
      </c>
      <c r="L326" s="1">
        <v>0.498</v>
      </c>
      <c r="M326" s="1">
        <v>0.68899999999999995</v>
      </c>
      <c r="N326">
        <v>6</v>
      </c>
      <c r="O326" s="1">
        <v>-5.8490000000000002</v>
      </c>
      <c r="P326">
        <v>0</v>
      </c>
      <c r="Q326" s="1">
        <v>0.77200000000000002</v>
      </c>
      <c r="R326" s="1">
        <v>0.78400000000000003</v>
      </c>
      <c r="S326" s="1">
        <v>0</v>
      </c>
      <c r="T326" s="1">
        <v>0.188</v>
      </c>
      <c r="U326" s="1">
        <v>0.17599999999999999</v>
      </c>
      <c r="V326" s="1">
        <v>143.804</v>
      </c>
      <c r="W326">
        <v>4</v>
      </c>
    </row>
    <row r="327" spans="1:23" x14ac:dyDescent="0.25">
      <c r="A327" s="1" t="s">
        <v>14061</v>
      </c>
      <c r="B327" s="1" t="s">
        <v>14062</v>
      </c>
      <c r="C327" s="1" t="s">
        <v>2455</v>
      </c>
      <c r="D327" s="1" t="s">
        <v>2455</v>
      </c>
      <c r="E327" s="1" t="s">
        <v>2456</v>
      </c>
      <c r="F327" s="1" t="s">
        <v>13775</v>
      </c>
      <c r="G327">
        <v>136585</v>
      </c>
      <c r="H327">
        <v>55</v>
      </c>
      <c r="I327" s="1" t="s">
        <v>11063</v>
      </c>
      <c r="J327" s="11">
        <v>44729.706458333334</v>
      </c>
      <c r="K327" s="1" t="s">
        <v>2457</v>
      </c>
      <c r="L327" s="1">
        <v>0.78500000000000003</v>
      </c>
      <c r="M327" s="1">
        <v>0.749</v>
      </c>
      <c r="N327">
        <v>8</v>
      </c>
      <c r="O327" s="1">
        <v>-5.8760000000000003</v>
      </c>
      <c r="P327">
        <v>0</v>
      </c>
      <c r="Q327" s="1">
        <v>0.17899999999999999</v>
      </c>
      <c r="R327" s="1">
        <v>0.7</v>
      </c>
      <c r="S327" s="1">
        <v>0.32200000000000001</v>
      </c>
      <c r="T327" s="1">
        <v>0.39900000000000002</v>
      </c>
      <c r="U327" s="1">
        <v>0.40500000000000003</v>
      </c>
      <c r="V327" s="1">
        <v>122.91500000000001</v>
      </c>
      <c r="W327">
        <v>4</v>
      </c>
    </row>
    <row r="328" spans="1:23" x14ac:dyDescent="0.25">
      <c r="A328" s="1" t="s">
        <v>14063</v>
      </c>
      <c r="B328" s="1" t="s">
        <v>14064</v>
      </c>
      <c r="C328" s="1" t="s">
        <v>2458</v>
      </c>
      <c r="D328" s="1" t="s">
        <v>14065</v>
      </c>
      <c r="E328" s="1" t="s">
        <v>2459</v>
      </c>
      <c r="F328" s="1" t="s">
        <v>13775</v>
      </c>
      <c r="G328">
        <v>295300</v>
      </c>
      <c r="H328">
        <v>56</v>
      </c>
      <c r="I328" s="1" t="s">
        <v>11063</v>
      </c>
      <c r="J328" s="11">
        <v>44729.706458333334</v>
      </c>
      <c r="K328" s="1" t="s">
        <v>2460</v>
      </c>
      <c r="L328" s="1">
        <v>0.751</v>
      </c>
      <c r="M328" s="1">
        <v>0.79500000000000004</v>
      </c>
      <c r="N328">
        <v>7</v>
      </c>
      <c r="O328" s="1">
        <v>-7.6070000000000002</v>
      </c>
      <c r="P328">
        <v>0</v>
      </c>
      <c r="Q328" s="1">
        <v>0.59299999999999997</v>
      </c>
      <c r="R328" s="1">
        <v>0.97199999999999998</v>
      </c>
      <c r="S328" s="1">
        <v>0.312</v>
      </c>
      <c r="T328" s="1">
        <v>0.54700000000000004</v>
      </c>
      <c r="U328" s="1">
        <v>0.33200000000000002</v>
      </c>
      <c r="V328" s="1">
        <v>125.994</v>
      </c>
      <c r="W328">
        <v>4</v>
      </c>
    </row>
    <row r="329" spans="1:23" x14ac:dyDescent="0.25">
      <c r="A329" s="1" t="s">
        <v>11314</v>
      </c>
      <c r="B329" s="1" t="s">
        <v>11315</v>
      </c>
      <c r="C329" s="1" t="s">
        <v>111</v>
      </c>
      <c r="D329" s="1" t="s">
        <v>111</v>
      </c>
      <c r="E329" s="1" t="s">
        <v>112</v>
      </c>
      <c r="F329" s="1" t="s">
        <v>11316</v>
      </c>
      <c r="G329">
        <v>165264</v>
      </c>
      <c r="H329">
        <v>88</v>
      </c>
      <c r="I329" s="1" t="s">
        <v>11063</v>
      </c>
      <c r="J329" s="11">
        <v>44729.706458333334</v>
      </c>
      <c r="K329" s="1" t="s">
        <v>113</v>
      </c>
      <c r="L329" s="1">
        <v>0.77300000000000002</v>
      </c>
      <c r="M329" s="1">
        <v>0.74199999999999999</v>
      </c>
      <c r="N329">
        <v>5</v>
      </c>
      <c r="O329" s="1">
        <v>-3.6779999999999999</v>
      </c>
      <c r="P329">
        <v>0</v>
      </c>
      <c r="Q329" s="1">
        <v>0.46</v>
      </c>
      <c r="R329" s="1">
        <v>0.20599999999999999</v>
      </c>
      <c r="S329" s="1">
        <v>0</v>
      </c>
      <c r="T329" s="1">
        <v>0.754</v>
      </c>
      <c r="U329" s="1">
        <v>0.57099999999999995</v>
      </c>
      <c r="V329" s="1">
        <v>114.071</v>
      </c>
      <c r="W329">
        <v>4</v>
      </c>
    </row>
    <row r="330" spans="1:23" x14ac:dyDescent="0.25">
      <c r="A330" s="1" t="s">
        <v>14066</v>
      </c>
      <c r="B330" s="1" t="s">
        <v>13642</v>
      </c>
      <c r="C330" s="1" t="s">
        <v>2461</v>
      </c>
      <c r="D330" s="1" t="s">
        <v>14067</v>
      </c>
      <c r="E330" s="1" t="s">
        <v>2096</v>
      </c>
      <c r="F330" s="1" t="s">
        <v>14068</v>
      </c>
      <c r="G330">
        <v>173799</v>
      </c>
      <c r="H330">
        <v>49</v>
      </c>
      <c r="I330" s="1" t="s">
        <v>11063</v>
      </c>
      <c r="J330" s="11">
        <v>44729.706458333334</v>
      </c>
      <c r="K330" s="1" t="s">
        <v>1043</v>
      </c>
      <c r="L330" s="1">
        <v>0.878</v>
      </c>
      <c r="M330" s="1">
        <v>0.23300000000000001</v>
      </c>
      <c r="N330">
        <v>8</v>
      </c>
      <c r="O330" s="1">
        <v>-20.312999999999999</v>
      </c>
      <c r="P330">
        <v>1</v>
      </c>
      <c r="Q330" s="1">
        <v>0.56699999999999995</v>
      </c>
      <c r="R330" s="1">
        <v>0.502</v>
      </c>
      <c r="S330" s="1">
        <v>0</v>
      </c>
      <c r="T330" s="1">
        <v>0.82199999999999995</v>
      </c>
      <c r="U330" s="1">
        <v>0.17699999999999999</v>
      </c>
      <c r="V330" s="1">
        <v>116.063</v>
      </c>
      <c r="W330">
        <v>4</v>
      </c>
    </row>
    <row r="331" spans="1:23" x14ac:dyDescent="0.25">
      <c r="A331" s="1" t="s">
        <v>14069</v>
      </c>
      <c r="B331" s="1" t="s">
        <v>13642</v>
      </c>
      <c r="C331" s="1" t="s">
        <v>2462</v>
      </c>
      <c r="D331" s="1" t="s">
        <v>14070</v>
      </c>
      <c r="E331" s="1" t="s">
        <v>2096</v>
      </c>
      <c r="F331" s="1" t="s">
        <v>11415</v>
      </c>
      <c r="G331">
        <v>108046</v>
      </c>
      <c r="H331">
        <v>59</v>
      </c>
      <c r="I331" s="1" t="s">
        <v>11063</v>
      </c>
      <c r="J331" s="11">
        <v>44729.706458333334</v>
      </c>
      <c r="K331" s="1" t="s">
        <v>1043</v>
      </c>
      <c r="L331" s="1">
        <v>0.76800000000000002</v>
      </c>
      <c r="M331" s="1">
        <v>0.50800000000000001</v>
      </c>
      <c r="N331">
        <v>0</v>
      </c>
      <c r="O331" s="1">
        <v>-9.5909999999999993</v>
      </c>
      <c r="P331">
        <v>1</v>
      </c>
      <c r="Q331" s="1">
        <v>0.73099999999999998</v>
      </c>
      <c r="R331" s="1">
        <v>0.84199999999999997</v>
      </c>
      <c r="S331" s="1">
        <v>0.188</v>
      </c>
      <c r="T331" s="1">
        <v>0.87</v>
      </c>
      <c r="U331" s="1">
        <v>0.39400000000000002</v>
      </c>
      <c r="V331" s="1">
        <v>115.158</v>
      </c>
      <c r="W331">
        <v>4</v>
      </c>
    </row>
    <row r="332" spans="1:23" x14ac:dyDescent="0.25">
      <c r="A332" s="1" t="s">
        <v>14071</v>
      </c>
      <c r="B332" s="1" t="s">
        <v>13642</v>
      </c>
      <c r="C332" s="1" t="s">
        <v>2463</v>
      </c>
      <c r="D332" s="1" t="s">
        <v>14072</v>
      </c>
      <c r="E332" s="1" t="s">
        <v>2096</v>
      </c>
      <c r="F332" s="1" t="s">
        <v>14073</v>
      </c>
      <c r="G332">
        <v>221142</v>
      </c>
      <c r="H332">
        <v>52</v>
      </c>
      <c r="I332" s="1" t="s">
        <v>11063</v>
      </c>
      <c r="J332" s="11">
        <v>44729.706458333334</v>
      </c>
      <c r="K332" s="1" t="s">
        <v>1043</v>
      </c>
      <c r="L332" s="1">
        <v>0.66</v>
      </c>
      <c r="M332" s="1">
        <v>0.39600000000000002</v>
      </c>
      <c r="N332">
        <v>7</v>
      </c>
      <c r="O332" s="1">
        <v>-10.489000000000001</v>
      </c>
      <c r="P332">
        <v>0</v>
      </c>
      <c r="Q332" s="1">
        <v>0.46500000000000002</v>
      </c>
      <c r="R332" s="1">
        <v>0.87</v>
      </c>
      <c r="S332" s="1">
        <v>0.14099999999999999</v>
      </c>
      <c r="T332" s="1">
        <v>0.90100000000000002</v>
      </c>
      <c r="U332" s="1">
        <v>0.5</v>
      </c>
      <c r="V332" s="1">
        <v>140.05600000000001</v>
      </c>
      <c r="W332">
        <v>4</v>
      </c>
    </row>
    <row r="333" spans="1:23" x14ac:dyDescent="0.25">
      <c r="A333" s="1" t="s">
        <v>14074</v>
      </c>
      <c r="B333" s="1" t="s">
        <v>13642</v>
      </c>
      <c r="C333" s="1" t="s">
        <v>2464</v>
      </c>
      <c r="D333" s="1" t="s">
        <v>14070</v>
      </c>
      <c r="E333" s="1" t="s">
        <v>2096</v>
      </c>
      <c r="F333" s="1" t="s">
        <v>11415</v>
      </c>
      <c r="G333">
        <v>120865</v>
      </c>
      <c r="H333">
        <v>56</v>
      </c>
      <c r="I333" s="1" t="s">
        <v>11063</v>
      </c>
      <c r="J333" s="11">
        <v>44729.706458333334</v>
      </c>
      <c r="K333" s="1" t="s">
        <v>1043</v>
      </c>
      <c r="L333" s="1">
        <v>0.78800000000000003</v>
      </c>
      <c r="M333" s="1">
        <v>0.29899999999999999</v>
      </c>
      <c r="N333">
        <v>11</v>
      </c>
      <c r="O333" s="1">
        <v>-14.746</v>
      </c>
      <c r="P333">
        <v>1</v>
      </c>
      <c r="Q333" s="1">
        <v>0.30399999999999999</v>
      </c>
      <c r="R333" s="1">
        <v>0.54400000000000004</v>
      </c>
      <c r="S333" s="1">
        <v>0.121</v>
      </c>
      <c r="T333" s="1">
        <v>0.11</v>
      </c>
      <c r="U333" s="1">
        <v>0.192</v>
      </c>
      <c r="V333" s="1">
        <v>133.02099999999999</v>
      </c>
      <c r="W333">
        <v>4</v>
      </c>
    </row>
    <row r="334" spans="1:23" x14ac:dyDescent="0.25">
      <c r="A334" s="1" t="s">
        <v>14075</v>
      </c>
      <c r="B334" s="1" t="s">
        <v>14076</v>
      </c>
      <c r="C334" s="1" t="s">
        <v>2465</v>
      </c>
      <c r="D334" s="1" t="s">
        <v>2465</v>
      </c>
      <c r="E334" s="1" t="s">
        <v>2466</v>
      </c>
      <c r="F334" s="1" t="s">
        <v>14077</v>
      </c>
      <c r="G334">
        <v>124624</v>
      </c>
      <c r="H334">
        <v>58</v>
      </c>
      <c r="I334" s="1" t="s">
        <v>11063</v>
      </c>
      <c r="J334" s="11">
        <v>44729.706458333334</v>
      </c>
      <c r="K334" s="1" t="s">
        <v>1043</v>
      </c>
      <c r="L334" s="1">
        <v>0.92100000000000004</v>
      </c>
      <c r="M334" s="1">
        <v>0.307</v>
      </c>
      <c r="N334">
        <v>1</v>
      </c>
      <c r="O334" s="1">
        <v>-12.542</v>
      </c>
      <c r="P334">
        <v>1</v>
      </c>
      <c r="Q334" s="1">
        <v>0.68200000000000005</v>
      </c>
      <c r="R334" s="1">
        <v>0.80900000000000005</v>
      </c>
      <c r="S334" s="1">
        <v>0.47899999999999998</v>
      </c>
      <c r="T334" s="1">
        <v>0.91900000000000004</v>
      </c>
      <c r="U334" s="1">
        <v>0.65700000000000003</v>
      </c>
      <c r="V334" s="1">
        <v>124.96599999999999</v>
      </c>
      <c r="W334">
        <v>3</v>
      </c>
    </row>
    <row r="335" spans="1:23" x14ac:dyDescent="0.25">
      <c r="A335" s="1" t="s">
        <v>11317</v>
      </c>
      <c r="B335" s="1" t="s">
        <v>11318</v>
      </c>
      <c r="C335" s="1" t="s">
        <v>114</v>
      </c>
      <c r="D335" s="1" t="s">
        <v>5486</v>
      </c>
      <c r="E335" s="1" t="s">
        <v>115</v>
      </c>
      <c r="F335" s="1" t="s">
        <v>11319</v>
      </c>
      <c r="G335">
        <v>237720</v>
      </c>
      <c r="H335">
        <v>89</v>
      </c>
      <c r="I335" s="1" t="s">
        <v>11063</v>
      </c>
      <c r="J335" s="11">
        <v>44729.706458333334</v>
      </c>
      <c r="K335" s="1" t="s">
        <v>116</v>
      </c>
      <c r="L335" s="1">
        <v>0.67100000000000004</v>
      </c>
      <c r="M335" s="1">
        <v>0.67300000000000004</v>
      </c>
      <c r="N335">
        <v>11</v>
      </c>
      <c r="O335" s="1">
        <v>-6.9409999999999998</v>
      </c>
      <c r="P335">
        <v>0</v>
      </c>
      <c r="Q335" s="1">
        <v>0.44400000000000001</v>
      </c>
      <c r="R335" s="1">
        <v>0.14799999999999999</v>
      </c>
      <c r="S335" s="1">
        <v>0.52900000000000003</v>
      </c>
      <c r="T335" s="1">
        <v>0.30399999999999999</v>
      </c>
      <c r="U335" s="1">
        <v>0.49399999999999999</v>
      </c>
      <c r="V335" s="1">
        <v>121.96299999999999</v>
      </c>
      <c r="W335">
        <v>4</v>
      </c>
    </row>
    <row r="336" spans="1:23" x14ac:dyDescent="0.25">
      <c r="A336" s="1" t="s">
        <v>11320</v>
      </c>
      <c r="B336" s="1" t="s">
        <v>11321</v>
      </c>
      <c r="C336" s="1" t="s">
        <v>117</v>
      </c>
      <c r="D336" s="1" t="s">
        <v>11322</v>
      </c>
      <c r="E336" s="1" t="s">
        <v>118</v>
      </c>
      <c r="F336" s="1" t="s">
        <v>11323</v>
      </c>
      <c r="G336">
        <v>231546</v>
      </c>
      <c r="H336">
        <v>77</v>
      </c>
      <c r="I336" s="1" t="s">
        <v>11063</v>
      </c>
      <c r="J336" s="11">
        <v>44729.706458333334</v>
      </c>
      <c r="K336" s="1" t="s">
        <v>119</v>
      </c>
      <c r="L336" s="1">
        <v>0.53400000000000003</v>
      </c>
      <c r="M336" s="1">
        <v>0.58299999999999996</v>
      </c>
      <c r="N336">
        <v>2</v>
      </c>
      <c r="O336" s="1">
        <v>-8.6720000000000006</v>
      </c>
      <c r="P336">
        <v>1</v>
      </c>
      <c r="Q336" s="1">
        <v>0.28799999999999998</v>
      </c>
      <c r="R336" s="1">
        <v>0.26200000000000001</v>
      </c>
      <c r="S336" s="1">
        <v>0</v>
      </c>
      <c r="T336" s="1">
        <v>0.42099999999999999</v>
      </c>
      <c r="U336" s="1">
        <v>0.14499999999999999</v>
      </c>
      <c r="V336" s="1">
        <v>105.997</v>
      </c>
      <c r="W336">
        <v>4</v>
      </c>
    </row>
    <row r="337" spans="1:23" x14ac:dyDescent="0.25">
      <c r="A337" s="1" t="s">
        <v>14078</v>
      </c>
      <c r="B337" s="1" t="s">
        <v>14079</v>
      </c>
      <c r="C337" s="1" t="s">
        <v>2467</v>
      </c>
      <c r="D337" s="1" t="s">
        <v>14080</v>
      </c>
      <c r="E337" s="1" t="s">
        <v>2468</v>
      </c>
      <c r="F337" s="1" t="s">
        <v>14081</v>
      </c>
      <c r="G337">
        <v>151444</v>
      </c>
      <c r="H337">
        <v>84</v>
      </c>
      <c r="I337" s="1" t="s">
        <v>11063</v>
      </c>
      <c r="J337" s="11">
        <v>44729.706458333334</v>
      </c>
      <c r="K337" s="1" t="s">
        <v>2469</v>
      </c>
      <c r="L337" s="1">
        <v>0.33400000000000002</v>
      </c>
      <c r="M337" s="1">
        <v>0.59899999999999998</v>
      </c>
      <c r="N337">
        <v>0</v>
      </c>
      <c r="O337" s="1">
        <v>-5.742</v>
      </c>
      <c r="P337">
        <v>1</v>
      </c>
      <c r="Q337" s="1">
        <v>0.36499999999999999</v>
      </c>
      <c r="R337" s="1">
        <v>0.46800000000000003</v>
      </c>
      <c r="S337" s="1">
        <v>0.39200000000000002</v>
      </c>
      <c r="T337" s="1">
        <v>0.20499999999999999</v>
      </c>
      <c r="U337" s="1">
        <v>0.127</v>
      </c>
      <c r="V337" s="1">
        <v>161.74</v>
      </c>
      <c r="W337">
        <v>3</v>
      </c>
    </row>
    <row r="338" spans="1:23" x14ac:dyDescent="0.25">
      <c r="A338" s="1" t="s">
        <v>14082</v>
      </c>
      <c r="B338" s="1" t="s">
        <v>14083</v>
      </c>
      <c r="C338" s="1" t="s">
        <v>2470</v>
      </c>
      <c r="D338" s="1" t="s">
        <v>2470</v>
      </c>
      <c r="E338" s="1" t="s">
        <v>2471</v>
      </c>
      <c r="F338" s="1" t="s">
        <v>14084</v>
      </c>
      <c r="G338">
        <v>168827</v>
      </c>
      <c r="H338">
        <v>41</v>
      </c>
      <c r="I338" s="1" t="s">
        <v>11063</v>
      </c>
      <c r="J338" s="11">
        <v>44729.706458333334</v>
      </c>
      <c r="K338" s="1" t="s">
        <v>2405</v>
      </c>
      <c r="L338" s="1">
        <v>0.66200000000000003</v>
      </c>
      <c r="M338" s="1">
        <v>0.73699999999999999</v>
      </c>
      <c r="N338">
        <v>1</v>
      </c>
      <c r="O338" s="1">
        <v>-7.4050000000000002</v>
      </c>
      <c r="P338">
        <v>0</v>
      </c>
      <c r="Q338" s="1">
        <v>0.72</v>
      </c>
      <c r="R338" s="1">
        <v>0.23599999999999999</v>
      </c>
      <c r="S338" s="1">
        <v>0.53100000000000003</v>
      </c>
      <c r="T338" s="1">
        <v>0.40600000000000003</v>
      </c>
      <c r="U338" s="1">
        <v>0.58199999999999996</v>
      </c>
      <c r="V338" s="1">
        <v>144.99199999999999</v>
      </c>
      <c r="W338">
        <v>4</v>
      </c>
    </row>
    <row r="339" spans="1:23" x14ac:dyDescent="0.25">
      <c r="A339" s="1" t="s">
        <v>14085</v>
      </c>
      <c r="B339" s="1" t="s">
        <v>14083</v>
      </c>
      <c r="C339" s="1" t="s">
        <v>2472</v>
      </c>
      <c r="D339" s="1" t="s">
        <v>2472</v>
      </c>
      <c r="E339" s="1" t="s">
        <v>2471</v>
      </c>
      <c r="F339" s="1" t="s">
        <v>11605</v>
      </c>
      <c r="G339">
        <v>117000</v>
      </c>
      <c r="H339">
        <v>40</v>
      </c>
      <c r="I339" s="1" t="s">
        <v>11063</v>
      </c>
      <c r="J339" s="11">
        <v>44729.706458333334</v>
      </c>
      <c r="K339" s="1" t="s">
        <v>2405</v>
      </c>
      <c r="L339" s="1">
        <v>0.57699999999999996</v>
      </c>
      <c r="M339" s="1">
        <v>0.53100000000000003</v>
      </c>
      <c r="N339">
        <v>0</v>
      </c>
      <c r="O339" s="1">
        <v>-8.9410000000000007</v>
      </c>
      <c r="P339">
        <v>1</v>
      </c>
      <c r="Q339" s="1">
        <v>0.31900000000000001</v>
      </c>
      <c r="R339" s="1">
        <v>0.52</v>
      </c>
      <c r="S339" s="1">
        <v>0</v>
      </c>
      <c r="T339" s="1">
        <v>0.121</v>
      </c>
      <c r="U339" s="1">
        <v>0.54800000000000004</v>
      </c>
      <c r="V339" s="1">
        <v>159.96199999999999</v>
      </c>
      <c r="W339">
        <v>4</v>
      </c>
    </row>
    <row r="340" spans="1:23" x14ac:dyDescent="0.25">
      <c r="A340" s="1" t="s">
        <v>14086</v>
      </c>
      <c r="B340" s="1" t="s">
        <v>14083</v>
      </c>
      <c r="C340" s="1" t="s">
        <v>1413</v>
      </c>
      <c r="D340" s="1" t="s">
        <v>14087</v>
      </c>
      <c r="E340" s="1" t="s">
        <v>2471</v>
      </c>
      <c r="F340" s="1" t="s">
        <v>14088</v>
      </c>
      <c r="G340">
        <v>194526</v>
      </c>
      <c r="H340">
        <v>35</v>
      </c>
      <c r="I340" s="1" t="s">
        <v>11063</v>
      </c>
      <c r="J340" s="11">
        <v>44729.706458333334</v>
      </c>
      <c r="K340" s="1" t="s">
        <v>2405</v>
      </c>
      <c r="L340" s="1">
        <v>0.55900000000000005</v>
      </c>
      <c r="M340" s="1">
        <v>0.63500000000000001</v>
      </c>
      <c r="N340">
        <v>7</v>
      </c>
      <c r="O340" s="1">
        <v>-6.1749999999999998</v>
      </c>
      <c r="P340">
        <v>0</v>
      </c>
      <c r="Q340" s="1">
        <v>0.106</v>
      </c>
      <c r="R340" s="1">
        <v>0.25600000000000001</v>
      </c>
      <c r="S340" s="1">
        <v>0</v>
      </c>
      <c r="T340" s="1">
        <v>0.129</v>
      </c>
      <c r="U340" s="1">
        <v>0.254</v>
      </c>
      <c r="V340" s="1">
        <v>94.944000000000003</v>
      </c>
      <c r="W340">
        <v>4</v>
      </c>
    </row>
    <row r="341" spans="1:23" x14ac:dyDescent="0.25">
      <c r="A341" s="1" t="s">
        <v>14089</v>
      </c>
      <c r="B341" s="1" t="s">
        <v>14083</v>
      </c>
      <c r="C341" s="1" t="s">
        <v>2473</v>
      </c>
      <c r="D341" s="1" t="s">
        <v>14087</v>
      </c>
      <c r="E341" s="1" t="s">
        <v>2471</v>
      </c>
      <c r="F341" s="1" t="s">
        <v>14088</v>
      </c>
      <c r="G341">
        <v>226341</v>
      </c>
      <c r="H341">
        <v>59</v>
      </c>
      <c r="I341" s="1" t="s">
        <v>11063</v>
      </c>
      <c r="J341" s="11">
        <v>44729.706458333334</v>
      </c>
      <c r="K341" s="1" t="s">
        <v>2405</v>
      </c>
      <c r="L341" s="1">
        <v>0.64400000000000002</v>
      </c>
      <c r="M341" s="1">
        <v>0.86</v>
      </c>
      <c r="N341">
        <v>8</v>
      </c>
      <c r="O341" s="1">
        <v>-3.9660000000000002</v>
      </c>
      <c r="P341">
        <v>0</v>
      </c>
      <c r="Q341" s="1">
        <v>0.745</v>
      </c>
      <c r="R341" s="1">
        <v>0.13500000000000001</v>
      </c>
      <c r="S341" s="1">
        <v>0</v>
      </c>
      <c r="T341" s="1">
        <v>0.99</v>
      </c>
      <c r="U341" s="1">
        <v>0.47699999999999998</v>
      </c>
      <c r="V341" s="1">
        <v>122.994</v>
      </c>
      <c r="W341">
        <v>4</v>
      </c>
    </row>
    <row r="342" spans="1:23" x14ac:dyDescent="0.25">
      <c r="A342" s="1" t="s">
        <v>14090</v>
      </c>
      <c r="B342" s="1" t="s">
        <v>14091</v>
      </c>
      <c r="C342" s="1" t="s">
        <v>2474</v>
      </c>
      <c r="D342" s="1" t="s">
        <v>14092</v>
      </c>
      <c r="E342" s="1" t="s">
        <v>2475</v>
      </c>
      <c r="F342" s="1" t="s">
        <v>14093</v>
      </c>
      <c r="G342">
        <v>230826</v>
      </c>
      <c r="H342">
        <v>37</v>
      </c>
      <c r="I342" s="1" t="s">
        <v>11063</v>
      </c>
      <c r="J342" s="11">
        <v>44729.706458333334</v>
      </c>
      <c r="K342" s="1" t="s">
        <v>2476</v>
      </c>
      <c r="L342" s="1">
        <v>0.48399999999999999</v>
      </c>
      <c r="M342" s="1">
        <v>0.58899999999999997</v>
      </c>
      <c r="N342">
        <v>5</v>
      </c>
      <c r="O342" s="1">
        <v>-9.2569999999999997</v>
      </c>
      <c r="P342">
        <v>0</v>
      </c>
      <c r="Q342" s="1">
        <v>0.73</v>
      </c>
      <c r="R342" s="1">
        <v>0.44</v>
      </c>
      <c r="S342" s="1">
        <v>0.111</v>
      </c>
      <c r="T342" s="1">
        <v>0.13100000000000001</v>
      </c>
      <c r="U342" s="1">
        <v>0.14699999999999999</v>
      </c>
      <c r="V342" s="1">
        <v>118.01900000000001</v>
      </c>
      <c r="W342">
        <v>4</v>
      </c>
    </row>
    <row r="343" spans="1:23" x14ac:dyDescent="0.25">
      <c r="A343" s="1" t="s">
        <v>14094</v>
      </c>
      <c r="B343" s="1" t="s">
        <v>14095</v>
      </c>
      <c r="C343" s="1" t="s">
        <v>2477</v>
      </c>
      <c r="D343" s="1" t="s">
        <v>14096</v>
      </c>
      <c r="E343" s="1" t="s">
        <v>2478</v>
      </c>
      <c r="F343" s="1" t="s">
        <v>14097</v>
      </c>
      <c r="G343">
        <v>264872</v>
      </c>
      <c r="H343">
        <v>22</v>
      </c>
      <c r="I343" s="1" t="s">
        <v>11063</v>
      </c>
      <c r="J343" s="11">
        <v>44729.706458333334</v>
      </c>
      <c r="K343" s="1" t="s">
        <v>2479</v>
      </c>
      <c r="L343" s="1">
        <v>0.72699999999999998</v>
      </c>
      <c r="M343" s="1">
        <v>0.71499999999999997</v>
      </c>
      <c r="N343">
        <v>9</v>
      </c>
      <c r="O343" s="1">
        <v>-6.032</v>
      </c>
      <c r="P343">
        <v>0</v>
      </c>
      <c r="Q343" s="1">
        <v>0.34100000000000003</v>
      </c>
      <c r="R343" s="1">
        <v>0.14599999999999999</v>
      </c>
      <c r="S343" s="1">
        <v>0.14099999999999999</v>
      </c>
      <c r="T343" s="1">
        <v>0.108</v>
      </c>
      <c r="U343" s="1">
        <v>0.86699999999999999</v>
      </c>
      <c r="V343" s="1">
        <v>124.99</v>
      </c>
      <c r="W343">
        <v>4</v>
      </c>
    </row>
    <row r="344" spans="1:23" x14ac:dyDescent="0.25">
      <c r="A344" s="1" t="s">
        <v>14098</v>
      </c>
      <c r="B344" s="1" t="s">
        <v>14099</v>
      </c>
      <c r="C344" s="1" t="s">
        <v>2480</v>
      </c>
      <c r="D344" s="1" t="s">
        <v>14100</v>
      </c>
      <c r="E344" s="1" t="s">
        <v>2481</v>
      </c>
      <c r="F344" s="1" t="s">
        <v>14101</v>
      </c>
      <c r="G344">
        <v>135090</v>
      </c>
      <c r="H344">
        <v>82</v>
      </c>
      <c r="I344" s="1" t="s">
        <v>11063</v>
      </c>
      <c r="J344" s="11">
        <v>44729.706458333334</v>
      </c>
      <c r="K344" s="1" t="s">
        <v>2482</v>
      </c>
      <c r="L344" s="1">
        <v>0.92100000000000004</v>
      </c>
      <c r="M344" s="1">
        <v>0.53700000000000003</v>
      </c>
      <c r="N344">
        <v>9</v>
      </c>
      <c r="O344" s="1">
        <v>-5.7229999999999999</v>
      </c>
      <c r="P344">
        <v>0</v>
      </c>
      <c r="Q344" s="1">
        <v>0.80400000000000005</v>
      </c>
      <c r="R344" s="1">
        <v>0.55600000000000005</v>
      </c>
      <c r="S344" s="1">
        <v>0.40400000000000003</v>
      </c>
      <c r="T344" s="1">
        <v>0.10199999999999999</v>
      </c>
      <c r="U344" s="1">
        <v>0.71099999999999997</v>
      </c>
      <c r="V344" s="1">
        <v>128.00899999999999</v>
      </c>
      <c r="W344">
        <v>4</v>
      </c>
    </row>
    <row r="345" spans="1:23" x14ac:dyDescent="0.25">
      <c r="A345" s="1" t="s">
        <v>14102</v>
      </c>
      <c r="B345" s="1" t="s">
        <v>14103</v>
      </c>
      <c r="C345" s="1" t="s">
        <v>2483</v>
      </c>
      <c r="D345" s="1" t="s">
        <v>14104</v>
      </c>
      <c r="E345" s="1" t="s">
        <v>2484</v>
      </c>
      <c r="F345" s="1" t="s">
        <v>13683</v>
      </c>
      <c r="G345">
        <v>172854</v>
      </c>
      <c r="H345">
        <v>75</v>
      </c>
      <c r="I345" s="1" t="s">
        <v>11063</v>
      </c>
      <c r="J345" s="11">
        <v>44729.706458333334</v>
      </c>
      <c r="K345" s="1" t="s">
        <v>2485</v>
      </c>
      <c r="L345" s="1">
        <v>0.59399999999999997</v>
      </c>
      <c r="M345" s="1">
        <v>0.749</v>
      </c>
      <c r="N345">
        <v>9</v>
      </c>
      <c r="O345" s="1">
        <v>-5.298</v>
      </c>
      <c r="P345">
        <v>0</v>
      </c>
      <c r="Q345" s="1">
        <v>0.56000000000000005</v>
      </c>
      <c r="R345" s="1">
        <v>0.33800000000000002</v>
      </c>
      <c r="S345" s="1">
        <v>0.106</v>
      </c>
      <c r="T345" s="1">
        <v>0.3</v>
      </c>
      <c r="U345" s="1">
        <v>0.69399999999999995</v>
      </c>
      <c r="V345" s="1">
        <v>179.96799999999999</v>
      </c>
      <c r="W345">
        <v>4</v>
      </c>
    </row>
    <row r="346" spans="1:23" x14ac:dyDescent="0.25">
      <c r="A346" s="1" t="s">
        <v>14105</v>
      </c>
      <c r="B346" s="1" t="s">
        <v>14106</v>
      </c>
      <c r="C346" s="1" t="s">
        <v>2486</v>
      </c>
      <c r="D346" s="1" t="s">
        <v>14107</v>
      </c>
      <c r="E346" s="1" t="s">
        <v>2487</v>
      </c>
      <c r="F346" s="1" t="s">
        <v>14108</v>
      </c>
      <c r="G346">
        <v>220946</v>
      </c>
      <c r="H346">
        <v>67</v>
      </c>
      <c r="I346" s="1" t="s">
        <v>11063</v>
      </c>
      <c r="J346" s="11">
        <v>44729.706458333334</v>
      </c>
      <c r="K346" s="1" t="s">
        <v>235</v>
      </c>
      <c r="L346" s="1">
        <v>0.51400000000000001</v>
      </c>
      <c r="M346" s="1">
        <v>0.68300000000000005</v>
      </c>
      <c r="N346">
        <v>5</v>
      </c>
      <c r="O346" s="1">
        <v>-5.0990000000000002</v>
      </c>
      <c r="P346">
        <v>1</v>
      </c>
      <c r="Q346" s="1">
        <v>0.36699999999999999</v>
      </c>
      <c r="R346" s="1">
        <v>0.749</v>
      </c>
      <c r="S346" s="1">
        <v>0.26400000000000001</v>
      </c>
      <c r="T346" s="1">
        <v>0.39200000000000002</v>
      </c>
      <c r="U346" s="1">
        <v>0.57499999999999996</v>
      </c>
      <c r="V346" s="1">
        <v>159.81399999999999</v>
      </c>
      <c r="W346">
        <v>4</v>
      </c>
    </row>
    <row r="347" spans="1:23" x14ac:dyDescent="0.25">
      <c r="A347" s="1" t="s">
        <v>14109</v>
      </c>
      <c r="B347" s="1" t="s">
        <v>14106</v>
      </c>
      <c r="C347" s="1" t="s">
        <v>2488</v>
      </c>
      <c r="D347" s="1" t="s">
        <v>14107</v>
      </c>
      <c r="E347" s="1" t="s">
        <v>2487</v>
      </c>
      <c r="F347" s="1" t="s">
        <v>14108</v>
      </c>
      <c r="G347">
        <v>216160</v>
      </c>
      <c r="H347">
        <v>74</v>
      </c>
      <c r="I347" s="1" t="s">
        <v>11063</v>
      </c>
      <c r="J347" s="11">
        <v>44729.706458333334</v>
      </c>
      <c r="K347" s="1" t="s">
        <v>235</v>
      </c>
      <c r="L347" s="1">
        <v>0.67800000000000005</v>
      </c>
      <c r="M347" s="1">
        <v>0.91800000000000004</v>
      </c>
      <c r="N347">
        <v>5</v>
      </c>
      <c r="O347" s="1">
        <v>-4.63</v>
      </c>
      <c r="P347">
        <v>1</v>
      </c>
      <c r="Q347" s="1">
        <v>0.35499999999999998</v>
      </c>
      <c r="R347" s="1">
        <v>0.41699999999999998</v>
      </c>
      <c r="S347" s="1">
        <v>0</v>
      </c>
      <c r="T347" s="1">
        <v>0.74399999999999999</v>
      </c>
      <c r="U347" s="1">
        <v>0.76900000000000002</v>
      </c>
      <c r="V347" s="1">
        <v>130.02799999999999</v>
      </c>
      <c r="W347">
        <v>4</v>
      </c>
    </row>
    <row r="348" spans="1:23" x14ac:dyDescent="0.25">
      <c r="A348" s="1" t="s">
        <v>14110</v>
      </c>
      <c r="B348" s="1" t="s">
        <v>14106</v>
      </c>
      <c r="C348" s="1" t="s">
        <v>2489</v>
      </c>
      <c r="D348" s="1" t="s">
        <v>14107</v>
      </c>
      <c r="E348" s="1" t="s">
        <v>2487</v>
      </c>
      <c r="F348" s="1" t="s">
        <v>14108</v>
      </c>
      <c r="G348">
        <v>227880</v>
      </c>
      <c r="H348">
        <v>72</v>
      </c>
      <c r="I348" s="1" t="s">
        <v>11063</v>
      </c>
      <c r="J348" s="11">
        <v>44729.706458333334</v>
      </c>
      <c r="K348" s="1" t="s">
        <v>235</v>
      </c>
      <c r="L348" s="1">
        <v>0.63800000000000001</v>
      </c>
      <c r="M348" s="1">
        <v>0.82599999999999996</v>
      </c>
      <c r="N348">
        <v>8</v>
      </c>
      <c r="O348" s="1">
        <v>-4.968</v>
      </c>
      <c r="P348">
        <v>1</v>
      </c>
      <c r="Q348" s="1">
        <v>0.47899999999999998</v>
      </c>
      <c r="R348" s="1">
        <v>0.13900000000000001</v>
      </c>
      <c r="S348" s="1">
        <v>0</v>
      </c>
      <c r="T348" s="1">
        <v>0.80300000000000005</v>
      </c>
      <c r="U348" s="1">
        <v>0.64900000000000002</v>
      </c>
      <c r="V348" s="1">
        <v>124.072</v>
      </c>
      <c r="W348">
        <v>4</v>
      </c>
    </row>
    <row r="349" spans="1:23" x14ac:dyDescent="0.25">
      <c r="A349" s="1" t="s">
        <v>14111</v>
      </c>
      <c r="B349" s="1" t="s">
        <v>14106</v>
      </c>
      <c r="C349" s="1" t="s">
        <v>2490</v>
      </c>
      <c r="D349" s="1" t="s">
        <v>14107</v>
      </c>
      <c r="E349" s="1" t="s">
        <v>2487</v>
      </c>
      <c r="F349" s="1" t="s">
        <v>14108</v>
      </c>
      <c r="G349">
        <v>227760</v>
      </c>
      <c r="H349">
        <v>67</v>
      </c>
      <c r="I349" s="1" t="s">
        <v>11063</v>
      </c>
      <c r="J349" s="11">
        <v>44729.706458333334</v>
      </c>
      <c r="K349" s="1" t="s">
        <v>235</v>
      </c>
      <c r="L349" s="1">
        <v>0.71899999999999997</v>
      </c>
      <c r="M349" s="1">
        <v>0.80400000000000005</v>
      </c>
      <c r="N349">
        <v>10</v>
      </c>
      <c r="O349" s="1">
        <v>-4.5810000000000004</v>
      </c>
      <c r="P349">
        <v>1</v>
      </c>
      <c r="Q349" s="1">
        <v>0.35499999999999998</v>
      </c>
      <c r="R349" s="1">
        <v>0.13200000000000001</v>
      </c>
      <c r="S349" s="1">
        <v>0.30199999999999999</v>
      </c>
      <c r="T349" s="1">
        <v>0.13900000000000001</v>
      </c>
      <c r="U349" s="1">
        <v>0.60499999999999998</v>
      </c>
      <c r="V349" s="1">
        <v>119.999</v>
      </c>
      <c r="W349">
        <v>4</v>
      </c>
    </row>
    <row r="350" spans="1:23" x14ac:dyDescent="0.25">
      <c r="A350" s="1" t="s">
        <v>14112</v>
      </c>
      <c r="B350" s="1" t="s">
        <v>14113</v>
      </c>
      <c r="C350" s="1" t="s">
        <v>2491</v>
      </c>
      <c r="D350" s="1" t="s">
        <v>14107</v>
      </c>
      <c r="E350" s="1" t="s">
        <v>2492</v>
      </c>
      <c r="F350" s="1" t="s">
        <v>14108</v>
      </c>
      <c r="G350">
        <v>234653</v>
      </c>
      <c r="H350">
        <v>74</v>
      </c>
      <c r="I350" s="1" t="s">
        <v>11063</v>
      </c>
      <c r="J350" s="11">
        <v>44729.706458333334</v>
      </c>
      <c r="K350" s="1" t="s">
        <v>2493</v>
      </c>
      <c r="L350" s="1">
        <v>0.79100000000000004</v>
      </c>
      <c r="M350" s="1">
        <v>0.754</v>
      </c>
      <c r="N350">
        <v>0</v>
      </c>
      <c r="O350" s="1">
        <v>-3.7290000000000001</v>
      </c>
      <c r="P350">
        <v>1</v>
      </c>
      <c r="Q350" s="1">
        <v>0.56899999999999995</v>
      </c>
      <c r="R350" s="1">
        <v>0.44600000000000001</v>
      </c>
      <c r="S350" s="1">
        <v>0</v>
      </c>
      <c r="T350" s="1">
        <v>0.16300000000000001</v>
      </c>
      <c r="U350" s="1">
        <v>0.42499999999999999</v>
      </c>
      <c r="V350" s="1">
        <v>125.014</v>
      </c>
      <c r="W350">
        <v>4</v>
      </c>
    </row>
    <row r="351" spans="1:23" x14ac:dyDescent="0.25">
      <c r="A351" s="1" t="s">
        <v>14114</v>
      </c>
      <c r="B351" s="1" t="s">
        <v>14115</v>
      </c>
      <c r="C351" s="1" t="s">
        <v>2494</v>
      </c>
      <c r="D351" s="1" t="s">
        <v>14107</v>
      </c>
      <c r="E351" s="1" t="s">
        <v>2495</v>
      </c>
      <c r="F351" s="1" t="s">
        <v>14108</v>
      </c>
      <c r="G351">
        <v>229573</v>
      </c>
      <c r="H351">
        <v>66</v>
      </c>
      <c r="I351" s="1" t="s">
        <v>11063</v>
      </c>
      <c r="J351" s="11">
        <v>44729.706458333334</v>
      </c>
      <c r="K351" s="1" t="s">
        <v>2496</v>
      </c>
      <c r="L351" s="1">
        <v>0.62</v>
      </c>
      <c r="M351" s="1">
        <v>0.86899999999999999</v>
      </c>
      <c r="N351">
        <v>1</v>
      </c>
      <c r="O351" s="1">
        <v>-5.2519999999999998</v>
      </c>
      <c r="P351">
        <v>1</v>
      </c>
      <c r="Q351" s="1">
        <v>0.17499999999999999</v>
      </c>
      <c r="R351" s="1">
        <v>0.18099999999999999</v>
      </c>
      <c r="S351" s="1">
        <v>0</v>
      </c>
      <c r="T351" s="1">
        <v>0.36899999999999999</v>
      </c>
      <c r="U351" s="1">
        <v>0.76</v>
      </c>
      <c r="V351" s="1">
        <v>151.684</v>
      </c>
      <c r="W351">
        <v>4</v>
      </c>
    </row>
    <row r="352" spans="1:23" x14ac:dyDescent="0.25">
      <c r="A352" s="1" t="s">
        <v>11324</v>
      </c>
      <c r="B352" s="1" t="s">
        <v>11325</v>
      </c>
      <c r="C352" s="1" t="s">
        <v>120</v>
      </c>
      <c r="D352" s="1" t="s">
        <v>11326</v>
      </c>
      <c r="E352" s="1" t="s">
        <v>121</v>
      </c>
      <c r="F352" s="1" t="s">
        <v>11327</v>
      </c>
      <c r="G352">
        <v>177028</v>
      </c>
      <c r="H352">
        <v>71</v>
      </c>
      <c r="I352" s="1" t="s">
        <v>11063</v>
      </c>
      <c r="J352" s="11">
        <v>44729.706458333334</v>
      </c>
      <c r="K352" s="1" t="s">
        <v>122</v>
      </c>
      <c r="L352" s="1">
        <v>0.439</v>
      </c>
      <c r="M352" s="1">
        <v>0.44700000000000001</v>
      </c>
      <c r="N352">
        <v>10</v>
      </c>
      <c r="O352" s="1">
        <v>-8.3179999999999996</v>
      </c>
      <c r="P352">
        <v>0</v>
      </c>
      <c r="Q352" s="1">
        <v>0.436</v>
      </c>
      <c r="R352" s="1">
        <v>0.111</v>
      </c>
      <c r="S352" s="1">
        <v>0</v>
      </c>
      <c r="T352" s="1">
        <v>0.30299999999999999</v>
      </c>
      <c r="U352" s="1">
        <v>0.11</v>
      </c>
      <c r="V352" s="1">
        <v>121.48</v>
      </c>
      <c r="W352">
        <v>4</v>
      </c>
    </row>
    <row r="353" spans="1:23" x14ac:dyDescent="0.25">
      <c r="A353" s="1" t="s">
        <v>14116</v>
      </c>
      <c r="B353" s="1" t="s">
        <v>13725</v>
      </c>
      <c r="C353" s="1" t="s">
        <v>2497</v>
      </c>
      <c r="D353" s="1" t="s">
        <v>14117</v>
      </c>
      <c r="E353" s="1" t="s">
        <v>2177</v>
      </c>
      <c r="F353" s="1" t="s">
        <v>14118</v>
      </c>
      <c r="G353">
        <v>178626</v>
      </c>
      <c r="H353">
        <v>83</v>
      </c>
      <c r="I353" s="1" t="s">
        <v>11063</v>
      </c>
      <c r="J353" s="11">
        <v>44729.706458333334</v>
      </c>
      <c r="K353" s="1" t="s">
        <v>2178</v>
      </c>
      <c r="L353" s="1">
        <v>0.77800000000000002</v>
      </c>
      <c r="M353" s="1">
        <v>0.317</v>
      </c>
      <c r="N353">
        <v>1</v>
      </c>
      <c r="O353" s="1">
        <v>-10.731999999999999</v>
      </c>
      <c r="P353">
        <v>0</v>
      </c>
      <c r="Q353" s="1">
        <v>0.33400000000000002</v>
      </c>
      <c r="R353" s="1">
        <v>0.59199999999999997</v>
      </c>
      <c r="S353" s="1">
        <v>0</v>
      </c>
      <c r="T353" s="1">
        <v>0.88100000000000001</v>
      </c>
      <c r="U353" s="1">
        <v>0.32700000000000001</v>
      </c>
      <c r="V353" s="1">
        <v>140.048</v>
      </c>
      <c r="W353">
        <v>4</v>
      </c>
    </row>
    <row r="354" spans="1:23" x14ac:dyDescent="0.25">
      <c r="A354" s="1" t="s">
        <v>14119</v>
      </c>
      <c r="B354" s="1" t="s">
        <v>13725</v>
      </c>
      <c r="C354" s="1" t="s">
        <v>2498</v>
      </c>
      <c r="D354" s="1" t="s">
        <v>2176</v>
      </c>
      <c r="E354" s="1" t="s">
        <v>2177</v>
      </c>
      <c r="F354" s="1" t="s">
        <v>13726</v>
      </c>
      <c r="G354">
        <v>244453</v>
      </c>
      <c r="H354">
        <v>75</v>
      </c>
      <c r="I354" s="1" t="s">
        <v>11063</v>
      </c>
      <c r="J354" s="11">
        <v>44729.706458333334</v>
      </c>
      <c r="K354" s="1" t="s">
        <v>2178</v>
      </c>
      <c r="L354" s="1">
        <v>0.623</v>
      </c>
      <c r="M354" s="1">
        <v>0.73399999999999999</v>
      </c>
      <c r="N354">
        <v>9</v>
      </c>
      <c r="O354" s="1">
        <v>-5.95</v>
      </c>
      <c r="P354">
        <v>1</v>
      </c>
      <c r="Q354" s="1">
        <v>0.107</v>
      </c>
      <c r="R354" s="1">
        <v>0.16200000000000001</v>
      </c>
      <c r="S354" s="1">
        <v>0.19</v>
      </c>
      <c r="T354" s="1">
        <v>0.14499999999999999</v>
      </c>
      <c r="U354" s="1">
        <v>0.372</v>
      </c>
      <c r="V354" s="1">
        <v>107.85299999999999</v>
      </c>
      <c r="W354">
        <v>4</v>
      </c>
    </row>
    <row r="355" spans="1:23" x14ac:dyDescent="0.25">
      <c r="A355" s="1" t="s">
        <v>14120</v>
      </c>
      <c r="B355" s="1" t="s">
        <v>14121</v>
      </c>
      <c r="C355" s="1" t="s">
        <v>2499</v>
      </c>
      <c r="D355" s="1" t="s">
        <v>2499</v>
      </c>
      <c r="E355" s="1" t="s">
        <v>2500</v>
      </c>
      <c r="F355" s="1" t="s">
        <v>13515</v>
      </c>
      <c r="G355">
        <v>200000</v>
      </c>
      <c r="H355">
        <v>46</v>
      </c>
      <c r="I355" s="1" t="s">
        <v>11063</v>
      </c>
      <c r="J355" s="11">
        <v>44729.706458333334</v>
      </c>
      <c r="K355" s="1" t="s">
        <v>2501</v>
      </c>
      <c r="L355" s="1">
        <v>0.505</v>
      </c>
      <c r="M355" s="1">
        <v>0.57199999999999995</v>
      </c>
      <c r="N355">
        <v>1</v>
      </c>
      <c r="O355" s="1">
        <v>-9.4440000000000008</v>
      </c>
      <c r="P355">
        <v>0</v>
      </c>
      <c r="Q355" s="1">
        <v>0.13500000000000001</v>
      </c>
      <c r="R355" s="1">
        <v>0.95099999999999996</v>
      </c>
      <c r="S355" s="1">
        <v>0</v>
      </c>
      <c r="T355" s="1">
        <v>0.95799999999999996</v>
      </c>
      <c r="U355" s="1">
        <v>0.73</v>
      </c>
      <c r="V355" s="1">
        <v>120.151</v>
      </c>
      <c r="W355">
        <v>4</v>
      </c>
    </row>
    <row r="356" spans="1:23" x14ac:dyDescent="0.25">
      <c r="A356" s="1" t="s">
        <v>14122</v>
      </c>
      <c r="B356" s="1" t="s">
        <v>11367</v>
      </c>
      <c r="C356" s="1" t="s">
        <v>2502</v>
      </c>
      <c r="D356" s="1" t="s">
        <v>14123</v>
      </c>
      <c r="E356" s="1" t="s">
        <v>154</v>
      </c>
      <c r="F356" s="1" t="s">
        <v>14124</v>
      </c>
      <c r="G356">
        <v>129599</v>
      </c>
      <c r="H356">
        <v>76</v>
      </c>
      <c r="I356" s="1" t="s">
        <v>11063</v>
      </c>
      <c r="J356" s="11">
        <v>44729.706458333334</v>
      </c>
      <c r="K356" s="1" t="s">
        <v>2372</v>
      </c>
      <c r="L356" s="1">
        <v>0.76500000000000001</v>
      </c>
      <c r="M356" s="1">
        <v>0.32700000000000001</v>
      </c>
      <c r="N356">
        <v>6</v>
      </c>
      <c r="O356" s="1">
        <v>-8.0289999999999999</v>
      </c>
      <c r="P356">
        <v>1</v>
      </c>
      <c r="Q356" s="1">
        <v>0.27700000000000002</v>
      </c>
      <c r="R356" s="1">
        <v>0.57099999999999995</v>
      </c>
      <c r="S356" s="1">
        <v>0.47899999999999998</v>
      </c>
      <c r="T356" s="1">
        <v>0.78700000000000003</v>
      </c>
      <c r="U356" s="1">
        <v>0.29199999999999998</v>
      </c>
      <c r="V356" s="1">
        <v>74.930999999999997</v>
      </c>
      <c r="W356">
        <v>4</v>
      </c>
    </row>
    <row r="357" spans="1:23" x14ac:dyDescent="0.25">
      <c r="A357" s="1" t="s">
        <v>14125</v>
      </c>
      <c r="B357" s="1" t="s">
        <v>11367</v>
      </c>
      <c r="C357" s="1" t="s">
        <v>2503</v>
      </c>
      <c r="D357" s="1" t="s">
        <v>14126</v>
      </c>
      <c r="E357" s="1" t="s">
        <v>154</v>
      </c>
      <c r="F357" s="1" t="s">
        <v>11316</v>
      </c>
      <c r="G357">
        <v>204304</v>
      </c>
      <c r="H357">
        <v>53</v>
      </c>
      <c r="I357" s="1" t="s">
        <v>11063</v>
      </c>
      <c r="J357" s="11">
        <v>44729.706458333334</v>
      </c>
      <c r="K357" s="1" t="s">
        <v>2372</v>
      </c>
      <c r="L357" s="1">
        <v>0.48299999999999998</v>
      </c>
      <c r="M357" s="1">
        <v>0.84399999999999997</v>
      </c>
      <c r="N357">
        <v>5</v>
      </c>
      <c r="O357" s="1">
        <v>-2.9390000000000001</v>
      </c>
      <c r="P357">
        <v>0</v>
      </c>
      <c r="Q357" s="1">
        <v>0.60199999999999998</v>
      </c>
      <c r="R357" s="1">
        <v>0.32800000000000001</v>
      </c>
      <c r="S357" s="1">
        <v>0.38200000000000001</v>
      </c>
      <c r="T357" s="1">
        <v>0.105</v>
      </c>
      <c r="U357" s="1">
        <v>0.308</v>
      </c>
      <c r="V357" s="1">
        <v>180.166</v>
      </c>
      <c r="W357">
        <v>4</v>
      </c>
    </row>
    <row r="358" spans="1:23" x14ac:dyDescent="0.25">
      <c r="A358" s="1" t="s">
        <v>14127</v>
      </c>
      <c r="B358" s="1" t="s">
        <v>11367</v>
      </c>
      <c r="C358" s="1" t="s">
        <v>2504</v>
      </c>
      <c r="D358" s="1" t="s">
        <v>14128</v>
      </c>
      <c r="E358" s="1" t="s">
        <v>154</v>
      </c>
      <c r="F358" s="1" t="s">
        <v>14129</v>
      </c>
      <c r="G358">
        <v>185520</v>
      </c>
      <c r="H358">
        <v>77</v>
      </c>
      <c r="I358" s="1" t="s">
        <v>11063</v>
      </c>
      <c r="J358" s="11">
        <v>44729.706458333334</v>
      </c>
      <c r="K358" s="1" t="s">
        <v>2372</v>
      </c>
      <c r="L358" s="1">
        <v>0.71699999999999997</v>
      </c>
      <c r="M358" s="1">
        <v>0.57699999999999996</v>
      </c>
      <c r="N358">
        <v>8</v>
      </c>
      <c r="O358" s="1">
        <v>-5.4359999999999999</v>
      </c>
      <c r="P358">
        <v>1</v>
      </c>
      <c r="Q358" s="1">
        <v>0.49099999999999999</v>
      </c>
      <c r="R358" s="1">
        <v>0.70799999999999996</v>
      </c>
      <c r="S358" s="1">
        <v>0.42799999999999999</v>
      </c>
      <c r="T358" s="1">
        <v>0.89900000000000002</v>
      </c>
      <c r="U358" s="1">
        <v>0.23499999999999999</v>
      </c>
      <c r="V358" s="1">
        <v>104.92700000000001</v>
      </c>
      <c r="W358">
        <v>3</v>
      </c>
    </row>
    <row r="359" spans="1:23" x14ac:dyDescent="0.25">
      <c r="A359" s="1" t="s">
        <v>14130</v>
      </c>
      <c r="B359" s="1" t="s">
        <v>14131</v>
      </c>
      <c r="C359" s="1" t="s">
        <v>2505</v>
      </c>
      <c r="D359" s="1" t="s">
        <v>2505</v>
      </c>
      <c r="E359" s="1" t="s">
        <v>2506</v>
      </c>
      <c r="F359" s="1" t="s">
        <v>14132</v>
      </c>
      <c r="G359">
        <v>199131</v>
      </c>
      <c r="H359">
        <v>35</v>
      </c>
      <c r="I359" s="1" t="s">
        <v>11063</v>
      </c>
      <c r="J359" s="11">
        <v>44729.706458333334</v>
      </c>
      <c r="K359" s="1" t="s">
        <v>2507</v>
      </c>
      <c r="L359" s="1">
        <v>0.47199999999999998</v>
      </c>
      <c r="M359" s="1">
        <v>0.71399999999999997</v>
      </c>
      <c r="N359">
        <v>11</v>
      </c>
      <c r="O359" s="1">
        <v>-6.6639999999999997</v>
      </c>
      <c r="P359">
        <v>0</v>
      </c>
      <c r="Q359" s="1">
        <v>0.33200000000000002</v>
      </c>
      <c r="R359" s="1">
        <v>0.187</v>
      </c>
      <c r="S359" s="1">
        <v>0.12</v>
      </c>
      <c r="T359" s="1">
        <v>0.34899999999999998</v>
      </c>
      <c r="U359" s="1">
        <v>0.129</v>
      </c>
      <c r="V359" s="1">
        <v>144.858</v>
      </c>
      <c r="W359">
        <v>4</v>
      </c>
    </row>
    <row r="360" spans="1:23" x14ac:dyDescent="0.25">
      <c r="A360" s="1" t="s">
        <v>14133</v>
      </c>
      <c r="B360" s="1" t="s">
        <v>14134</v>
      </c>
      <c r="C360" s="1" t="s">
        <v>2508</v>
      </c>
      <c r="D360" s="1" t="s">
        <v>14135</v>
      </c>
      <c r="E360" s="1" t="s">
        <v>2509</v>
      </c>
      <c r="F360" s="1" t="s">
        <v>14136</v>
      </c>
      <c r="G360">
        <v>142222</v>
      </c>
      <c r="H360">
        <v>30</v>
      </c>
      <c r="I360" s="1" t="s">
        <v>11063</v>
      </c>
      <c r="J360" s="11">
        <v>44729.706458333334</v>
      </c>
      <c r="K360" s="1" t="s">
        <v>1150</v>
      </c>
      <c r="L360" s="1">
        <v>0.79900000000000004</v>
      </c>
      <c r="M360" s="1">
        <v>0.76600000000000001</v>
      </c>
      <c r="N360">
        <v>11</v>
      </c>
      <c r="O360" s="1">
        <v>-5.5960000000000001</v>
      </c>
      <c r="P360">
        <v>0</v>
      </c>
      <c r="Q360" s="1">
        <v>0.876</v>
      </c>
      <c r="R360" s="1">
        <v>0.16400000000000001</v>
      </c>
      <c r="S360" s="1">
        <v>0.189</v>
      </c>
      <c r="T360" s="1">
        <v>0.35599999999999998</v>
      </c>
      <c r="U360" s="1">
        <v>0.13900000000000001</v>
      </c>
      <c r="V360" s="1">
        <v>108.03</v>
      </c>
      <c r="W360">
        <v>4</v>
      </c>
    </row>
    <row r="361" spans="1:23" x14ac:dyDescent="0.25">
      <c r="A361" s="1" t="s">
        <v>14137</v>
      </c>
      <c r="B361" s="1" t="s">
        <v>14138</v>
      </c>
      <c r="C361" s="1" t="s">
        <v>2510</v>
      </c>
      <c r="D361" s="1" t="s">
        <v>2510</v>
      </c>
      <c r="E361" s="1" t="s">
        <v>2511</v>
      </c>
      <c r="F361" s="1" t="s">
        <v>14139</v>
      </c>
      <c r="G361">
        <v>206250</v>
      </c>
      <c r="H361">
        <v>27</v>
      </c>
      <c r="I361" s="1" t="s">
        <v>11063</v>
      </c>
      <c r="J361" s="11">
        <v>44729.706458333334</v>
      </c>
      <c r="K361" s="1" t="s">
        <v>50</v>
      </c>
      <c r="L361" s="1">
        <v>0.42599999999999999</v>
      </c>
      <c r="M361" s="1">
        <v>0.85099999999999998</v>
      </c>
      <c r="N361">
        <v>1</v>
      </c>
      <c r="O361" s="1">
        <v>-4.1500000000000004</v>
      </c>
      <c r="P361">
        <v>1</v>
      </c>
      <c r="Q361" s="1">
        <v>0.71</v>
      </c>
      <c r="R361" s="1">
        <v>0.94599999999999995</v>
      </c>
      <c r="S361" s="1">
        <v>0.18</v>
      </c>
      <c r="T361" s="1">
        <v>0.73199999999999998</v>
      </c>
      <c r="U361" s="1">
        <v>0.36</v>
      </c>
      <c r="V361" s="1">
        <v>127.95099999999999</v>
      </c>
      <c r="W361">
        <v>4</v>
      </c>
    </row>
    <row r="362" spans="1:23" x14ac:dyDescent="0.25">
      <c r="A362" s="1" t="s">
        <v>14140</v>
      </c>
      <c r="B362" s="1" t="s">
        <v>14141</v>
      </c>
      <c r="C362" s="1" t="s">
        <v>2512</v>
      </c>
      <c r="D362" s="1" t="s">
        <v>11481</v>
      </c>
      <c r="E362" s="1" t="s">
        <v>2513</v>
      </c>
      <c r="F362" s="1" t="s">
        <v>11482</v>
      </c>
      <c r="G362">
        <v>191573</v>
      </c>
      <c r="H362">
        <v>45</v>
      </c>
      <c r="I362" s="1" t="s">
        <v>11063</v>
      </c>
      <c r="J362" s="11">
        <v>44729.706458333334</v>
      </c>
      <c r="K362" s="1" t="s">
        <v>2514</v>
      </c>
      <c r="L362" s="1">
        <v>0.73199999999999998</v>
      </c>
      <c r="M362" s="1">
        <v>0.78200000000000003</v>
      </c>
      <c r="N362">
        <v>11</v>
      </c>
      <c r="O362" s="1">
        <v>-7.101</v>
      </c>
      <c r="P362">
        <v>0</v>
      </c>
      <c r="Q362" s="1">
        <v>0.33500000000000002</v>
      </c>
      <c r="R362" s="1">
        <v>0.39500000000000002</v>
      </c>
      <c r="S362" s="1">
        <v>0.68899999999999995</v>
      </c>
      <c r="T362" s="1">
        <v>0.96899999999999997</v>
      </c>
      <c r="U362" s="1">
        <v>0.54400000000000004</v>
      </c>
      <c r="V362" s="1">
        <v>120.024</v>
      </c>
      <c r="W362">
        <v>4</v>
      </c>
    </row>
    <row r="363" spans="1:23" x14ac:dyDescent="0.25">
      <c r="A363" s="1" t="s">
        <v>11328</v>
      </c>
      <c r="B363" s="1" t="s">
        <v>11329</v>
      </c>
      <c r="C363" s="1" t="s">
        <v>123</v>
      </c>
      <c r="D363" s="1" t="s">
        <v>11330</v>
      </c>
      <c r="E363" s="1" t="s">
        <v>124</v>
      </c>
      <c r="F363" s="1" t="s">
        <v>11331</v>
      </c>
      <c r="G363">
        <v>238805</v>
      </c>
      <c r="H363">
        <v>90</v>
      </c>
      <c r="I363" s="1" t="s">
        <v>11063</v>
      </c>
      <c r="J363" s="11">
        <v>44729.706458333334</v>
      </c>
      <c r="K363" s="1" t="s">
        <v>125</v>
      </c>
      <c r="L363" s="1">
        <v>0.76100000000000001</v>
      </c>
      <c r="M363" s="1">
        <v>0.52500000000000002</v>
      </c>
      <c r="N363">
        <v>11</v>
      </c>
      <c r="O363" s="1">
        <v>-6.9</v>
      </c>
      <c r="P363">
        <v>1</v>
      </c>
      <c r="Q363" s="1">
        <v>0.94399999999999995</v>
      </c>
      <c r="R363" s="1">
        <v>0.44</v>
      </c>
      <c r="S363" s="1">
        <v>0.67</v>
      </c>
      <c r="T363" s="1">
        <v>0.92100000000000004</v>
      </c>
      <c r="U363" s="1">
        <v>0.53100000000000003</v>
      </c>
      <c r="V363" s="1">
        <v>80.87</v>
      </c>
      <c r="W363">
        <v>4</v>
      </c>
    </row>
    <row r="364" spans="1:23" x14ac:dyDescent="0.25">
      <c r="A364" s="1" t="s">
        <v>11332</v>
      </c>
      <c r="B364" s="1" t="s">
        <v>11333</v>
      </c>
      <c r="C364" s="1" t="s">
        <v>2100</v>
      </c>
      <c r="D364" s="1" t="s">
        <v>11334</v>
      </c>
      <c r="E364" s="1" t="s">
        <v>126</v>
      </c>
      <c r="F364" s="1" t="s">
        <v>11335</v>
      </c>
      <c r="G364">
        <v>208666</v>
      </c>
      <c r="H364">
        <v>84</v>
      </c>
      <c r="I364" s="1" t="s">
        <v>11063</v>
      </c>
      <c r="J364" s="11">
        <v>44729.706458333334</v>
      </c>
      <c r="K364" s="1" t="s">
        <v>127</v>
      </c>
      <c r="L364" s="1">
        <v>0.76400000000000001</v>
      </c>
      <c r="M364" s="1">
        <v>0.70499999999999996</v>
      </c>
      <c r="N364">
        <v>8</v>
      </c>
      <c r="O364" s="1">
        <v>-3.4630000000000001</v>
      </c>
      <c r="P364">
        <v>1</v>
      </c>
      <c r="Q364" s="1">
        <v>0.28399999999999997</v>
      </c>
      <c r="R364" s="1">
        <v>0.25900000000000001</v>
      </c>
      <c r="S364" s="1">
        <v>0.89200000000000002</v>
      </c>
      <c r="T364" s="1">
        <v>0.12</v>
      </c>
      <c r="U364" s="1">
        <v>0.78100000000000003</v>
      </c>
      <c r="V364" s="1">
        <v>110.97</v>
      </c>
      <c r="W364">
        <v>4</v>
      </c>
    </row>
    <row r="365" spans="1:23" x14ac:dyDescent="0.25">
      <c r="A365" s="1" t="s">
        <v>11336</v>
      </c>
      <c r="B365" s="1" t="s">
        <v>11337</v>
      </c>
      <c r="C365" s="1" t="s">
        <v>128</v>
      </c>
      <c r="D365" s="1" t="s">
        <v>128</v>
      </c>
      <c r="E365" s="1" t="s">
        <v>129</v>
      </c>
      <c r="F365" s="1" t="s">
        <v>11261</v>
      </c>
      <c r="G365">
        <v>242904</v>
      </c>
      <c r="H365">
        <v>53</v>
      </c>
      <c r="I365" s="1" t="s">
        <v>11063</v>
      </c>
      <c r="J365" s="11">
        <v>44729.706458333334</v>
      </c>
      <c r="K365" s="1" t="s">
        <v>130</v>
      </c>
      <c r="L365" s="1">
        <v>0.71599999999999997</v>
      </c>
      <c r="M365" s="1">
        <v>0.65500000000000003</v>
      </c>
      <c r="N365">
        <v>2</v>
      </c>
      <c r="O365" s="1">
        <v>-5.9989999999999997</v>
      </c>
      <c r="P365">
        <v>1</v>
      </c>
      <c r="Q365" s="1">
        <v>0.44400000000000001</v>
      </c>
      <c r="R365" s="1">
        <v>0.85699999999999998</v>
      </c>
      <c r="S365" s="1">
        <v>0.16200000000000001</v>
      </c>
      <c r="T365" s="1">
        <v>0.57199999999999995</v>
      </c>
      <c r="U365" s="1">
        <v>0.20699999999999999</v>
      </c>
      <c r="V365" s="1">
        <v>125.012</v>
      </c>
      <c r="W365">
        <v>4</v>
      </c>
    </row>
    <row r="366" spans="1:23" x14ac:dyDescent="0.25">
      <c r="A366" s="1" t="s">
        <v>14142</v>
      </c>
      <c r="B366" s="1" t="s">
        <v>14143</v>
      </c>
      <c r="C366" s="1" t="s">
        <v>2515</v>
      </c>
      <c r="D366" s="1" t="s">
        <v>2515</v>
      </c>
      <c r="E366" s="1" t="s">
        <v>2516</v>
      </c>
      <c r="F366" s="1" t="s">
        <v>14144</v>
      </c>
      <c r="G366">
        <v>174394</v>
      </c>
      <c r="H366">
        <v>73</v>
      </c>
      <c r="I366" s="1" t="s">
        <v>11063</v>
      </c>
      <c r="J366" s="11">
        <v>44729.706458333334</v>
      </c>
      <c r="K366" s="1" t="s">
        <v>2517</v>
      </c>
      <c r="L366" s="1">
        <v>0.56399999999999995</v>
      </c>
      <c r="M366" s="1">
        <v>0.64700000000000002</v>
      </c>
      <c r="N366">
        <v>10</v>
      </c>
      <c r="O366" s="1">
        <v>-6.7590000000000003</v>
      </c>
      <c r="P366">
        <v>0</v>
      </c>
      <c r="Q366" s="1">
        <v>0.40699999999999997</v>
      </c>
      <c r="R366" s="1">
        <v>0.114</v>
      </c>
      <c r="S366" s="1">
        <v>0</v>
      </c>
      <c r="T366" s="1">
        <v>0.17</v>
      </c>
      <c r="U366" s="1">
        <v>0.45800000000000002</v>
      </c>
      <c r="V366" s="1">
        <v>95.923000000000002</v>
      </c>
      <c r="W366">
        <v>4</v>
      </c>
    </row>
    <row r="367" spans="1:23" x14ac:dyDescent="0.25">
      <c r="A367" s="1" t="s">
        <v>14145</v>
      </c>
      <c r="B367" s="1" t="s">
        <v>14146</v>
      </c>
      <c r="C367" s="1" t="s">
        <v>2518</v>
      </c>
      <c r="D367" s="1" t="s">
        <v>2518</v>
      </c>
      <c r="E367" s="1" t="s">
        <v>2519</v>
      </c>
      <c r="F367" s="1" t="s">
        <v>11255</v>
      </c>
      <c r="G367">
        <v>158400</v>
      </c>
      <c r="H367">
        <v>70</v>
      </c>
      <c r="I367" s="1" t="s">
        <v>11063</v>
      </c>
      <c r="J367" s="11">
        <v>44729.706458333334</v>
      </c>
      <c r="K367" s="1" t="s">
        <v>2520</v>
      </c>
      <c r="L367" s="1">
        <v>0.626</v>
      </c>
      <c r="M367" s="1">
        <v>0.754</v>
      </c>
      <c r="N367">
        <v>2</v>
      </c>
      <c r="O367" s="1">
        <v>-6.2169999999999996</v>
      </c>
      <c r="P367">
        <v>0</v>
      </c>
      <c r="Q367" s="1">
        <v>0.26900000000000002</v>
      </c>
      <c r="R367" s="1">
        <v>0.998</v>
      </c>
      <c r="S367" s="1">
        <v>0.40400000000000003</v>
      </c>
      <c r="T367" s="1">
        <v>0.157</v>
      </c>
      <c r="U367" s="1">
        <v>0.317</v>
      </c>
      <c r="V367" s="1">
        <v>100.015</v>
      </c>
      <c r="W367">
        <v>4</v>
      </c>
    </row>
    <row r="368" spans="1:23" x14ac:dyDescent="0.25">
      <c r="A368" s="1" t="s">
        <v>14147</v>
      </c>
      <c r="B368" s="1" t="s">
        <v>14148</v>
      </c>
      <c r="C368" s="1" t="s">
        <v>483</v>
      </c>
      <c r="D368" s="1" t="s">
        <v>14149</v>
      </c>
      <c r="E368" s="1" t="s">
        <v>2521</v>
      </c>
      <c r="F368" s="1" t="s">
        <v>11261</v>
      </c>
      <c r="G368">
        <v>197541</v>
      </c>
      <c r="H368">
        <v>29</v>
      </c>
      <c r="I368" s="1" t="s">
        <v>11063</v>
      </c>
      <c r="J368" s="11">
        <v>44729.706458333334</v>
      </c>
      <c r="K368" s="1" t="s">
        <v>2522</v>
      </c>
      <c r="L368" s="1">
        <v>0.91300000000000003</v>
      </c>
      <c r="M368" s="1">
        <v>0.498</v>
      </c>
      <c r="N368">
        <v>10</v>
      </c>
      <c r="O368" s="1">
        <v>-7.0190000000000001</v>
      </c>
      <c r="P368">
        <v>1</v>
      </c>
      <c r="Q368" s="1">
        <v>0.123</v>
      </c>
      <c r="R368" s="1">
        <v>0.68899999999999995</v>
      </c>
      <c r="S368" s="1">
        <v>0.76100000000000001</v>
      </c>
      <c r="T368" s="1">
        <v>0.123</v>
      </c>
      <c r="U368" s="1">
        <v>0.50800000000000001</v>
      </c>
      <c r="V368" s="1">
        <v>120.98699999999999</v>
      </c>
      <c r="W368">
        <v>4</v>
      </c>
    </row>
    <row r="369" spans="1:23" x14ac:dyDescent="0.25">
      <c r="A369" s="1" t="s">
        <v>11338</v>
      </c>
      <c r="B369" s="1" t="s">
        <v>11339</v>
      </c>
      <c r="C369" s="1" t="s">
        <v>131</v>
      </c>
      <c r="D369" s="1" t="s">
        <v>131</v>
      </c>
      <c r="E369" s="1" t="s">
        <v>132</v>
      </c>
      <c r="F369" s="1" t="s">
        <v>11340</v>
      </c>
      <c r="G369">
        <v>165786</v>
      </c>
      <c r="H369">
        <v>24</v>
      </c>
      <c r="I369" s="1" t="s">
        <v>11063</v>
      </c>
      <c r="J369" s="11">
        <v>44729.706458333334</v>
      </c>
      <c r="K369" s="1" t="s">
        <v>133</v>
      </c>
      <c r="L369" s="1">
        <v>0.72899999999999998</v>
      </c>
      <c r="M369" s="1">
        <v>0.70199999999999996</v>
      </c>
      <c r="N369">
        <v>10</v>
      </c>
      <c r="O369" s="1">
        <v>-5.2069999999999999</v>
      </c>
      <c r="P369">
        <v>1</v>
      </c>
      <c r="Q369" s="1">
        <v>0.14099999999999999</v>
      </c>
      <c r="R369" s="1">
        <v>0.874</v>
      </c>
      <c r="S369" s="1">
        <v>0.214</v>
      </c>
      <c r="T369" s="1">
        <v>0.503</v>
      </c>
      <c r="U369" s="1">
        <v>0.85399999999999998</v>
      </c>
      <c r="V369" s="1">
        <v>91.998999999999995</v>
      </c>
      <c r="W369">
        <v>4</v>
      </c>
    </row>
    <row r="370" spans="1:23" x14ac:dyDescent="0.25">
      <c r="A370" s="1" t="s">
        <v>14150</v>
      </c>
      <c r="B370" s="1" t="s">
        <v>14151</v>
      </c>
      <c r="C370" s="1" t="s">
        <v>2523</v>
      </c>
      <c r="D370" s="1" t="s">
        <v>2523</v>
      </c>
      <c r="E370" s="1" t="s">
        <v>2524</v>
      </c>
      <c r="F370" s="1" t="s">
        <v>14152</v>
      </c>
      <c r="G370">
        <v>210783</v>
      </c>
      <c r="H370">
        <v>38</v>
      </c>
      <c r="I370" s="1" t="s">
        <v>11063</v>
      </c>
      <c r="J370" s="11">
        <v>44729.706458333334</v>
      </c>
      <c r="K370" s="1" t="s">
        <v>2525</v>
      </c>
      <c r="L370" s="1">
        <v>0.55200000000000005</v>
      </c>
      <c r="M370" s="1">
        <v>0.84199999999999997</v>
      </c>
      <c r="N370">
        <v>3</v>
      </c>
      <c r="O370" s="1">
        <v>-4.8280000000000003</v>
      </c>
      <c r="P370">
        <v>1</v>
      </c>
      <c r="Q370" s="1">
        <v>0.92700000000000005</v>
      </c>
      <c r="R370" s="1">
        <v>0.252</v>
      </c>
      <c r="S370" s="1">
        <v>0.72199999999999998</v>
      </c>
      <c r="T370" s="1">
        <v>0.121</v>
      </c>
      <c r="U370" s="1">
        <v>0.42099999999999999</v>
      </c>
      <c r="V370" s="1">
        <v>171.983</v>
      </c>
      <c r="W370">
        <v>4</v>
      </c>
    </row>
    <row r="371" spans="1:23" x14ac:dyDescent="0.25">
      <c r="A371" s="1" t="s">
        <v>14153</v>
      </c>
      <c r="B371" s="1" t="s">
        <v>14154</v>
      </c>
      <c r="C371" s="1" t="s">
        <v>2526</v>
      </c>
      <c r="D371" s="1" t="s">
        <v>2526</v>
      </c>
      <c r="E371" s="1" t="s">
        <v>2527</v>
      </c>
      <c r="F371" s="1" t="s">
        <v>14155</v>
      </c>
      <c r="G371">
        <v>242081</v>
      </c>
      <c r="H371">
        <v>66</v>
      </c>
      <c r="I371" s="1" t="s">
        <v>11063</v>
      </c>
      <c r="J371" s="11">
        <v>44729.706458333334</v>
      </c>
      <c r="K371" s="1" t="s">
        <v>2528</v>
      </c>
      <c r="L371" s="1">
        <v>0.58799999999999997</v>
      </c>
      <c r="M371" s="1">
        <v>0.47099999999999997</v>
      </c>
      <c r="N371">
        <v>0</v>
      </c>
      <c r="O371" s="1">
        <v>-7.2869999999999999</v>
      </c>
      <c r="P371">
        <v>1</v>
      </c>
      <c r="Q371" s="1">
        <v>0.57699999999999996</v>
      </c>
      <c r="R371" s="1">
        <v>0.59199999999999997</v>
      </c>
      <c r="S371" s="1">
        <v>0.14599999999999999</v>
      </c>
      <c r="T371" s="1">
        <v>0.73299999999999998</v>
      </c>
      <c r="U371" s="1">
        <v>0.20899999999999999</v>
      </c>
      <c r="V371" s="1">
        <v>152.881</v>
      </c>
      <c r="W371">
        <v>4</v>
      </c>
    </row>
    <row r="372" spans="1:23" x14ac:dyDescent="0.25">
      <c r="A372" s="1" t="s">
        <v>11341</v>
      </c>
      <c r="B372" s="1" t="s">
        <v>11342</v>
      </c>
      <c r="C372" s="1" t="s">
        <v>2529</v>
      </c>
      <c r="D372" s="1" t="s">
        <v>2529</v>
      </c>
      <c r="E372" s="1" t="s">
        <v>134</v>
      </c>
      <c r="F372" s="1" t="s">
        <v>11343</v>
      </c>
      <c r="G372">
        <v>193961</v>
      </c>
      <c r="H372">
        <v>68</v>
      </c>
      <c r="I372" s="1" t="s">
        <v>11063</v>
      </c>
      <c r="J372" s="11">
        <v>44729.706458333334</v>
      </c>
      <c r="K372" s="1" t="s">
        <v>135</v>
      </c>
      <c r="L372" s="1">
        <v>0.66400000000000003</v>
      </c>
      <c r="M372" s="1">
        <v>0.73799999999999999</v>
      </c>
      <c r="N372">
        <v>9</v>
      </c>
      <c r="O372" s="1">
        <v>-4.0949999999999998</v>
      </c>
      <c r="P372">
        <v>0</v>
      </c>
      <c r="Q372" s="1">
        <v>0.33800000000000002</v>
      </c>
      <c r="R372" s="1">
        <v>0.188</v>
      </c>
      <c r="S372" s="1">
        <v>0.57499999999999996</v>
      </c>
      <c r="T372" s="1">
        <v>0.13500000000000001</v>
      </c>
      <c r="U372" s="1">
        <v>0.20300000000000001</v>
      </c>
      <c r="V372" s="1">
        <v>119.973</v>
      </c>
      <c r="W372">
        <v>4</v>
      </c>
    </row>
    <row r="373" spans="1:23" x14ac:dyDescent="0.25">
      <c r="A373" s="1" t="s">
        <v>14156</v>
      </c>
      <c r="B373" s="1" t="s">
        <v>14157</v>
      </c>
      <c r="C373" s="1" t="s">
        <v>2530</v>
      </c>
      <c r="D373" s="1" t="s">
        <v>14158</v>
      </c>
      <c r="E373" s="1" t="s">
        <v>2531</v>
      </c>
      <c r="F373" s="1" t="s">
        <v>14159</v>
      </c>
      <c r="G373">
        <v>232146</v>
      </c>
      <c r="H373">
        <v>79</v>
      </c>
      <c r="I373" s="1" t="s">
        <v>11063</v>
      </c>
      <c r="J373" s="11">
        <v>44729.706458333334</v>
      </c>
      <c r="K373" s="1" t="s">
        <v>2532</v>
      </c>
      <c r="L373" s="1">
        <v>0.42699999999999999</v>
      </c>
      <c r="M373" s="1">
        <v>0.20100000000000001</v>
      </c>
      <c r="N373">
        <v>8</v>
      </c>
      <c r="O373" s="1">
        <v>-13.044</v>
      </c>
      <c r="P373">
        <v>1</v>
      </c>
      <c r="Q373" s="1">
        <v>0.317</v>
      </c>
      <c r="R373" s="1">
        <v>0.745</v>
      </c>
      <c r="S373" s="1">
        <v>0.26300000000000001</v>
      </c>
      <c r="T373" s="1">
        <v>0.109</v>
      </c>
      <c r="U373" s="1">
        <v>0.66800000000000004</v>
      </c>
      <c r="V373" s="1">
        <v>105.218</v>
      </c>
      <c r="W373">
        <v>4</v>
      </c>
    </row>
    <row r="374" spans="1:23" x14ac:dyDescent="0.25">
      <c r="A374" s="1" t="s">
        <v>14160</v>
      </c>
      <c r="B374" s="1" t="s">
        <v>14161</v>
      </c>
      <c r="C374" s="1" t="s">
        <v>2533</v>
      </c>
      <c r="D374" s="1" t="s">
        <v>14162</v>
      </c>
      <c r="E374" s="1" t="s">
        <v>2534</v>
      </c>
      <c r="F374" s="1" t="s">
        <v>14163</v>
      </c>
      <c r="G374">
        <v>270586</v>
      </c>
      <c r="H374">
        <v>84</v>
      </c>
      <c r="I374" s="1" t="s">
        <v>11063</v>
      </c>
      <c r="J374" s="11">
        <v>44729.706458333334</v>
      </c>
      <c r="K374" s="1" t="s">
        <v>2535</v>
      </c>
      <c r="L374" s="1">
        <v>0.81599999999999995</v>
      </c>
      <c r="M374" s="1">
        <v>0.77500000000000002</v>
      </c>
      <c r="N374">
        <v>11</v>
      </c>
      <c r="O374" s="1">
        <v>-3.323</v>
      </c>
      <c r="P374">
        <v>1</v>
      </c>
      <c r="Q374" s="1">
        <v>0.23400000000000001</v>
      </c>
      <c r="R374" s="1">
        <v>0.16</v>
      </c>
      <c r="S374" s="1">
        <v>0.31</v>
      </c>
      <c r="T374" s="1">
        <v>0.54300000000000004</v>
      </c>
      <c r="U374" s="1">
        <v>0.52700000000000002</v>
      </c>
      <c r="V374" s="1">
        <v>93.430999999999997</v>
      </c>
      <c r="W374">
        <v>4</v>
      </c>
    </row>
    <row r="375" spans="1:23" x14ac:dyDescent="0.25">
      <c r="A375" s="1" t="s">
        <v>14164</v>
      </c>
      <c r="B375" s="1" t="s">
        <v>14165</v>
      </c>
      <c r="C375" s="1" t="s">
        <v>2536</v>
      </c>
      <c r="D375" s="1" t="s">
        <v>3114</v>
      </c>
      <c r="E375" s="1" t="s">
        <v>2537</v>
      </c>
      <c r="F375" s="1" t="s">
        <v>14166</v>
      </c>
      <c r="G375">
        <v>204173</v>
      </c>
      <c r="H375">
        <v>73</v>
      </c>
      <c r="I375" s="1" t="s">
        <v>11063</v>
      </c>
      <c r="J375" s="11">
        <v>44729.706458333334</v>
      </c>
      <c r="K375" s="1" t="s">
        <v>2538</v>
      </c>
      <c r="L375" s="1">
        <v>0.67100000000000004</v>
      </c>
      <c r="M375" s="1">
        <v>0.67200000000000004</v>
      </c>
      <c r="N375">
        <v>0</v>
      </c>
      <c r="O375" s="1">
        <v>-3.0939999999999999</v>
      </c>
      <c r="P375">
        <v>0</v>
      </c>
      <c r="Q375" s="1">
        <v>0.68799999999999994</v>
      </c>
      <c r="R375" s="1">
        <v>0.32900000000000001</v>
      </c>
      <c r="S375" s="1">
        <v>0</v>
      </c>
      <c r="T375" s="1">
        <v>0.11799999999999999</v>
      </c>
      <c r="U375" s="1">
        <v>0.63200000000000001</v>
      </c>
      <c r="V375" s="1">
        <v>97.978999999999999</v>
      </c>
      <c r="W375">
        <v>4</v>
      </c>
    </row>
    <row r="376" spans="1:23" x14ac:dyDescent="0.25">
      <c r="A376" s="1" t="s">
        <v>14167</v>
      </c>
      <c r="B376" s="1" t="s">
        <v>14168</v>
      </c>
      <c r="C376" s="1" t="s">
        <v>2539</v>
      </c>
      <c r="D376" s="1" t="s">
        <v>2539</v>
      </c>
      <c r="E376" s="1" t="s">
        <v>2540</v>
      </c>
      <c r="F376" s="1" t="s">
        <v>14169</v>
      </c>
      <c r="G376">
        <v>125217</v>
      </c>
      <c r="H376">
        <v>48</v>
      </c>
      <c r="I376" s="1" t="s">
        <v>11063</v>
      </c>
      <c r="J376" s="11">
        <v>44729.706458333334</v>
      </c>
      <c r="K376" s="1" t="s">
        <v>2541</v>
      </c>
      <c r="L376" s="1">
        <v>0.63300000000000001</v>
      </c>
      <c r="M376" s="1">
        <v>0.66300000000000003</v>
      </c>
      <c r="N376">
        <v>7</v>
      </c>
      <c r="O376" s="1">
        <v>-8.2850000000000001</v>
      </c>
      <c r="P376">
        <v>0</v>
      </c>
      <c r="Q376" s="1">
        <v>0.85099999999999998</v>
      </c>
      <c r="R376" s="1">
        <v>0.124</v>
      </c>
      <c r="S376" s="1">
        <v>0.98199999999999998</v>
      </c>
      <c r="T376" s="1">
        <v>0.189</v>
      </c>
      <c r="U376" s="1">
        <v>0.124</v>
      </c>
      <c r="V376" s="1">
        <v>114.964</v>
      </c>
      <c r="W376">
        <v>4</v>
      </c>
    </row>
    <row r="377" spans="1:23" x14ac:dyDescent="0.25">
      <c r="A377" s="1" t="s">
        <v>14170</v>
      </c>
      <c r="B377" s="1" t="s">
        <v>14171</v>
      </c>
      <c r="C377" s="1" t="s">
        <v>2539</v>
      </c>
      <c r="D377" s="1" t="s">
        <v>2539</v>
      </c>
      <c r="E377" s="1" t="s">
        <v>2542</v>
      </c>
      <c r="F377" s="1" t="s">
        <v>14172</v>
      </c>
      <c r="G377">
        <v>283733</v>
      </c>
      <c r="H377">
        <v>71</v>
      </c>
      <c r="I377" s="1" t="s">
        <v>11063</v>
      </c>
      <c r="J377" s="11">
        <v>44729.706458333334</v>
      </c>
      <c r="K377" s="1" t="s">
        <v>2543</v>
      </c>
      <c r="L377" s="1">
        <v>0.59399999999999997</v>
      </c>
      <c r="M377" s="1">
        <v>0.94599999999999995</v>
      </c>
      <c r="N377">
        <v>3</v>
      </c>
      <c r="O377" s="1">
        <v>-4.5209999999999999</v>
      </c>
      <c r="P377">
        <v>1</v>
      </c>
      <c r="Q377" s="1">
        <v>0.45200000000000001</v>
      </c>
      <c r="R377" s="1">
        <v>0.86899999999999999</v>
      </c>
      <c r="S377" s="1">
        <v>0</v>
      </c>
      <c r="T377" s="1">
        <v>0.30599999999999999</v>
      </c>
      <c r="U377" s="1">
        <v>0.39700000000000002</v>
      </c>
      <c r="V377" s="1">
        <v>155.82599999999999</v>
      </c>
      <c r="W377">
        <v>4</v>
      </c>
    </row>
    <row r="378" spans="1:23" x14ac:dyDescent="0.25">
      <c r="A378" s="1" t="s">
        <v>14173</v>
      </c>
      <c r="B378" s="1" t="s">
        <v>11371</v>
      </c>
      <c r="C378" s="1" t="s">
        <v>2544</v>
      </c>
      <c r="D378" s="1" t="s">
        <v>14174</v>
      </c>
      <c r="E378" s="1" t="s">
        <v>157</v>
      </c>
      <c r="F378" s="1" t="s">
        <v>14175</v>
      </c>
      <c r="G378">
        <v>187680</v>
      </c>
      <c r="H378">
        <v>61</v>
      </c>
      <c r="I378" s="1" t="s">
        <v>11063</v>
      </c>
      <c r="J378" s="11">
        <v>44729.706458333334</v>
      </c>
      <c r="K378" s="1" t="s">
        <v>158</v>
      </c>
      <c r="L378" s="1">
        <v>0.56899999999999995</v>
      </c>
      <c r="M378" s="1">
        <v>0.66900000000000004</v>
      </c>
      <c r="N378">
        <v>7</v>
      </c>
      <c r="O378" s="1">
        <v>-8.8490000000000002</v>
      </c>
      <c r="P378">
        <v>0</v>
      </c>
      <c r="Q378" s="1">
        <v>0.18</v>
      </c>
      <c r="R378" s="1">
        <v>0.64700000000000002</v>
      </c>
      <c r="S378" s="1">
        <v>0</v>
      </c>
      <c r="T378" s="1">
        <v>0.13700000000000001</v>
      </c>
      <c r="U378" s="1">
        <v>0.70499999999999996</v>
      </c>
      <c r="V378" s="1">
        <v>73.882000000000005</v>
      </c>
      <c r="W378">
        <v>4</v>
      </c>
    </row>
    <row r="379" spans="1:23" x14ac:dyDescent="0.25">
      <c r="A379" s="1" t="s">
        <v>14176</v>
      </c>
      <c r="B379" s="1" t="s">
        <v>11371</v>
      </c>
      <c r="C379" s="1" t="s">
        <v>2545</v>
      </c>
      <c r="D379" s="1" t="s">
        <v>14174</v>
      </c>
      <c r="E379" s="1" t="s">
        <v>157</v>
      </c>
      <c r="F379" s="1" t="s">
        <v>14175</v>
      </c>
      <c r="G379">
        <v>192040</v>
      </c>
      <c r="H379">
        <v>63</v>
      </c>
      <c r="I379" s="1" t="s">
        <v>11063</v>
      </c>
      <c r="J379" s="11">
        <v>44729.706458333334</v>
      </c>
      <c r="K379" s="1" t="s">
        <v>158</v>
      </c>
      <c r="L379" s="1">
        <v>0.84099999999999997</v>
      </c>
      <c r="M379" s="1">
        <v>0.49299999999999999</v>
      </c>
      <c r="N379">
        <v>3</v>
      </c>
      <c r="O379" s="1">
        <v>-9.0180000000000007</v>
      </c>
      <c r="P379">
        <v>0</v>
      </c>
      <c r="Q379" s="1">
        <v>0.34399999999999997</v>
      </c>
      <c r="R379" s="1">
        <v>0.49199999999999999</v>
      </c>
      <c r="S379" s="1">
        <v>0</v>
      </c>
      <c r="T379" s="1">
        <v>0.92700000000000005</v>
      </c>
      <c r="U379" s="1">
        <v>0.68200000000000005</v>
      </c>
      <c r="V379" s="1">
        <v>112.97</v>
      </c>
      <c r="W379">
        <v>4</v>
      </c>
    </row>
    <row r="380" spans="1:23" x14ac:dyDescent="0.25">
      <c r="A380" s="1" t="s">
        <v>14177</v>
      </c>
      <c r="B380" s="1" t="s">
        <v>11371</v>
      </c>
      <c r="C380" s="1" t="s">
        <v>2546</v>
      </c>
      <c r="D380" s="1" t="s">
        <v>14174</v>
      </c>
      <c r="E380" s="1" t="s">
        <v>157</v>
      </c>
      <c r="F380" s="1" t="s">
        <v>14175</v>
      </c>
      <c r="G380">
        <v>195440</v>
      </c>
      <c r="H380">
        <v>69</v>
      </c>
      <c r="I380" s="1" t="s">
        <v>11063</v>
      </c>
      <c r="J380" s="11">
        <v>44729.706458333334</v>
      </c>
      <c r="K380" s="1" t="s">
        <v>158</v>
      </c>
      <c r="L380" s="1">
        <v>0.54700000000000004</v>
      </c>
      <c r="M380" s="1">
        <v>0.63800000000000001</v>
      </c>
      <c r="N380">
        <v>1</v>
      </c>
      <c r="O380" s="1">
        <v>-7.7889999999999997</v>
      </c>
      <c r="P380">
        <v>1</v>
      </c>
      <c r="Q380" s="1">
        <v>0.25</v>
      </c>
      <c r="R380" s="1">
        <v>0.46</v>
      </c>
      <c r="S380" s="1">
        <v>0.41499999999999998</v>
      </c>
      <c r="T380" s="1">
        <v>0.77500000000000002</v>
      </c>
      <c r="U380" s="1">
        <v>0.88200000000000001</v>
      </c>
      <c r="V380" s="1">
        <v>62.526000000000003</v>
      </c>
      <c r="W380">
        <v>4</v>
      </c>
    </row>
    <row r="381" spans="1:23" x14ac:dyDescent="0.25">
      <c r="A381" s="1" t="s">
        <v>14178</v>
      </c>
      <c r="B381" s="1" t="s">
        <v>14179</v>
      </c>
      <c r="C381" s="1" t="s">
        <v>2547</v>
      </c>
      <c r="D381" s="1" t="s">
        <v>14180</v>
      </c>
      <c r="E381" s="1" t="s">
        <v>2548</v>
      </c>
      <c r="F381" s="1" t="s">
        <v>14181</v>
      </c>
      <c r="G381">
        <v>179867</v>
      </c>
      <c r="H381">
        <v>80</v>
      </c>
      <c r="I381" s="1" t="s">
        <v>11063</v>
      </c>
      <c r="J381" s="11">
        <v>44729.706458333334</v>
      </c>
      <c r="K381" s="1" t="s">
        <v>2370</v>
      </c>
      <c r="L381" s="1">
        <v>0.68</v>
      </c>
      <c r="M381" s="1">
        <v>0.72899999999999998</v>
      </c>
      <c r="N381">
        <v>5</v>
      </c>
      <c r="O381" s="1">
        <v>-5.077</v>
      </c>
      <c r="P381">
        <v>1</v>
      </c>
      <c r="Q381" s="1">
        <v>0.47499999999999998</v>
      </c>
      <c r="R381" s="1">
        <v>0.61199999999999999</v>
      </c>
      <c r="S381" s="1">
        <v>0</v>
      </c>
      <c r="T381" s="1">
        <v>0.224</v>
      </c>
      <c r="U381" s="1">
        <v>0.44600000000000001</v>
      </c>
      <c r="V381" s="1">
        <v>123.97</v>
      </c>
      <c r="W381">
        <v>4</v>
      </c>
    </row>
    <row r="382" spans="1:23" x14ac:dyDescent="0.25">
      <c r="A382" s="1" t="s">
        <v>14182</v>
      </c>
      <c r="B382" s="1" t="s">
        <v>14183</v>
      </c>
      <c r="C382" s="1" t="s">
        <v>2549</v>
      </c>
      <c r="D382" s="1" t="s">
        <v>2549</v>
      </c>
      <c r="E382" s="1" t="s">
        <v>2550</v>
      </c>
      <c r="F382" s="1" t="s">
        <v>14184</v>
      </c>
      <c r="G382">
        <v>187328</v>
      </c>
      <c r="H382">
        <v>28</v>
      </c>
      <c r="I382" s="1" t="s">
        <v>11063</v>
      </c>
      <c r="J382" s="11">
        <v>44729.706458333334</v>
      </c>
      <c r="K382" s="1" t="s">
        <v>50</v>
      </c>
      <c r="L382" s="1">
        <v>0.72399999999999998</v>
      </c>
      <c r="M382" s="1">
        <v>0.66500000000000004</v>
      </c>
      <c r="N382">
        <v>4</v>
      </c>
      <c r="O382" s="1">
        <v>-3.9489999999999998</v>
      </c>
      <c r="P382">
        <v>1</v>
      </c>
      <c r="Q382" s="1">
        <v>0.11700000000000001</v>
      </c>
      <c r="R382" s="1">
        <v>0.27500000000000002</v>
      </c>
      <c r="S382" s="1">
        <v>0</v>
      </c>
      <c r="T382" s="1">
        <v>0.20200000000000001</v>
      </c>
      <c r="U382" s="1">
        <v>0.63600000000000001</v>
      </c>
      <c r="V382" s="1">
        <v>84.103999999999999</v>
      </c>
      <c r="W382">
        <v>4</v>
      </c>
    </row>
    <row r="383" spans="1:23" x14ac:dyDescent="0.25">
      <c r="A383" s="1" t="s">
        <v>11344</v>
      </c>
      <c r="B383" s="1" t="s">
        <v>11345</v>
      </c>
      <c r="C383" s="1" t="s">
        <v>136</v>
      </c>
      <c r="D383" s="1" t="s">
        <v>136</v>
      </c>
      <c r="E383" s="1" t="s">
        <v>137</v>
      </c>
      <c r="F383" s="1" t="s">
        <v>11234</v>
      </c>
      <c r="G383">
        <v>181503</v>
      </c>
      <c r="H383">
        <v>38</v>
      </c>
      <c r="I383" s="1" t="s">
        <v>11063</v>
      </c>
      <c r="J383" s="11">
        <v>44729.706458333334</v>
      </c>
      <c r="K383" s="1" t="s">
        <v>138</v>
      </c>
      <c r="L383" s="1">
        <v>0.69099999999999995</v>
      </c>
      <c r="M383" s="1">
        <v>0.60299999999999998</v>
      </c>
      <c r="N383">
        <v>1</v>
      </c>
      <c r="O383" s="1">
        <v>-7.5069999999999997</v>
      </c>
      <c r="P383">
        <v>0</v>
      </c>
      <c r="Q383" s="1">
        <v>0.34599999999999997</v>
      </c>
      <c r="R383" s="1">
        <v>0.35799999999999998</v>
      </c>
      <c r="S383" s="1">
        <v>0.29899999999999999</v>
      </c>
      <c r="T383" s="1">
        <v>0.108</v>
      </c>
      <c r="U383" s="1">
        <v>0.374</v>
      </c>
      <c r="V383" s="1">
        <v>123.065</v>
      </c>
      <c r="W383">
        <v>4</v>
      </c>
    </row>
    <row r="384" spans="1:23" x14ac:dyDescent="0.25">
      <c r="A384" s="1" t="s">
        <v>14185</v>
      </c>
      <c r="B384" s="1" t="s">
        <v>14186</v>
      </c>
      <c r="C384" s="1" t="s">
        <v>2551</v>
      </c>
      <c r="D384" s="1" t="s">
        <v>2551</v>
      </c>
      <c r="E384" s="1" t="s">
        <v>2552</v>
      </c>
      <c r="F384" s="1" t="s">
        <v>14187</v>
      </c>
      <c r="G384">
        <v>170932</v>
      </c>
      <c r="H384">
        <v>35</v>
      </c>
      <c r="I384" s="1" t="s">
        <v>11063</v>
      </c>
      <c r="J384" s="11">
        <v>44729.706458333334</v>
      </c>
      <c r="K384" s="1" t="s">
        <v>50</v>
      </c>
      <c r="L384" s="1">
        <v>0.47199999999999998</v>
      </c>
      <c r="M384" s="1">
        <v>0.49399999999999999</v>
      </c>
      <c r="N384">
        <v>10</v>
      </c>
      <c r="O384" s="1">
        <v>-7.5410000000000004</v>
      </c>
      <c r="P384">
        <v>1</v>
      </c>
      <c r="Q384" s="1">
        <v>0.33800000000000002</v>
      </c>
      <c r="R384" s="1">
        <v>0.371</v>
      </c>
      <c r="S384" s="1">
        <v>0</v>
      </c>
      <c r="T384" s="1">
        <v>0.27700000000000002</v>
      </c>
      <c r="U384" s="1">
        <v>0.496</v>
      </c>
      <c r="V384" s="1">
        <v>173.864</v>
      </c>
      <c r="W384">
        <v>4</v>
      </c>
    </row>
    <row r="385" spans="1:23" x14ac:dyDescent="0.25">
      <c r="A385" s="1" t="s">
        <v>14188</v>
      </c>
      <c r="B385" s="1" t="s">
        <v>14189</v>
      </c>
      <c r="C385" s="1" t="s">
        <v>814</v>
      </c>
      <c r="D385" s="1" t="s">
        <v>814</v>
      </c>
      <c r="E385" s="1" t="s">
        <v>2553</v>
      </c>
      <c r="F385" s="1" t="s">
        <v>14190</v>
      </c>
      <c r="G385">
        <v>130821</v>
      </c>
      <c r="H385">
        <v>45</v>
      </c>
      <c r="I385" s="1" t="s">
        <v>11063</v>
      </c>
      <c r="J385" s="11">
        <v>44729.706458333334</v>
      </c>
      <c r="K385" s="1" t="s">
        <v>50</v>
      </c>
      <c r="L385" s="1">
        <v>0.66700000000000004</v>
      </c>
      <c r="M385" s="1">
        <v>0.82599999999999996</v>
      </c>
      <c r="N385">
        <v>8</v>
      </c>
      <c r="O385" s="1">
        <v>-5.415</v>
      </c>
      <c r="P385">
        <v>1</v>
      </c>
      <c r="Q385" s="1">
        <v>0.32500000000000001</v>
      </c>
      <c r="R385" s="1">
        <v>0.48699999999999999</v>
      </c>
      <c r="S385" s="1">
        <v>0.82599999999999996</v>
      </c>
      <c r="T385" s="1">
        <v>0.56200000000000006</v>
      </c>
      <c r="U385" s="1">
        <v>0.63400000000000001</v>
      </c>
      <c r="V385" s="1">
        <v>144.95599999999999</v>
      </c>
      <c r="W385">
        <v>5</v>
      </c>
    </row>
    <row r="386" spans="1:23" x14ac:dyDescent="0.25">
      <c r="A386" s="1" t="s">
        <v>14191</v>
      </c>
      <c r="B386" s="1" t="s">
        <v>14192</v>
      </c>
      <c r="C386" s="1" t="s">
        <v>2554</v>
      </c>
      <c r="D386" s="1" t="s">
        <v>2554</v>
      </c>
      <c r="E386" s="1" t="s">
        <v>2555</v>
      </c>
      <c r="F386" s="1" t="s">
        <v>14193</v>
      </c>
      <c r="G386">
        <v>205732</v>
      </c>
      <c r="H386">
        <v>26</v>
      </c>
      <c r="I386" s="1" t="s">
        <v>11063</v>
      </c>
      <c r="J386" s="11">
        <v>44729.706458333334</v>
      </c>
      <c r="K386" s="1" t="s">
        <v>50</v>
      </c>
      <c r="L386" s="1">
        <v>0.60699999999999998</v>
      </c>
      <c r="M386" s="1">
        <v>0.68799999999999994</v>
      </c>
      <c r="N386">
        <v>10</v>
      </c>
      <c r="O386" s="1">
        <v>-2.9609999999999999</v>
      </c>
      <c r="P386">
        <v>0</v>
      </c>
      <c r="Q386" s="1">
        <v>0.27100000000000002</v>
      </c>
      <c r="R386" s="1">
        <v>0.34599999999999997</v>
      </c>
      <c r="S386" s="1">
        <v>0.27200000000000002</v>
      </c>
      <c r="T386" s="1">
        <v>0.92900000000000005</v>
      </c>
      <c r="U386" s="1">
        <v>0.216</v>
      </c>
      <c r="V386" s="1">
        <v>105.02200000000001</v>
      </c>
      <c r="W386">
        <v>4</v>
      </c>
    </row>
    <row r="387" spans="1:23" x14ac:dyDescent="0.25">
      <c r="A387" s="1" t="s">
        <v>14194</v>
      </c>
      <c r="B387" s="1" t="s">
        <v>14195</v>
      </c>
      <c r="C387" s="1" t="s">
        <v>2556</v>
      </c>
      <c r="D387" s="1" t="s">
        <v>2556</v>
      </c>
      <c r="E387" s="1" t="s">
        <v>2557</v>
      </c>
      <c r="F387" s="1" t="s">
        <v>14196</v>
      </c>
      <c r="G387">
        <v>199772</v>
      </c>
      <c r="H387">
        <v>40</v>
      </c>
      <c r="I387" s="1" t="s">
        <v>11063</v>
      </c>
      <c r="J387" s="11">
        <v>44729.706458333334</v>
      </c>
      <c r="K387" s="1" t="s">
        <v>50</v>
      </c>
      <c r="L387" s="1">
        <v>0.47299999999999998</v>
      </c>
      <c r="M387" s="1">
        <v>0.92200000000000004</v>
      </c>
      <c r="N387">
        <v>11</v>
      </c>
      <c r="O387" s="1">
        <v>-5.2670000000000003</v>
      </c>
      <c r="P387">
        <v>0</v>
      </c>
      <c r="Q387" s="1">
        <v>0.14899999999999999</v>
      </c>
      <c r="R387" s="1">
        <v>0.113</v>
      </c>
      <c r="S387" s="1">
        <v>0.71499999999999997</v>
      </c>
      <c r="T387" s="1">
        <v>0.61799999999999999</v>
      </c>
      <c r="U387" s="1">
        <v>0.41599999999999998</v>
      </c>
      <c r="V387" s="1">
        <v>128.178</v>
      </c>
      <c r="W387">
        <v>4</v>
      </c>
    </row>
    <row r="388" spans="1:23" x14ac:dyDescent="0.25">
      <c r="A388" s="1" t="s">
        <v>14197</v>
      </c>
      <c r="B388" s="1" t="s">
        <v>14198</v>
      </c>
      <c r="C388" s="1" t="s">
        <v>2558</v>
      </c>
      <c r="D388" s="1" t="s">
        <v>14199</v>
      </c>
      <c r="E388" s="1" t="s">
        <v>2559</v>
      </c>
      <c r="F388" s="1" t="s">
        <v>13769</v>
      </c>
      <c r="G388">
        <v>205161</v>
      </c>
      <c r="H388">
        <v>40</v>
      </c>
      <c r="I388" s="1" t="s">
        <v>11063</v>
      </c>
      <c r="J388" s="11">
        <v>44729.706458333334</v>
      </c>
      <c r="K388" s="1" t="s">
        <v>50</v>
      </c>
      <c r="L388" s="1">
        <v>0.47299999999999998</v>
      </c>
      <c r="M388" s="1">
        <v>0.81299999999999994</v>
      </c>
      <c r="N388">
        <v>9</v>
      </c>
      <c r="O388" s="1">
        <v>-7.1989999999999998</v>
      </c>
      <c r="P388">
        <v>0</v>
      </c>
      <c r="Q388" s="1">
        <v>0.56100000000000005</v>
      </c>
      <c r="R388" s="1">
        <v>0.71199999999999997</v>
      </c>
      <c r="S388" s="1">
        <v>0.51100000000000001</v>
      </c>
      <c r="T388" s="1">
        <v>0.66400000000000003</v>
      </c>
      <c r="U388" s="1">
        <v>0.13300000000000001</v>
      </c>
      <c r="V388" s="1">
        <v>92.918999999999997</v>
      </c>
      <c r="W388">
        <v>4</v>
      </c>
    </row>
    <row r="389" spans="1:23" x14ac:dyDescent="0.25">
      <c r="A389" s="1" t="s">
        <v>14200</v>
      </c>
      <c r="B389" s="1" t="s">
        <v>14201</v>
      </c>
      <c r="C389" s="1" t="s">
        <v>2560</v>
      </c>
      <c r="D389" s="1" t="s">
        <v>14202</v>
      </c>
      <c r="E389" s="1" t="s">
        <v>2561</v>
      </c>
      <c r="F389" s="1" t="s">
        <v>14203</v>
      </c>
      <c r="G389">
        <v>185660</v>
      </c>
      <c r="H389">
        <v>45</v>
      </c>
      <c r="I389" s="1" t="s">
        <v>11063</v>
      </c>
      <c r="J389" s="11">
        <v>44729.706458333334</v>
      </c>
      <c r="K389" s="1" t="s">
        <v>2562</v>
      </c>
      <c r="L389" s="1">
        <v>0.60599999999999998</v>
      </c>
      <c r="M389" s="1">
        <v>0.65200000000000002</v>
      </c>
      <c r="N389">
        <v>4</v>
      </c>
      <c r="O389" s="1">
        <v>-7.6479999999999997</v>
      </c>
      <c r="P389">
        <v>0</v>
      </c>
      <c r="Q389" s="1">
        <v>0.71399999999999997</v>
      </c>
      <c r="R389" s="1">
        <v>0.504</v>
      </c>
      <c r="S389" s="1">
        <v>0.36799999999999999</v>
      </c>
      <c r="T389" s="1">
        <v>0.41899999999999998</v>
      </c>
      <c r="U389" s="1">
        <v>0.23899999999999999</v>
      </c>
      <c r="V389" s="1">
        <v>105.967</v>
      </c>
      <c r="W389">
        <v>4</v>
      </c>
    </row>
    <row r="390" spans="1:23" x14ac:dyDescent="0.25">
      <c r="A390" s="1" t="s">
        <v>14204</v>
      </c>
      <c r="B390" s="1" t="s">
        <v>14205</v>
      </c>
      <c r="C390" s="1" t="s">
        <v>2563</v>
      </c>
      <c r="D390" s="1" t="s">
        <v>14206</v>
      </c>
      <c r="E390" s="1" t="s">
        <v>2564</v>
      </c>
      <c r="F390" s="1" t="s">
        <v>14207</v>
      </c>
      <c r="G390">
        <v>208800</v>
      </c>
      <c r="H390">
        <v>37</v>
      </c>
      <c r="I390" s="1" t="s">
        <v>11063</v>
      </c>
      <c r="J390" s="11">
        <v>44729.706458333334</v>
      </c>
      <c r="K390" s="1" t="s">
        <v>2565</v>
      </c>
      <c r="L390" s="1">
        <v>0.61199999999999999</v>
      </c>
      <c r="M390" s="1">
        <v>0.70799999999999996</v>
      </c>
      <c r="N390">
        <v>6</v>
      </c>
      <c r="O390" s="1">
        <v>-5.6790000000000003</v>
      </c>
      <c r="P390">
        <v>0</v>
      </c>
      <c r="Q390" s="1">
        <v>0.57499999999999996</v>
      </c>
      <c r="R390" s="1">
        <v>0.20799999999999999</v>
      </c>
      <c r="S390" s="1">
        <v>0</v>
      </c>
      <c r="T390" s="1">
        <v>0.13800000000000001</v>
      </c>
      <c r="U390" s="1">
        <v>0.66300000000000003</v>
      </c>
      <c r="V390" s="1">
        <v>113.017</v>
      </c>
      <c r="W390">
        <v>4</v>
      </c>
    </row>
    <row r="391" spans="1:23" x14ac:dyDescent="0.25">
      <c r="A391" s="1" t="s">
        <v>14208</v>
      </c>
      <c r="B391" s="1" t="s">
        <v>14209</v>
      </c>
      <c r="C391" s="1" t="s">
        <v>2566</v>
      </c>
      <c r="D391" s="1" t="s">
        <v>2566</v>
      </c>
      <c r="E391" s="1" t="s">
        <v>2567</v>
      </c>
      <c r="F391" s="1" t="s">
        <v>14210</v>
      </c>
      <c r="G391">
        <v>237262</v>
      </c>
      <c r="H391">
        <v>43</v>
      </c>
      <c r="I391" s="1" t="s">
        <v>11063</v>
      </c>
      <c r="J391" s="11">
        <v>44729.706458333334</v>
      </c>
      <c r="K391" s="1" t="s">
        <v>2568</v>
      </c>
      <c r="L391" s="1">
        <v>0.434</v>
      </c>
      <c r="M391" s="1">
        <v>0.80100000000000005</v>
      </c>
      <c r="N391">
        <v>5</v>
      </c>
      <c r="O391" s="1">
        <v>-2.6859999999999999</v>
      </c>
      <c r="P391">
        <v>0</v>
      </c>
      <c r="Q391" s="1">
        <v>0.56100000000000005</v>
      </c>
      <c r="R391" s="1">
        <v>0.876</v>
      </c>
      <c r="S391" s="1">
        <v>0.31900000000000001</v>
      </c>
      <c r="T391" s="1">
        <v>0.73099999999999998</v>
      </c>
      <c r="U391" s="1">
        <v>0.30399999999999999</v>
      </c>
      <c r="V391" s="1">
        <v>173.96600000000001</v>
      </c>
      <c r="W391">
        <v>4</v>
      </c>
    </row>
    <row r="392" spans="1:23" x14ac:dyDescent="0.25">
      <c r="A392" s="1" t="s">
        <v>14211</v>
      </c>
      <c r="B392" s="1" t="s">
        <v>14212</v>
      </c>
      <c r="C392" s="1" t="s">
        <v>2440</v>
      </c>
      <c r="D392" s="1" t="s">
        <v>2440</v>
      </c>
      <c r="E392" s="1" t="s">
        <v>2569</v>
      </c>
      <c r="F392" s="1" t="s">
        <v>11255</v>
      </c>
      <c r="G392">
        <v>188731</v>
      </c>
      <c r="H392">
        <v>74</v>
      </c>
      <c r="I392" s="1" t="s">
        <v>11063</v>
      </c>
      <c r="J392" s="11">
        <v>44729.706458333334</v>
      </c>
      <c r="K392" s="1" t="s">
        <v>2570</v>
      </c>
      <c r="L392" s="1">
        <v>0.60099999999999998</v>
      </c>
      <c r="M392" s="1">
        <v>0.879</v>
      </c>
      <c r="N392">
        <v>2</v>
      </c>
      <c r="O392" s="1">
        <v>-2.673</v>
      </c>
      <c r="P392">
        <v>0</v>
      </c>
      <c r="Q392" s="1">
        <v>0.35299999999999998</v>
      </c>
      <c r="R392" s="1">
        <v>0.313</v>
      </c>
      <c r="S392" s="1">
        <v>0</v>
      </c>
      <c r="T392" s="1">
        <v>0.79300000000000004</v>
      </c>
      <c r="U392" s="1">
        <v>0.58899999999999997</v>
      </c>
      <c r="V392" s="1">
        <v>124.01300000000001</v>
      </c>
      <c r="W392">
        <v>4</v>
      </c>
    </row>
    <row r="393" spans="1:23" x14ac:dyDescent="0.25">
      <c r="A393" s="1" t="s">
        <v>14213</v>
      </c>
      <c r="B393" s="1" t="s">
        <v>14214</v>
      </c>
      <c r="C393" s="1" t="s">
        <v>2571</v>
      </c>
      <c r="D393" s="1" t="s">
        <v>14149</v>
      </c>
      <c r="E393" s="1" t="s">
        <v>2572</v>
      </c>
      <c r="F393" s="1" t="s">
        <v>11261</v>
      </c>
      <c r="G393">
        <v>205989</v>
      </c>
      <c r="H393">
        <v>46</v>
      </c>
      <c r="I393" s="1" t="s">
        <v>11063</v>
      </c>
      <c r="J393" s="11">
        <v>44729.706458333334</v>
      </c>
      <c r="K393" s="1" t="s">
        <v>2573</v>
      </c>
      <c r="L393" s="1">
        <v>0.59599999999999997</v>
      </c>
      <c r="M393" s="1">
        <v>0.498</v>
      </c>
      <c r="N393">
        <v>0</v>
      </c>
      <c r="O393" s="1">
        <v>-8.4990000000000006</v>
      </c>
      <c r="P393">
        <v>0</v>
      </c>
      <c r="Q393" s="1">
        <v>0.99099999999999999</v>
      </c>
      <c r="R393" s="1">
        <v>0.17199999999999999</v>
      </c>
      <c r="S393" s="1">
        <v>0.72499999999999998</v>
      </c>
      <c r="T393" s="1">
        <v>0.29399999999999998</v>
      </c>
      <c r="U393" s="1">
        <v>0.50900000000000001</v>
      </c>
      <c r="V393" s="1">
        <v>137.916</v>
      </c>
      <c r="W393">
        <v>4</v>
      </c>
    </row>
    <row r="394" spans="1:23" x14ac:dyDescent="0.25">
      <c r="A394" s="1" t="s">
        <v>14215</v>
      </c>
      <c r="B394" s="1" t="s">
        <v>13503</v>
      </c>
      <c r="C394" s="1" t="s">
        <v>2574</v>
      </c>
      <c r="D394" s="1" t="s">
        <v>2574</v>
      </c>
      <c r="E394" s="1" t="s">
        <v>1972</v>
      </c>
      <c r="F394" s="1" t="s">
        <v>11261</v>
      </c>
      <c r="G394">
        <v>167782</v>
      </c>
      <c r="H394">
        <v>40</v>
      </c>
      <c r="I394" s="1" t="s">
        <v>11063</v>
      </c>
      <c r="J394" s="11">
        <v>44729.706458333334</v>
      </c>
      <c r="K394" s="1" t="s">
        <v>1973</v>
      </c>
      <c r="L394" s="1">
        <v>0.57899999999999996</v>
      </c>
      <c r="M394" s="1">
        <v>0.69899999999999995</v>
      </c>
      <c r="N394">
        <v>6</v>
      </c>
      <c r="O394" s="1">
        <v>-6.7249999999999996</v>
      </c>
      <c r="P394">
        <v>0</v>
      </c>
      <c r="Q394" s="1">
        <v>0.317</v>
      </c>
      <c r="R394" s="1">
        <v>0.33100000000000002</v>
      </c>
      <c r="S394" s="1">
        <v>0.314</v>
      </c>
      <c r="T394" s="1">
        <v>0.11700000000000001</v>
      </c>
      <c r="U394" s="1">
        <v>0.46200000000000002</v>
      </c>
      <c r="V394" s="1">
        <v>92.992000000000004</v>
      </c>
      <c r="W394">
        <v>4</v>
      </c>
    </row>
    <row r="395" spans="1:23" x14ac:dyDescent="0.25">
      <c r="A395" s="1" t="s">
        <v>14216</v>
      </c>
      <c r="B395" s="1" t="s">
        <v>14217</v>
      </c>
      <c r="C395" s="1" t="s">
        <v>2575</v>
      </c>
      <c r="D395" s="1" t="s">
        <v>2575</v>
      </c>
      <c r="E395" s="1" t="s">
        <v>2576</v>
      </c>
      <c r="F395" s="1" t="s">
        <v>11261</v>
      </c>
      <c r="G395">
        <v>192921</v>
      </c>
      <c r="H395">
        <v>23</v>
      </c>
      <c r="I395" s="1" t="s">
        <v>11063</v>
      </c>
      <c r="J395" s="11">
        <v>44729.706458333334</v>
      </c>
      <c r="K395" s="1" t="s">
        <v>2577</v>
      </c>
      <c r="L395" s="1">
        <v>0.97399999999999998</v>
      </c>
      <c r="M395" s="1">
        <v>0.55500000000000005</v>
      </c>
      <c r="N395">
        <v>6</v>
      </c>
      <c r="O395" s="1">
        <v>-9.0839999999999996</v>
      </c>
      <c r="P395">
        <v>0</v>
      </c>
      <c r="Q395" s="1">
        <v>0.55100000000000005</v>
      </c>
      <c r="R395" s="1">
        <v>0.52200000000000002</v>
      </c>
      <c r="S395" s="1">
        <v>0.14699999999999999</v>
      </c>
      <c r="T395" s="1">
        <v>0.12</v>
      </c>
      <c r="U395" s="1">
        <v>0.57399999999999995</v>
      </c>
      <c r="V395" s="1">
        <v>107.992</v>
      </c>
      <c r="W395">
        <v>4</v>
      </c>
    </row>
    <row r="396" spans="1:23" x14ac:dyDescent="0.25">
      <c r="A396" s="1" t="s">
        <v>14218</v>
      </c>
      <c r="B396" s="1" t="s">
        <v>14219</v>
      </c>
      <c r="C396" s="1" t="s">
        <v>2578</v>
      </c>
      <c r="D396" s="1" t="s">
        <v>2578</v>
      </c>
      <c r="E396" s="1" t="s">
        <v>2579</v>
      </c>
      <c r="F396" s="1" t="s">
        <v>11261</v>
      </c>
      <c r="G396">
        <v>178842</v>
      </c>
      <c r="H396">
        <v>48</v>
      </c>
      <c r="I396" s="1" t="s">
        <v>11063</v>
      </c>
      <c r="J396" s="11">
        <v>44729.706458333334</v>
      </c>
      <c r="K396" s="1" t="s">
        <v>2580</v>
      </c>
      <c r="L396" s="1">
        <v>0.81699999999999995</v>
      </c>
      <c r="M396" s="1">
        <v>0.64500000000000002</v>
      </c>
      <c r="N396">
        <v>8</v>
      </c>
      <c r="O396" s="1">
        <v>-6.1470000000000002</v>
      </c>
      <c r="P396">
        <v>0</v>
      </c>
      <c r="Q396" s="1">
        <v>0.42799999999999999</v>
      </c>
      <c r="R396" s="1">
        <v>0.41</v>
      </c>
      <c r="S396" s="1">
        <v>0.29499999999999998</v>
      </c>
      <c r="T396" s="1">
        <v>0.3</v>
      </c>
      <c r="U396" s="1">
        <v>0.83799999999999997</v>
      </c>
      <c r="V396" s="1">
        <v>124.977</v>
      </c>
      <c r="W396">
        <v>4</v>
      </c>
    </row>
    <row r="397" spans="1:23" x14ac:dyDescent="0.25">
      <c r="A397" s="1" t="s">
        <v>11350</v>
      </c>
      <c r="B397" s="1" t="s">
        <v>11351</v>
      </c>
      <c r="C397" s="1" t="s">
        <v>72</v>
      </c>
      <c r="D397" s="1" t="s">
        <v>72</v>
      </c>
      <c r="E397" s="1" t="s">
        <v>141</v>
      </c>
      <c r="F397" s="1" t="s">
        <v>11352</v>
      </c>
      <c r="G397">
        <v>181016</v>
      </c>
      <c r="H397">
        <v>45</v>
      </c>
      <c r="I397" s="1" t="s">
        <v>11063</v>
      </c>
      <c r="J397" s="11">
        <v>44729.706458333334</v>
      </c>
      <c r="K397" s="1" t="s">
        <v>142</v>
      </c>
      <c r="L397" s="1">
        <v>0.54200000000000004</v>
      </c>
      <c r="M397" s="1">
        <v>0.65</v>
      </c>
      <c r="N397">
        <v>8</v>
      </c>
      <c r="O397" s="1">
        <v>-7.7779999999999996</v>
      </c>
      <c r="P397">
        <v>0</v>
      </c>
      <c r="Q397" s="1">
        <v>0.53400000000000003</v>
      </c>
      <c r="R397" s="1">
        <v>0.24299999999999999</v>
      </c>
      <c r="S397" s="1">
        <v>0.13600000000000001</v>
      </c>
      <c r="T397" s="1">
        <v>0.152</v>
      </c>
      <c r="U397" s="1">
        <v>0.376</v>
      </c>
      <c r="V397" s="1">
        <v>118.01900000000001</v>
      </c>
      <c r="W397">
        <v>4</v>
      </c>
    </row>
    <row r="398" spans="1:23" x14ac:dyDescent="0.25">
      <c r="A398" s="1" t="s">
        <v>14220</v>
      </c>
      <c r="B398" s="1" t="s">
        <v>14221</v>
      </c>
      <c r="C398" s="1" t="s">
        <v>2581</v>
      </c>
      <c r="D398" s="1" t="s">
        <v>2581</v>
      </c>
      <c r="E398" s="1" t="s">
        <v>2582</v>
      </c>
      <c r="F398" s="1" t="s">
        <v>11240</v>
      </c>
      <c r="G398">
        <v>256720</v>
      </c>
      <c r="H398">
        <v>45</v>
      </c>
      <c r="I398" s="1" t="s">
        <v>11063</v>
      </c>
      <c r="J398" s="11">
        <v>44729.706458333334</v>
      </c>
      <c r="K398" s="1" t="s">
        <v>2583</v>
      </c>
      <c r="L398" s="1">
        <v>0.24199999999999999</v>
      </c>
      <c r="M398" s="1">
        <v>0.90400000000000003</v>
      </c>
      <c r="N398">
        <v>10</v>
      </c>
      <c r="O398" s="1">
        <v>-3.6040000000000001</v>
      </c>
      <c r="P398">
        <v>1</v>
      </c>
      <c r="Q398" s="1">
        <v>0.73699999999999999</v>
      </c>
      <c r="R398" s="1">
        <v>0.40100000000000002</v>
      </c>
      <c r="S398" s="1">
        <v>0</v>
      </c>
      <c r="T398" s="1">
        <v>0.26</v>
      </c>
      <c r="U398" s="1">
        <v>0.52</v>
      </c>
      <c r="V398" s="1">
        <v>84.641999999999996</v>
      </c>
      <c r="W398">
        <v>4</v>
      </c>
    </row>
    <row r="399" spans="1:23" x14ac:dyDescent="0.25">
      <c r="A399" s="1" t="s">
        <v>12181</v>
      </c>
      <c r="B399" s="1" t="s">
        <v>12182</v>
      </c>
      <c r="C399" s="1" t="s">
        <v>704</v>
      </c>
      <c r="D399" s="1" t="s">
        <v>704</v>
      </c>
      <c r="E399" s="1" t="s">
        <v>705</v>
      </c>
      <c r="F399" s="1" t="s">
        <v>14222</v>
      </c>
      <c r="G399">
        <v>168250</v>
      </c>
      <c r="H399">
        <v>49</v>
      </c>
      <c r="I399" s="1" t="s">
        <v>11063</v>
      </c>
      <c r="J399" s="11">
        <v>44729.706458333334</v>
      </c>
      <c r="K399" s="1" t="s">
        <v>706</v>
      </c>
      <c r="L399" s="1">
        <v>0.55400000000000005</v>
      </c>
      <c r="M399" s="1">
        <v>0.88400000000000001</v>
      </c>
      <c r="N399">
        <v>4</v>
      </c>
      <c r="O399" s="1">
        <v>-3.548</v>
      </c>
      <c r="P399">
        <v>0</v>
      </c>
      <c r="Q399" s="1">
        <v>0.108</v>
      </c>
      <c r="R399" s="1">
        <v>0.4</v>
      </c>
      <c r="S399" s="1">
        <v>0.22500000000000001</v>
      </c>
      <c r="T399" s="1">
        <v>0.13200000000000001</v>
      </c>
      <c r="U399" s="1">
        <v>0.22900000000000001</v>
      </c>
      <c r="V399" s="1">
        <v>128.036</v>
      </c>
      <c r="W399">
        <v>4</v>
      </c>
    </row>
    <row r="400" spans="1:23" x14ac:dyDescent="0.25">
      <c r="A400" s="1" t="s">
        <v>14223</v>
      </c>
      <c r="B400" s="1" t="s">
        <v>14224</v>
      </c>
      <c r="C400" s="1" t="s">
        <v>2584</v>
      </c>
      <c r="D400" s="1" t="s">
        <v>14225</v>
      </c>
      <c r="E400" s="1" t="s">
        <v>2585</v>
      </c>
      <c r="F400" s="1" t="s">
        <v>13549</v>
      </c>
      <c r="G400">
        <v>215506</v>
      </c>
      <c r="H400">
        <v>88</v>
      </c>
      <c r="I400" s="1" t="s">
        <v>11063</v>
      </c>
      <c r="J400" s="11">
        <v>44729.706458333334</v>
      </c>
      <c r="K400" s="1" t="s">
        <v>919</v>
      </c>
      <c r="L400" s="1">
        <v>0.442</v>
      </c>
      <c r="M400" s="1">
        <v>0.61199999999999999</v>
      </c>
      <c r="N400">
        <v>2</v>
      </c>
      <c r="O400" s="1">
        <v>-7.2220000000000004</v>
      </c>
      <c r="P400">
        <v>1</v>
      </c>
      <c r="Q400" s="1">
        <v>0.112</v>
      </c>
      <c r="R400" s="1">
        <v>0.58399999999999996</v>
      </c>
      <c r="S400" s="1">
        <v>0.56999999999999995</v>
      </c>
      <c r="T400" s="1">
        <v>0.37</v>
      </c>
      <c r="U400" s="1">
        <v>0.17799999999999999</v>
      </c>
      <c r="V400" s="1">
        <v>180.917</v>
      </c>
      <c r="W400">
        <v>4</v>
      </c>
    </row>
    <row r="401" spans="1:23" x14ac:dyDescent="0.25">
      <c r="A401" s="1" t="s">
        <v>14226</v>
      </c>
      <c r="B401" s="1" t="s">
        <v>14227</v>
      </c>
      <c r="C401" s="1" t="s">
        <v>2586</v>
      </c>
      <c r="D401" s="1" t="s">
        <v>2586</v>
      </c>
      <c r="E401" s="1" t="s">
        <v>2587</v>
      </c>
      <c r="F401" s="1" t="s">
        <v>14228</v>
      </c>
      <c r="G401">
        <v>192426</v>
      </c>
      <c r="H401">
        <v>28</v>
      </c>
      <c r="I401" s="1" t="s">
        <v>11063</v>
      </c>
      <c r="J401" s="11">
        <v>44729.706458333334</v>
      </c>
      <c r="K401" s="1" t="s">
        <v>933</v>
      </c>
      <c r="L401" s="1">
        <v>0.56499999999999995</v>
      </c>
      <c r="M401" s="1">
        <v>0.56999999999999995</v>
      </c>
      <c r="N401">
        <v>5</v>
      </c>
      <c r="O401" s="1">
        <v>-6.4560000000000004</v>
      </c>
      <c r="P401">
        <v>1</v>
      </c>
      <c r="Q401" s="1">
        <v>0.56100000000000005</v>
      </c>
      <c r="R401" s="1">
        <v>0.89800000000000002</v>
      </c>
      <c r="S401" s="1">
        <v>0</v>
      </c>
      <c r="T401" s="1">
        <v>0.22500000000000001</v>
      </c>
      <c r="U401" s="1">
        <v>0.253</v>
      </c>
      <c r="V401" s="1">
        <v>142.08099999999999</v>
      </c>
      <c r="W401">
        <v>4</v>
      </c>
    </row>
    <row r="402" spans="1:23" x14ac:dyDescent="0.25">
      <c r="A402" s="1" t="s">
        <v>14229</v>
      </c>
      <c r="B402" s="1" t="s">
        <v>14230</v>
      </c>
      <c r="C402" s="1" t="s">
        <v>2588</v>
      </c>
      <c r="D402" s="1" t="s">
        <v>2588</v>
      </c>
      <c r="E402" s="1" t="s">
        <v>2589</v>
      </c>
      <c r="F402" s="1" t="s">
        <v>14231</v>
      </c>
      <c r="G402">
        <v>213913</v>
      </c>
      <c r="H402">
        <v>46</v>
      </c>
      <c r="I402" s="1" t="s">
        <v>11063</v>
      </c>
      <c r="J402" s="11">
        <v>44729.706458333334</v>
      </c>
      <c r="K402" s="1" t="s">
        <v>2590</v>
      </c>
      <c r="L402" s="1">
        <v>0.61499999999999999</v>
      </c>
      <c r="M402" s="1">
        <v>0.84199999999999997</v>
      </c>
      <c r="N402">
        <v>1</v>
      </c>
      <c r="O402" s="1">
        <v>-3.3580000000000001</v>
      </c>
      <c r="P402">
        <v>0</v>
      </c>
      <c r="Q402" s="1">
        <v>0.57899999999999996</v>
      </c>
      <c r="R402" s="1">
        <v>0.438</v>
      </c>
      <c r="S402" s="1">
        <v>0.223</v>
      </c>
      <c r="T402" s="1">
        <v>0.10199999999999999</v>
      </c>
      <c r="U402" s="1">
        <v>0.58299999999999996</v>
      </c>
      <c r="V402" s="1">
        <v>138.07300000000001</v>
      </c>
      <c r="W402">
        <v>4</v>
      </c>
    </row>
    <row r="403" spans="1:23" x14ac:dyDescent="0.25">
      <c r="A403" s="1" t="s">
        <v>14232</v>
      </c>
      <c r="B403" s="1" t="s">
        <v>14233</v>
      </c>
      <c r="C403" s="1" t="s">
        <v>2591</v>
      </c>
      <c r="D403" s="1" t="s">
        <v>14234</v>
      </c>
      <c r="E403" s="1" t="s">
        <v>2592</v>
      </c>
      <c r="F403" s="1" t="s">
        <v>14235</v>
      </c>
      <c r="G403">
        <v>224720</v>
      </c>
      <c r="H403">
        <v>44</v>
      </c>
      <c r="I403" s="1" t="s">
        <v>11063</v>
      </c>
      <c r="J403" s="11">
        <v>44729.706458333334</v>
      </c>
      <c r="K403" s="1" t="s">
        <v>2593</v>
      </c>
      <c r="L403" s="1">
        <v>0.248</v>
      </c>
      <c r="M403" s="1">
        <v>0.35099999999999998</v>
      </c>
      <c r="N403">
        <v>3</v>
      </c>
      <c r="O403" s="1">
        <v>-6.7350000000000003</v>
      </c>
      <c r="P403">
        <v>1</v>
      </c>
      <c r="Q403" s="1">
        <v>0.317</v>
      </c>
      <c r="R403" s="1">
        <v>0.56999999999999995</v>
      </c>
      <c r="S403" s="1">
        <v>0.34200000000000003</v>
      </c>
      <c r="T403" s="1">
        <v>0.77500000000000002</v>
      </c>
      <c r="U403" s="1">
        <v>0.51100000000000001</v>
      </c>
      <c r="V403" s="1">
        <v>67.900000000000006</v>
      </c>
      <c r="W403">
        <v>4</v>
      </c>
    </row>
    <row r="404" spans="1:23" x14ac:dyDescent="0.25">
      <c r="A404" s="1" t="s">
        <v>14236</v>
      </c>
      <c r="B404" s="1" t="s">
        <v>12042</v>
      </c>
      <c r="C404" s="1" t="s">
        <v>575</v>
      </c>
      <c r="D404" s="1" t="s">
        <v>575</v>
      </c>
      <c r="E404" s="1" t="s">
        <v>576</v>
      </c>
      <c r="F404" s="1" t="s">
        <v>14237</v>
      </c>
      <c r="G404">
        <v>306000</v>
      </c>
      <c r="H404">
        <v>41</v>
      </c>
      <c r="I404" s="1" t="s">
        <v>11063</v>
      </c>
      <c r="J404" s="11">
        <v>44729.706458333334</v>
      </c>
      <c r="K404" s="1" t="s">
        <v>537</v>
      </c>
      <c r="L404" s="1">
        <v>0.42099999999999999</v>
      </c>
      <c r="M404" s="1">
        <v>0.93799999999999994</v>
      </c>
      <c r="N404">
        <v>5</v>
      </c>
      <c r="O404" s="1">
        <v>-1.42</v>
      </c>
      <c r="P404">
        <v>0</v>
      </c>
      <c r="Q404" s="1">
        <v>0.80200000000000005</v>
      </c>
      <c r="R404" s="1">
        <v>0.36399999999999999</v>
      </c>
      <c r="S404" s="1">
        <v>0.80900000000000005</v>
      </c>
      <c r="T404" s="1">
        <v>0.36699999999999999</v>
      </c>
      <c r="U404" s="1">
        <v>0.34499999999999997</v>
      </c>
      <c r="V404" s="1">
        <v>94.953000000000003</v>
      </c>
      <c r="W404">
        <v>4</v>
      </c>
    </row>
    <row r="405" spans="1:23" x14ac:dyDescent="0.25">
      <c r="A405" s="1" t="s">
        <v>14238</v>
      </c>
      <c r="B405" s="1" t="s">
        <v>14239</v>
      </c>
      <c r="C405" s="1" t="s">
        <v>2594</v>
      </c>
      <c r="D405" s="1" t="s">
        <v>2594</v>
      </c>
      <c r="E405" s="1" t="s">
        <v>2595</v>
      </c>
      <c r="F405" s="1" t="s">
        <v>11246</v>
      </c>
      <c r="G405">
        <v>229935</v>
      </c>
      <c r="H405">
        <v>42</v>
      </c>
      <c r="I405" s="1" t="s">
        <v>11063</v>
      </c>
      <c r="J405" s="11">
        <v>44729.706458333334</v>
      </c>
      <c r="K405" s="1" t="s">
        <v>2596</v>
      </c>
      <c r="L405" s="1">
        <v>0.59399999999999997</v>
      </c>
      <c r="M405" s="1">
        <v>0.92</v>
      </c>
      <c r="N405">
        <v>2</v>
      </c>
      <c r="O405" s="1">
        <v>-4.2240000000000002</v>
      </c>
      <c r="P405">
        <v>0</v>
      </c>
      <c r="Q405" s="1">
        <v>0.4</v>
      </c>
      <c r="R405" s="1">
        <v>0.35</v>
      </c>
      <c r="S405" s="1">
        <v>0.107</v>
      </c>
      <c r="T405" s="1">
        <v>0.34</v>
      </c>
      <c r="U405" s="1">
        <v>0.45900000000000002</v>
      </c>
      <c r="V405" s="1">
        <v>154.98500000000001</v>
      </c>
      <c r="W405">
        <v>4</v>
      </c>
    </row>
    <row r="406" spans="1:23" x14ac:dyDescent="0.25">
      <c r="A406" s="1" t="s">
        <v>14240</v>
      </c>
      <c r="B406" s="1" t="s">
        <v>14241</v>
      </c>
      <c r="C406" s="1" t="s">
        <v>1463</v>
      </c>
      <c r="D406" s="1" t="s">
        <v>1463</v>
      </c>
      <c r="E406" s="1" t="s">
        <v>2597</v>
      </c>
      <c r="F406" s="1" t="s">
        <v>14242</v>
      </c>
      <c r="G406">
        <v>175200</v>
      </c>
      <c r="H406">
        <v>31</v>
      </c>
      <c r="I406" s="1" t="s">
        <v>11063</v>
      </c>
      <c r="J406" s="11">
        <v>44729.706458333334</v>
      </c>
      <c r="K406" s="1" t="s">
        <v>2598</v>
      </c>
      <c r="L406" s="1">
        <v>0.39400000000000002</v>
      </c>
      <c r="M406" s="1">
        <v>0.91100000000000003</v>
      </c>
      <c r="N406">
        <v>0</v>
      </c>
      <c r="O406" s="1">
        <v>-3.786</v>
      </c>
      <c r="P406">
        <v>1</v>
      </c>
      <c r="Q406" s="1">
        <v>0.37</v>
      </c>
      <c r="R406" s="1">
        <v>0.39300000000000002</v>
      </c>
      <c r="S406" s="1">
        <v>0.16600000000000001</v>
      </c>
      <c r="T406" s="1">
        <v>0.49399999999999999</v>
      </c>
      <c r="U406" s="1">
        <v>0.219</v>
      </c>
      <c r="V406" s="1">
        <v>150.09700000000001</v>
      </c>
      <c r="W406">
        <v>4</v>
      </c>
    </row>
    <row r="407" spans="1:23" x14ac:dyDescent="0.25">
      <c r="A407" s="1" t="s">
        <v>14243</v>
      </c>
      <c r="B407" s="1" t="s">
        <v>14244</v>
      </c>
      <c r="C407" s="1" t="s">
        <v>2599</v>
      </c>
      <c r="D407" s="1" t="s">
        <v>14245</v>
      </c>
      <c r="E407" s="1" t="s">
        <v>2600</v>
      </c>
      <c r="F407" s="1" t="s">
        <v>14246</v>
      </c>
      <c r="G407">
        <v>152085</v>
      </c>
      <c r="H407">
        <v>19</v>
      </c>
      <c r="I407" s="1" t="s">
        <v>11063</v>
      </c>
      <c r="J407" s="11">
        <v>44729.706458333334</v>
      </c>
      <c r="K407" s="1" t="s">
        <v>50</v>
      </c>
      <c r="L407" s="1">
        <v>0.67900000000000005</v>
      </c>
      <c r="M407" s="1">
        <v>0.89500000000000002</v>
      </c>
      <c r="N407">
        <v>1</v>
      </c>
      <c r="O407" s="1">
        <v>-5.2169999999999996</v>
      </c>
      <c r="P407">
        <v>1</v>
      </c>
      <c r="Q407" s="1">
        <v>0.66200000000000003</v>
      </c>
      <c r="R407" s="1">
        <v>0.59599999999999997</v>
      </c>
      <c r="S407" s="1">
        <v>0.79</v>
      </c>
      <c r="T407" s="1">
        <v>0.81899999999999995</v>
      </c>
      <c r="U407" s="1">
        <v>0.183</v>
      </c>
      <c r="V407" s="1">
        <v>126.02800000000001</v>
      </c>
      <c r="W407">
        <v>4</v>
      </c>
    </row>
    <row r="408" spans="1:23" x14ac:dyDescent="0.25">
      <c r="A408" s="1" t="s">
        <v>11353</v>
      </c>
      <c r="B408" s="1" t="s">
        <v>11354</v>
      </c>
      <c r="C408" s="1" t="s">
        <v>143</v>
      </c>
      <c r="D408" s="1" t="s">
        <v>11355</v>
      </c>
      <c r="E408" s="1" t="s">
        <v>144</v>
      </c>
      <c r="F408" s="1" t="s">
        <v>11356</v>
      </c>
      <c r="G408">
        <v>204465</v>
      </c>
      <c r="H408">
        <v>37</v>
      </c>
      <c r="I408" s="1" t="s">
        <v>11063</v>
      </c>
      <c r="J408" s="11">
        <v>44729.706458333334</v>
      </c>
      <c r="K408" s="1" t="s">
        <v>1000</v>
      </c>
      <c r="L408" s="1">
        <v>0.309</v>
      </c>
      <c r="M408" s="1">
        <v>0.77600000000000002</v>
      </c>
      <c r="N408">
        <v>7</v>
      </c>
      <c r="O408" s="1">
        <v>-3.8239999999999998</v>
      </c>
      <c r="P408">
        <v>1</v>
      </c>
      <c r="Q408" s="1">
        <v>0.435</v>
      </c>
      <c r="R408" s="1">
        <v>0.60499999999999998</v>
      </c>
      <c r="S408" s="1">
        <v>0</v>
      </c>
      <c r="T408" s="1">
        <v>0.28999999999999998</v>
      </c>
      <c r="U408" s="1">
        <v>0.24199999999999999</v>
      </c>
      <c r="V408" s="1">
        <v>143.17099999999999</v>
      </c>
      <c r="W408">
        <v>4</v>
      </c>
    </row>
    <row r="409" spans="1:23" x14ac:dyDescent="0.25">
      <c r="A409" s="1" t="s">
        <v>14247</v>
      </c>
      <c r="B409" s="1" t="s">
        <v>14248</v>
      </c>
      <c r="C409" s="1" t="s">
        <v>2601</v>
      </c>
      <c r="D409" s="1" t="s">
        <v>3160</v>
      </c>
      <c r="E409" s="1" t="s">
        <v>2602</v>
      </c>
      <c r="F409" s="1" t="s">
        <v>11449</v>
      </c>
      <c r="G409">
        <v>208960</v>
      </c>
      <c r="H409">
        <v>43</v>
      </c>
      <c r="I409" s="1" t="s">
        <v>11063</v>
      </c>
      <c r="J409" s="11">
        <v>44729.706458333334</v>
      </c>
      <c r="K409" s="1" t="s">
        <v>2603</v>
      </c>
      <c r="L409" s="1">
        <v>0.63300000000000001</v>
      </c>
      <c r="M409" s="1">
        <v>0.79400000000000004</v>
      </c>
      <c r="N409">
        <v>7</v>
      </c>
      <c r="O409" s="1">
        <v>-6.1120000000000001</v>
      </c>
      <c r="P409">
        <v>1</v>
      </c>
      <c r="Q409" s="1">
        <v>0.39200000000000002</v>
      </c>
      <c r="R409" s="1">
        <v>0.67500000000000004</v>
      </c>
      <c r="S409" s="1">
        <v>0.93500000000000005</v>
      </c>
      <c r="T409" s="1">
        <v>0.38700000000000001</v>
      </c>
      <c r="U409" s="1">
        <v>0.65800000000000003</v>
      </c>
      <c r="V409" s="1">
        <v>167.98099999999999</v>
      </c>
      <c r="W409">
        <v>4</v>
      </c>
    </row>
    <row r="410" spans="1:23" x14ac:dyDescent="0.25">
      <c r="A410" s="1" t="s">
        <v>14249</v>
      </c>
      <c r="B410" s="1" t="s">
        <v>14250</v>
      </c>
      <c r="C410" s="1" t="s">
        <v>2604</v>
      </c>
      <c r="D410" s="1" t="s">
        <v>2604</v>
      </c>
      <c r="E410" s="1" t="s">
        <v>2605</v>
      </c>
      <c r="F410" s="1" t="s">
        <v>14251</v>
      </c>
      <c r="G410">
        <v>252231</v>
      </c>
      <c r="H410">
        <v>41</v>
      </c>
      <c r="I410" s="1" t="s">
        <v>11063</v>
      </c>
      <c r="J410" s="11">
        <v>44729.706458333334</v>
      </c>
      <c r="K410" s="1" t="s">
        <v>2606</v>
      </c>
      <c r="L410" s="1">
        <v>0.55000000000000004</v>
      </c>
      <c r="M410" s="1">
        <v>0.82399999999999995</v>
      </c>
      <c r="N410">
        <v>10</v>
      </c>
      <c r="O410" s="1">
        <v>-4.0179999999999998</v>
      </c>
      <c r="P410">
        <v>1</v>
      </c>
      <c r="Q410" s="1">
        <v>0.503</v>
      </c>
      <c r="R410" s="1">
        <v>0.20499999999999999</v>
      </c>
      <c r="S410" s="1">
        <v>0.69599999999999995</v>
      </c>
      <c r="T410" s="1">
        <v>0.112</v>
      </c>
      <c r="U410" s="1">
        <v>0.29499999999999998</v>
      </c>
      <c r="V410" s="1">
        <v>150.05500000000001</v>
      </c>
      <c r="W410">
        <v>4</v>
      </c>
    </row>
    <row r="411" spans="1:23" x14ac:dyDescent="0.25">
      <c r="A411" s="1" t="s">
        <v>14252</v>
      </c>
      <c r="B411" s="1" t="s">
        <v>14253</v>
      </c>
      <c r="C411" s="1" t="s">
        <v>2607</v>
      </c>
      <c r="D411" s="1" t="s">
        <v>14254</v>
      </c>
      <c r="E411" s="1" t="s">
        <v>2608</v>
      </c>
      <c r="F411" s="1" t="s">
        <v>14255</v>
      </c>
      <c r="G411">
        <v>244884</v>
      </c>
      <c r="H411">
        <v>79</v>
      </c>
      <c r="I411" s="1" t="s">
        <v>11063</v>
      </c>
      <c r="J411" s="11">
        <v>44729.706458333334</v>
      </c>
      <c r="K411" s="1" t="s">
        <v>2609</v>
      </c>
      <c r="L411" s="1">
        <v>0.86499999999999999</v>
      </c>
      <c r="M411" s="1">
        <v>0.52100000000000002</v>
      </c>
      <c r="N411">
        <v>0</v>
      </c>
      <c r="O411" s="1">
        <v>-6.9320000000000004</v>
      </c>
      <c r="P411">
        <v>1</v>
      </c>
      <c r="Q411" s="1">
        <v>0.371</v>
      </c>
      <c r="R411" s="1">
        <v>0.54800000000000004</v>
      </c>
      <c r="S411" s="1">
        <v>0.115</v>
      </c>
      <c r="T411" s="1">
        <v>0.98899999999999999</v>
      </c>
      <c r="U411" s="1">
        <v>0.748</v>
      </c>
      <c r="V411" s="1">
        <v>129.059</v>
      </c>
      <c r="W411">
        <v>4</v>
      </c>
    </row>
    <row r="412" spans="1:23" x14ac:dyDescent="0.25">
      <c r="A412" s="1" t="s">
        <v>14256</v>
      </c>
      <c r="B412" s="1" t="s">
        <v>14257</v>
      </c>
      <c r="C412" s="1" t="s">
        <v>2610</v>
      </c>
      <c r="D412" s="1" t="s">
        <v>14258</v>
      </c>
      <c r="E412" s="1" t="s">
        <v>2611</v>
      </c>
      <c r="F412" s="1" t="s">
        <v>14259</v>
      </c>
      <c r="G412">
        <v>404106</v>
      </c>
      <c r="H412">
        <v>84</v>
      </c>
      <c r="I412" s="1" t="s">
        <v>11063</v>
      </c>
      <c r="J412" s="11">
        <v>44729.706458333334</v>
      </c>
      <c r="K412" s="1" t="s">
        <v>2612</v>
      </c>
      <c r="L412" s="1">
        <v>0.78</v>
      </c>
      <c r="M412" s="1">
        <v>0.76800000000000002</v>
      </c>
      <c r="N412">
        <v>6</v>
      </c>
      <c r="O412" s="1">
        <v>-4.3250000000000002</v>
      </c>
      <c r="P412">
        <v>0</v>
      </c>
      <c r="Q412" s="1">
        <v>0.23799999999999999</v>
      </c>
      <c r="R412" s="1">
        <v>0.371</v>
      </c>
      <c r="S412" s="1">
        <v>0.23400000000000001</v>
      </c>
      <c r="T412" s="1">
        <v>0.51800000000000002</v>
      </c>
      <c r="U412" s="1">
        <v>0.50700000000000001</v>
      </c>
      <c r="V412" s="1">
        <v>80.063000000000002</v>
      </c>
      <c r="W412">
        <v>4</v>
      </c>
    </row>
    <row r="413" spans="1:23" x14ac:dyDescent="0.25">
      <c r="A413" s="1" t="s">
        <v>14260</v>
      </c>
      <c r="B413" s="1" t="s">
        <v>14261</v>
      </c>
      <c r="C413" s="1" t="s">
        <v>2613</v>
      </c>
      <c r="D413" s="1" t="s">
        <v>14262</v>
      </c>
      <c r="E413" s="1" t="s">
        <v>2614</v>
      </c>
      <c r="F413" s="1" t="s">
        <v>14263</v>
      </c>
      <c r="G413">
        <v>193466</v>
      </c>
      <c r="H413">
        <v>82</v>
      </c>
      <c r="I413" s="1" t="s">
        <v>11063</v>
      </c>
      <c r="J413" s="11">
        <v>44729.706458333334</v>
      </c>
      <c r="K413" s="1" t="s">
        <v>2615</v>
      </c>
      <c r="L413" s="1">
        <v>0.89900000000000002</v>
      </c>
      <c r="M413" s="1">
        <v>0.71299999999999997</v>
      </c>
      <c r="N413">
        <v>6</v>
      </c>
      <c r="O413" s="1">
        <v>-2.7519999999999998</v>
      </c>
      <c r="P413">
        <v>0</v>
      </c>
      <c r="Q413" s="1">
        <v>0.36599999999999999</v>
      </c>
      <c r="R413" s="1">
        <v>0.255</v>
      </c>
      <c r="S413" s="1">
        <v>0</v>
      </c>
      <c r="T413" s="1">
        <v>0.70799999999999996</v>
      </c>
      <c r="U413" s="1">
        <v>0.77700000000000002</v>
      </c>
      <c r="V413" s="1">
        <v>90.051000000000002</v>
      </c>
      <c r="W413">
        <v>4</v>
      </c>
    </row>
    <row r="414" spans="1:23" x14ac:dyDescent="0.25">
      <c r="A414" s="1" t="s">
        <v>14264</v>
      </c>
      <c r="B414" s="1" t="s">
        <v>14224</v>
      </c>
      <c r="C414" s="1" t="s">
        <v>2616</v>
      </c>
      <c r="D414" s="1" t="s">
        <v>14225</v>
      </c>
      <c r="E414" s="1" t="s">
        <v>2585</v>
      </c>
      <c r="F414" s="1" t="s">
        <v>13549</v>
      </c>
      <c r="G414">
        <v>242013</v>
      </c>
      <c r="H414">
        <v>88</v>
      </c>
      <c r="I414" s="1" t="s">
        <v>11063</v>
      </c>
      <c r="J414" s="11">
        <v>44729.706458333334</v>
      </c>
      <c r="K414" s="1" t="s">
        <v>919</v>
      </c>
      <c r="L414" s="1">
        <v>0.56100000000000005</v>
      </c>
      <c r="M414" s="1">
        <v>0.43099999999999999</v>
      </c>
      <c r="N414">
        <v>10</v>
      </c>
      <c r="O414" s="1">
        <v>-8.81</v>
      </c>
      <c r="P414">
        <v>1</v>
      </c>
      <c r="Q414" s="1">
        <v>0.57799999999999996</v>
      </c>
      <c r="R414" s="1">
        <v>0.76800000000000002</v>
      </c>
      <c r="S414" s="1">
        <v>0.14199999999999999</v>
      </c>
      <c r="T414" s="1">
        <v>0.106</v>
      </c>
      <c r="U414" s="1">
        <v>0.13700000000000001</v>
      </c>
      <c r="V414" s="1">
        <v>143.875</v>
      </c>
      <c r="W414">
        <v>4</v>
      </c>
    </row>
    <row r="415" spans="1:23" x14ac:dyDescent="0.25">
      <c r="A415" s="1" t="s">
        <v>11359</v>
      </c>
      <c r="B415" s="1" t="s">
        <v>11360</v>
      </c>
      <c r="C415" s="1" t="s">
        <v>2617</v>
      </c>
      <c r="D415" s="1" t="s">
        <v>11361</v>
      </c>
      <c r="E415" s="1" t="s">
        <v>149</v>
      </c>
      <c r="F415" s="1" t="s">
        <v>11362</v>
      </c>
      <c r="G415">
        <v>212560</v>
      </c>
      <c r="H415">
        <v>72</v>
      </c>
      <c r="I415" s="1" t="s">
        <v>11063</v>
      </c>
      <c r="J415" s="11">
        <v>44729.706458333334</v>
      </c>
      <c r="K415" s="1" t="s">
        <v>150</v>
      </c>
      <c r="L415" s="1">
        <v>0.57299999999999995</v>
      </c>
      <c r="M415" s="1">
        <v>0.92900000000000005</v>
      </c>
      <c r="N415">
        <v>8</v>
      </c>
      <c r="O415" s="1">
        <v>-3.9420000000000002</v>
      </c>
      <c r="P415">
        <v>0</v>
      </c>
      <c r="Q415" s="1">
        <v>0.109</v>
      </c>
      <c r="R415" s="1">
        <v>0.19700000000000001</v>
      </c>
      <c r="S415" s="1">
        <v>0.112</v>
      </c>
      <c r="T415" s="1">
        <v>0.56699999999999995</v>
      </c>
      <c r="U415" s="1">
        <v>0.58199999999999996</v>
      </c>
      <c r="V415" s="1">
        <v>127.934</v>
      </c>
      <c r="W415">
        <v>4</v>
      </c>
    </row>
    <row r="416" spans="1:23" x14ac:dyDescent="0.25">
      <c r="A416" s="1" t="s">
        <v>14265</v>
      </c>
      <c r="B416" s="1" t="s">
        <v>11717</v>
      </c>
      <c r="C416" s="1" t="s">
        <v>2618</v>
      </c>
      <c r="D416" s="1" t="s">
        <v>14266</v>
      </c>
      <c r="E416" s="1" t="s">
        <v>423</v>
      </c>
      <c r="F416" s="1" t="s">
        <v>14267</v>
      </c>
      <c r="G416">
        <v>207880</v>
      </c>
      <c r="H416">
        <v>50</v>
      </c>
      <c r="I416" s="1" t="s">
        <v>11063</v>
      </c>
      <c r="J416" s="11">
        <v>44729.706458333334</v>
      </c>
      <c r="K416" s="1" t="s">
        <v>394</v>
      </c>
      <c r="L416" s="1">
        <v>0.7</v>
      </c>
      <c r="M416" s="1">
        <v>0.92300000000000004</v>
      </c>
      <c r="N416">
        <v>7</v>
      </c>
      <c r="O416" s="1">
        <v>-2.85</v>
      </c>
      <c r="P416">
        <v>1</v>
      </c>
      <c r="Q416" s="1">
        <v>0.32400000000000001</v>
      </c>
      <c r="R416" s="1">
        <v>0.92700000000000005</v>
      </c>
      <c r="S416" s="1">
        <v>0.82599999999999996</v>
      </c>
      <c r="T416" s="1">
        <v>0.96599999999999997</v>
      </c>
      <c r="U416" s="1">
        <v>0.90400000000000003</v>
      </c>
      <c r="V416" s="1">
        <v>127.952</v>
      </c>
      <c r="W416">
        <v>4</v>
      </c>
    </row>
    <row r="417" spans="1:23" x14ac:dyDescent="0.25">
      <c r="A417" s="1" t="s">
        <v>14268</v>
      </c>
      <c r="B417" s="1" t="s">
        <v>14224</v>
      </c>
      <c r="C417" s="1" t="s">
        <v>2619</v>
      </c>
      <c r="D417" s="1" t="s">
        <v>14225</v>
      </c>
      <c r="E417" s="1" t="s">
        <v>2585</v>
      </c>
      <c r="F417" s="1" t="s">
        <v>13549</v>
      </c>
      <c r="G417">
        <v>178146</v>
      </c>
      <c r="H417">
        <v>91</v>
      </c>
      <c r="I417" s="1" t="s">
        <v>11063</v>
      </c>
      <c r="J417" s="11">
        <v>44729.706458333334</v>
      </c>
      <c r="K417" s="1" t="s">
        <v>919</v>
      </c>
      <c r="L417" s="1">
        <v>0.56299999999999994</v>
      </c>
      <c r="M417" s="1">
        <v>0.66400000000000003</v>
      </c>
      <c r="N417">
        <v>9</v>
      </c>
      <c r="O417" s="1">
        <v>-5.0439999999999996</v>
      </c>
      <c r="P417">
        <v>1</v>
      </c>
      <c r="Q417" s="1">
        <v>0.154</v>
      </c>
      <c r="R417" s="1">
        <v>0.33500000000000002</v>
      </c>
      <c r="S417" s="1">
        <v>0</v>
      </c>
      <c r="T417" s="1">
        <v>0.84899999999999998</v>
      </c>
      <c r="U417" s="1">
        <v>0.68799999999999994</v>
      </c>
      <c r="V417" s="1">
        <v>166.928</v>
      </c>
      <c r="W417">
        <v>4</v>
      </c>
    </row>
    <row r="418" spans="1:23" x14ac:dyDescent="0.25">
      <c r="A418" s="1" t="s">
        <v>11363</v>
      </c>
      <c r="B418" s="1" t="s">
        <v>11364</v>
      </c>
      <c r="C418" s="1" t="s">
        <v>2620</v>
      </c>
      <c r="D418" s="1" t="s">
        <v>2620</v>
      </c>
      <c r="E418" s="1" t="s">
        <v>151</v>
      </c>
      <c r="F418" s="1" t="s">
        <v>11365</v>
      </c>
      <c r="G418">
        <v>159836</v>
      </c>
      <c r="H418">
        <v>75</v>
      </c>
      <c r="I418" s="1" t="s">
        <v>11063</v>
      </c>
      <c r="J418" s="11">
        <v>44729.706458333334</v>
      </c>
      <c r="K418" s="1" t="s">
        <v>152</v>
      </c>
      <c r="L418" s="1">
        <v>0.67100000000000004</v>
      </c>
      <c r="M418" s="1">
        <v>0.59899999999999998</v>
      </c>
      <c r="N418">
        <v>4</v>
      </c>
      <c r="O418" s="1">
        <v>-6.18</v>
      </c>
      <c r="P418">
        <v>1</v>
      </c>
      <c r="Q418" s="1">
        <v>0.40500000000000003</v>
      </c>
      <c r="R418" s="1">
        <v>0.65800000000000003</v>
      </c>
      <c r="S418" s="1">
        <v>0</v>
      </c>
      <c r="T418" s="1">
        <v>0.10100000000000001</v>
      </c>
      <c r="U418" s="1">
        <v>0.44800000000000001</v>
      </c>
      <c r="V418" s="1">
        <v>121.849</v>
      </c>
      <c r="W418">
        <v>3</v>
      </c>
    </row>
    <row r="419" spans="1:23" x14ac:dyDescent="0.25">
      <c r="A419" s="1" t="s">
        <v>14269</v>
      </c>
      <c r="B419" s="1" t="s">
        <v>11364</v>
      </c>
      <c r="C419" s="1" t="s">
        <v>2621</v>
      </c>
      <c r="D419" s="1" t="s">
        <v>2621</v>
      </c>
      <c r="E419" s="1" t="s">
        <v>151</v>
      </c>
      <c r="F419" s="1" t="s">
        <v>11219</v>
      </c>
      <c r="G419">
        <v>168601</v>
      </c>
      <c r="H419">
        <v>91</v>
      </c>
      <c r="I419" s="1" t="s">
        <v>11063</v>
      </c>
      <c r="J419" s="11">
        <v>44729.706458333334</v>
      </c>
      <c r="K419" s="1" t="s">
        <v>152</v>
      </c>
      <c r="L419" s="1">
        <v>0.69499999999999995</v>
      </c>
      <c r="M419" s="1">
        <v>0.54</v>
      </c>
      <c r="N419">
        <v>4</v>
      </c>
      <c r="O419" s="1">
        <v>-5.6920000000000002</v>
      </c>
      <c r="P419">
        <v>1</v>
      </c>
      <c r="Q419" s="1">
        <v>0.49299999999999999</v>
      </c>
      <c r="R419" s="1">
        <v>0.29899999999999999</v>
      </c>
      <c r="S419" s="1">
        <v>0</v>
      </c>
      <c r="T419" s="1">
        <v>0.36699999999999999</v>
      </c>
      <c r="U419" s="1">
        <v>0.41499999999999998</v>
      </c>
      <c r="V419" s="1">
        <v>121.932</v>
      </c>
      <c r="W419">
        <v>4</v>
      </c>
    </row>
    <row r="420" spans="1:23" x14ac:dyDescent="0.25">
      <c r="A420" s="1" t="s">
        <v>11366</v>
      </c>
      <c r="B420" s="1" t="s">
        <v>11367</v>
      </c>
      <c r="C420" s="1" t="s">
        <v>153</v>
      </c>
      <c r="D420" s="1" t="s">
        <v>11368</v>
      </c>
      <c r="E420" s="1" t="s">
        <v>154</v>
      </c>
      <c r="F420" s="1" t="s">
        <v>11369</v>
      </c>
      <c r="G420">
        <v>176459</v>
      </c>
      <c r="H420">
        <v>53</v>
      </c>
      <c r="I420" s="1" t="s">
        <v>11063</v>
      </c>
      <c r="J420" s="11">
        <v>44729.706458333334</v>
      </c>
      <c r="K420" s="1" t="s">
        <v>2372</v>
      </c>
      <c r="L420" s="1">
        <v>0.52200000000000002</v>
      </c>
      <c r="M420" s="1">
        <v>0.72599999999999998</v>
      </c>
      <c r="N420">
        <v>9</v>
      </c>
      <c r="O420" s="1">
        <v>-7.23</v>
      </c>
      <c r="P420">
        <v>1</v>
      </c>
      <c r="Q420" s="1">
        <v>0.48899999999999999</v>
      </c>
      <c r="R420" s="1">
        <v>0.13600000000000001</v>
      </c>
      <c r="S420" s="1">
        <v>0</v>
      </c>
      <c r="T420" s="1">
        <v>0.28499999999999998</v>
      </c>
      <c r="U420" s="1">
        <v>0.33600000000000002</v>
      </c>
      <c r="V420" s="1">
        <v>119.858</v>
      </c>
      <c r="W420">
        <v>4</v>
      </c>
    </row>
    <row r="421" spans="1:23" x14ac:dyDescent="0.25">
      <c r="A421" s="1" t="s">
        <v>14270</v>
      </c>
      <c r="B421" s="1" t="s">
        <v>14271</v>
      </c>
      <c r="C421" s="1" t="s">
        <v>2622</v>
      </c>
      <c r="D421" s="1" t="s">
        <v>14272</v>
      </c>
      <c r="E421" s="1" t="s">
        <v>2623</v>
      </c>
      <c r="F421" s="1" t="s">
        <v>14273</v>
      </c>
      <c r="G421">
        <v>163191</v>
      </c>
      <c r="H421">
        <v>27</v>
      </c>
      <c r="I421" s="1" t="s">
        <v>11063</v>
      </c>
      <c r="J421" s="11">
        <v>44729.706458333334</v>
      </c>
      <c r="K421" s="1" t="s">
        <v>1970</v>
      </c>
      <c r="L421" s="1">
        <v>0.501</v>
      </c>
      <c r="M421" s="1">
        <v>0.72</v>
      </c>
      <c r="N421">
        <v>7</v>
      </c>
      <c r="O421" s="1">
        <v>-3.984</v>
      </c>
      <c r="P421">
        <v>1</v>
      </c>
      <c r="Q421" s="1">
        <v>0.78200000000000003</v>
      </c>
      <c r="R421" s="1">
        <v>0.307</v>
      </c>
      <c r="S421" s="1">
        <v>0</v>
      </c>
      <c r="T421" s="1">
        <v>0.11</v>
      </c>
      <c r="U421" s="1">
        <v>0.496</v>
      </c>
      <c r="V421" s="1">
        <v>167.941</v>
      </c>
      <c r="W421">
        <v>4</v>
      </c>
    </row>
    <row r="422" spans="1:23" x14ac:dyDescent="0.25">
      <c r="A422" s="1" t="s">
        <v>14274</v>
      </c>
      <c r="B422" s="1" t="s">
        <v>14275</v>
      </c>
      <c r="C422" s="1" t="s">
        <v>2624</v>
      </c>
      <c r="D422" s="1" t="s">
        <v>2624</v>
      </c>
      <c r="E422" s="1" t="s">
        <v>2625</v>
      </c>
      <c r="F422" s="1" t="s">
        <v>11369</v>
      </c>
      <c r="G422">
        <v>182758</v>
      </c>
      <c r="H422">
        <v>49</v>
      </c>
      <c r="I422" s="1" t="s">
        <v>11063</v>
      </c>
      <c r="J422" s="11">
        <v>44729.706458333334</v>
      </c>
      <c r="K422" s="1" t="s">
        <v>2580</v>
      </c>
      <c r="L422" s="1">
        <v>0.72899999999999998</v>
      </c>
      <c r="M422" s="1">
        <v>0.63300000000000001</v>
      </c>
      <c r="N422">
        <v>3</v>
      </c>
      <c r="O422" s="1">
        <v>-4.306</v>
      </c>
      <c r="P422">
        <v>0</v>
      </c>
      <c r="Q422" s="1">
        <v>0.85199999999999998</v>
      </c>
      <c r="R422" s="1">
        <v>0.371</v>
      </c>
      <c r="S422" s="1">
        <v>0</v>
      </c>
      <c r="T422" s="1">
        <v>0.86799999999999999</v>
      </c>
      <c r="U422" s="1">
        <v>0.83199999999999996</v>
      </c>
      <c r="V422" s="1">
        <v>77.513000000000005</v>
      </c>
      <c r="W422">
        <v>4</v>
      </c>
    </row>
    <row r="423" spans="1:23" x14ac:dyDescent="0.25">
      <c r="A423" s="1" t="s">
        <v>14276</v>
      </c>
      <c r="B423" s="1" t="s">
        <v>14277</v>
      </c>
      <c r="C423" s="1" t="s">
        <v>2626</v>
      </c>
      <c r="D423" s="1" t="s">
        <v>2626</v>
      </c>
      <c r="E423" s="1" t="s">
        <v>2627</v>
      </c>
      <c r="F423" s="1" t="s">
        <v>11369</v>
      </c>
      <c r="G423">
        <v>152973</v>
      </c>
      <c r="H423">
        <v>52</v>
      </c>
      <c r="I423" s="1" t="s">
        <v>11063</v>
      </c>
      <c r="J423" s="11">
        <v>44729.706458333334</v>
      </c>
      <c r="K423" s="1" t="s">
        <v>2457</v>
      </c>
      <c r="L423" s="1">
        <v>0.65800000000000003</v>
      </c>
      <c r="M423" s="1">
        <v>0.66300000000000003</v>
      </c>
      <c r="N423">
        <v>7</v>
      </c>
      <c r="O423" s="1">
        <v>-4.8860000000000001</v>
      </c>
      <c r="P423">
        <v>0</v>
      </c>
      <c r="Q423" s="1">
        <v>0.51900000000000002</v>
      </c>
      <c r="R423" s="1">
        <v>0.28000000000000003</v>
      </c>
      <c r="S423" s="1">
        <v>0.35399999999999998</v>
      </c>
      <c r="T423" s="1">
        <v>0.34200000000000003</v>
      </c>
      <c r="U423" s="1">
        <v>0.19600000000000001</v>
      </c>
      <c r="V423" s="1">
        <v>123.95699999999999</v>
      </c>
      <c r="W423">
        <v>4</v>
      </c>
    </row>
    <row r="424" spans="1:23" x14ac:dyDescent="0.25">
      <c r="A424" s="1" t="s">
        <v>14278</v>
      </c>
      <c r="B424" s="1" t="s">
        <v>14279</v>
      </c>
      <c r="C424" s="1" t="s">
        <v>2628</v>
      </c>
      <c r="D424" s="1" t="s">
        <v>2628</v>
      </c>
      <c r="E424" s="1" t="s">
        <v>2629</v>
      </c>
      <c r="F424" s="1" t="s">
        <v>11369</v>
      </c>
      <c r="G424">
        <v>216125</v>
      </c>
      <c r="H424">
        <v>59</v>
      </c>
      <c r="I424" s="1" t="s">
        <v>11063</v>
      </c>
      <c r="J424" s="11">
        <v>44729.706458333334</v>
      </c>
      <c r="K424" s="1" t="s">
        <v>2630</v>
      </c>
      <c r="L424" s="1">
        <v>0.4</v>
      </c>
      <c r="M424" s="1">
        <v>0.48499999999999999</v>
      </c>
      <c r="N424">
        <v>8</v>
      </c>
      <c r="O424" s="1">
        <v>-7.1449999999999996</v>
      </c>
      <c r="P424">
        <v>0</v>
      </c>
      <c r="Q424" s="1">
        <v>0.36899999999999999</v>
      </c>
      <c r="R424" s="1">
        <v>0.78900000000000003</v>
      </c>
      <c r="S424" s="1">
        <v>0</v>
      </c>
      <c r="T424" s="1">
        <v>0.13500000000000001</v>
      </c>
      <c r="U424" s="1">
        <v>0.21099999999999999</v>
      </c>
      <c r="V424" s="1">
        <v>159.90899999999999</v>
      </c>
      <c r="W424">
        <v>3</v>
      </c>
    </row>
    <row r="425" spans="1:23" x14ac:dyDescent="0.25">
      <c r="A425" s="1" t="s">
        <v>11370</v>
      </c>
      <c r="B425" s="1" t="s">
        <v>11371</v>
      </c>
      <c r="C425" s="1" t="s">
        <v>156</v>
      </c>
      <c r="D425" s="1" t="s">
        <v>156</v>
      </c>
      <c r="E425" s="1" t="s">
        <v>157</v>
      </c>
      <c r="F425" s="1" t="s">
        <v>11372</v>
      </c>
      <c r="G425">
        <v>190011</v>
      </c>
      <c r="H425">
        <v>68</v>
      </c>
      <c r="I425" s="1" t="s">
        <v>11063</v>
      </c>
      <c r="J425" s="11">
        <v>44729.706458333334</v>
      </c>
      <c r="K425" s="1" t="s">
        <v>158</v>
      </c>
      <c r="L425" s="1">
        <v>0.64100000000000001</v>
      </c>
      <c r="M425" s="1">
        <v>0.68100000000000005</v>
      </c>
      <c r="N425">
        <v>0</v>
      </c>
      <c r="O425" s="1">
        <v>-6.4180000000000001</v>
      </c>
      <c r="P425">
        <v>1</v>
      </c>
      <c r="Q425" s="1">
        <v>0.35399999999999998</v>
      </c>
      <c r="R425" s="1">
        <v>0.123</v>
      </c>
      <c r="S425" s="1">
        <v>0.33600000000000002</v>
      </c>
      <c r="T425" s="1">
        <v>0.42499999999999999</v>
      </c>
      <c r="U425" s="1">
        <v>0.83599999999999997</v>
      </c>
      <c r="V425" s="1">
        <v>138.095</v>
      </c>
      <c r="W425">
        <v>3</v>
      </c>
    </row>
    <row r="426" spans="1:23" x14ac:dyDescent="0.25">
      <c r="A426" s="1" t="s">
        <v>14280</v>
      </c>
      <c r="B426" s="1" t="s">
        <v>14281</v>
      </c>
      <c r="C426" s="1" t="s">
        <v>2631</v>
      </c>
      <c r="D426" s="1" t="s">
        <v>14282</v>
      </c>
      <c r="E426" s="1" t="s">
        <v>2632</v>
      </c>
      <c r="F426" s="1" t="s">
        <v>14283</v>
      </c>
      <c r="G426">
        <v>221894</v>
      </c>
      <c r="H426">
        <v>68</v>
      </c>
      <c r="I426" s="1" t="s">
        <v>11063</v>
      </c>
      <c r="J426" s="11">
        <v>44729.706458333334</v>
      </c>
      <c r="K426" s="1" t="s">
        <v>2633</v>
      </c>
      <c r="L426" s="1">
        <v>0.55900000000000005</v>
      </c>
      <c r="M426" s="1">
        <v>0.67</v>
      </c>
      <c r="N426">
        <v>7</v>
      </c>
      <c r="O426" s="1">
        <v>-4.9850000000000003</v>
      </c>
      <c r="P426">
        <v>1</v>
      </c>
      <c r="Q426" s="1">
        <v>0.47399999999999998</v>
      </c>
      <c r="R426" s="1">
        <v>0.59199999999999997</v>
      </c>
      <c r="S426" s="1">
        <v>0.184</v>
      </c>
      <c r="T426" s="1">
        <v>0.17100000000000001</v>
      </c>
      <c r="U426" s="1">
        <v>0.438</v>
      </c>
      <c r="V426" s="1">
        <v>78.956999999999994</v>
      </c>
      <c r="W426">
        <v>4</v>
      </c>
    </row>
    <row r="427" spans="1:23" x14ac:dyDescent="0.25">
      <c r="A427" s="1" t="s">
        <v>14284</v>
      </c>
      <c r="B427" s="1" t="s">
        <v>14285</v>
      </c>
      <c r="C427" s="1" t="s">
        <v>2634</v>
      </c>
      <c r="D427" s="1" t="s">
        <v>2634</v>
      </c>
      <c r="E427" s="1" t="s">
        <v>2635</v>
      </c>
      <c r="F427" s="1" t="s">
        <v>14286</v>
      </c>
      <c r="G427">
        <v>263764</v>
      </c>
      <c r="H427">
        <v>52</v>
      </c>
      <c r="I427" s="1" t="s">
        <v>11063</v>
      </c>
      <c r="J427" s="11">
        <v>44729.706458333334</v>
      </c>
      <c r="K427" s="1" t="s">
        <v>2636</v>
      </c>
      <c r="L427" s="1">
        <v>0.26300000000000001</v>
      </c>
      <c r="M427" s="1">
        <v>0.55500000000000005</v>
      </c>
      <c r="N427">
        <v>4</v>
      </c>
      <c r="O427" s="1">
        <v>-6.8840000000000003</v>
      </c>
      <c r="P427">
        <v>0</v>
      </c>
      <c r="Q427" s="1">
        <v>0.44600000000000001</v>
      </c>
      <c r="R427" s="1">
        <v>0.316</v>
      </c>
      <c r="S427" s="1">
        <v>0.57799999999999996</v>
      </c>
      <c r="T427" s="1">
        <v>0.128</v>
      </c>
      <c r="U427" s="1">
        <v>0.191</v>
      </c>
      <c r="V427" s="1">
        <v>79.783000000000001</v>
      </c>
      <c r="W427">
        <v>4</v>
      </c>
    </row>
    <row r="428" spans="1:23" x14ac:dyDescent="0.25">
      <c r="A428" s="1" t="s">
        <v>14287</v>
      </c>
      <c r="B428" s="1" t="s">
        <v>14288</v>
      </c>
      <c r="C428" s="1" t="s">
        <v>2637</v>
      </c>
      <c r="D428" s="1" t="s">
        <v>2637</v>
      </c>
      <c r="E428" s="1" t="s">
        <v>2638</v>
      </c>
      <c r="F428" s="1" t="s">
        <v>13566</v>
      </c>
      <c r="G428">
        <v>223225</v>
      </c>
      <c r="H428">
        <v>57</v>
      </c>
      <c r="I428" s="1" t="s">
        <v>11063</v>
      </c>
      <c r="J428" s="11">
        <v>44729.706458333334</v>
      </c>
      <c r="K428" s="1" t="s">
        <v>2639</v>
      </c>
      <c r="L428" s="1">
        <v>0.60199999999999998</v>
      </c>
      <c r="M428" s="1">
        <v>0.80100000000000005</v>
      </c>
      <c r="N428">
        <v>5</v>
      </c>
      <c r="O428" s="1">
        <v>-2.427</v>
      </c>
      <c r="P428">
        <v>1</v>
      </c>
      <c r="Q428" s="1">
        <v>0.47099999999999997</v>
      </c>
      <c r="R428" s="1">
        <v>0.13700000000000001</v>
      </c>
      <c r="S428" s="1">
        <v>0</v>
      </c>
      <c r="T428" s="1">
        <v>0.10299999999999999</v>
      </c>
      <c r="U428" s="1">
        <v>0.375</v>
      </c>
      <c r="V428" s="1">
        <v>126.952</v>
      </c>
      <c r="W428">
        <v>4</v>
      </c>
    </row>
    <row r="429" spans="1:23" x14ac:dyDescent="0.25">
      <c r="A429" s="1" t="s">
        <v>14289</v>
      </c>
      <c r="B429" s="1" t="s">
        <v>14290</v>
      </c>
      <c r="C429" s="1" t="s">
        <v>2640</v>
      </c>
      <c r="D429" s="1" t="s">
        <v>2640</v>
      </c>
      <c r="E429" s="1" t="s">
        <v>2641</v>
      </c>
      <c r="F429" s="1" t="s">
        <v>14291</v>
      </c>
      <c r="G429">
        <v>206153</v>
      </c>
      <c r="H429">
        <v>16</v>
      </c>
      <c r="I429" s="1" t="s">
        <v>11063</v>
      </c>
      <c r="J429" s="11">
        <v>44729.706458333334</v>
      </c>
      <c r="K429" s="1" t="s">
        <v>1030</v>
      </c>
      <c r="L429" s="1">
        <v>0.61699999999999999</v>
      </c>
      <c r="M429" s="1">
        <v>0.48599999999999999</v>
      </c>
      <c r="N429">
        <v>5</v>
      </c>
      <c r="O429" s="1">
        <v>-8.2509999999999994</v>
      </c>
      <c r="P429">
        <v>1</v>
      </c>
      <c r="Q429" s="1">
        <v>0.26500000000000001</v>
      </c>
      <c r="R429" s="1">
        <v>0.105</v>
      </c>
      <c r="S429" s="1">
        <v>0.189</v>
      </c>
      <c r="T429" s="1">
        <v>0.115</v>
      </c>
      <c r="U429" s="1">
        <v>0.32100000000000001</v>
      </c>
      <c r="V429" s="1">
        <v>77.977999999999994</v>
      </c>
      <c r="W429">
        <v>4</v>
      </c>
    </row>
    <row r="430" spans="1:23" x14ac:dyDescent="0.25">
      <c r="A430" s="1" t="s">
        <v>14292</v>
      </c>
      <c r="B430" s="1" t="s">
        <v>14293</v>
      </c>
      <c r="C430" s="1" t="s">
        <v>2642</v>
      </c>
      <c r="D430" s="1" t="s">
        <v>2642</v>
      </c>
      <c r="E430" s="1" t="s">
        <v>2643</v>
      </c>
      <c r="F430" s="1" t="s">
        <v>11225</v>
      </c>
      <c r="G430">
        <v>163000</v>
      </c>
      <c r="H430">
        <v>47</v>
      </c>
      <c r="I430" s="1" t="s">
        <v>11063</v>
      </c>
      <c r="J430" s="11">
        <v>44729.706458333334</v>
      </c>
      <c r="K430" s="1" t="s">
        <v>2644</v>
      </c>
      <c r="L430" s="1">
        <v>0.64800000000000002</v>
      </c>
      <c r="M430" s="1">
        <v>0.68899999999999995</v>
      </c>
      <c r="N430">
        <v>5</v>
      </c>
      <c r="O430" s="1">
        <v>-6.7590000000000003</v>
      </c>
      <c r="P430">
        <v>0</v>
      </c>
      <c r="Q430" s="1">
        <v>0.45500000000000002</v>
      </c>
      <c r="R430" s="1">
        <v>0.13400000000000001</v>
      </c>
      <c r="S430" s="1">
        <v>0</v>
      </c>
      <c r="T430" s="1">
        <v>0.33300000000000002</v>
      </c>
      <c r="U430" s="1">
        <v>0.95099999999999996</v>
      </c>
      <c r="V430" s="1">
        <v>114.965</v>
      </c>
      <c r="W430">
        <v>4</v>
      </c>
    </row>
    <row r="431" spans="1:23" x14ac:dyDescent="0.25">
      <c r="A431" s="1" t="s">
        <v>14294</v>
      </c>
      <c r="B431" s="1" t="s">
        <v>11484</v>
      </c>
      <c r="C431" s="1" t="s">
        <v>2645</v>
      </c>
      <c r="D431" s="1" t="s">
        <v>14295</v>
      </c>
      <c r="E431" s="1" t="s">
        <v>238</v>
      </c>
      <c r="F431" s="1" t="s">
        <v>13779</v>
      </c>
      <c r="G431">
        <v>125538</v>
      </c>
      <c r="H431">
        <v>24</v>
      </c>
      <c r="I431" s="1" t="s">
        <v>11063</v>
      </c>
      <c r="J431" s="11">
        <v>44729.706458333334</v>
      </c>
      <c r="K431" s="1" t="s">
        <v>239</v>
      </c>
      <c r="L431" s="1">
        <v>0.78100000000000003</v>
      </c>
      <c r="M431" s="1">
        <v>0.65500000000000003</v>
      </c>
      <c r="N431">
        <v>1</v>
      </c>
      <c r="O431" s="1">
        <v>-7.4859999999999998</v>
      </c>
      <c r="P431">
        <v>0</v>
      </c>
      <c r="Q431" s="1">
        <v>0.38300000000000001</v>
      </c>
      <c r="R431" s="1">
        <v>0.219</v>
      </c>
      <c r="S431" s="1">
        <v>0.122</v>
      </c>
      <c r="T431" s="1">
        <v>0.65700000000000003</v>
      </c>
      <c r="U431" s="1">
        <v>0.61099999999999999</v>
      </c>
      <c r="V431" s="1">
        <v>129.95400000000001</v>
      </c>
      <c r="W431">
        <v>4</v>
      </c>
    </row>
    <row r="432" spans="1:23" x14ac:dyDescent="0.25">
      <c r="A432" s="1" t="s">
        <v>14296</v>
      </c>
      <c r="B432" s="1" t="s">
        <v>11374</v>
      </c>
      <c r="C432" s="1" t="s">
        <v>2646</v>
      </c>
      <c r="D432" s="1" t="s">
        <v>11375</v>
      </c>
      <c r="E432" s="1" t="s">
        <v>160</v>
      </c>
      <c r="F432" s="1" t="s">
        <v>11225</v>
      </c>
      <c r="G432">
        <v>173893</v>
      </c>
      <c r="H432">
        <v>56</v>
      </c>
      <c r="I432" s="1" t="s">
        <v>11063</v>
      </c>
      <c r="J432" s="11">
        <v>44729.706458333334</v>
      </c>
      <c r="K432" s="1" t="s">
        <v>2647</v>
      </c>
      <c r="L432" s="1">
        <v>0.66600000000000004</v>
      </c>
      <c r="M432" s="1">
        <v>0.57099999999999995</v>
      </c>
      <c r="N432">
        <v>10</v>
      </c>
      <c r="O432" s="1">
        <v>-5.7960000000000003</v>
      </c>
      <c r="P432">
        <v>0</v>
      </c>
      <c r="Q432" s="1">
        <v>0.17899999999999999</v>
      </c>
      <c r="R432" s="1">
        <v>0.85</v>
      </c>
      <c r="S432" s="1">
        <v>0</v>
      </c>
      <c r="T432" s="1">
        <v>0.253</v>
      </c>
      <c r="U432" s="1">
        <v>0.52800000000000002</v>
      </c>
      <c r="V432" s="1">
        <v>88.016999999999996</v>
      </c>
      <c r="W432">
        <v>4</v>
      </c>
    </row>
    <row r="433" spans="1:23" x14ac:dyDescent="0.25">
      <c r="A433" s="1" t="s">
        <v>14297</v>
      </c>
      <c r="B433" s="1" t="s">
        <v>11374</v>
      </c>
      <c r="C433" s="1" t="s">
        <v>2648</v>
      </c>
      <c r="D433" s="1" t="s">
        <v>11375</v>
      </c>
      <c r="E433" s="1" t="s">
        <v>160</v>
      </c>
      <c r="F433" s="1" t="s">
        <v>11225</v>
      </c>
      <c r="G433">
        <v>202746</v>
      </c>
      <c r="H433">
        <v>61</v>
      </c>
      <c r="I433" s="1" t="s">
        <v>11063</v>
      </c>
      <c r="J433" s="11">
        <v>44729.706458333334</v>
      </c>
      <c r="K433" s="1" t="s">
        <v>2647</v>
      </c>
      <c r="L433" s="1">
        <v>0.65100000000000002</v>
      </c>
      <c r="M433" s="1">
        <v>0.68100000000000005</v>
      </c>
      <c r="N433">
        <v>0</v>
      </c>
      <c r="O433" s="1">
        <v>-5.8659999999999997</v>
      </c>
      <c r="P433">
        <v>0</v>
      </c>
      <c r="Q433" s="1">
        <v>0.55200000000000005</v>
      </c>
      <c r="R433" s="1">
        <v>0.36199999999999999</v>
      </c>
      <c r="S433" s="1">
        <v>0</v>
      </c>
      <c r="T433" s="1">
        <v>0.22500000000000001</v>
      </c>
      <c r="U433" s="1">
        <v>0.40400000000000003</v>
      </c>
      <c r="V433" s="1">
        <v>160.02600000000001</v>
      </c>
      <c r="W433">
        <v>4</v>
      </c>
    </row>
    <row r="434" spans="1:23" x14ac:dyDescent="0.25">
      <c r="A434" s="1" t="s">
        <v>11373</v>
      </c>
      <c r="B434" s="1" t="s">
        <v>11374</v>
      </c>
      <c r="C434" s="1" t="s">
        <v>159</v>
      </c>
      <c r="D434" s="1" t="s">
        <v>11375</v>
      </c>
      <c r="E434" s="1" t="s">
        <v>160</v>
      </c>
      <c r="F434" s="1" t="s">
        <v>11225</v>
      </c>
      <c r="G434">
        <v>195760</v>
      </c>
      <c r="H434">
        <v>56</v>
      </c>
      <c r="I434" s="1" t="s">
        <v>11063</v>
      </c>
      <c r="J434" s="11">
        <v>44729.706458333334</v>
      </c>
      <c r="K434" s="1" t="s">
        <v>2647</v>
      </c>
      <c r="L434" s="1">
        <v>0.66800000000000004</v>
      </c>
      <c r="M434" s="1">
        <v>0.73899999999999999</v>
      </c>
      <c r="N434">
        <v>6</v>
      </c>
      <c r="O434" s="1">
        <v>-5.2309999999999999</v>
      </c>
      <c r="P434">
        <v>1</v>
      </c>
      <c r="Q434" s="1">
        <v>0.35799999999999998</v>
      </c>
      <c r="R434" s="1">
        <v>0.33300000000000002</v>
      </c>
      <c r="S434" s="1">
        <v>0</v>
      </c>
      <c r="T434" s="1">
        <v>0.107</v>
      </c>
      <c r="U434" s="1">
        <v>0.75900000000000001</v>
      </c>
      <c r="V434" s="1">
        <v>133.047</v>
      </c>
      <c r="W434">
        <v>4</v>
      </c>
    </row>
    <row r="435" spans="1:23" x14ac:dyDescent="0.25">
      <c r="A435" s="1" t="s">
        <v>11376</v>
      </c>
      <c r="B435" s="1" t="s">
        <v>11377</v>
      </c>
      <c r="C435" s="1" t="s">
        <v>2649</v>
      </c>
      <c r="D435" s="1" t="s">
        <v>11375</v>
      </c>
      <c r="E435" s="1" t="s">
        <v>162</v>
      </c>
      <c r="F435" s="1" t="s">
        <v>11225</v>
      </c>
      <c r="G435">
        <v>176613</v>
      </c>
      <c r="H435">
        <v>58</v>
      </c>
      <c r="I435" s="1" t="s">
        <v>11063</v>
      </c>
      <c r="J435" s="11">
        <v>44729.706458333334</v>
      </c>
      <c r="K435" s="1" t="s">
        <v>2650</v>
      </c>
      <c r="L435" s="1">
        <v>0.7</v>
      </c>
      <c r="M435" s="1">
        <v>0.67500000000000004</v>
      </c>
      <c r="N435">
        <v>7</v>
      </c>
      <c r="O435" s="1">
        <v>-5.8170000000000002</v>
      </c>
      <c r="P435">
        <v>1</v>
      </c>
      <c r="Q435" s="1">
        <v>0.47399999999999998</v>
      </c>
      <c r="R435" s="1">
        <v>0.377</v>
      </c>
      <c r="S435" s="1">
        <v>0</v>
      </c>
      <c r="T435" s="1">
        <v>0.63800000000000001</v>
      </c>
      <c r="U435" s="1">
        <v>0.35199999999999998</v>
      </c>
      <c r="V435" s="1">
        <v>85.938000000000002</v>
      </c>
      <c r="W435">
        <v>4</v>
      </c>
    </row>
    <row r="436" spans="1:23" x14ac:dyDescent="0.25">
      <c r="A436" s="1" t="s">
        <v>14298</v>
      </c>
      <c r="B436" s="1" t="s">
        <v>11374</v>
      </c>
      <c r="C436" s="1" t="s">
        <v>2651</v>
      </c>
      <c r="D436" s="1" t="s">
        <v>11375</v>
      </c>
      <c r="E436" s="1" t="s">
        <v>160</v>
      </c>
      <c r="F436" s="1" t="s">
        <v>11225</v>
      </c>
      <c r="G436">
        <v>149480</v>
      </c>
      <c r="H436">
        <v>53</v>
      </c>
      <c r="I436" s="1" t="s">
        <v>11063</v>
      </c>
      <c r="J436" s="11">
        <v>44729.706458333334</v>
      </c>
      <c r="K436" s="1" t="s">
        <v>2647</v>
      </c>
      <c r="L436" s="1">
        <v>0.68</v>
      </c>
      <c r="M436" s="1">
        <v>0.83399999999999996</v>
      </c>
      <c r="N436">
        <v>11</v>
      </c>
      <c r="O436" s="1">
        <v>-4.3620000000000001</v>
      </c>
      <c r="P436">
        <v>0</v>
      </c>
      <c r="Q436" s="1">
        <v>0.27400000000000002</v>
      </c>
      <c r="R436" s="1">
        <v>0.30499999999999999</v>
      </c>
      <c r="S436" s="1">
        <v>0</v>
      </c>
      <c r="T436" s="1">
        <v>0.25600000000000001</v>
      </c>
      <c r="U436" s="1">
        <v>0.56100000000000005</v>
      </c>
      <c r="V436" s="1">
        <v>61.618000000000002</v>
      </c>
      <c r="W436">
        <v>3</v>
      </c>
    </row>
    <row r="437" spans="1:23" x14ac:dyDescent="0.25">
      <c r="A437" s="1" t="s">
        <v>11378</v>
      </c>
      <c r="B437" s="1" t="s">
        <v>11379</v>
      </c>
      <c r="C437" s="1" t="s">
        <v>2652</v>
      </c>
      <c r="D437" s="1" t="s">
        <v>11375</v>
      </c>
      <c r="E437" s="1" t="s">
        <v>164</v>
      </c>
      <c r="F437" s="1" t="s">
        <v>11225</v>
      </c>
      <c r="G437">
        <v>227386</v>
      </c>
      <c r="H437">
        <v>64</v>
      </c>
      <c r="I437" s="1" t="s">
        <v>11063</v>
      </c>
      <c r="J437" s="11">
        <v>44729.706458333334</v>
      </c>
      <c r="K437" s="1" t="s">
        <v>2653</v>
      </c>
      <c r="L437" s="1">
        <v>0.82199999999999995</v>
      </c>
      <c r="M437" s="1">
        <v>0.69499999999999995</v>
      </c>
      <c r="N437">
        <v>6</v>
      </c>
      <c r="O437" s="1">
        <v>-5.2309999999999999</v>
      </c>
      <c r="P437">
        <v>0</v>
      </c>
      <c r="Q437" s="1">
        <v>0.192</v>
      </c>
      <c r="R437" s="1">
        <v>0.14099999999999999</v>
      </c>
      <c r="S437" s="1">
        <v>0</v>
      </c>
      <c r="T437" s="1">
        <v>0.876</v>
      </c>
      <c r="U437" s="1">
        <v>0.56000000000000005</v>
      </c>
      <c r="V437" s="1" t="s">
        <v>166</v>
      </c>
      <c r="W437">
        <v>4</v>
      </c>
    </row>
    <row r="438" spans="1:23" x14ac:dyDescent="0.25">
      <c r="A438" s="1" t="s">
        <v>11759</v>
      </c>
      <c r="B438" s="1" t="s">
        <v>11374</v>
      </c>
      <c r="C438" s="1" t="s">
        <v>454</v>
      </c>
      <c r="D438" s="1" t="s">
        <v>11375</v>
      </c>
      <c r="E438" s="1" t="s">
        <v>160</v>
      </c>
      <c r="F438" s="1" t="s">
        <v>11225</v>
      </c>
      <c r="G438">
        <v>164946</v>
      </c>
      <c r="H438">
        <v>53</v>
      </c>
      <c r="I438" s="1" t="s">
        <v>11063</v>
      </c>
      <c r="J438" s="11">
        <v>44729.706458333334</v>
      </c>
      <c r="K438" s="1" t="s">
        <v>2647</v>
      </c>
      <c r="L438" s="1">
        <v>0.67</v>
      </c>
      <c r="M438" s="1">
        <v>0.72799999999999998</v>
      </c>
      <c r="N438">
        <v>10</v>
      </c>
      <c r="O438" s="1">
        <v>-4.7300000000000004</v>
      </c>
      <c r="P438">
        <v>1</v>
      </c>
      <c r="Q438" s="1">
        <v>0.35799999999999998</v>
      </c>
      <c r="R438" s="1">
        <v>0.29399999999999998</v>
      </c>
      <c r="S438" s="1">
        <v>0</v>
      </c>
      <c r="T438" s="1">
        <v>0.14299999999999999</v>
      </c>
      <c r="U438" s="1">
        <v>0.34799999999999998</v>
      </c>
      <c r="V438" s="1">
        <v>92.251000000000005</v>
      </c>
      <c r="W438">
        <v>4</v>
      </c>
    </row>
    <row r="439" spans="1:23" x14ac:dyDescent="0.25">
      <c r="A439" s="1" t="s">
        <v>14299</v>
      </c>
      <c r="B439" s="1" t="s">
        <v>11374</v>
      </c>
      <c r="C439" s="1" t="s">
        <v>2654</v>
      </c>
      <c r="D439" s="1" t="s">
        <v>11375</v>
      </c>
      <c r="E439" s="1" t="s">
        <v>160</v>
      </c>
      <c r="F439" s="1" t="s">
        <v>11225</v>
      </c>
      <c r="G439">
        <v>146680</v>
      </c>
      <c r="H439">
        <v>57</v>
      </c>
      <c r="I439" s="1" t="s">
        <v>11063</v>
      </c>
      <c r="J439" s="11">
        <v>44729.706458333334</v>
      </c>
      <c r="K439" s="1" t="s">
        <v>2647</v>
      </c>
      <c r="L439" s="1">
        <v>0.73499999999999999</v>
      </c>
      <c r="M439" s="1">
        <v>0.85399999999999998</v>
      </c>
      <c r="N439">
        <v>4</v>
      </c>
      <c r="O439" s="1">
        <v>-3.278</v>
      </c>
      <c r="P439">
        <v>0</v>
      </c>
      <c r="Q439" s="1">
        <v>0.60799999999999998</v>
      </c>
      <c r="R439" s="1">
        <v>0.67600000000000005</v>
      </c>
      <c r="S439" s="1">
        <v>0.14399999999999999</v>
      </c>
      <c r="T439" s="1">
        <v>0.25600000000000001</v>
      </c>
      <c r="U439" s="1">
        <v>0.14000000000000001</v>
      </c>
      <c r="V439" s="1">
        <v>160.005</v>
      </c>
      <c r="W439">
        <v>4</v>
      </c>
    </row>
    <row r="440" spans="1:23" x14ac:dyDescent="0.25">
      <c r="A440" s="1" t="s">
        <v>14300</v>
      </c>
      <c r="B440" s="1" t="s">
        <v>11374</v>
      </c>
      <c r="C440" s="1" t="s">
        <v>2655</v>
      </c>
      <c r="D440" s="1" t="s">
        <v>11375</v>
      </c>
      <c r="E440" s="1" t="s">
        <v>160</v>
      </c>
      <c r="F440" s="1" t="s">
        <v>11225</v>
      </c>
      <c r="G440">
        <v>154293</v>
      </c>
      <c r="H440">
        <v>56</v>
      </c>
      <c r="I440" s="1" t="s">
        <v>11063</v>
      </c>
      <c r="J440" s="11">
        <v>44729.706458333334</v>
      </c>
      <c r="K440" s="1" t="s">
        <v>2647</v>
      </c>
      <c r="L440" s="1">
        <v>0.747</v>
      </c>
      <c r="M440" s="1">
        <v>0.754</v>
      </c>
      <c r="N440">
        <v>2</v>
      </c>
      <c r="O440" s="1">
        <v>-4.57</v>
      </c>
      <c r="P440">
        <v>1</v>
      </c>
      <c r="Q440" s="1">
        <v>0.20300000000000001</v>
      </c>
      <c r="R440" s="1">
        <v>0.29599999999999999</v>
      </c>
      <c r="S440" s="1">
        <v>0</v>
      </c>
      <c r="T440" s="1">
        <v>0.35199999999999998</v>
      </c>
      <c r="U440" s="1">
        <v>0.69399999999999995</v>
      </c>
      <c r="V440" s="1">
        <v>138.02799999999999</v>
      </c>
      <c r="W440">
        <v>4</v>
      </c>
    </row>
    <row r="441" spans="1:23" x14ac:dyDescent="0.25">
      <c r="A441" s="1" t="s">
        <v>14301</v>
      </c>
      <c r="B441" s="1" t="s">
        <v>14302</v>
      </c>
      <c r="C441" s="1" t="s">
        <v>2656</v>
      </c>
      <c r="D441" s="1" t="s">
        <v>2656</v>
      </c>
      <c r="E441" s="1" t="s">
        <v>2657</v>
      </c>
      <c r="F441" s="1" t="s">
        <v>11758</v>
      </c>
      <c r="G441">
        <v>216410</v>
      </c>
      <c r="H441">
        <v>49</v>
      </c>
      <c r="I441" s="1" t="s">
        <v>11063</v>
      </c>
      <c r="J441" s="11">
        <v>44729.706458333334</v>
      </c>
      <c r="K441" s="1" t="s">
        <v>2658</v>
      </c>
      <c r="L441" s="1">
        <v>0.77200000000000002</v>
      </c>
      <c r="M441" s="1">
        <v>0.64600000000000002</v>
      </c>
      <c r="N441">
        <v>4</v>
      </c>
      <c r="O441" s="1">
        <v>-7.7370000000000001</v>
      </c>
      <c r="P441">
        <v>0</v>
      </c>
      <c r="Q441" s="1">
        <v>0.30399999999999999</v>
      </c>
      <c r="R441" s="1">
        <v>0.86099999999999999</v>
      </c>
      <c r="S441" s="1">
        <v>0.29299999999999998</v>
      </c>
      <c r="T441" s="1">
        <v>0.115</v>
      </c>
      <c r="U441" s="1">
        <v>0.56000000000000005</v>
      </c>
      <c r="V441" s="1">
        <v>116.917</v>
      </c>
      <c r="W441">
        <v>4</v>
      </c>
    </row>
    <row r="442" spans="1:23" x14ac:dyDescent="0.25">
      <c r="A442" s="1" t="s">
        <v>14303</v>
      </c>
      <c r="B442" s="1" t="s">
        <v>14304</v>
      </c>
      <c r="C442" s="1" t="s">
        <v>2659</v>
      </c>
      <c r="D442" s="1" t="s">
        <v>2659</v>
      </c>
      <c r="E442" s="1" t="s">
        <v>2660</v>
      </c>
      <c r="F442" s="1" t="s">
        <v>13314</v>
      </c>
      <c r="G442">
        <v>170363</v>
      </c>
      <c r="H442">
        <v>37</v>
      </c>
      <c r="I442" s="1" t="s">
        <v>11063</v>
      </c>
      <c r="J442" s="11">
        <v>44729.706458333334</v>
      </c>
      <c r="K442" s="1" t="s">
        <v>50</v>
      </c>
      <c r="L442" s="1">
        <v>0.57199999999999995</v>
      </c>
      <c r="M442" s="1">
        <v>0.90200000000000002</v>
      </c>
      <c r="N442">
        <v>1</v>
      </c>
      <c r="O442" s="1">
        <v>-4.2939999999999996</v>
      </c>
      <c r="P442">
        <v>1</v>
      </c>
      <c r="Q442" s="1">
        <v>0.41799999999999998</v>
      </c>
      <c r="R442" s="1">
        <v>0.123</v>
      </c>
      <c r="S442" s="1">
        <v>0.24199999999999999</v>
      </c>
      <c r="T442" s="1">
        <v>0.16600000000000001</v>
      </c>
      <c r="U442" s="1">
        <v>0.54300000000000004</v>
      </c>
      <c r="V442" s="1">
        <v>164.988</v>
      </c>
      <c r="W442">
        <v>4</v>
      </c>
    </row>
    <row r="443" spans="1:23" x14ac:dyDescent="0.25">
      <c r="A443" s="1" t="s">
        <v>14305</v>
      </c>
      <c r="B443" s="1" t="s">
        <v>11385</v>
      </c>
      <c r="C443" s="1" t="s">
        <v>2661</v>
      </c>
      <c r="D443" s="1" t="s">
        <v>14306</v>
      </c>
      <c r="E443" s="1" t="s">
        <v>170</v>
      </c>
      <c r="F443" s="1" t="s">
        <v>13274</v>
      </c>
      <c r="G443">
        <v>272533</v>
      </c>
      <c r="H443">
        <v>29</v>
      </c>
      <c r="I443" s="1" t="s">
        <v>11063</v>
      </c>
      <c r="J443" s="11">
        <v>44729.706458333334</v>
      </c>
      <c r="K443" s="1" t="s">
        <v>171</v>
      </c>
      <c r="L443" s="1">
        <v>0.83699999999999997</v>
      </c>
      <c r="M443" s="1">
        <v>0.69399999999999995</v>
      </c>
      <c r="N443">
        <v>5</v>
      </c>
      <c r="O443" s="1">
        <v>-3.18</v>
      </c>
      <c r="P443">
        <v>1</v>
      </c>
      <c r="Q443" s="1">
        <v>0.17599999999999999</v>
      </c>
      <c r="R443" s="1">
        <v>0.111</v>
      </c>
      <c r="S443" s="1">
        <v>0</v>
      </c>
      <c r="T443" s="1">
        <v>0.128</v>
      </c>
      <c r="U443" s="1">
        <v>0.83399999999999996</v>
      </c>
      <c r="V443" s="1">
        <v>94.088999999999999</v>
      </c>
      <c r="W443">
        <v>4</v>
      </c>
    </row>
    <row r="444" spans="1:23" x14ac:dyDescent="0.25">
      <c r="A444" s="1" t="s">
        <v>14307</v>
      </c>
      <c r="B444" s="1" t="s">
        <v>11385</v>
      </c>
      <c r="C444" s="1" t="s">
        <v>2662</v>
      </c>
      <c r="D444" s="1" t="s">
        <v>14308</v>
      </c>
      <c r="E444" s="1" t="s">
        <v>170</v>
      </c>
      <c r="F444" s="1" t="s">
        <v>14014</v>
      </c>
      <c r="G444">
        <v>307640</v>
      </c>
      <c r="H444">
        <v>70</v>
      </c>
      <c r="I444" s="1" t="s">
        <v>11063</v>
      </c>
      <c r="J444" s="11">
        <v>44729.706458333334</v>
      </c>
      <c r="K444" s="1" t="s">
        <v>171</v>
      </c>
      <c r="L444" s="1">
        <v>0.81599999999999995</v>
      </c>
      <c r="M444" s="1">
        <v>0.81299999999999994</v>
      </c>
      <c r="N444">
        <v>6</v>
      </c>
      <c r="O444" s="1">
        <v>-7.798</v>
      </c>
      <c r="P444">
        <v>0</v>
      </c>
      <c r="Q444" s="1">
        <v>0.66400000000000003</v>
      </c>
      <c r="R444" s="1">
        <v>0.66200000000000003</v>
      </c>
      <c r="S444" s="1">
        <v>0.27700000000000002</v>
      </c>
      <c r="T444" s="1">
        <v>0.60199999999999998</v>
      </c>
      <c r="U444" s="1">
        <v>0.436</v>
      </c>
      <c r="V444" s="1">
        <v>127.979</v>
      </c>
      <c r="W444">
        <v>4</v>
      </c>
    </row>
    <row r="445" spans="1:23" x14ac:dyDescent="0.25">
      <c r="A445" s="1" t="s">
        <v>11380</v>
      </c>
      <c r="B445" s="1" t="s">
        <v>11381</v>
      </c>
      <c r="C445" s="1" t="s">
        <v>2663</v>
      </c>
      <c r="D445" s="1" t="s">
        <v>11382</v>
      </c>
      <c r="E445" s="1" t="s">
        <v>167</v>
      </c>
      <c r="F445" s="1" t="s">
        <v>11383</v>
      </c>
      <c r="G445">
        <v>209280</v>
      </c>
      <c r="H445">
        <v>44</v>
      </c>
      <c r="I445" s="1" t="s">
        <v>11063</v>
      </c>
      <c r="J445" s="11">
        <v>44729.706458333334</v>
      </c>
      <c r="K445" s="1" t="s">
        <v>2664</v>
      </c>
      <c r="L445" s="1">
        <v>0.64200000000000002</v>
      </c>
      <c r="M445" s="1">
        <v>0.86399999999999999</v>
      </c>
      <c r="N445">
        <v>7</v>
      </c>
      <c r="O445" s="1">
        <v>-3.657</v>
      </c>
      <c r="P445">
        <v>1</v>
      </c>
      <c r="Q445" s="1">
        <v>0.379</v>
      </c>
      <c r="R445" s="1">
        <v>0.45500000000000002</v>
      </c>
      <c r="S445" s="1">
        <v>0.19800000000000001</v>
      </c>
      <c r="T445" s="1">
        <v>0.81</v>
      </c>
      <c r="U445" s="1">
        <v>0.56399999999999995</v>
      </c>
      <c r="V445" s="1">
        <v>125.08799999999999</v>
      </c>
      <c r="W445">
        <v>4</v>
      </c>
    </row>
    <row r="446" spans="1:23" x14ac:dyDescent="0.25">
      <c r="A446" s="1" t="s">
        <v>11384</v>
      </c>
      <c r="B446" s="1" t="s">
        <v>11385</v>
      </c>
      <c r="C446" s="1" t="s">
        <v>169</v>
      </c>
      <c r="D446" s="1" t="s">
        <v>11386</v>
      </c>
      <c r="E446" s="1" t="s">
        <v>170</v>
      </c>
      <c r="F446" s="1" t="s">
        <v>11387</v>
      </c>
      <c r="G446">
        <v>284373</v>
      </c>
      <c r="H446">
        <v>73</v>
      </c>
      <c r="I446" s="1" t="s">
        <v>11063</v>
      </c>
      <c r="J446" s="11">
        <v>44729.706458333334</v>
      </c>
      <c r="K446" s="1" t="s">
        <v>171</v>
      </c>
      <c r="L446" s="1">
        <v>0.79800000000000004</v>
      </c>
      <c r="M446" s="1">
        <v>0.629</v>
      </c>
      <c r="N446">
        <v>11</v>
      </c>
      <c r="O446" s="1">
        <v>-6.8570000000000002</v>
      </c>
      <c r="P446">
        <v>0</v>
      </c>
      <c r="Q446" s="1">
        <v>0.73499999999999999</v>
      </c>
      <c r="R446" s="1">
        <v>0.47399999999999998</v>
      </c>
      <c r="S446" s="1">
        <v>0.217</v>
      </c>
      <c r="T446" s="1">
        <v>0.32400000000000001</v>
      </c>
      <c r="U446" s="1">
        <v>0.4</v>
      </c>
      <c r="V446" s="1">
        <v>130</v>
      </c>
      <c r="W446">
        <v>4</v>
      </c>
    </row>
    <row r="447" spans="1:23" x14ac:dyDescent="0.25">
      <c r="A447" s="1" t="s">
        <v>14309</v>
      </c>
      <c r="B447" s="1" t="s">
        <v>14003</v>
      </c>
      <c r="C447" s="1" t="s">
        <v>2665</v>
      </c>
      <c r="D447" s="1" t="s">
        <v>2665</v>
      </c>
      <c r="E447" s="1" t="s">
        <v>2404</v>
      </c>
      <c r="F447" s="1" t="s">
        <v>14310</v>
      </c>
      <c r="G447">
        <v>155500</v>
      </c>
      <c r="H447">
        <v>41</v>
      </c>
      <c r="I447" s="1" t="s">
        <v>11063</v>
      </c>
      <c r="J447" s="11">
        <v>44729.706458333334</v>
      </c>
      <c r="K447" s="1" t="s">
        <v>2405</v>
      </c>
      <c r="L447" s="1">
        <v>0.72299999999999998</v>
      </c>
      <c r="M447" s="1">
        <v>0.71299999999999997</v>
      </c>
      <c r="N447">
        <v>10</v>
      </c>
      <c r="O447" s="1">
        <v>-9.702</v>
      </c>
      <c r="P447">
        <v>0</v>
      </c>
      <c r="Q447" s="1">
        <v>0.28100000000000003</v>
      </c>
      <c r="R447" s="1">
        <v>0.91400000000000003</v>
      </c>
      <c r="S447" s="1">
        <v>0</v>
      </c>
      <c r="T447" s="1">
        <v>0.10100000000000001</v>
      </c>
      <c r="U447" s="1">
        <v>0.25900000000000001</v>
      </c>
      <c r="V447" s="1">
        <v>154.965</v>
      </c>
      <c r="W447">
        <v>4</v>
      </c>
    </row>
    <row r="448" spans="1:23" x14ac:dyDescent="0.25">
      <c r="A448" s="1" t="s">
        <v>14311</v>
      </c>
      <c r="B448" s="1" t="s">
        <v>14312</v>
      </c>
      <c r="C448" s="1" t="s">
        <v>2666</v>
      </c>
      <c r="D448" s="1" t="s">
        <v>2666</v>
      </c>
      <c r="E448" s="1" t="s">
        <v>2667</v>
      </c>
      <c r="F448" s="1" t="s">
        <v>14310</v>
      </c>
      <c r="G448">
        <v>174278</v>
      </c>
      <c r="H448">
        <v>55</v>
      </c>
      <c r="I448" s="1" t="s">
        <v>11063</v>
      </c>
      <c r="J448" s="11">
        <v>44729.706458333334</v>
      </c>
      <c r="K448" s="1" t="s">
        <v>2668</v>
      </c>
      <c r="L448" s="1">
        <v>0.53400000000000003</v>
      </c>
      <c r="M448" s="1">
        <v>0.64900000000000002</v>
      </c>
      <c r="N448">
        <v>5</v>
      </c>
      <c r="O448" s="1">
        <v>-7.5309999999999997</v>
      </c>
      <c r="P448">
        <v>1</v>
      </c>
      <c r="Q448" s="1">
        <v>0.435</v>
      </c>
      <c r="R448" s="1">
        <v>0.71199999999999997</v>
      </c>
      <c r="S448" s="1">
        <v>0.622</v>
      </c>
      <c r="T448" s="1">
        <v>0.13700000000000001</v>
      </c>
      <c r="U448" s="1">
        <v>0.35799999999999998</v>
      </c>
      <c r="V448" s="1">
        <v>161.828</v>
      </c>
      <c r="W448">
        <v>4</v>
      </c>
    </row>
    <row r="449" spans="1:23" x14ac:dyDescent="0.25">
      <c r="A449" s="1" t="s">
        <v>11388</v>
      </c>
      <c r="B449" s="1" t="s">
        <v>11389</v>
      </c>
      <c r="C449" s="1" t="s">
        <v>172</v>
      </c>
      <c r="D449" s="1" t="s">
        <v>11390</v>
      </c>
      <c r="E449" s="1" t="s">
        <v>173</v>
      </c>
      <c r="F449" s="1" t="s">
        <v>11391</v>
      </c>
      <c r="G449">
        <v>198973</v>
      </c>
      <c r="H449">
        <v>83</v>
      </c>
      <c r="I449" s="1" t="s">
        <v>11063</v>
      </c>
      <c r="J449" s="11">
        <v>44729.706458333334</v>
      </c>
      <c r="K449" s="1" t="s">
        <v>174</v>
      </c>
      <c r="L449" s="1">
        <v>0.754</v>
      </c>
      <c r="M449" s="1">
        <v>0.44900000000000001</v>
      </c>
      <c r="N449">
        <v>7</v>
      </c>
      <c r="O449" s="1">
        <v>-9.2110000000000003</v>
      </c>
      <c r="P449">
        <v>1</v>
      </c>
      <c r="Q449" s="1">
        <v>0.109</v>
      </c>
      <c r="R449" s="1">
        <v>0.33200000000000002</v>
      </c>
      <c r="S449" s="1">
        <v>0.82899999999999996</v>
      </c>
      <c r="T449" s="1">
        <v>0.55200000000000005</v>
      </c>
      <c r="U449" s="1">
        <v>0.35699999999999998</v>
      </c>
      <c r="V449" s="1">
        <v>77.168999999999997</v>
      </c>
      <c r="W449">
        <v>4</v>
      </c>
    </row>
    <row r="450" spans="1:23" x14ac:dyDescent="0.25">
      <c r="A450" s="1" t="s">
        <v>14313</v>
      </c>
      <c r="B450" s="1" t="s">
        <v>14314</v>
      </c>
      <c r="C450" s="1" t="s">
        <v>2669</v>
      </c>
      <c r="D450" s="1" t="s">
        <v>2669</v>
      </c>
      <c r="E450" s="1" t="s">
        <v>2670</v>
      </c>
      <c r="F450" s="1" t="s">
        <v>14310</v>
      </c>
      <c r="G450">
        <v>192849</v>
      </c>
      <c r="H450">
        <v>43</v>
      </c>
      <c r="I450" s="1" t="s">
        <v>11063</v>
      </c>
      <c r="J450" s="11">
        <v>44729.706458333334</v>
      </c>
      <c r="K450" s="1" t="s">
        <v>2671</v>
      </c>
      <c r="L450" s="1">
        <v>0.38800000000000001</v>
      </c>
      <c r="M450" s="1">
        <v>0.75700000000000001</v>
      </c>
      <c r="N450">
        <v>7</v>
      </c>
      <c r="O450" s="1">
        <v>-5.5279999999999996</v>
      </c>
      <c r="P450">
        <v>0</v>
      </c>
      <c r="Q450" s="1">
        <v>0.11</v>
      </c>
      <c r="R450" s="1">
        <v>0.219</v>
      </c>
      <c r="S450" s="1">
        <v>0.45600000000000002</v>
      </c>
      <c r="T450" s="1">
        <v>0.80800000000000005</v>
      </c>
      <c r="U450" s="1">
        <v>0.16</v>
      </c>
      <c r="V450" s="1">
        <v>146.99299999999999</v>
      </c>
      <c r="W450">
        <v>4</v>
      </c>
    </row>
    <row r="451" spans="1:23" x14ac:dyDescent="0.25">
      <c r="A451" s="1" t="s">
        <v>14315</v>
      </c>
      <c r="B451" s="1" t="s">
        <v>11184</v>
      </c>
      <c r="C451" s="1" t="s">
        <v>2672</v>
      </c>
      <c r="D451" s="1" t="s">
        <v>2672</v>
      </c>
      <c r="E451" s="1" t="s">
        <v>2057</v>
      </c>
      <c r="F451" s="1" t="s">
        <v>11240</v>
      </c>
      <c r="G451">
        <v>186947</v>
      </c>
      <c r="H451">
        <v>56</v>
      </c>
      <c r="I451" s="1" t="s">
        <v>11063</v>
      </c>
      <c r="J451" s="11">
        <v>44729.706458333334</v>
      </c>
      <c r="K451" s="1" t="s">
        <v>50</v>
      </c>
      <c r="L451" s="1">
        <v>0.82699999999999996</v>
      </c>
      <c r="M451" s="1">
        <v>0.79100000000000004</v>
      </c>
      <c r="N451">
        <v>1</v>
      </c>
      <c r="O451" s="1">
        <v>-6.03</v>
      </c>
      <c r="P451">
        <v>1</v>
      </c>
      <c r="Q451" s="1">
        <v>0.84099999999999997</v>
      </c>
      <c r="R451" s="1">
        <v>0.39200000000000002</v>
      </c>
      <c r="S451" s="1">
        <v>0</v>
      </c>
      <c r="T451" s="1">
        <v>0.16600000000000001</v>
      </c>
      <c r="U451" s="1">
        <v>0.72</v>
      </c>
      <c r="V451" s="1" t="s">
        <v>2673</v>
      </c>
      <c r="W451">
        <v>4</v>
      </c>
    </row>
    <row r="452" spans="1:23" x14ac:dyDescent="0.25">
      <c r="A452" s="1" t="s">
        <v>14316</v>
      </c>
      <c r="B452" s="1" t="s">
        <v>14317</v>
      </c>
      <c r="C452" s="1" t="s">
        <v>2674</v>
      </c>
      <c r="D452" s="1" t="s">
        <v>14318</v>
      </c>
      <c r="E452" s="1" t="s">
        <v>2675</v>
      </c>
      <c r="F452" s="1" t="s">
        <v>14319</v>
      </c>
      <c r="G452">
        <v>253666</v>
      </c>
      <c r="H452">
        <v>68</v>
      </c>
      <c r="I452" s="1" t="s">
        <v>11063</v>
      </c>
      <c r="J452" s="11">
        <v>44729.706458333334</v>
      </c>
      <c r="K452" s="1" t="s">
        <v>2676</v>
      </c>
      <c r="L452" s="1">
        <v>0.40200000000000002</v>
      </c>
      <c r="M452" s="1">
        <v>0.873</v>
      </c>
      <c r="N452">
        <v>4</v>
      </c>
      <c r="O452" s="1">
        <v>-3.2090000000000001</v>
      </c>
      <c r="P452">
        <v>0</v>
      </c>
      <c r="Q452" s="1">
        <v>0.58599999999999997</v>
      </c>
      <c r="R452" s="1">
        <v>0.48399999999999999</v>
      </c>
      <c r="S452" s="1">
        <v>0.73</v>
      </c>
      <c r="T452" s="1">
        <v>0.157</v>
      </c>
      <c r="U452" s="1">
        <v>0.68400000000000005</v>
      </c>
      <c r="V452" s="1">
        <v>125.443</v>
      </c>
      <c r="W452">
        <v>4</v>
      </c>
    </row>
    <row r="453" spans="1:23" x14ac:dyDescent="0.25">
      <c r="A453" s="1" t="s">
        <v>14320</v>
      </c>
      <c r="B453" s="1" t="s">
        <v>14317</v>
      </c>
      <c r="C453" s="1" t="s">
        <v>2677</v>
      </c>
      <c r="D453" s="1" t="s">
        <v>14321</v>
      </c>
      <c r="E453" s="1" t="s">
        <v>2675</v>
      </c>
      <c r="F453" s="1" t="s">
        <v>14322</v>
      </c>
      <c r="G453">
        <v>403453</v>
      </c>
      <c r="H453">
        <v>73</v>
      </c>
      <c r="I453" s="1" t="s">
        <v>11063</v>
      </c>
      <c r="J453" s="11">
        <v>44729.706458333334</v>
      </c>
      <c r="K453" s="1" t="s">
        <v>2676</v>
      </c>
      <c r="L453" s="1">
        <v>0.28199999999999997</v>
      </c>
      <c r="M453" s="1">
        <v>0.60499999999999998</v>
      </c>
      <c r="N453">
        <v>6</v>
      </c>
      <c r="O453" s="1">
        <v>-4.9160000000000004</v>
      </c>
      <c r="P453">
        <v>0</v>
      </c>
      <c r="Q453" s="1">
        <v>0.29399999999999998</v>
      </c>
      <c r="R453" s="1">
        <v>0.47</v>
      </c>
      <c r="S453" s="1">
        <v>0.14399999999999999</v>
      </c>
      <c r="T453" s="1">
        <v>0.10299999999999999</v>
      </c>
      <c r="U453" s="1">
        <v>0.78300000000000003</v>
      </c>
      <c r="V453" s="1">
        <v>103.929</v>
      </c>
      <c r="W453">
        <v>4</v>
      </c>
    </row>
    <row r="454" spans="1:23" x14ac:dyDescent="0.25">
      <c r="A454" s="1" t="s">
        <v>14323</v>
      </c>
      <c r="B454" s="1" t="s">
        <v>14317</v>
      </c>
      <c r="C454" s="1" t="s">
        <v>2678</v>
      </c>
      <c r="D454" s="1" t="s">
        <v>14324</v>
      </c>
      <c r="E454" s="1" t="s">
        <v>2675</v>
      </c>
      <c r="F454" s="1" t="s">
        <v>14325</v>
      </c>
      <c r="G454">
        <v>312360</v>
      </c>
      <c r="H454">
        <v>78</v>
      </c>
      <c r="I454" s="1" t="s">
        <v>11063</v>
      </c>
      <c r="J454" s="11">
        <v>44729.706458333334</v>
      </c>
      <c r="K454" s="1" t="s">
        <v>2676</v>
      </c>
      <c r="L454" s="1">
        <v>0.45200000000000001</v>
      </c>
      <c r="M454" s="1">
        <v>0.52400000000000002</v>
      </c>
      <c r="N454">
        <v>0</v>
      </c>
      <c r="O454" s="1">
        <v>-10.108000000000001</v>
      </c>
      <c r="P454">
        <v>1</v>
      </c>
      <c r="Q454" s="1">
        <v>0.35099999999999998</v>
      </c>
      <c r="R454" s="1">
        <v>0.315</v>
      </c>
      <c r="S454" s="1">
        <v>0</v>
      </c>
      <c r="T454" s="1">
        <v>0.10299999999999999</v>
      </c>
      <c r="U454" s="1">
        <v>0.246</v>
      </c>
      <c r="V454" s="1">
        <v>151.505</v>
      </c>
      <c r="W454">
        <v>4</v>
      </c>
    </row>
    <row r="455" spans="1:23" x14ac:dyDescent="0.25">
      <c r="A455" s="1" t="s">
        <v>11392</v>
      </c>
      <c r="B455" s="1" t="s">
        <v>11393</v>
      </c>
      <c r="C455" s="1" t="s">
        <v>2679</v>
      </c>
      <c r="D455" s="1" t="s">
        <v>11394</v>
      </c>
      <c r="E455" s="1" t="s">
        <v>175</v>
      </c>
      <c r="F455" s="1" t="s">
        <v>11395</v>
      </c>
      <c r="G455">
        <v>175680</v>
      </c>
      <c r="H455">
        <v>49</v>
      </c>
      <c r="I455" s="1" t="s">
        <v>11063</v>
      </c>
      <c r="J455" s="11">
        <v>44729.706458333334</v>
      </c>
      <c r="K455" s="1" t="s">
        <v>176</v>
      </c>
      <c r="L455" s="1">
        <v>0.89900000000000002</v>
      </c>
      <c r="M455" s="1">
        <v>0.56100000000000005</v>
      </c>
      <c r="N455">
        <v>6</v>
      </c>
      <c r="O455" s="1">
        <v>-7.7859999999999996</v>
      </c>
      <c r="P455">
        <v>1</v>
      </c>
      <c r="Q455" s="1">
        <v>0.32500000000000001</v>
      </c>
      <c r="R455" s="1">
        <v>0.40600000000000003</v>
      </c>
      <c r="S455" s="1">
        <v>0.41399999999999998</v>
      </c>
      <c r="T455" s="1">
        <v>0.108</v>
      </c>
      <c r="U455" s="1">
        <v>0.61899999999999999</v>
      </c>
      <c r="V455" s="1">
        <v>148.02600000000001</v>
      </c>
      <c r="W455">
        <v>4</v>
      </c>
    </row>
    <row r="456" spans="1:23" x14ac:dyDescent="0.25">
      <c r="A456" s="1" t="s">
        <v>14326</v>
      </c>
      <c r="B456" s="1" t="s">
        <v>14327</v>
      </c>
      <c r="C456" s="1" t="s">
        <v>2680</v>
      </c>
      <c r="D456" s="1" t="s">
        <v>2681</v>
      </c>
      <c r="E456" s="1" t="s">
        <v>2681</v>
      </c>
      <c r="F456" s="1" t="s">
        <v>11492</v>
      </c>
      <c r="G456">
        <v>187466</v>
      </c>
      <c r="H456">
        <v>7</v>
      </c>
      <c r="I456" s="1" t="s">
        <v>11063</v>
      </c>
      <c r="J456" s="11">
        <v>44729.706458333334</v>
      </c>
      <c r="K456" s="1" t="s">
        <v>178</v>
      </c>
      <c r="L456" s="1">
        <v>0.55700000000000005</v>
      </c>
      <c r="M456" s="1">
        <v>0.40600000000000003</v>
      </c>
      <c r="N456">
        <v>11</v>
      </c>
      <c r="O456" s="1">
        <v>-7.2709999999999999</v>
      </c>
      <c r="P456">
        <v>0</v>
      </c>
      <c r="Q456" s="1">
        <v>0.373</v>
      </c>
      <c r="R456" s="1">
        <v>0.373</v>
      </c>
      <c r="S456" s="1">
        <v>0</v>
      </c>
      <c r="T456" s="1">
        <v>0.76300000000000001</v>
      </c>
      <c r="U456" s="1">
        <v>0.318</v>
      </c>
      <c r="V456" s="1">
        <v>137.81100000000001</v>
      </c>
      <c r="W456">
        <v>4</v>
      </c>
    </row>
    <row r="457" spans="1:23" x14ac:dyDescent="0.25">
      <c r="A457" s="1" t="s">
        <v>14328</v>
      </c>
      <c r="B457" s="1" t="s">
        <v>14329</v>
      </c>
      <c r="C457" s="1" t="s">
        <v>2682</v>
      </c>
      <c r="D457" s="1" t="s">
        <v>2682</v>
      </c>
      <c r="E457" s="1" t="s">
        <v>2683</v>
      </c>
      <c r="F457" s="1" t="s">
        <v>14330</v>
      </c>
      <c r="G457">
        <v>251873</v>
      </c>
      <c r="H457">
        <v>44</v>
      </c>
      <c r="I457" s="1" t="s">
        <v>11063</v>
      </c>
      <c r="J457" s="11">
        <v>44729.706458333334</v>
      </c>
      <c r="K457" s="1" t="s">
        <v>50</v>
      </c>
      <c r="L457" s="1">
        <v>0.28000000000000003</v>
      </c>
      <c r="M457" s="1">
        <v>0.85699999999999998</v>
      </c>
      <c r="N457">
        <v>5</v>
      </c>
      <c r="O457" s="1">
        <v>-3.4249999999999998</v>
      </c>
      <c r="P457">
        <v>1</v>
      </c>
      <c r="Q457" s="1">
        <v>0.96099999999999997</v>
      </c>
      <c r="R457" s="1">
        <v>0.30299999999999999</v>
      </c>
      <c r="S457" s="1">
        <v>0.314</v>
      </c>
      <c r="T457" s="1">
        <v>0.81100000000000005</v>
      </c>
      <c r="U457" s="1">
        <v>0.35199999999999998</v>
      </c>
      <c r="V457" s="1">
        <v>150.096</v>
      </c>
      <c r="W457">
        <v>4</v>
      </c>
    </row>
    <row r="458" spans="1:23" x14ac:dyDescent="0.25">
      <c r="A458" s="1" t="s">
        <v>14331</v>
      </c>
      <c r="B458" s="1" t="s">
        <v>14332</v>
      </c>
      <c r="C458" s="1" t="s">
        <v>2684</v>
      </c>
      <c r="D458" s="1" t="s">
        <v>2684</v>
      </c>
      <c r="E458" s="1" t="s">
        <v>2685</v>
      </c>
      <c r="F458" s="1" t="s">
        <v>14333</v>
      </c>
      <c r="G458">
        <v>258089</v>
      </c>
      <c r="H458">
        <v>33</v>
      </c>
      <c r="I458" s="1" t="s">
        <v>11063</v>
      </c>
      <c r="J458" s="11">
        <v>44729.706458333334</v>
      </c>
      <c r="K458" s="1" t="s">
        <v>50</v>
      </c>
      <c r="L458" s="1">
        <v>0.57099999999999995</v>
      </c>
      <c r="M458" s="1">
        <v>0.68400000000000005</v>
      </c>
      <c r="N458">
        <v>1</v>
      </c>
      <c r="O458" s="1">
        <v>-7.0359999999999996</v>
      </c>
      <c r="P458">
        <v>1</v>
      </c>
      <c r="Q458" s="1">
        <v>0.77200000000000002</v>
      </c>
      <c r="R458" s="1">
        <v>0.38700000000000001</v>
      </c>
      <c r="S458" s="1">
        <v>0</v>
      </c>
      <c r="T458" s="1">
        <v>0.1</v>
      </c>
      <c r="U458" s="1">
        <v>0.57099999999999995</v>
      </c>
      <c r="V458" s="1">
        <v>95.034000000000006</v>
      </c>
      <c r="W458">
        <v>4</v>
      </c>
    </row>
    <row r="459" spans="1:23" x14ac:dyDescent="0.25">
      <c r="A459" s="1" t="s">
        <v>14334</v>
      </c>
      <c r="B459" s="1" t="s">
        <v>14335</v>
      </c>
      <c r="C459" s="1" t="s">
        <v>2686</v>
      </c>
      <c r="D459" s="1" t="s">
        <v>2686</v>
      </c>
      <c r="E459" s="1" t="s">
        <v>2687</v>
      </c>
      <c r="F459" s="1" t="s">
        <v>13769</v>
      </c>
      <c r="G459">
        <v>221824</v>
      </c>
      <c r="H459">
        <v>4</v>
      </c>
      <c r="I459" s="1" t="s">
        <v>11063</v>
      </c>
      <c r="J459" s="11">
        <v>44729.706458333334</v>
      </c>
      <c r="K459" s="1" t="s">
        <v>50</v>
      </c>
      <c r="L459" s="1">
        <v>0.54100000000000004</v>
      </c>
      <c r="M459" s="1">
        <v>0.69799999999999995</v>
      </c>
      <c r="N459">
        <v>5</v>
      </c>
      <c r="O459" s="1">
        <v>-7.02</v>
      </c>
      <c r="P459">
        <v>0</v>
      </c>
      <c r="Q459" s="1">
        <v>0.70599999999999996</v>
      </c>
      <c r="R459" s="1">
        <v>0.13100000000000001</v>
      </c>
      <c r="S459" s="1">
        <v>0.33300000000000002</v>
      </c>
      <c r="T459" s="1">
        <v>0.13300000000000001</v>
      </c>
      <c r="U459" s="1">
        <v>0.13400000000000001</v>
      </c>
      <c r="V459" s="1">
        <v>98.995000000000005</v>
      </c>
      <c r="W459">
        <v>4</v>
      </c>
    </row>
    <row r="460" spans="1:23" x14ac:dyDescent="0.25">
      <c r="A460" s="1" t="s">
        <v>14336</v>
      </c>
      <c r="B460" s="1" t="s">
        <v>14337</v>
      </c>
      <c r="C460" s="1" t="s">
        <v>2688</v>
      </c>
      <c r="D460" s="1" t="s">
        <v>14338</v>
      </c>
      <c r="E460" s="1" t="s">
        <v>2689</v>
      </c>
      <c r="F460" s="1" t="s">
        <v>11636</v>
      </c>
      <c r="G460">
        <v>255839</v>
      </c>
      <c r="H460">
        <v>44</v>
      </c>
      <c r="I460" s="1" t="s">
        <v>11063</v>
      </c>
      <c r="J460" s="11">
        <v>44729.706458333334</v>
      </c>
      <c r="K460" s="1" t="s">
        <v>50</v>
      </c>
      <c r="L460" s="1">
        <v>0.44500000000000001</v>
      </c>
      <c r="M460" s="1">
        <v>0.92300000000000004</v>
      </c>
      <c r="N460">
        <v>8</v>
      </c>
      <c r="O460" s="1">
        <v>-3.9220000000000002</v>
      </c>
      <c r="P460">
        <v>1</v>
      </c>
      <c r="Q460" s="1">
        <v>0.56200000000000006</v>
      </c>
      <c r="R460" s="1">
        <v>0.69299999999999995</v>
      </c>
      <c r="S460" s="1">
        <v>0.47199999999999998</v>
      </c>
      <c r="T460" s="1">
        <v>0.34100000000000003</v>
      </c>
      <c r="U460" s="1">
        <v>0.68</v>
      </c>
      <c r="V460" s="1">
        <v>174.03200000000001</v>
      </c>
      <c r="W460">
        <v>4</v>
      </c>
    </row>
    <row r="461" spans="1:23" x14ac:dyDescent="0.25">
      <c r="A461" s="1" t="s">
        <v>14339</v>
      </c>
      <c r="B461" s="1" t="s">
        <v>14340</v>
      </c>
      <c r="C461" s="1" t="s">
        <v>2690</v>
      </c>
      <c r="D461" s="1" t="s">
        <v>2690</v>
      </c>
      <c r="E461" s="1" t="s">
        <v>2691</v>
      </c>
      <c r="F461" s="1" t="s">
        <v>14101</v>
      </c>
      <c r="G461">
        <v>210629</v>
      </c>
      <c r="H461">
        <v>26</v>
      </c>
      <c r="I461" s="1" t="s">
        <v>11063</v>
      </c>
      <c r="J461" s="11">
        <v>44729.706458333334</v>
      </c>
      <c r="K461" s="1" t="s">
        <v>933</v>
      </c>
      <c r="L461" s="1">
        <v>0.41399999999999998</v>
      </c>
      <c r="M461" s="1">
        <v>0.79500000000000004</v>
      </c>
      <c r="N461">
        <v>1</v>
      </c>
      <c r="O461" s="1">
        <v>-3.1419999999999999</v>
      </c>
      <c r="P461">
        <v>1</v>
      </c>
      <c r="Q461" s="1">
        <v>0.111</v>
      </c>
      <c r="R461" s="1">
        <v>0.41099999999999998</v>
      </c>
      <c r="S461" s="1">
        <v>0.79900000000000004</v>
      </c>
      <c r="T461" s="1">
        <v>0.92500000000000004</v>
      </c>
      <c r="U461" s="1">
        <v>0.30399999999999999</v>
      </c>
      <c r="V461" s="1">
        <v>194.03399999999999</v>
      </c>
      <c r="W461">
        <v>4</v>
      </c>
    </row>
    <row r="462" spans="1:23" x14ac:dyDescent="0.25">
      <c r="A462" s="1" t="s">
        <v>14341</v>
      </c>
      <c r="B462" s="1" t="s">
        <v>14342</v>
      </c>
      <c r="C462" s="1" t="s">
        <v>2692</v>
      </c>
      <c r="D462" s="1" t="s">
        <v>2692</v>
      </c>
      <c r="E462" s="1" t="s">
        <v>2693</v>
      </c>
      <c r="F462" s="1" t="s">
        <v>14343</v>
      </c>
      <c r="G462">
        <v>202164</v>
      </c>
      <c r="H462">
        <v>24</v>
      </c>
      <c r="I462" s="1" t="s">
        <v>11063</v>
      </c>
      <c r="J462" s="11">
        <v>44729.706458333334</v>
      </c>
      <c r="K462" s="1" t="s">
        <v>2541</v>
      </c>
      <c r="L462" s="1">
        <v>0.60899999999999999</v>
      </c>
      <c r="M462" s="1">
        <v>0.78400000000000003</v>
      </c>
      <c r="N462">
        <v>5</v>
      </c>
      <c r="O462" s="1">
        <v>-9.0009999999999994</v>
      </c>
      <c r="P462">
        <v>0</v>
      </c>
      <c r="Q462" s="1">
        <v>0.10100000000000001</v>
      </c>
      <c r="R462" s="1">
        <v>0.51100000000000001</v>
      </c>
      <c r="S462" s="1">
        <v>0.113</v>
      </c>
      <c r="T462" s="1">
        <v>0.82299999999999995</v>
      </c>
      <c r="U462" s="1">
        <v>0.32400000000000001</v>
      </c>
      <c r="V462" s="1">
        <v>160.09399999999999</v>
      </c>
      <c r="W462">
        <v>4</v>
      </c>
    </row>
    <row r="463" spans="1:23" x14ac:dyDescent="0.25">
      <c r="A463" s="1" t="s">
        <v>14344</v>
      </c>
      <c r="B463" s="1" t="s">
        <v>14345</v>
      </c>
      <c r="C463" s="1" t="s">
        <v>2694</v>
      </c>
      <c r="D463" s="1" t="s">
        <v>14346</v>
      </c>
      <c r="E463" s="1" t="s">
        <v>2695</v>
      </c>
      <c r="F463" s="1" t="s">
        <v>14347</v>
      </c>
      <c r="G463">
        <v>299818</v>
      </c>
      <c r="H463">
        <v>33</v>
      </c>
      <c r="I463" s="1" t="s">
        <v>11063</v>
      </c>
      <c r="J463" s="11">
        <v>44729.706458333334</v>
      </c>
      <c r="K463" s="1" t="s">
        <v>2696</v>
      </c>
      <c r="L463" s="1">
        <v>0.47099999999999997</v>
      </c>
      <c r="M463" s="1">
        <v>0.69399999999999995</v>
      </c>
      <c r="N463">
        <v>3</v>
      </c>
      <c r="O463" s="1">
        <v>-5.306</v>
      </c>
      <c r="P463">
        <v>1</v>
      </c>
      <c r="Q463" s="1">
        <v>0.58799999999999997</v>
      </c>
      <c r="R463" s="1">
        <v>0.41799999999999998</v>
      </c>
      <c r="S463" s="1">
        <v>0</v>
      </c>
      <c r="T463" s="1">
        <v>0.53900000000000003</v>
      </c>
      <c r="U463" s="1">
        <v>0.622</v>
      </c>
      <c r="V463" s="1">
        <v>100.05800000000001</v>
      </c>
      <c r="W463">
        <v>4</v>
      </c>
    </row>
    <row r="464" spans="1:23" x14ac:dyDescent="0.25">
      <c r="A464" s="1" t="s">
        <v>14348</v>
      </c>
      <c r="B464" s="1" t="s">
        <v>14349</v>
      </c>
      <c r="C464" s="1" t="s">
        <v>2697</v>
      </c>
      <c r="D464" s="1" t="s">
        <v>2697</v>
      </c>
      <c r="E464" s="1" t="s">
        <v>2698</v>
      </c>
      <c r="F464" s="1" t="s">
        <v>14350</v>
      </c>
      <c r="G464">
        <v>347651</v>
      </c>
      <c r="H464">
        <v>34</v>
      </c>
      <c r="I464" s="1" t="s">
        <v>11063</v>
      </c>
      <c r="J464" s="11">
        <v>44729.706458333334</v>
      </c>
      <c r="K464" s="1" t="s">
        <v>1086</v>
      </c>
      <c r="L464" s="1">
        <v>0.29799999999999999</v>
      </c>
      <c r="M464" s="1">
        <v>0.55700000000000005</v>
      </c>
      <c r="N464">
        <v>2</v>
      </c>
      <c r="O464" s="1">
        <v>-5.9690000000000003</v>
      </c>
      <c r="P464">
        <v>1</v>
      </c>
      <c r="Q464" s="1">
        <v>0.442</v>
      </c>
      <c r="R464" s="1">
        <v>0.2</v>
      </c>
      <c r="S464" s="1">
        <v>0.19800000000000001</v>
      </c>
      <c r="T464" s="1">
        <v>0.83199999999999996</v>
      </c>
      <c r="U464" s="1">
        <v>0.63400000000000001</v>
      </c>
      <c r="V464" s="1">
        <v>135.922</v>
      </c>
      <c r="W464">
        <v>4</v>
      </c>
    </row>
    <row r="465" spans="1:23" x14ac:dyDescent="0.25">
      <c r="A465" s="1" t="s">
        <v>14351</v>
      </c>
      <c r="B465" s="1" t="s">
        <v>14352</v>
      </c>
      <c r="C465" s="1" t="s">
        <v>2699</v>
      </c>
      <c r="D465" s="1" t="s">
        <v>14353</v>
      </c>
      <c r="E465" s="1" t="s">
        <v>2700</v>
      </c>
      <c r="F465" s="1" t="s">
        <v>11391</v>
      </c>
      <c r="G465">
        <v>178111</v>
      </c>
      <c r="H465">
        <v>36</v>
      </c>
      <c r="I465" s="1" t="s">
        <v>11063</v>
      </c>
      <c r="J465" s="11">
        <v>44729.706458333334</v>
      </c>
      <c r="K465" s="1" t="s">
        <v>2701</v>
      </c>
      <c r="L465" s="1">
        <v>0.68200000000000005</v>
      </c>
      <c r="M465" s="1">
        <v>0.76500000000000001</v>
      </c>
      <c r="N465">
        <v>5</v>
      </c>
      <c r="O465" s="1">
        <v>-5.0359999999999996</v>
      </c>
      <c r="P465">
        <v>0</v>
      </c>
      <c r="Q465" s="1">
        <v>0.33400000000000002</v>
      </c>
      <c r="R465" s="1">
        <v>0.3</v>
      </c>
      <c r="S465" s="1">
        <v>0.121</v>
      </c>
      <c r="T465" s="1">
        <v>0.161</v>
      </c>
      <c r="U465" s="1">
        <v>0.34899999999999998</v>
      </c>
      <c r="V465" s="1">
        <v>99.991</v>
      </c>
      <c r="W465">
        <v>4</v>
      </c>
    </row>
    <row r="466" spans="1:23" x14ac:dyDescent="0.25">
      <c r="A466" s="1" t="s">
        <v>11396</v>
      </c>
      <c r="B466" s="1" t="s">
        <v>11397</v>
      </c>
      <c r="C466" s="1" t="s">
        <v>2702</v>
      </c>
      <c r="D466" s="1" t="s">
        <v>11398</v>
      </c>
      <c r="E466" s="1" t="s">
        <v>177</v>
      </c>
      <c r="F466" s="1" t="s">
        <v>11399</v>
      </c>
      <c r="G466">
        <v>222720</v>
      </c>
      <c r="H466">
        <v>5</v>
      </c>
      <c r="I466" s="1" t="s">
        <v>11063</v>
      </c>
      <c r="J466" s="11">
        <v>44729.706458333334</v>
      </c>
      <c r="K466" s="1" t="s">
        <v>178</v>
      </c>
      <c r="L466" s="1">
        <v>0.45800000000000002</v>
      </c>
      <c r="M466" s="1">
        <v>0.68300000000000005</v>
      </c>
      <c r="N466">
        <v>11</v>
      </c>
      <c r="O466" s="1">
        <v>-9.6039999999999992</v>
      </c>
      <c r="P466">
        <v>0</v>
      </c>
      <c r="Q466" s="1">
        <v>0.83399999999999996</v>
      </c>
      <c r="R466" s="1">
        <v>0.57799999999999996</v>
      </c>
      <c r="S466" s="1">
        <v>0.81200000000000006</v>
      </c>
      <c r="T466" s="1">
        <v>0.49299999999999999</v>
      </c>
      <c r="U466" s="1">
        <v>0.35299999999999998</v>
      </c>
      <c r="V466" s="1">
        <v>142.00700000000001</v>
      </c>
      <c r="W466">
        <v>4</v>
      </c>
    </row>
    <row r="467" spans="1:23" x14ac:dyDescent="0.25">
      <c r="A467" s="1" t="s">
        <v>14354</v>
      </c>
      <c r="B467" s="1" t="s">
        <v>14355</v>
      </c>
      <c r="C467" s="1" t="s">
        <v>2703</v>
      </c>
      <c r="D467" s="1" t="s">
        <v>14356</v>
      </c>
      <c r="E467" s="1" t="s">
        <v>2704</v>
      </c>
      <c r="F467" s="1" t="s">
        <v>14357</v>
      </c>
      <c r="G467">
        <v>192081</v>
      </c>
      <c r="H467">
        <v>40</v>
      </c>
      <c r="I467" s="1" t="s">
        <v>11063</v>
      </c>
      <c r="J467" s="11">
        <v>44729.706458333334</v>
      </c>
      <c r="K467" s="1" t="s">
        <v>2705</v>
      </c>
      <c r="L467" s="1">
        <v>0.51200000000000001</v>
      </c>
      <c r="M467" s="1">
        <v>0.77</v>
      </c>
      <c r="N467">
        <v>7</v>
      </c>
      <c r="O467" s="1">
        <v>-6.7430000000000003</v>
      </c>
      <c r="P467">
        <v>0</v>
      </c>
      <c r="Q467" s="1">
        <v>0.89700000000000002</v>
      </c>
      <c r="R467" s="1">
        <v>0.182</v>
      </c>
      <c r="S467" s="1">
        <v>0.16600000000000001</v>
      </c>
      <c r="T467" s="1">
        <v>0.878</v>
      </c>
      <c r="U467" s="1">
        <v>0.29599999999999999</v>
      </c>
      <c r="V467" s="1">
        <v>200.03299999999999</v>
      </c>
      <c r="W467">
        <v>4</v>
      </c>
    </row>
    <row r="468" spans="1:23" x14ac:dyDescent="0.25">
      <c r="A468" s="1" t="s">
        <v>14358</v>
      </c>
      <c r="B468" s="1" t="s">
        <v>14359</v>
      </c>
      <c r="C468" s="1" t="s">
        <v>2706</v>
      </c>
      <c r="D468" s="1" t="s">
        <v>2706</v>
      </c>
      <c r="E468" s="1" t="s">
        <v>2707</v>
      </c>
      <c r="F468" s="1" t="s">
        <v>14360</v>
      </c>
      <c r="G468">
        <v>201600</v>
      </c>
      <c r="H468">
        <v>42</v>
      </c>
      <c r="I468" s="1" t="s">
        <v>11063</v>
      </c>
      <c r="J468" s="11">
        <v>44729.706458333334</v>
      </c>
      <c r="K468" s="1" t="s">
        <v>2541</v>
      </c>
      <c r="L468" s="1">
        <v>0.72699999999999998</v>
      </c>
      <c r="M468" s="1">
        <v>0.86499999999999999</v>
      </c>
      <c r="N468">
        <v>2</v>
      </c>
      <c r="O468" s="1">
        <v>-2.6480000000000001</v>
      </c>
      <c r="P468">
        <v>1</v>
      </c>
      <c r="Q468" s="1">
        <v>0.77700000000000002</v>
      </c>
      <c r="R468" s="1">
        <v>0.11799999999999999</v>
      </c>
      <c r="S468" s="1">
        <v>0</v>
      </c>
      <c r="T468" s="1">
        <v>0.52800000000000002</v>
      </c>
      <c r="U468" s="1">
        <v>0.31900000000000001</v>
      </c>
      <c r="V468" s="1">
        <v>99.97</v>
      </c>
      <c r="W468">
        <v>4</v>
      </c>
    </row>
    <row r="469" spans="1:23" x14ac:dyDescent="0.25">
      <c r="A469" s="1" t="s">
        <v>14361</v>
      </c>
      <c r="B469" s="1" t="s">
        <v>14362</v>
      </c>
      <c r="C469" s="1" t="s">
        <v>2708</v>
      </c>
      <c r="D469" s="1" t="s">
        <v>14363</v>
      </c>
      <c r="E469" s="1" t="s">
        <v>2709</v>
      </c>
      <c r="F469" s="1" t="s">
        <v>14364</v>
      </c>
      <c r="G469">
        <v>196714</v>
      </c>
      <c r="H469">
        <v>31</v>
      </c>
      <c r="I469" s="1" t="s">
        <v>11063</v>
      </c>
      <c r="J469" s="11">
        <v>44729.706458333334</v>
      </c>
      <c r="K469" s="1" t="s">
        <v>2710</v>
      </c>
      <c r="L469" s="1">
        <v>0.67400000000000004</v>
      </c>
      <c r="M469" s="1">
        <v>0.60799999999999998</v>
      </c>
      <c r="N469">
        <v>1</v>
      </c>
      <c r="O469" s="1">
        <v>-6.3869999999999996</v>
      </c>
      <c r="P469">
        <v>0</v>
      </c>
      <c r="Q469" s="1">
        <v>0.14899999999999999</v>
      </c>
      <c r="R469" s="1">
        <v>0.253</v>
      </c>
      <c r="S469" s="1">
        <v>0</v>
      </c>
      <c r="T469" s="1">
        <v>0.82499999999999996</v>
      </c>
      <c r="U469" s="1">
        <v>0.48699999999999999</v>
      </c>
      <c r="V469" s="1">
        <v>105.07</v>
      </c>
      <c r="W469">
        <v>4</v>
      </c>
    </row>
    <row r="470" spans="1:23" x14ac:dyDescent="0.25">
      <c r="A470" s="1" t="s">
        <v>14365</v>
      </c>
      <c r="B470" s="1" t="s">
        <v>14366</v>
      </c>
      <c r="C470" s="1" t="s">
        <v>2711</v>
      </c>
      <c r="D470" s="1" t="s">
        <v>14367</v>
      </c>
      <c r="E470" s="1" t="s">
        <v>2712</v>
      </c>
      <c r="F470" s="1" t="s">
        <v>14368</v>
      </c>
      <c r="G470">
        <v>264000</v>
      </c>
      <c r="H470">
        <v>39</v>
      </c>
      <c r="I470" s="1" t="s">
        <v>11063</v>
      </c>
      <c r="J470" s="11">
        <v>44729.706458333334</v>
      </c>
      <c r="K470" s="1" t="s">
        <v>2713</v>
      </c>
      <c r="L470" s="1">
        <v>0.246</v>
      </c>
      <c r="M470" s="1">
        <v>0.55100000000000005</v>
      </c>
      <c r="N470">
        <v>6</v>
      </c>
      <c r="O470" s="1">
        <v>-5.7709999999999999</v>
      </c>
      <c r="P470">
        <v>0</v>
      </c>
      <c r="Q470" s="1">
        <v>0.501</v>
      </c>
      <c r="R470" s="1">
        <v>0.63100000000000001</v>
      </c>
      <c r="S470" s="1">
        <v>0.47599999999999998</v>
      </c>
      <c r="T470" s="1">
        <v>0.93700000000000006</v>
      </c>
      <c r="U470" s="1">
        <v>0.107</v>
      </c>
      <c r="V470" s="1">
        <v>84.662000000000006</v>
      </c>
      <c r="W470">
        <v>4</v>
      </c>
    </row>
    <row r="471" spans="1:23" x14ac:dyDescent="0.25">
      <c r="A471" s="1" t="s">
        <v>11400</v>
      </c>
      <c r="B471" s="1" t="s">
        <v>11401</v>
      </c>
      <c r="C471" s="1" t="s">
        <v>2714</v>
      </c>
      <c r="D471" s="1" t="s">
        <v>2714</v>
      </c>
      <c r="E471" s="1" t="s">
        <v>179</v>
      </c>
      <c r="F471" s="1" t="s">
        <v>11264</v>
      </c>
      <c r="G471">
        <v>309066</v>
      </c>
      <c r="H471">
        <v>47</v>
      </c>
      <c r="I471" s="1" t="s">
        <v>11063</v>
      </c>
      <c r="J471" s="11">
        <v>44729.706458333334</v>
      </c>
      <c r="K471" s="1" t="s">
        <v>2715</v>
      </c>
      <c r="L471" s="1">
        <v>0.36799999999999999</v>
      </c>
      <c r="M471" s="1">
        <v>0.72199999999999998</v>
      </c>
      <c r="N471">
        <v>0</v>
      </c>
      <c r="O471" s="1">
        <v>-4.266</v>
      </c>
      <c r="P471">
        <v>1</v>
      </c>
      <c r="Q471" s="1">
        <v>0.377</v>
      </c>
      <c r="R471" s="1">
        <v>0.754</v>
      </c>
      <c r="S471" s="1">
        <v>0.16800000000000001</v>
      </c>
      <c r="T471" s="1">
        <v>0.93400000000000005</v>
      </c>
      <c r="U471" s="1">
        <v>0.24199999999999999</v>
      </c>
      <c r="V471" s="1">
        <v>152.04</v>
      </c>
      <c r="W471">
        <v>4</v>
      </c>
    </row>
    <row r="472" spans="1:23" x14ac:dyDescent="0.25">
      <c r="A472" s="1" t="s">
        <v>14369</v>
      </c>
      <c r="B472" s="1" t="s">
        <v>14370</v>
      </c>
      <c r="C472" s="1" t="s">
        <v>2716</v>
      </c>
      <c r="D472" s="1" t="s">
        <v>14371</v>
      </c>
      <c r="E472" s="1" t="s">
        <v>2717</v>
      </c>
      <c r="F472" s="1" t="s">
        <v>14372</v>
      </c>
      <c r="G472">
        <v>208124</v>
      </c>
      <c r="H472">
        <v>47</v>
      </c>
      <c r="I472" s="1" t="s">
        <v>11063</v>
      </c>
      <c r="J472" s="11">
        <v>44729.706458333334</v>
      </c>
      <c r="K472" s="1" t="s">
        <v>2718</v>
      </c>
      <c r="L472" s="1">
        <v>0.71499999999999997</v>
      </c>
      <c r="M472" s="1">
        <v>0.72199999999999998</v>
      </c>
      <c r="N472">
        <v>11</v>
      </c>
      <c r="O472" s="1">
        <v>-5.6920000000000002</v>
      </c>
      <c r="P472">
        <v>0</v>
      </c>
      <c r="Q472" s="1">
        <v>0.38300000000000001</v>
      </c>
      <c r="R472" s="1">
        <v>0.85399999999999998</v>
      </c>
      <c r="S472" s="1">
        <v>0.221</v>
      </c>
      <c r="T472" s="1">
        <v>0.69299999999999995</v>
      </c>
      <c r="U472" s="1">
        <v>0.49</v>
      </c>
      <c r="V472" s="1">
        <v>127.94499999999999</v>
      </c>
      <c r="W472">
        <v>4</v>
      </c>
    </row>
    <row r="473" spans="1:23" x14ac:dyDescent="0.25">
      <c r="A473" s="1" t="s">
        <v>14373</v>
      </c>
      <c r="B473" s="1" t="s">
        <v>14374</v>
      </c>
      <c r="C473" s="1" t="s">
        <v>2719</v>
      </c>
      <c r="D473" s="1" t="s">
        <v>14375</v>
      </c>
      <c r="E473" s="1" t="s">
        <v>2720</v>
      </c>
      <c r="F473" s="1" t="s">
        <v>14376</v>
      </c>
      <c r="G473">
        <v>212600</v>
      </c>
      <c r="H473">
        <v>71</v>
      </c>
      <c r="I473" s="1" t="s">
        <v>11063</v>
      </c>
      <c r="J473" s="11">
        <v>44729.706458333334</v>
      </c>
      <c r="K473" s="1" t="s">
        <v>2721</v>
      </c>
      <c r="L473" s="1">
        <v>0.56000000000000005</v>
      </c>
      <c r="M473" s="1">
        <v>0.82499999999999996</v>
      </c>
      <c r="N473">
        <v>2</v>
      </c>
      <c r="O473" s="1">
        <v>-6.7110000000000003</v>
      </c>
      <c r="P473">
        <v>0</v>
      </c>
      <c r="Q473" s="1">
        <v>0.34699999999999998</v>
      </c>
      <c r="R473" s="1">
        <v>0.78500000000000003</v>
      </c>
      <c r="S473" s="1">
        <v>0.246</v>
      </c>
      <c r="T473" s="1">
        <v>0.89200000000000002</v>
      </c>
      <c r="U473" s="1">
        <v>0.74</v>
      </c>
      <c r="V473" s="1">
        <v>142.66900000000001</v>
      </c>
      <c r="W473">
        <v>4</v>
      </c>
    </row>
    <row r="474" spans="1:23" x14ac:dyDescent="0.25">
      <c r="A474" s="1" t="s">
        <v>14377</v>
      </c>
      <c r="B474" s="1" t="s">
        <v>14374</v>
      </c>
      <c r="C474" s="1" t="s">
        <v>2722</v>
      </c>
      <c r="D474" s="1" t="s">
        <v>14378</v>
      </c>
      <c r="E474" s="1" t="s">
        <v>2720</v>
      </c>
      <c r="F474" s="1" t="s">
        <v>14379</v>
      </c>
      <c r="G474">
        <v>275733</v>
      </c>
      <c r="H474">
        <v>70</v>
      </c>
      <c r="I474" s="1" t="s">
        <v>11063</v>
      </c>
      <c r="J474" s="11">
        <v>44729.706458333334</v>
      </c>
      <c r="K474" s="1" t="s">
        <v>2721</v>
      </c>
      <c r="L474" s="1">
        <v>0.69399999999999995</v>
      </c>
      <c r="M474" s="1">
        <v>0.57699999999999996</v>
      </c>
      <c r="N474">
        <v>4</v>
      </c>
      <c r="O474" s="1">
        <v>-14.63</v>
      </c>
      <c r="P474">
        <v>1</v>
      </c>
      <c r="Q474" s="1">
        <v>0.308</v>
      </c>
      <c r="R474" s="1">
        <v>0.15</v>
      </c>
      <c r="S474" s="1">
        <v>0.83599999999999997</v>
      </c>
      <c r="T474" s="1">
        <v>0.85299999999999998</v>
      </c>
      <c r="U474" s="1">
        <v>0.84499999999999997</v>
      </c>
      <c r="V474" s="1">
        <v>114.47799999999999</v>
      </c>
      <c r="W474">
        <v>4</v>
      </c>
    </row>
    <row r="475" spans="1:23" x14ac:dyDescent="0.25">
      <c r="A475" s="1" t="s">
        <v>12554</v>
      </c>
      <c r="B475" s="1" t="s">
        <v>12555</v>
      </c>
      <c r="C475" s="1" t="s">
        <v>1597</v>
      </c>
      <c r="D475" s="1" t="s">
        <v>1597</v>
      </c>
      <c r="E475" s="1" t="s">
        <v>1598</v>
      </c>
      <c r="F475" s="1" t="s">
        <v>13510</v>
      </c>
      <c r="G475">
        <v>178309</v>
      </c>
      <c r="H475">
        <v>72</v>
      </c>
      <c r="I475" s="1" t="s">
        <v>11063</v>
      </c>
      <c r="J475" s="11">
        <v>44729.706458333334</v>
      </c>
      <c r="K475" s="1" t="s">
        <v>1599</v>
      </c>
      <c r="L475" s="1">
        <v>0.39800000000000002</v>
      </c>
      <c r="M475" s="1">
        <v>0.95599999999999996</v>
      </c>
      <c r="N475">
        <v>2</v>
      </c>
      <c r="O475" s="1">
        <v>-4.4290000000000003</v>
      </c>
      <c r="P475">
        <v>1</v>
      </c>
      <c r="Q475" s="1">
        <v>0.32900000000000001</v>
      </c>
      <c r="R475" s="1">
        <v>0.93500000000000005</v>
      </c>
      <c r="S475" s="1">
        <v>0.38</v>
      </c>
      <c r="T475" s="1">
        <v>0.14199999999999999</v>
      </c>
      <c r="U475" s="1">
        <v>0.26900000000000002</v>
      </c>
      <c r="V475" s="1">
        <v>106.581</v>
      </c>
      <c r="W475">
        <v>4</v>
      </c>
    </row>
    <row r="476" spans="1:23" x14ac:dyDescent="0.25">
      <c r="A476" s="1" t="s">
        <v>14380</v>
      </c>
      <c r="B476" s="1" t="s">
        <v>14381</v>
      </c>
      <c r="C476" s="1" t="s">
        <v>2723</v>
      </c>
      <c r="D476" s="1" t="s">
        <v>2723</v>
      </c>
      <c r="E476" s="1" t="s">
        <v>2724</v>
      </c>
      <c r="F476" s="1" t="s">
        <v>13510</v>
      </c>
      <c r="G476">
        <v>168585</v>
      </c>
      <c r="H476">
        <v>54</v>
      </c>
      <c r="I476" s="1" t="s">
        <v>11063</v>
      </c>
      <c r="J476" s="11">
        <v>44729.706458333334</v>
      </c>
      <c r="K476" s="1" t="s">
        <v>2725</v>
      </c>
      <c r="L476" s="1">
        <v>0.61499999999999999</v>
      </c>
      <c r="M476" s="1">
        <v>0.80600000000000005</v>
      </c>
      <c r="N476">
        <v>8</v>
      </c>
      <c r="O476" s="1">
        <v>-7.0220000000000002</v>
      </c>
      <c r="P476">
        <v>1</v>
      </c>
      <c r="Q476" s="1">
        <v>0.104</v>
      </c>
      <c r="R476" s="1">
        <v>0.48099999999999998</v>
      </c>
      <c r="S476" s="1">
        <v>0.33</v>
      </c>
      <c r="T476" s="1">
        <v>0.315</v>
      </c>
      <c r="U476" s="1">
        <v>0.42199999999999999</v>
      </c>
      <c r="V476" s="1">
        <v>123.057</v>
      </c>
      <c r="W476">
        <v>4</v>
      </c>
    </row>
    <row r="477" spans="1:23" x14ac:dyDescent="0.25">
      <c r="A477" s="1" t="s">
        <v>14382</v>
      </c>
      <c r="B477" s="1" t="s">
        <v>14383</v>
      </c>
      <c r="C477" s="1" t="s">
        <v>2726</v>
      </c>
      <c r="D477" s="1" t="s">
        <v>2726</v>
      </c>
      <c r="E477" s="1" t="s">
        <v>2727</v>
      </c>
      <c r="F477" s="1" t="s">
        <v>14384</v>
      </c>
      <c r="G477">
        <v>234697</v>
      </c>
      <c r="H477">
        <v>30</v>
      </c>
      <c r="I477" s="1" t="s">
        <v>11063</v>
      </c>
      <c r="J477" s="11">
        <v>44729.706458333334</v>
      </c>
      <c r="K477" s="1" t="s">
        <v>2728</v>
      </c>
      <c r="L477" s="1">
        <v>0.58699999999999997</v>
      </c>
      <c r="M477" s="1">
        <v>0.67900000000000005</v>
      </c>
      <c r="N477">
        <v>6</v>
      </c>
      <c r="O477" s="1">
        <v>-4.8680000000000003</v>
      </c>
      <c r="P477">
        <v>0</v>
      </c>
      <c r="Q477" s="1">
        <v>0.19</v>
      </c>
      <c r="R477" s="1">
        <v>0.26200000000000001</v>
      </c>
      <c r="S477" s="1">
        <v>0</v>
      </c>
      <c r="T477" s="1">
        <v>0.749</v>
      </c>
      <c r="U477" s="1">
        <v>0.41899999999999998</v>
      </c>
      <c r="V477" s="1">
        <v>141.268</v>
      </c>
      <c r="W477">
        <v>4</v>
      </c>
    </row>
    <row r="478" spans="1:23" x14ac:dyDescent="0.25">
      <c r="A478" s="1" t="s">
        <v>14385</v>
      </c>
      <c r="B478" s="1" t="s">
        <v>13501</v>
      </c>
      <c r="C478" s="1" t="s">
        <v>2729</v>
      </c>
      <c r="D478" s="1" t="s">
        <v>2729</v>
      </c>
      <c r="E478" s="1" t="s">
        <v>1969</v>
      </c>
      <c r="F478" s="1" t="s">
        <v>13510</v>
      </c>
      <c r="G478">
        <v>187363</v>
      </c>
      <c r="H478">
        <v>65</v>
      </c>
      <c r="I478" s="1" t="s">
        <v>11063</v>
      </c>
      <c r="J478" s="11">
        <v>44729.706458333334</v>
      </c>
      <c r="K478" s="1" t="s">
        <v>1970</v>
      </c>
      <c r="L478" s="1">
        <v>0.624</v>
      </c>
      <c r="M478" s="1">
        <v>0.90800000000000003</v>
      </c>
      <c r="N478">
        <v>10</v>
      </c>
      <c r="O478" s="1">
        <v>-3.2149999999999999</v>
      </c>
      <c r="P478">
        <v>1</v>
      </c>
      <c r="Q478" s="1">
        <v>0.99199999999999999</v>
      </c>
      <c r="R478" s="1">
        <v>0.40799999999999997</v>
      </c>
      <c r="S478" s="1">
        <v>0</v>
      </c>
      <c r="T478" s="1">
        <v>0.13900000000000001</v>
      </c>
      <c r="U478" s="1">
        <v>0.65900000000000003</v>
      </c>
      <c r="V478" s="1">
        <v>105.048</v>
      </c>
      <c r="W478">
        <v>4</v>
      </c>
    </row>
    <row r="479" spans="1:23" x14ac:dyDescent="0.25">
      <c r="A479" s="1" t="s">
        <v>14386</v>
      </c>
      <c r="B479" s="1" t="s">
        <v>11184</v>
      </c>
      <c r="C479" s="1" t="s">
        <v>2730</v>
      </c>
      <c r="D479" s="1" t="s">
        <v>2730</v>
      </c>
      <c r="E479" s="1" t="s">
        <v>2057</v>
      </c>
      <c r="F479" s="1" t="s">
        <v>14387</v>
      </c>
      <c r="G479">
        <v>179785</v>
      </c>
      <c r="H479">
        <v>53</v>
      </c>
      <c r="I479" s="1" t="s">
        <v>11063</v>
      </c>
      <c r="J479" s="11">
        <v>44729.706458333334</v>
      </c>
      <c r="K479" s="1" t="s">
        <v>50</v>
      </c>
      <c r="L479" s="1">
        <v>0.79500000000000004</v>
      </c>
      <c r="M479" s="1">
        <v>0.64100000000000001</v>
      </c>
      <c r="N479">
        <v>10</v>
      </c>
      <c r="O479" s="1">
        <v>-6.0919999999999996</v>
      </c>
      <c r="P479">
        <v>0</v>
      </c>
      <c r="Q479" s="1">
        <v>0.13600000000000001</v>
      </c>
      <c r="R479" s="1">
        <v>0.247</v>
      </c>
      <c r="S479" s="1">
        <v>0.108</v>
      </c>
      <c r="T479" s="1">
        <v>0.95799999999999996</v>
      </c>
      <c r="U479" s="1">
        <v>0.32600000000000001</v>
      </c>
      <c r="V479" s="1">
        <v>140.07300000000001</v>
      </c>
      <c r="W479">
        <v>4</v>
      </c>
    </row>
    <row r="480" spans="1:23" x14ac:dyDescent="0.25">
      <c r="A480" s="1" t="s">
        <v>14388</v>
      </c>
      <c r="B480" s="1" t="s">
        <v>14389</v>
      </c>
      <c r="C480" s="1" t="s">
        <v>2731</v>
      </c>
      <c r="D480" s="1" t="s">
        <v>2731</v>
      </c>
      <c r="E480" s="1" t="s">
        <v>2732</v>
      </c>
      <c r="F480" s="1" t="s">
        <v>14390</v>
      </c>
      <c r="G480">
        <v>252026</v>
      </c>
      <c r="H480">
        <v>64</v>
      </c>
      <c r="I480" s="1" t="s">
        <v>11063</v>
      </c>
      <c r="J480" s="11">
        <v>44729.706458333334</v>
      </c>
      <c r="K480" s="1" t="s">
        <v>2733</v>
      </c>
      <c r="L480" s="1">
        <v>0.59199999999999997</v>
      </c>
      <c r="M480" s="1">
        <v>0.54</v>
      </c>
      <c r="N480">
        <v>8</v>
      </c>
      <c r="O480" s="1">
        <v>-11.249000000000001</v>
      </c>
      <c r="P480">
        <v>0</v>
      </c>
      <c r="Q480" s="1">
        <v>0.58699999999999997</v>
      </c>
      <c r="R480" s="1">
        <v>0.69199999999999995</v>
      </c>
      <c r="S480" s="1">
        <v>0.187</v>
      </c>
      <c r="T480" s="1">
        <v>0.96499999999999997</v>
      </c>
      <c r="U480" s="1">
        <v>0.35399999999999998</v>
      </c>
      <c r="V480" s="1">
        <v>111.955</v>
      </c>
      <c r="W480">
        <v>4</v>
      </c>
    </row>
    <row r="481" spans="1:23" x14ac:dyDescent="0.25">
      <c r="A481" s="1" t="s">
        <v>14391</v>
      </c>
      <c r="B481" s="1" t="s">
        <v>14392</v>
      </c>
      <c r="C481" s="1" t="s">
        <v>2734</v>
      </c>
      <c r="D481" s="1" t="s">
        <v>11071</v>
      </c>
      <c r="E481" s="1" t="s">
        <v>2735</v>
      </c>
      <c r="F481" s="1" t="s">
        <v>11621</v>
      </c>
      <c r="G481">
        <v>544626</v>
      </c>
      <c r="H481">
        <v>65</v>
      </c>
      <c r="I481" s="1" t="s">
        <v>11063</v>
      </c>
      <c r="J481" s="11">
        <v>44729.706458333334</v>
      </c>
      <c r="K481" s="1" t="s">
        <v>2736</v>
      </c>
      <c r="L481" s="1">
        <v>0.74</v>
      </c>
      <c r="M481" s="1">
        <v>0.68200000000000005</v>
      </c>
      <c r="N481">
        <v>9</v>
      </c>
      <c r="O481" s="1">
        <v>-10.42</v>
      </c>
      <c r="P481">
        <v>0</v>
      </c>
      <c r="Q481" s="1">
        <v>0.504</v>
      </c>
      <c r="R481" s="1">
        <v>0.69199999999999995</v>
      </c>
      <c r="S481" s="1">
        <v>0.53</v>
      </c>
      <c r="T481" s="1">
        <v>0.38100000000000001</v>
      </c>
      <c r="U481" s="1">
        <v>0.41</v>
      </c>
      <c r="V481" s="1">
        <v>113.20099999999999</v>
      </c>
      <c r="W481">
        <v>4</v>
      </c>
    </row>
    <row r="482" spans="1:23" x14ac:dyDescent="0.25">
      <c r="A482" s="1" t="s">
        <v>14393</v>
      </c>
      <c r="B482" s="1" t="s">
        <v>14392</v>
      </c>
      <c r="C482" s="1" t="s">
        <v>2737</v>
      </c>
      <c r="D482" s="1" t="s">
        <v>11071</v>
      </c>
      <c r="E482" s="1" t="s">
        <v>2735</v>
      </c>
      <c r="F482" s="1" t="s">
        <v>11621</v>
      </c>
      <c r="G482">
        <v>290240</v>
      </c>
      <c r="H482">
        <v>56</v>
      </c>
      <c r="I482" s="1" t="s">
        <v>11063</v>
      </c>
      <c r="J482" s="11">
        <v>44729.706458333334</v>
      </c>
      <c r="K482" s="1" t="s">
        <v>2736</v>
      </c>
      <c r="L482" s="1">
        <v>0.71599999999999997</v>
      </c>
      <c r="M482" s="1">
        <v>0.64800000000000002</v>
      </c>
      <c r="N482">
        <v>8</v>
      </c>
      <c r="O482" s="1">
        <v>-11.33</v>
      </c>
      <c r="P482">
        <v>0</v>
      </c>
      <c r="Q482" s="1">
        <v>0.33700000000000002</v>
      </c>
      <c r="R482" s="1">
        <v>0.36699999999999999</v>
      </c>
      <c r="S482" s="1">
        <v>0.48499999999999999</v>
      </c>
      <c r="T482" s="1">
        <v>0.36799999999999999</v>
      </c>
      <c r="U482" s="1">
        <v>0.78900000000000003</v>
      </c>
      <c r="V482" s="1">
        <v>104.02200000000001</v>
      </c>
      <c r="W482">
        <v>4</v>
      </c>
    </row>
    <row r="483" spans="1:23" x14ac:dyDescent="0.25">
      <c r="A483" s="1" t="s">
        <v>14394</v>
      </c>
      <c r="B483" s="1" t="s">
        <v>14288</v>
      </c>
      <c r="C483" s="1" t="s">
        <v>2738</v>
      </c>
      <c r="D483" s="1" t="s">
        <v>14395</v>
      </c>
      <c r="E483" s="1" t="s">
        <v>2638</v>
      </c>
      <c r="F483" s="1" t="s">
        <v>14396</v>
      </c>
      <c r="G483">
        <v>214325</v>
      </c>
      <c r="H483">
        <v>57</v>
      </c>
      <c r="I483" s="1" t="s">
        <v>11063</v>
      </c>
      <c r="J483" s="11">
        <v>44729.706458333334</v>
      </c>
      <c r="K483" s="1" t="s">
        <v>2639</v>
      </c>
      <c r="L483" s="1">
        <v>0.52700000000000002</v>
      </c>
      <c r="M483" s="1">
        <v>0.84499999999999997</v>
      </c>
      <c r="N483">
        <v>1</v>
      </c>
      <c r="O483" s="1">
        <v>-3.7210000000000001</v>
      </c>
      <c r="P483">
        <v>0</v>
      </c>
      <c r="Q483" s="1">
        <v>0.121</v>
      </c>
      <c r="R483" s="1">
        <v>0.33500000000000002</v>
      </c>
      <c r="S483" s="1">
        <v>0.127</v>
      </c>
      <c r="T483" s="1">
        <v>0.14399999999999999</v>
      </c>
      <c r="U483" s="1">
        <v>0.55400000000000005</v>
      </c>
      <c r="V483" s="1">
        <v>128.023</v>
      </c>
      <c r="W483">
        <v>4</v>
      </c>
    </row>
    <row r="484" spans="1:23" x14ac:dyDescent="0.25">
      <c r="A484" s="1" t="s">
        <v>14397</v>
      </c>
      <c r="B484" s="1" t="s">
        <v>14398</v>
      </c>
      <c r="C484" s="1" t="s">
        <v>2739</v>
      </c>
      <c r="D484" s="1" t="s">
        <v>14399</v>
      </c>
      <c r="E484" s="1" t="s">
        <v>2740</v>
      </c>
      <c r="F484" s="1" t="s">
        <v>13822</v>
      </c>
      <c r="G484">
        <v>235173</v>
      </c>
      <c r="H484">
        <v>61</v>
      </c>
      <c r="I484" s="1" t="s">
        <v>11063</v>
      </c>
      <c r="J484" s="11">
        <v>44729.706458333334</v>
      </c>
      <c r="K484" s="1" t="s">
        <v>2741</v>
      </c>
      <c r="L484" s="1">
        <v>0.67300000000000004</v>
      </c>
      <c r="M484" s="1">
        <v>0.91300000000000003</v>
      </c>
      <c r="N484">
        <v>4</v>
      </c>
      <c r="O484" s="1">
        <v>-4.9809999999999999</v>
      </c>
      <c r="P484">
        <v>1</v>
      </c>
      <c r="Q484" s="1">
        <v>0.66400000000000003</v>
      </c>
      <c r="R484" s="1">
        <v>0.30399999999999999</v>
      </c>
      <c r="S484" s="1">
        <v>0.29799999999999999</v>
      </c>
      <c r="T484" s="1">
        <v>0.113</v>
      </c>
      <c r="U484" s="1">
        <v>0.58699999999999997</v>
      </c>
      <c r="V484" s="1">
        <v>124.48399999999999</v>
      </c>
      <c r="W484">
        <v>4</v>
      </c>
    </row>
    <row r="485" spans="1:23" x14ac:dyDescent="0.25">
      <c r="A485" s="1" t="s">
        <v>14400</v>
      </c>
      <c r="B485" s="1" t="s">
        <v>14398</v>
      </c>
      <c r="C485" s="1" t="s">
        <v>2742</v>
      </c>
      <c r="D485" s="1" t="s">
        <v>14399</v>
      </c>
      <c r="E485" s="1" t="s">
        <v>2740</v>
      </c>
      <c r="F485" s="1" t="s">
        <v>13822</v>
      </c>
      <c r="G485">
        <v>183533</v>
      </c>
      <c r="H485">
        <v>60</v>
      </c>
      <c r="I485" s="1" t="s">
        <v>11063</v>
      </c>
      <c r="J485" s="11">
        <v>44729.706458333334</v>
      </c>
      <c r="K485" s="1" t="s">
        <v>2741</v>
      </c>
      <c r="L485" s="1">
        <v>0.71399999999999997</v>
      </c>
      <c r="M485" s="1">
        <v>0.621</v>
      </c>
      <c r="N485">
        <v>1</v>
      </c>
      <c r="O485" s="1">
        <v>-5.343</v>
      </c>
      <c r="P485">
        <v>1</v>
      </c>
      <c r="Q485" s="1">
        <v>0.64100000000000001</v>
      </c>
      <c r="R485" s="1">
        <v>0.35199999999999998</v>
      </c>
      <c r="S485" s="1">
        <v>0.16300000000000001</v>
      </c>
      <c r="T485" s="1">
        <v>0.11</v>
      </c>
      <c r="U485" s="1">
        <v>0.89200000000000002</v>
      </c>
      <c r="V485" s="1">
        <v>96.007000000000005</v>
      </c>
      <c r="W485">
        <v>4</v>
      </c>
    </row>
    <row r="486" spans="1:23" x14ac:dyDescent="0.25">
      <c r="A486" s="1" t="s">
        <v>14401</v>
      </c>
      <c r="B486" s="1" t="s">
        <v>14398</v>
      </c>
      <c r="C486" s="1" t="s">
        <v>2743</v>
      </c>
      <c r="D486" s="1" t="s">
        <v>14402</v>
      </c>
      <c r="E486" s="1" t="s">
        <v>2740</v>
      </c>
      <c r="F486" s="1" t="s">
        <v>11587</v>
      </c>
      <c r="G486">
        <v>218906</v>
      </c>
      <c r="H486">
        <v>54</v>
      </c>
      <c r="I486" s="1" t="s">
        <v>11063</v>
      </c>
      <c r="J486" s="11">
        <v>44729.706458333334</v>
      </c>
      <c r="K486" s="1" t="s">
        <v>2741</v>
      </c>
      <c r="L486" s="1">
        <v>0.78</v>
      </c>
      <c r="M486" s="1">
        <v>0.77300000000000002</v>
      </c>
      <c r="N486">
        <v>10</v>
      </c>
      <c r="O486" s="1">
        <v>-3.6850000000000001</v>
      </c>
      <c r="P486">
        <v>1</v>
      </c>
      <c r="Q486" s="1">
        <v>0.38400000000000001</v>
      </c>
      <c r="R486" s="1">
        <v>0.47099999999999997</v>
      </c>
      <c r="S486" s="1">
        <v>0.16</v>
      </c>
      <c r="T486" s="1">
        <v>0.93799999999999994</v>
      </c>
      <c r="U486" s="1">
        <v>0.46100000000000002</v>
      </c>
      <c r="V486" s="1">
        <v>125.996</v>
      </c>
      <c r="W486">
        <v>4</v>
      </c>
    </row>
    <row r="487" spans="1:23" x14ac:dyDescent="0.25">
      <c r="A487" s="1" t="s">
        <v>14403</v>
      </c>
      <c r="B487" s="1" t="s">
        <v>14398</v>
      </c>
      <c r="C487" s="1" t="s">
        <v>2744</v>
      </c>
      <c r="D487" s="1" t="s">
        <v>14399</v>
      </c>
      <c r="E487" s="1" t="s">
        <v>2740</v>
      </c>
      <c r="F487" s="1" t="s">
        <v>13822</v>
      </c>
      <c r="G487">
        <v>187733</v>
      </c>
      <c r="H487">
        <v>71</v>
      </c>
      <c r="I487" s="1" t="s">
        <v>11063</v>
      </c>
      <c r="J487" s="11">
        <v>44729.706458333334</v>
      </c>
      <c r="K487" s="1" t="s">
        <v>2741</v>
      </c>
      <c r="L487" s="1">
        <v>0.67500000000000004</v>
      </c>
      <c r="M487" s="1">
        <v>0.82799999999999996</v>
      </c>
      <c r="N487">
        <v>0</v>
      </c>
      <c r="O487" s="1">
        <v>-5.7990000000000004</v>
      </c>
      <c r="P487">
        <v>1</v>
      </c>
      <c r="Q487" s="1">
        <v>0.45400000000000001</v>
      </c>
      <c r="R487" s="1">
        <v>0.24199999999999999</v>
      </c>
      <c r="S487" s="1">
        <v>0.10199999999999999</v>
      </c>
      <c r="T487" s="1">
        <v>0.36399999999999999</v>
      </c>
      <c r="U487" s="1">
        <v>0.66900000000000004</v>
      </c>
      <c r="V487" s="1">
        <v>122.229</v>
      </c>
      <c r="W487">
        <v>4</v>
      </c>
    </row>
    <row r="488" spans="1:23" x14ac:dyDescent="0.25">
      <c r="A488" s="1" t="s">
        <v>11772</v>
      </c>
      <c r="B488" s="1" t="s">
        <v>11773</v>
      </c>
      <c r="C488" s="1" t="s">
        <v>2745</v>
      </c>
      <c r="D488" s="1" t="s">
        <v>11774</v>
      </c>
      <c r="E488" s="1" t="s">
        <v>464</v>
      </c>
      <c r="F488" s="1" t="s">
        <v>11775</v>
      </c>
      <c r="G488">
        <v>254760</v>
      </c>
      <c r="H488">
        <v>32</v>
      </c>
      <c r="I488" s="1" t="s">
        <v>11063</v>
      </c>
      <c r="J488" s="11">
        <v>44729.706458333334</v>
      </c>
      <c r="K488" s="1" t="s">
        <v>465</v>
      </c>
      <c r="L488" s="1">
        <v>0.66100000000000003</v>
      </c>
      <c r="M488" s="1">
        <v>0.754</v>
      </c>
      <c r="N488">
        <v>5</v>
      </c>
      <c r="O488" s="1">
        <v>-7.9630000000000001</v>
      </c>
      <c r="P488">
        <v>0</v>
      </c>
      <c r="Q488" s="1">
        <v>0.33600000000000002</v>
      </c>
      <c r="R488" s="1">
        <v>0.26900000000000002</v>
      </c>
      <c r="S488" s="1">
        <v>0.34200000000000003</v>
      </c>
      <c r="T488" s="1">
        <v>0.19600000000000001</v>
      </c>
      <c r="U488" s="1">
        <v>0.58399999999999996</v>
      </c>
      <c r="V488" s="1">
        <v>125.002</v>
      </c>
      <c r="W488">
        <v>4</v>
      </c>
    </row>
    <row r="489" spans="1:23" x14ac:dyDescent="0.25">
      <c r="A489" s="1" t="s">
        <v>11402</v>
      </c>
      <c r="B489" s="1" t="s">
        <v>11403</v>
      </c>
      <c r="C489" s="1" t="s">
        <v>2746</v>
      </c>
      <c r="D489" s="1" t="s">
        <v>3152</v>
      </c>
      <c r="E489" s="1" t="s">
        <v>181</v>
      </c>
      <c r="F489" s="1" t="s">
        <v>11404</v>
      </c>
      <c r="G489">
        <v>234000</v>
      </c>
      <c r="H489">
        <v>60</v>
      </c>
      <c r="I489" s="1" t="s">
        <v>11063</v>
      </c>
      <c r="J489" s="11">
        <v>44729.706458333334</v>
      </c>
      <c r="K489" s="1" t="s">
        <v>182</v>
      </c>
      <c r="L489" s="1">
        <v>0.54200000000000004</v>
      </c>
      <c r="M489" s="1">
        <v>0.65900000000000003</v>
      </c>
      <c r="N489">
        <v>8</v>
      </c>
      <c r="O489" s="1">
        <v>-7.2889999999999997</v>
      </c>
      <c r="P489">
        <v>1</v>
      </c>
      <c r="Q489" s="1">
        <v>0.38900000000000001</v>
      </c>
      <c r="R489" s="1">
        <v>0.27900000000000003</v>
      </c>
      <c r="S489" s="1">
        <v>0</v>
      </c>
      <c r="T489" s="1">
        <v>0.105</v>
      </c>
      <c r="U489" s="1">
        <v>0.109</v>
      </c>
      <c r="V489" s="1">
        <v>120.122</v>
      </c>
      <c r="W489">
        <v>4</v>
      </c>
    </row>
    <row r="490" spans="1:23" x14ac:dyDescent="0.25">
      <c r="A490" s="1" t="s">
        <v>14404</v>
      </c>
      <c r="B490" s="1" t="s">
        <v>11773</v>
      </c>
      <c r="C490" s="1" t="s">
        <v>2747</v>
      </c>
      <c r="D490" s="1" t="s">
        <v>11774</v>
      </c>
      <c r="E490" s="1" t="s">
        <v>464</v>
      </c>
      <c r="F490" s="1" t="s">
        <v>11775</v>
      </c>
      <c r="G490">
        <v>350160</v>
      </c>
      <c r="H490">
        <v>40</v>
      </c>
      <c r="I490" s="1" t="s">
        <v>11063</v>
      </c>
      <c r="J490" s="11">
        <v>44729.706458333334</v>
      </c>
      <c r="K490" s="1" t="s">
        <v>465</v>
      </c>
      <c r="L490" s="1">
        <v>0.68400000000000005</v>
      </c>
      <c r="M490" s="1">
        <v>0.76800000000000002</v>
      </c>
      <c r="N490">
        <v>1</v>
      </c>
      <c r="O490" s="1">
        <v>-7.4009999999999998</v>
      </c>
      <c r="P490">
        <v>1</v>
      </c>
      <c r="Q490" s="1">
        <v>0.31</v>
      </c>
      <c r="R490" s="1">
        <v>0.13400000000000001</v>
      </c>
      <c r="S490" s="1">
        <v>0.56299999999999994</v>
      </c>
      <c r="T490" s="1">
        <v>0.52900000000000003</v>
      </c>
      <c r="U490" s="1">
        <v>0.13100000000000001</v>
      </c>
      <c r="V490" s="1">
        <v>125.01900000000001</v>
      </c>
      <c r="W490">
        <v>4</v>
      </c>
    </row>
    <row r="491" spans="1:23" x14ac:dyDescent="0.25">
      <c r="A491" s="1" t="s">
        <v>14405</v>
      </c>
      <c r="B491" s="1" t="s">
        <v>14406</v>
      </c>
      <c r="C491" s="1" t="s">
        <v>2748</v>
      </c>
      <c r="D491" s="1" t="s">
        <v>2748</v>
      </c>
      <c r="E491" s="1" t="s">
        <v>2749</v>
      </c>
      <c r="F491" s="1" t="s">
        <v>14407</v>
      </c>
      <c r="G491">
        <v>222426</v>
      </c>
      <c r="H491">
        <v>46</v>
      </c>
      <c r="I491" s="1" t="s">
        <v>11063</v>
      </c>
      <c r="J491" s="11">
        <v>44729.706458333334</v>
      </c>
      <c r="K491" s="1" t="s">
        <v>2750</v>
      </c>
      <c r="L491" s="1">
        <v>0.23599999999999999</v>
      </c>
      <c r="M491" s="1">
        <v>0.64600000000000002</v>
      </c>
      <c r="N491">
        <v>3</v>
      </c>
      <c r="O491" s="1">
        <v>-1.788</v>
      </c>
      <c r="P491">
        <v>1</v>
      </c>
      <c r="Q491" s="1">
        <v>0.33800000000000002</v>
      </c>
      <c r="R491" s="1">
        <v>0.52600000000000002</v>
      </c>
      <c r="S491" s="1">
        <v>0</v>
      </c>
      <c r="T491" s="1">
        <v>0.34100000000000003</v>
      </c>
      <c r="U491" s="1">
        <v>0.23699999999999999</v>
      </c>
      <c r="V491" s="1">
        <v>138.54</v>
      </c>
      <c r="W491">
        <v>4</v>
      </c>
    </row>
    <row r="492" spans="1:23" x14ac:dyDescent="0.25">
      <c r="A492" s="1" t="s">
        <v>14408</v>
      </c>
      <c r="B492" s="1" t="s">
        <v>11403</v>
      </c>
      <c r="C492" s="1" t="s">
        <v>2751</v>
      </c>
      <c r="D492" s="1" t="s">
        <v>3152</v>
      </c>
      <c r="E492" s="1" t="s">
        <v>181</v>
      </c>
      <c r="F492" s="1" t="s">
        <v>11404</v>
      </c>
      <c r="G492">
        <v>298750</v>
      </c>
      <c r="H492">
        <v>54</v>
      </c>
      <c r="I492" s="1" t="s">
        <v>11063</v>
      </c>
      <c r="J492" s="11">
        <v>44729.706458333334</v>
      </c>
      <c r="K492" s="1" t="s">
        <v>182</v>
      </c>
      <c r="L492" s="1">
        <v>0.70499999999999996</v>
      </c>
      <c r="M492" s="1">
        <v>0.64300000000000002</v>
      </c>
      <c r="N492">
        <v>0</v>
      </c>
      <c r="O492" s="1">
        <v>-8.766</v>
      </c>
      <c r="P492">
        <v>0</v>
      </c>
      <c r="Q492" s="1">
        <v>0.54800000000000004</v>
      </c>
      <c r="R492" s="1">
        <v>0.83099999999999996</v>
      </c>
      <c r="S492" s="1">
        <v>0.60499999999999998</v>
      </c>
      <c r="T492" s="1">
        <v>0.13600000000000001</v>
      </c>
      <c r="U492" s="1">
        <v>0.223</v>
      </c>
      <c r="V492" s="1">
        <v>119.98699999999999</v>
      </c>
      <c r="W492">
        <v>4</v>
      </c>
    </row>
    <row r="493" spans="1:23" x14ac:dyDescent="0.25">
      <c r="A493" s="1" t="s">
        <v>14409</v>
      </c>
      <c r="B493" s="1" t="s">
        <v>11374</v>
      </c>
      <c r="C493" s="1" t="s">
        <v>2648</v>
      </c>
      <c r="D493" s="1" t="s">
        <v>2648</v>
      </c>
      <c r="E493" s="1" t="s">
        <v>160</v>
      </c>
      <c r="F493" s="1" t="s">
        <v>14410</v>
      </c>
      <c r="G493">
        <v>202746</v>
      </c>
      <c r="H493">
        <v>59</v>
      </c>
      <c r="I493" s="1" t="s">
        <v>11063</v>
      </c>
      <c r="J493" s="11">
        <v>44729.706458333334</v>
      </c>
      <c r="K493" s="1" t="s">
        <v>2647</v>
      </c>
      <c r="L493" s="1">
        <v>0.65200000000000002</v>
      </c>
      <c r="M493" s="1">
        <v>0.67600000000000005</v>
      </c>
      <c r="N493">
        <v>0</v>
      </c>
      <c r="O493" s="1">
        <v>-5.8140000000000001</v>
      </c>
      <c r="P493">
        <v>0</v>
      </c>
      <c r="Q493" s="1">
        <v>0.626</v>
      </c>
      <c r="R493" s="1">
        <v>0.32100000000000001</v>
      </c>
      <c r="S493" s="1">
        <v>0</v>
      </c>
      <c r="T493" s="1">
        <v>0.215</v>
      </c>
      <c r="U493" s="1">
        <v>0.39600000000000002</v>
      </c>
      <c r="V493" s="1">
        <v>160.11699999999999</v>
      </c>
      <c r="W493">
        <v>4</v>
      </c>
    </row>
    <row r="494" spans="1:23" x14ac:dyDescent="0.25">
      <c r="A494" s="1" t="s">
        <v>14411</v>
      </c>
      <c r="B494" s="1" t="s">
        <v>14412</v>
      </c>
      <c r="C494" s="1" t="s">
        <v>2752</v>
      </c>
      <c r="D494" s="1" t="s">
        <v>2752</v>
      </c>
      <c r="E494" s="1" t="s">
        <v>2753</v>
      </c>
      <c r="F494" s="1" t="s">
        <v>14410</v>
      </c>
      <c r="G494">
        <v>188894</v>
      </c>
      <c r="H494">
        <v>77</v>
      </c>
      <c r="I494" s="1" t="s">
        <v>11063</v>
      </c>
      <c r="J494" s="11">
        <v>44729.706458333334</v>
      </c>
      <c r="K494" s="1" t="s">
        <v>2754</v>
      </c>
      <c r="L494" s="1">
        <v>0.621</v>
      </c>
      <c r="M494" s="1">
        <v>0.747</v>
      </c>
      <c r="N494">
        <v>11</v>
      </c>
      <c r="O494" s="1">
        <v>-5.0839999999999996</v>
      </c>
      <c r="P494">
        <v>1</v>
      </c>
      <c r="Q494" s="1">
        <v>0.33700000000000002</v>
      </c>
      <c r="R494" s="1">
        <v>0.222</v>
      </c>
      <c r="S494" s="1">
        <v>0.19400000000000001</v>
      </c>
      <c r="T494" s="1">
        <v>0.14699999999999999</v>
      </c>
      <c r="U494" s="1">
        <v>0.42599999999999999</v>
      </c>
      <c r="V494" s="1">
        <v>124.015</v>
      </c>
      <c r="W494">
        <v>4</v>
      </c>
    </row>
    <row r="495" spans="1:23" x14ac:dyDescent="0.25">
      <c r="A495" s="1" t="s">
        <v>14413</v>
      </c>
      <c r="B495" s="1" t="s">
        <v>14414</v>
      </c>
      <c r="C495" s="1" t="s">
        <v>2755</v>
      </c>
      <c r="D495" s="1" t="s">
        <v>2755</v>
      </c>
      <c r="E495" s="1" t="s">
        <v>2756</v>
      </c>
      <c r="F495" s="1" t="s">
        <v>14415</v>
      </c>
      <c r="G495">
        <v>263343</v>
      </c>
      <c r="H495">
        <v>46</v>
      </c>
      <c r="I495" s="1" t="s">
        <v>11063</v>
      </c>
      <c r="J495" s="11">
        <v>44729.706458333334</v>
      </c>
      <c r="K495" s="1" t="s">
        <v>74</v>
      </c>
      <c r="L495" s="1">
        <v>0.14499999999999999</v>
      </c>
      <c r="M495" s="1">
        <v>0.23599999999999999</v>
      </c>
      <c r="N495">
        <v>2</v>
      </c>
      <c r="O495" s="1">
        <v>-14.545999999999999</v>
      </c>
      <c r="P495">
        <v>0</v>
      </c>
      <c r="Q495" s="1">
        <v>0.309</v>
      </c>
      <c r="R495" s="1">
        <v>0.68300000000000005</v>
      </c>
      <c r="S495" s="1">
        <v>0.94199999999999995</v>
      </c>
      <c r="T495" s="1">
        <v>0.113</v>
      </c>
      <c r="U495" s="1">
        <v>0.60799999999999998</v>
      </c>
      <c r="V495" s="1">
        <v>98.012</v>
      </c>
      <c r="W495">
        <v>4</v>
      </c>
    </row>
    <row r="496" spans="1:23" x14ac:dyDescent="0.25">
      <c r="A496" s="1" t="s">
        <v>14416</v>
      </c>
      <c r="B496" s="1" t="s">
        <v>14417</v>
      </c>
      <c r="C496" s="1" t="s">
        <v>2757</v>
      </c>
      <c r="D496" s="1" t="s">
        <v>2757</v>
      </c>
      <c r="E496" s="1" t="s">
        <v>2758</v>
      </c>
      <c r="F496" s="1" t="s">
        <v>14410</v>
      </c>
      <c r="G496">
        <v>216666</v>
      </c>
      <c r="H496">
        <v>62</v>
      </c>
      <c r="I496" s="1" t="s">
        <v>11063</v>
      </c>
      <c r="J496" s="11">
        <v>44729.706458333334</v>
      </c>
      <c r="K496" s="1" t="s">
        <v>2344</v>
      </c>
      <c r="L496" s="1">
        <v>0.73699999999999999</v>
      </c>
      <c r="M496" s="1">
        <v>0.64500000000000002</v>
      </c>
      <c r="N496">
        <v>0</v>
      </c>
      <c r="O496" s="1">
        <v>-7.0179999999999998</v>
      </c>
      <c r="P496">
        <v>1</v>
      </c>
      <c r="Q496" s="1">
        <v>0.25600000000000001</v>
      </c>
      <c r="R496" s="1">
        <v>0.58099999999999996</v>
      </c>
      <c r="S496" s="1">
        <v>0.623</v>
      </c>
      <c r="T496" s="1">
        <v>0.20799999999999999</v>
      </c>
      <c r="U496" s="1">
        <v>0.113</v>
      </c>
      <c r="V496" s="1">
        <v>117.045</v>
      </c>
      <c r="W496">
        <v>4</v>
      </c>
    </row>
    <row r="497" spans="1:23" x14ac:dyDescent="0.25">
      <c r="A497" s="1" t="s">
        <v>14418</v>
      </c>
      <c r="B497" s="1" t="s">
        <v>14419</v>
      </c>
      <c r="C497" s="1" t="s">
        <v>2759</v>
      </c>
      <c r="D497" s="1" t="s">
        <v>2759</v>
      </c>
      <c r="E497" s="1" t="s">
        <v>2760</v>
      </c>
      <c r="F497" s="1" t="s">
        <v>14410</v>
      </c>
      <c r="G497">
        <v>194531</v>
      </c>
      <c r="H497">
        <v>43</v>
      </c>
      <c r="I497" s="1" t="s">
        <v>11063</v>
      </c>
      <c r="J497" s="11">
        <v>44729.706458333334</v>
      </c>
      <c r="K497" s="1" t="s">
        <v>2761</v>
      </c>
      <c r="L497" s="1">
        <v>0.71199999999999997</v>
      </c>
      <c r="M497" s="1">
        <v>0.37</v>
      </c>
      <c r="N497">
        <v>4</v>
      </c>
      <c r="O497" s="1">
        <v>-13.351000000000001</v>
      </c>
      <c r="P497">
        <v>0</v>
      </c>
      <c r="Q497" s="1">
        <v>0.40200000000000002</v>
      </c>
      <c r="R497" s="1">
        <v>0.755</v>
      </c>
      <c r="S497" s="1">
        <v>0.495</v>
      </c>
      <c r="T497" s="1">
        <v>0.11700000000000001</v>
      </c>
      <c r="U497" s="1">
        <v>0.154</v>
      </c>
      <c r="V497" s="1">
        <v>99.99</v>
      </c>
      <c r="W497">
        <v>4</v>
      </c>
    </row>
    <row r="498" spans="1:23" x14ac:dyDescent="0.25">
      <c r="A498" s="1" t="s">
        <v>14420</v>
      </c>
      <c r="B498" s="1" t="s">
        <v>14421</v>
      </c>
      <c r="C498" s="1" t="s">
        <v>2762</v>
      </c>
      <c r="D498" s="1" t="s">
        <v>2762</v>
      </c>
      <c r="E498" s="1" t="s">
        <v>2763</v>
      </c>
      <c r="F498" s="1" t="s">
        <v>14422</v>
      </c>
      <c r="G498">
        <v>238285</v>
      </c>
      <c r="H498">
        <v>59</v>
      </c>
      <c r="I498" s="1" t="s">
        <v>11063</v>
      </c>
      <c r="J498" s="11">
        <v>44729.706458333334</v>
      </c>
      <c r="K498" s="1" t="s">
        <v>2764</v>
      </c>
      <c r="L498" s="1">
        <v>0.64300000000000002</v>
      </c>
      <c r="M498" s="1">
        <v>0.98499999999999999</v>
      </c>
      <c r="N498">
        <v>4</v>
      </c>
      <c r="O498" s="1">
        <v>-1.8480000000000001</v>
      </c>
      <c r="P498">
        <v>0</v>
      </c>
      <c r="Q498" s="1">
        <v>0.41</v>
      </c>
      <c r="R498" s="1">
        <v>0.152</v>
      </c>
      <c r="S498" s="1">
        <v>0.96499999999999997</v>
      </c>
      <c r="T498" s="1">
        <v>0.311</v>
      </c>
      <c r="U498" s="1">
        <v>0.182</v>
      </c>
      <c r="V498" s="1">
        <v>140.029</v>
      </c>
      <c r="W498">
        <v>4</v>
      </c>
    </row>
    <row r="499" spans="1:23" x14ac:dyDescent="0.25">
      <c r="A499" s="1" t="s">
        <v>14423</v>
      </c>
      <c r="B499" s="1" t="s">
        <v>14424</v>
      </c>
      <c r="C499" s="1" t="s">
        <v>2765</v>
      </c>
      <c r="D499" s="1" t="s">
        <v>14425</v>
      </c>
      <c r="E499" s="1" t="s">
        <v>2766</v>
      </c>
      <c r="F499" s="1" t="s">
        <v>14410</v>
      </c>
      <c r="G499">
        <v>263200</v>
      </c>
      <c r="H499">
        <v>49</v>
      </c>
      <c r="I499" s="1" t="s">
        <v>11063</v>
      </c>
      <c r="J499" s="11">
        <v>44729.706458333334</v>
      </c>
      <c r="K499" s="1" t="s">
        <v>2767</v>
      </c>
      <c r="L499" s="1">
        <v>0.248</v>
      </c>
      <c r="M499" s="1">
        <v>0.58799999999999997</v>
      </c>
      <c r="N499">
        <v>8</v>
      </c>
      <c r="O499" s="1">
        <v>-6.2919999999999998</v>
      </c>
      <c r="P499">
        <v>1</v>
      </c>
      <c r="Q499" s="1">
        <v>0.45900000000000002</v>
      </c>
      <c r="R499" s="1">
        <v>0.41499999999999998</v>
      </c>
      <c r="S499" s="1">
        <v>0.32700000000000001</v>
      </c>
      <c r="T499" s="1">
        <v>0.123</v>
      </c>
      <c r="U499" s="1">
        <v>0.38200000000000001</v>
      </c>
      <c r="V499" s="1">
        <v>150.41900000000001</v>
      </c>
      <c r="W499">
        <v>4</v>
      </c>
    </row>
    <row r="500" spans="1:23" x14ac:dyDescent="0.25">
      <c r="A500" s="1" t="s">
        <v>14426</v>
      </c>
      <c r="B500" s="1" t="s">
        <v>14427</v>
      </c>
      <c r="C500" s="1" t="s">
        <v>2768</v>
      </c>
      <c r="D500" s="1" t="s">
        <v>14428</v>
      </c>
      <c r="E500" s="1" t="s">
        <v>2769</v>
      </c>
      <c r="F500" s="1" t="s">
        <v>14429</v>
      </c>
      <c r="G500">
        <v>180092</v>
      </c>
      <c r="H500">
        <v>24</v>
      </c>
      <c r="I500" s="1" t="s">
        <v>11063</v>
      </c>
      <c r="J500" s="11">
        <v>44729.706458333334</v>
      </c>
      <c r="K500" s="1" t="s">
        <v>50</v>
      </c>
      <c r="L500" s="1">
        <v>0.63900000000000001</v>
      </c>
      <c r="M500" s="1">
        <v>0.73499999999999999</v>
      </c>
      <c r="N500">
        <v>0</v>
      </c>
      <c r="O500" s="1">
        <v>-5.2779999999999996</v>
      </c>
      <c r="P500">
        <v>1</v>
      </c>
      <c r="Q500" s="1">
        <v>0.34200000000000003</v>
      </c>
      <c r="R500" s="1">
        <v>0.499</v>
      </c>
      <c r="S500" s="1">
        <v>0</v>
      </c>
      <c r="T500" s="1">
        <v>0.23599999999999999</v>
      </c>
      <c r="U500" s="1">
        <v>0.41</v>
      </c>
      <c r="V500" s="1">
        <v>95.864000000000004</v>
      </c>
      <c r="W500">
        <v>4</v>
      </c>
    </row>
    <row r="501" spans="1:23" x14ac:dyDescent="0.25">
      <c r="A501" s="1" t="s">
        <v>14430</v>
      </c>
      <c r="B501" s="1" t="s">
        <v>14431</v>
      </c>
      <c r="C501" s="1" t="s">
        <v>2770</v>
      </c>
      <c r="D501" s="1" t="s">
        <v>14432</v>
      </c>
      <c r="E501" s="1" t="s">
        <v>2771</v>
      </c>
      <c r="F501" s="1" t="s">
        <v>11775</v>
      </c>
      <c r="G501">
        <v>159430</v>
      </c>
      <c r="H501">
        <v>64</v>
      </c>
      <c r="I501" s="1" t="s">
        <v>11063</v>
      </c>
      <c r="J501" s="11">
        <v>44729.706458333334</v>
      </c>
      <c r="K501" s="1" t="s">
        <v>2772</v>
      </c>
      <c r="L501" s="1">
        <v>0.34399999999999997</v>
      </c>
      <c r="M501" s="1">
        <v>0.219</v>
      </c>
      <c r="N501">
        <v>0</v>
      </c>
      <c r="O501" s="1">
        <v>-15.186999999999999</v>
      </c>
      <c r="P501">
        <v>0</v>
      </c>
      <c r="Q501" s="1">
        <v>0.65300000000000002</v>
      </c>
      <c r="R501" s="1">
        <v>0.63600000000000001</v>
      </c>
      <c r="S501" s="1">
        <v>0</v>
      </c>
      <c r="T501" s="1">
        <v>0.114</v>
      </c>
      <c r="U501" s="1">
        <v>0.183</v>
      </c>
      <c r="V501" s="1">
        <v>78.340999999999994</v>
      </c>
      <c r="W501">
        <v>4</v>
      </c>
    </row>
    <row r="502" spans="1:23" x14ac:dyDescent="0.25">
      <c r="A502" s="1" t="s">
        <v>14433</v>
      </c>
      <c r="B502" s="1" t="s">
        <v>14434</v>
      </c>
      <c r="C502" s="1" t="s">
        <v>2773</v>
      </c>
      <c r="D502" s="1" t="s">
        <v>14435</v>
      </c>
      <c r="E502" s="1" t="s">
        <v>2774</v>
      </c>
      <c r="F502" s="1" t="s">
        <v>14436</v>
      </c>
      <c r="G502">
        <v>184347</v>
      </c>
      <c r="H502">
        <v>38</v>
      </c>
      <c r="I502" s="1" t="s">
        <v>11063</v>
      </c>
      <c r="J502" s="11">
        <v>44729.706458333334</v>
      </c>
      <c r="K502" s="1" t="s">
        <v>2775</v>
      </c>
      <c r="L502" s="1">
        <v>0.56200000000000006</v>
      </c>
      <c r="M502" s="1">
        <v>0.84199999999999997</v>
      </c>
      <c r="N502">
        <v>1</v>
      </c>
      <c r="O502" s="1">
        <v>-5.2290000000000001</v>
      </c>
      <c r="P502">
        <v>0</v>
      </c>
      <c r="Q502" s="1">
        <v>0.34499999999999997</v>
      </c>
      <c r="R502" s="1">
        <v>0.192</v>
      </c>
      <c r="S502" s="1">
        <v>0</v>
      </c>
      <c r="T502" s="1">
        <v>0.13100000000000001</v>
      </c>
      <c r="U502" s="1">
        <v>0.54400000000000004</v>
      </c>
      <c r="V502" s="1">
        <v>137.989</v>
      </c>
      <c r="W502">
        <v>4</v>
      </c>
    </row>
    <row r="503" spans="1:23" x14ac:dyDescent="0.25">
      <c r="A503" s="1" t="s">
        <v>14437</v>
      </c>
      <c r="B503" s="1" t="s">
        <v>14438</v>
      </c>
      <c r="C503" s="1" t="s">
        <v>2776</v>
      </c>
      <c r="D503" s="1" t="s">
        <v>14439</v>
      </c>
      <c r="E503" s="1" t="s">
        <v>2777</v>
      </c>
      <c r="F503" s="1" t="s">
        <v>14440</v>
      </c>
      <c r="G503">
        <v>240440</v>
      </c>
      <c r="H503">
        <v>33</v>
      </c>
      <c r="I503" s="1" t="s">
        <v>11063</v>
      </c>
      <c r="J503" s="11">
        <v>44729.706458333334</v>
      </c>
      <c r="K503" s="1" t="s">
        <v>2778</v>
      </c>
      <c r="L503" s="1">
        <v>0.41299999999999998</v>
      </c>
      <c r="M503" s="1">
        <v>0.63500000000000001</v>
      </c>
      <c r="N503">
        <v>6</v>
      </c>
      <c r="O503" s="1">
        <v>-6.1150000000000002</v>
      </c>
      <c r="P503">
        <v>0</v>
      </c>
      <c r="Q503" s="1">
        <v>0.749</v>
      </c>
      <c r="R503" s="1">
        <v>0.56799999999999995</v>
      </c>
      <c r="S503" s="1">
        <v>0.36299999999999999</v>
      </c>
      <c r="T503" s="1">
        <v>0.35799999999999998</v>
      </c>
      <c r="U503" s="1">
        <v>0.14799999999999999</v>
      </c>
      <c r="V503" s="1">
        <v>129.209</v>
      </c>
      <c r="W503">
        <v>4</v>
      </c>
    </row>
    <row r="504" spans="1:23" x14ac:dyDescent="0.25">
      <c r="A504" s="1" t="s">
        <v>14441</v>
      </c>
      <c r="B504" s="1" t="s">
        <v>14442</v>
      </c>
      <c r="C504" s="1" t="s">
        <v>2779</v>
      </c>
      <c r="D504" s="1" t="s">
        <v>2779</v>
      </c>
      <c r="E504" s="1" t="s">
        <v>2780</v>
      </c>
      <c r="F504" s="1" t="s">
        <v>14443</v>
      </c>
      <c r="G504">
        <v>194500</v>
      </c>
      <c r="H504">
        <v>40</v>
      </c>
      <c r="I504" s="1" t="s">
        <v>11063</v>
      </c>
      <c r="J504" s="11">
        <v>44729.706458333334</v>
      </c>
      <c r="K504" s="1" t="s">
        <v>2781</v>
      </c>
      <c r="L504" s="1">
        <v>0.621</v>
      </c>
      <c r="M504" s="1">
        <v>0.82599999999999996</v>
      </c>
      <c r="N504">
        <v>1</v>
      </c>
      <c r="O504" s="1">
        <v>-3.851</v>
      </c>
      <c r="P504">
        <v>0</v>
      </c>
      <c r="Q504" s="1">
        <v>0.7</v>
      </c>
      <c r="R504" s="1">
        <v>0.19400000000000001</v>
      </c>
      <c r="S504" s="1">
        <v>0.23300000000000001</v>
      </c>
      <c r="T504" s="1">
        <v>0.20300000000000001</v>
      </c>
      <c r="U504" s="1">
        <v>0.38800000000000001</v>
      </c>
      <c r="V504" s="1">
        <v>173.04300000000001</v>
      </c>
      <c r="W504">
        <v>4</v>
      </c>
    </row>
    <row r="505" spans="1:23" x14ac:dyDescent="0.25">
      <c r="A505" s="1" t="s">
        <v>14444</v>
      </c>
      <c r="B505" s="1" t="s">
        <v>14445</v>
      </c>
      <c r="C505" s="1" t="s">
        <v>2782</v>
      </c>
      <c r="D505" s="1" t="s">
        <v>2782</v>
      </c>
      <c r="E505" s="1" t="s">
        <v>2783</v>
      </c>
      <c r="F505" s="1" t="s">
        <v>14446</v>
      </c>
      <c r="G505">
        <v>282815</v>
      </c>
      <c r="H505">
        <v>27</v>
      </c>
      <c r="I505" s="1" t="s">
        <v>11063</v>
      </c>
      <c r="J505" s="11">
        <v>44729.706458333334</v>
      </c>
      <c r="K505" s="1" t="s">
        <v>2784</v>
      </c>
      <c r="L505" s="1">
        <v>0.71199999999999997</v>
      </c>
      <c r="M505" s="1">
        <v>0.92600000000000005</v>
      </c>
      <c r="N505">
        <v>3</v>
      </c>
      <c r="O505" s="1">
        <v>-5.7409999999999997</v>
      </c>
      <c r="P505">
        <v>0</v>
      </c>
      <c r="Q505" s="1">
        <v>0.73</v>
      </c>
      <c r="R505" s="1">
        <v>0.61399999999999999</v>
      </c>
      <c r="S505" s="1">
        <v>0.47899999999999998</v>
      </c>
      <c r="T505" s="1">
        <v>0.12</v>
      </c>
      <c r="U505" s="1">
        <v>0.152</v>
      </c>
      <c r="V505" s="1">
        <v>125.027</v>
      </c>
      <c r="W505">
        <v>4</v>
      </c>
    </row>
    <row r="506" spans="1:23" x14ac:dyDescent="0.25">
      <c r="A506" s="1" t="s">
        <v>14447</v>
      </c>
      <c r="B506" s="1" t="s">
        <v>14448</v>
      </c>
      <c r="C506" s="1" t="s">
        <v>2785</v>
      </c>
      <c r="D506" s="1" t="s">
        <v>2785</v>
      </c>
      <c r="E506" s="1" t="s">
        <v>2786</v>
      </c>
      <c r="F506" s="1" t="s">
        <v>11789</v>
      </c>
      <c r="G506">
        <v>193593</v>
      </c>
      <c r="H506">
        <v>36</v>
      </c>
      <c r="I506" s="1" t="s">
        <v>11063</v>
      </c>
      <c r="J506" s="11">
        <v>44729.706458333334</v>
      </c>
      <c r="K506" s="1" t="s">
        <v>2787</v>
      </c>
      <c r="L506" s="1">
        <v>0.52400000000000002</v>
      </c>
      <c r="M506" s="1">
        <v>0.70599999999999996</v>
      </c>
      <c r="N506">
        <v>0</v>
      </c>
      <c r="O506" s="1">
        <v>-5.5730000000000004</v>
      </c>
      <c r="P506">
        <v>1</v>
      </c>
      <c r="Q506" s="1">
        <v>0.86699999999999999</v>
      </c>
      <c r="R506" s="1">
        <v>0.251</v>
      </c>
      <c r="S506" s="1">
        <v>0.127</v>
      </c>
      <c r="T506" s="1">
        <v>0.16300000000000001</v>
      </c>
      <c r="U506" s="1">
        <v>0.29599999999999999</v>
      </c>
      <c r="V506" s="1">
        <v>150.05000000000001</v>
      </c>
      <c r="W506">
        <v>4</v>
      </c>
    </row>
    <row r="507" spans="1:23" x14ac:dyDescent="0.25">
      <c r="A507" s="1" t="s">
        <v>14449</v>
      </c>
      <c r="B507" s="1" t="s">
        <v>14450</v>
      </c>
      <c r="C507" s="1" t="s">
        <v>2788</v>
      </c>
      <c r="D507" s="1" t="s">
        <v>14451</v>
      </c>
      <c r="E507" s="1" t="s">
        <v>2789</v>
      </c>
      <c r="F507" s="1" t="s">
        <v>14452</v>
      </c>
      <c r="G507">
        <v>221946</v>
      </c>
      <c r="H507">
        <v>75</v>
      </c>
      <c r="I507" s="1" t="s">
        <v>11063</v>
      </c>
      <c r="J507" s="11">
        <v>44729.706458333334</v>
      </c>
      <c r="K507" s="1" t="s">
        <v>2790</v>
      </c>
      <c r="L507" s="1">
        <v>0.56200000000000006</v>
      </c>
      <c r="M507" s="1">
        <v>0.93899999999999995</v>
      </c>
      <c r="N507">
        <v>0</v>
      </c>
      <c r="O507" s="1">
        <v>-4.282</v>
      </c>
      <c r="P507">
        <v>1</v>
      </c>
      <c r="Q507" s="1">
        <v>0.47499999999999998</v>
      </c>
      <c r="R507" s="1">
        <v>0.46</v>
      </c>
      <c r="S507" s="1">
        <v>0</v>
      </c>
      <c r="T507" s="1">
        <v>0.112</v>
      </c>
      <c r="U507" s="1">
        <v>0.68400000000000005</v>
      </c>
      <c r="V507" s="1">
        <v>116.044</v>
      </c>
      <c r="W507">
        <v>4</v>
      </c>
    </row>
    <row r="508" spans="1:23" x14ac:dyDescent="0.25">
      <c r="A508" s="1" t="s">
        <v>11405</v>
      </c>
      <c r="B508" s="1" t="s">
        <v>11406</v>
      </c>
      <c r="C508" s="1" t="s">
        <v>183</v>
      </c>
      <c r="D508" s="1" t="s">
        <v>11407</v>
      </c>
      <c r="E508" s="1" t="s">
        <v>184</v>
      </c>
      <c r="F508" s="1" t="s">
        <v>11408</v>
      </c>
      <c r="G508">
        <v>169153</v>
      </c>
      <c r="H508">
        <v>84</v>
      </c>
      <c r="I508" s="1" t="s">
        <v>11063</v>
      </c>
      <c r="J508" s="11">
        <v>44729.706458333334</v>
      </c>
      <c r="K508" s="1" t="s">
        <v>185</v>
      </c>
      <c r="L508" s="1">
        <v>0.82399999999999995</v>
      </c>
      <c r="M508" s="1">
        <v>0.86199999999999999</v>
      </c>
      <c r="N508">
        <v>2</v>
      </c>
      <c r="O508" s="1">
        <v>-3.4239999999999999</v>
      </c>
      <c r="P508">
        <v>1</v>
      </c>
      <c r="Q508" s="1">
        <v>0.126</v>
      </c>
      <c r="R508" s="1">
        <v>0.76</v>
      </c>
      <c r="S508" s="1">
        <v>0.13200000000000001</v>
      </c>
      <c r="T508" s="1">
        <v>0.30299999999999999</v>
      </c>
      <c r="U508" s="1">
        <v>0.80100000000000005</v>
      </c>
      <c r="V508" s="1">
        <v>122.98</v>
      </c>
      <c r="W508">
        <v>4</v>
      </c>
    </row>
    <row r="509" spans="1:23" x14ac:dyDescent="0.25">
      <c r="A509" s="1" t="s">
        <v>11409</v>
      </c>
      <c r="B509" s="1" t="s">
        <v>11410</v>
      </c>
      <c r="C509" s="1" t="s">
        <v>186</v>
      </c>
      <c r="D509" s="1" t="s">
        <v>186</v>
      </c>
      <c r="E509" s="1" t="s">
        <v>187</v>
      </c>
      <c r="F509" s="1" t="s">
        <v>11411</v>
      </c>
      <c r="G509">
        <v>205090</v>
      </c>
      <c r="H509">
        <v>82</v>
      </c>
      <c r="I509" s="1" t="s">
        <v>11063</v>
      </c>
      <c r="J509" s="11">
        <v>44729.706458333334</v>
      </c>
      <c r="K509" s="1" t="s">
        <v>188</v>
      </c>
      <c r="L509" s="1">
        <v>0.73099999999999998</v>
      </c>
      <c r="M509" s="1">
        <v>0.57299999999999995</v>
      </c>
      <c r="N509">
        <v>4</v>
      </c>
      <c r="O509" s="1">
        <v>-10.058999999999999</v>
      </c>
      <c r="P509">
        <v>0</v>
      </c>
      <c r="Q509" s="1">
        <v>0.54400000000000004</v>
      </c>
      <c r="R509" s="1">
        <v>0.40100000000000002</v>
      </c>
      <c r="S509" s="1">
        <v>0.52200000000000002</v>
      </c>
      <c r="T509" s="1">
        <v>0.113</v>
      </c>
      <c r="U509" s="1">
        <v>0.14499999999999999</v>
      </c>
      <c r="V509" s="1">
        <v>109.928</v>
      </c>
      <c r="W509">
        <v>4</v>
      </c>
    </row>
    <row r="510" spans="1:23" x14ac:dyDescent="0.25">
      <c r="A510" s="1" t="s">
        <v>14453</v>
      </c>
      <c r="B510" s="1" t="s">
        <v>11168</v>
      </c>
      <c r="C510" s="1" t="s">
        <v>2791</v>
      </c>
      <c r="D510" s="1" t="s">
        <v>14454</v>
      </c>
      <c r="E510" s="1" t="s">
        <v>2792</v>
      </c>
      <c r="F510" s="1" t="s">
        <v>14455</v>
      </c>
      <c r="G510">
        <v>220196</v>
      </c>
      <c r="H510">
        <v>77</v>
      </c>
      <c r="I510" s="1" t="s">
        <v>11063</v>
      </c>
      <c r="J510" s="11">
        <v>44729.706458333334</v>
      </c>
      <c r="K510" s="1" t="s">
        <v>2793</v>
      </c>
      <c r="L510" s="1">
        <v>0.748</v>
      </c>
      <c r="M510" s="1">
        <v>0.74</v>
      </c>
      <c r="N510">
        <v>8</v>
      </c>
      <c r="O510" s="1">
        <v>-6.01</v>
      </c>
      <c r="P510">
        <v>1</v>
      </c>
      <c r="Q510" s="1">
        <v>0.48399999999999999</v>
      </c>
      <c r="R510" s="1">
        <v>0.107</v>
      </c>
      <c r="S510" s="1">
        <v>0.218</v>
      </c>
      <c r="T510" s="1">
        <v>0.10100000000000001</v>
      </c>
      <c r="U510" s="1">
        <v>0.51800000000000002</v>
      </c>
      <c r="V510" s="1">
        <v>121.004</v>
      </c>
      <c r="W510">
        <v>4</v>
      </c>
    </row>
    <row r="511" spans="1:23" x14ac:dyDescent="0.25">
      <c r="A511" s="1" t="s">
        <v>14456</v>
      </c>
      <c r="B511" s="1" t="s">
        <v>14457</v>
      </c>
      <c r="C511" s="1" t="s">
        <v>2794</v>
      </c>
      <c r="D511" s="1" t="s">
        <v>2794</v>
      </c>
      <c r="E511" s="1" t="s">
        <v>2795</v>
      </c>
      <c r="F511" s="1" t="s">
        <v>11365</v>
      </c>
      <c r="G511">
        <v>228000</v>
      </c>
      <c r="H511">
        <v>86</v>
      </c>
      <c r="I511" s="1" t="s">
        <v>11063</v>
      </c>
      <c r="J511" s="11">
        <v>44729.706458333334</v>
      </c>
      <c r="K511" s="1" t="s">
        <v>2796</v>
      </c>
      <c r="L511" s="1">
        <v>0.58799999999999997</v>
      </c>
      <c r="M511" s="1">
        <v>0.70099999999999996</v>
      </c>
      <c r="N511">
        <v>9</v>
      </c>
      <c r="O511" s="1">
        <v>-6.39</v>
      </c>
      <c r="P511">
        <v>1</v>
      </c>
      <c r="Q511" s="1">
        <v>0.40200000000000002</v>
      </c>
      <c r="R511" s="1">
        <v>0.81299999999999994</v>
      </c>
      <c r="S511" s="1">
        <v>0</v>
      </c>
      <c r="T511" s="1">
        <v>0.2</v>
      </c>
      <c r="U511" s="1">
        <v>0.443</v>
      </c>
      <c r="V511" s="1">
        <v>104.988</v>
      </c>
      <c r="W511">
        <v>4</v>
      </c>
    </row>
    <row r="512" spans="1:23" x14ac:dyDescent="0.25">
      <c r="A512" s="1" t="s">
        <v>14458</v>
      </c>
      <c r="B512" s="1" t="s">
        <v>14459</v>
      </c>
      <c r="C512" s="1" t="s">
        <v>2797</v>
      </c>
      <c r="D512" s="1" t="s">
        <v>14460</v>
      </c>
      <c r="E512" s="1" t="s">
        <v>2798</v>
      </c>
      <c r="F512" s="1" t="s">
        <v>14461</v>
      </c>
      <c r="G512">
        <v>291314</v>
      </c>
      <c r="H512">
        <v>63</v>
      </c>
      <c r="I512" s="1" t="s">
        <v>11063</v>
      </c>
      <c r="J512" s="11">
        <v>44729.706458333334</v>
      </c>
      <c r="K512" s="1" t="s">
        <v>2799</v>
      </c>
      <c r="L512" s="1">
        <v>0.27400000000000002</v>
      </c>
      <c r="M512" s="1">
        <v>0.60899999999999999</v>
      </c>
      <c r="N512">
        <v>2</v>
      </c>
      <c r="O512" s="1">
        <v>-7.4169999999999998</v>
      </c>
      <c r="P512">
        <v>0</v>
      </c>
      <c r="Q512" s="1">
        <v>0.45300000000000001</v>
      </c>
      <c r="R512" s="1">
        <v>0.246</v>
      </c>
      <c r="S512" s="1">
        <v>0.34300000000000003</v>
      </c>
      <c r="T512" s="1">
        <v>0.14299999999999999</v>
      </c>
      <c r="U512" s="1">
        <v>0.34899999999999998</v>
      </c>
      <c r="V512" s="1">
        <v>124.96</v>
      </c>
      <c r="W512">
        <v>4</v>
      </c>
    </row>
    <row r="513" spans="1:23" x14ac:dyDescent="0.25">
      <c r="A513" s="1" t="s">
        <v>11412</v>
      </c>
      <c r="B513" s="1" t="s">
        <v>11413</v>
      </c>
      <c r="C513" s="1" t="s">
        <v>189</v>
      </c>
      <c r="D513" s="1" t="s">
        <v>11414</v>
      </c>
      <c r="E513" s="1" t="s">
        <v>190</v>
      </c>
      <c r="F513" s="1" t="s">
        <v>11415</v>
      </c>
      <c r="G513">
        <v>195360</v>
      </c>
      <c r="H513">
        <v>46</v>
      </c>
      <c r="I513" s="1" t="s">
        <v>11063</v>
      </c>
      <c r="J513" s="11">
        <v>44729.706458333334</v>
      </c>
      <c r="K513" s="1" t="s">
        <v>191</v>
      </c>
      <c r="L513" s="1">
        <v>0.44700000000000001</v>
      </c>
      <c r="M513" s="1">
        <v>0.42699999999999999</v>
      </c>
      <c r="N513">
        <v>0</v>
      </c>
      <c r="O513" s="1" t="s">
        <v>192</v>
      </c>
      <c r="P513">
        <v>0</v>
      </c>
      <c r="Q513" s="1">
        <v>0.372</v>
      </c>
      <c r="R513" s="1">
        <v>0.106</v>
      </c>
      <c r="S513" s="1">
        <v>0.26200000000000001</v>
      </c>
      <c r="T513" s="1">
        <v>0.11799999999999999</v>
      </c>
      <c r="U513" s="1">
        <v>0.86599999999999999</v>
      </c>
      <c r="V513" s="1">
        <v>109.205</v>
      </c>
      <c r="W513">
        <v>4</v>
      </c>
    </row>
    <row r="514" spans="1:23" x14ac:dyDescent="0.25">
      <c r="A514" s="1" t="s">
        <v>14462</v>
      </c>
      <c r="B514" s="1" t="s">
        <v>14463</v>
      </c>
      <c r="C514" s="1" t="s">
        <v>2800</v>
      </c>
      <c r="D514" s="1" t="s">
        <v>14464</v>
      </c>
      <c r="E514" s="1" t="s">
        <v>2801</v>
      </c>
      <c r="F514" s="1" t="s">
        <v>14465</v>
      </c>
      <c r="G514">
        <v>127920</v>
      </c>
      <c r="H514">
        <v>72</v>
      </c>
      <c r="I514" s="1" t="s">
        <v>11063</v>
      </c>
      <c r="J514" s="11">
        <v>44729.706458333334</v>
      </c>
      <c r="K514" s="1" t="s">
        <v>2802</v>
      </c>
      <c r="L514" s="1">
        <v>0.61699999999999999</v>
      </c>
      <c r="M514" s="1">
        <v>0.77800000000000002</v>
      </c>
      <c r="N514">
        <v>9</v>
      </c>
      <c r="O514" s="1">
        <v>-8.8719999999999999</v>
      </c>
      <c r="P514">
        <v>0</v>
      </c>
      <c r="Q514" s="1">
        <v>0.27</v>
      </c>
      <c r="R514" s="1">
        <v>0.45900000000000002</v>
      </c>
      <c r="S514" s="1">
        <v>0.92500000000000004</v>
      </c>
      <c r="T514" s="1">
        <v>0.128</v>
      </c>
      <c r="U514" s="1">
        <v>0.152</v>
      </c>
      <c r="V514" s="1">
        <v>100.363</v>
      </c>
      <c r="W514">
        <v>4</v>
      </c>
    </row>
    <row r="515" spans="1:23" x14ac:dyDescent="0.25">
      <c r="A515" s="1" t="s">
        <v>14466</v>
      </c>
      <c r="B515" s="1" t="s">
        <v>11184</v>
      </c>
      <c r="C515" s="1" t="s">
        <v>2803</v>
      </c>
      <c r="D515" s="1" t="s">
        <v>2803</v>
      </c>
      <c r="E515" s="1" t="s">
        <v>2057</v>
      </c>
      <c r="F515" s="1" t="s">
        <v>11237</v>
      </c>
      <c r="G515">
        <v>137600</v>
      </c>
      <c r="H515">
        <v>58</v>
      </c>
      <c r="I515" s="1" t="s">
        <v>11063</v>
      </c>
      <c r="J515" s="11">
        <v>44729.706458333334</v>
      </c>
      <c r="K515" s="1" t="s">
        <v>50</v>
      </c>
      <c r="L515" s="1">
        <v>0.751</v>
      </c>
      <c r="M515" s="1">
        <v>0.71099999999999997</v>
      </c>
      <c r="N515">
        <v>1</v>
      </c>
      <c r="O515" s="1">
        <v>-3.6349999999999998</v>
      </c>
      <c r="P515">
        <v>1</v>
      </c>
      <c r="Q515" s="1">
        <v>0.22600000000000001</v>
      </c>
      <c r="R515" s="1">
        <v>0.28399999999999997</v>
      </c>
      <c r="S515" s="1">
        <v>0</v>
      </c>
      <c r="T515" s="1">
        <v>0.501</v>
      </c>
      <c r="U515" s="1">
        <v>0.34200000000000003</v>
      </c>
      <c r="V515" s="1">
        <v>74.59</v>
      </c>
      <c r="W515">
        <v>4</v>
      </c>
    </row>
    <row r="516" spans="1:23" x14ac:dyDescent="0.25">
      <c r="A516" s="1" t="s">
        <v>14467</v>
      </c>
      <c r="B516" s="1" t="s">
        <v>14468</v>
      </c>
      <c r="C516" s="1" t="s">
        <v>2804</v>
      </c>
      <c r="D516" s="1" t="s">
        <v>2804</v>
      </c>
      <c r="E516" s="1" t="s">
        <v>2805</v>
      </c>
      <c r="F516" s="1" t="s">
        <v>14469</v>
      </c>
      <c r="G516">
        <v>235440</v>
      </c>
      <c r="H516">
        <v>46</v>
      </c>
      <c r="I516" s="1" t="s">
        <v>11063</v>
      </c>
      <c r="J516" s="11">
        <v>44729.706458333334</v>
      </c>
      <c r="K516" s="1" t="s">
        <v>2806</v>
      </c>
      <c r="L516" s="1">
        <v>0.56200000000000006</v>
      </c>
      <c r="M516" s="1">
        <v>0.71699999999999997</v>
      </c>
      <c r="N516">
        <v>6</v>
      </c>
      <c r="O516" s="1">
        <v>-3.3359999999999999</v>
      </c>
      <c r="P516">
        <v>0</v>
      </c>
      <c r="Q516" s="1">
        <v>0.32600000000000001</v>
      </c>
      <c r="R516" s="1">
        <v>0.78700000000000003</v>
      </c>
      <c r="S516" s="1">
        <v>0.89600000000000002</v>
      </c>
      <c r="T516" s="1">
        <v>0.10199999999999999</v>
      </c>
      <c r="U516" s="1">
        <v>0.40600000000000003</v>
      </c>
      <c r="V516" s="1">
        <v>101.95099999999999</v>
      </c>
      <c r="W516">
        <v>3</v>
      </c>
    </row>
    <row r="517" spans="1:23" x14ac:dyDescent="0.25">
      <c r="A517" s="1" t="s">
        <v>14470</v>
      </c>
      <c r="B517" s="1" t="s">
        <v>14471</v>
      </c>
      <c r="C517" s="1" t="s">
        <v>2807</v>
      </c>
      <c r="D517" s="1" t="s">
        <v>2807</v>
      </c>
      <c r="E517" s="1" t="s">
        <v>2808</v>
      </c>
      <c r="F517" s="1" t="s">
        <v>14472</v>
      </c>
      <c r="G517">
        <v>150973</v>
      </c>
      <c r="H517">
        <v>60</v>
      </c>
      <c r="I517" s="1" t="s">
        <v>11063</v>
      </c>
      <c r="J517" s="11">
        <v>44729.706458333334</v>
      </c>
      <c r="K517" s="1" t="s">
        <v>2809</v>
      </c>
      <c r="L517" s="1">
        <v>0.80700000000000005</v>
      </c>
      <c r="M517" s="1">
        <v>0.755</v>
      </c>
      <c r="N517">
        <v>7</v>
      </c>
      <c r="O517" s="1">
        <v>-5.2629999999999999</v>
      </c>
      <c r="P517">
        <v>1</v>
      </c>
      <c r="Q517" s="1">
        <v>0.28399999999999997</v>
      </c>
      <c r="R517" s="1">
        <v>0.45900000000000002</v>
      </c>
      <c r="S517" s="1">
        <v>0</v>
      </c>
      <c r="T517" s="1">
        <v>0.9</v>
      </c>
      <c r="U517" s="1">
        <v>0.57299999999999995</v>
      </c>
      <c r="V517" s="1">
        <v>144.77600000000001</v>
      </c>
      <c r="W517">
        <v>4</v>
      </c>
    </row>
    <row r="518" spans="1:23" x14ac:dyDescent="0.25">
      <c r="A518" s="1" t="s">
        <v>14473</v>
      </c>
      <c r="B518" s="1" t="s">
        <v>14474</v>
      </c>
      <c r="C518" s="1" t="s">
        <v>2810</v>
      </c>
      <c r="D518" s="1" t="s">
        <v>14475</v>
      </c>
      <c r="E518" s="1" t="s">
        <v>2811</v>
      </c>
      <c r="F518" s="1" t="s">
        <v>14476</v>
      </c>
      <c r="G518">
        <v>242000</v>
      </c>
      <c r="H518">
        <v>27</v>
      </c>
      <c r="I518" s="1" t="s">
        <v>11063</v>
      </c>
      <c r="J518" s="11">
        <v>44729.706458333334</v>
      </c>
      <c r="K518" s="1" t="s">
        <v>2812</v>
      </c>
      <c r="L518" s="1">
        <v>0.51900000000000002</v>
      </c>
      <c r="M518" s="1">
        <v>0.85499999999999998</v>
      </c>
      <c r="N518">
        <v>5</v>
      </c>
      <c r="O518" s="1">
        <v>-5.81</v>
      </c>
      <c r="P518">
        <v>0</v>
      </c>
      <c r="Q518" s="1">
        <v>0.58799999999999997</v>
      </c>
      <c r="R518" s="1">
        <v>0.253</v>
      </c>
      <c r="S518" s="1">
        <v>0</v>
      </c>
      <c r="T518" s="1">
        <v>0.115</v>
      </c>
      <c r="U518" s="1">
        <v>0.379</v>
      </c>
      <c r="V518" s="1">
        <v>154.02099999999999</v>
      </c>
      <c r="W518">
        <v>4</v>
      </c>
    </row>
    <row r="519" spans="1:23" x14ac:dyDescent="0.25">
      <c r="A519" s="1" t="s">
        <v>14477</v>
      </c>
      <c r="B519" s="1" t="s">
        <v>14478</v>
      </c>
      <c r="C519" s="1" t="s">
        <v>2813</v>
      </c>
      <c r="D519" s="1" t="s">
        <v>2813</v>
      </c>
      <c r="E519" s="1" t="s">
        <v>2814</v>
      </c>
      <c r="F519" s="1" t="s">
        <v>14479</v>
      </c>
      <c r="G519">
        <v>181578</v>
      </c>
      <c r="H519">
        <v>34</v>
      </c>
      <c r="I519" s="1" t="s">
        <v>11063</v>
      </c>
      <c r="J519" s="11">
        <v>44729.706458333334</v>
      </c>
      <c r="K519" s="1" t="s">
        <v>2815</v>
      </c>
      <c r="L519" s="1">
        <v>0.43099999999999999</v>
      </c>
      <c r="M519" s="1">
        <v>0.80800000000000005</v>
      </c>
      <c r="N519">
        <v>7</v>
      </c>
      <c r="O519" s="1">
        <v>-6.7190000000000003</v>
      </c>
      <c r="P519">
        <v>0</v>
      </c>
      <c r="Q519" s="1">
        <v>0.16600000000000001</v>
      </c>
      <c r="R519" s="1">
        <v>0.106</v>
      </c>
      <c r="S519" s="1">
        <v>0.26</v>
      </c>
      <c r="T519" s="1">
        <v>0.34</v>
      </c>
      <c r="U519" s="1">
        <v>0.19600000000000001</v>
      </c>
      <c r="V519" s="1">
        <v>76.792000000000002</v>
      </c>
      <c r="W519">
        <v>4</v>
      </c>
    </row>
    <row r="520" spans="1:23" x14ac:dyDescent="0.25">
      <c r="A520" s="1" t="s">
        <v>14480</v>
      </c>
      <c r="B520" s="1" t="s">
        <v>14481</v>
      </c>
      <c r="C520" s="1" t="s">
        <v>2816</v>
      </c>
      <c r="D520" s="1" t="s">
        <v>2816</v>
      </c>
      <c r="E520" s="1" t="s">
        <v>2817</v>
      </c>
      <c r="F520" s="1" t="s">
        <v>14482</v>
      </c>
      <c r="G520">
        <v>214400</v>
      </c>
      <c r="H520">
        <v>37</v>
      </c>
      <c r="I520" s="1" t="s">
        <v>11063</v>
      </c>
      <c r="J520" s="11">
        <v>44729.706458333334</v>
      </c>
      <c r="K520" s="1" t="s">
        <v>2818</v>
      </c>
      <c r="L520" s="1">
        <v>0.46700000000000003</v>
      </c>
      <c r="M520" s="1">
        <v>0.90800000000000003</v>
      </c>
      <c r="N520">
        <v>9</v>
      </c>
      <c r="O520" s="1">
        <v>-5.6210000000000004</v>
      </c>
      <c r="P520">
        <v>0</v>
      </c>
      <c r="Q520" s="1">
        <v>0.34599999999999997</v>
      </c>
      <c r="R520" s="1">
        <v>0.93700000000000006</v>
      </c>
      <c r="S520" s="1">
        <v>0.111</v>
      </c>
      <c r="T520" s="1">
        <v>0.873</v>
      </c>
      <c r="U520" s="1">
        <v>0.309</v>
      </c>
      <c r="V520" s="1">
        <v>150.089</v>
      </c>
      <c r="W520">
        <v>4</v>
      </c>
    </row>
    <row r="521" spans="1:23" x14ac:dyDescent="0.25">
      <c r="A521" s="1" t="s">
        <v>14483</v>
      </c>
      <c r="B521" s="1" t="s">
        <v>14484</v>
      </c>
      <c r="C521" s="1" t="s">
        <v>2819</v>
      </c>
      <c r="D521" s="1" t="s">
        <v>2819</v>
      </c>
      <c r="E521" s="1" t="s">
        <v>2820</v>
      </c>
      <c r="F521" s="1" t="s">
        <v>14485</v>
      </c>
      <c r="G521">
        <v>168000</v>
      </c>
      <c r="H521">
        <v>47</v>
      </c>
      <c r="I521" s="1" t="s">
        <v>11063</v>
      </c>
      <c r="J521" s="11">
        <v>44729.706458333334</v>
      </c>
      <c r="K521" s="1" t="s">
        <v>2821</v>
      </c>
      <c r="L521" s="1">
        <v>0.70899999999999996</v>
      </c>
      <c r="M521" s="1">
        <v>0.80200000000000005</v>
      </c>
      <c r="N521">
        <v>4</v>
      </c>
      <c r="O521" s="1">
        <v>-1.1459999999999999</v>
      </c>
      <c r="P521">
        <v>0</v>
      </c>
      <c r="Q521" s="1">
        <v>0.13700000000000001</v>
      </c>
      <c r="R521" s="1">
        <v>0.877</v>
      </c>
      <c r="S521" s="1">
        <v>0.14299999999999999</v>
      </c>
      <c r="T521" s="1">
        <v>0.32300000000000001</v>
      </c>
      <c r="U521" s="1">
        <v>0.54600000000000004</v>
      </c>
      <c r="V521" s="1">
        <v>140.072</v>
      </c>
      <c r="W521">
        <v>4</v>
      </c>
    </row>
    <row r="522" spans="1:23" x14ac:dyDescent="0.25">
      <c r="A522" s="1" t="s">
        <v>14486</v>
      </c>
      <c r="B522" s="1" t="s">
        <v>14487</v>
      </c>
      <c r="C522" s="1" t="s">
        <v>2822</v>
      </c>
      <c r="D522" s="1" t="s">
        <v>14488</v>
      </c>
      <c r="E522" s="1" t="s">
        <v>2823</v>
      </c>
      <c r="F522" s="1" t="s">
        <v>14489</v>
      </c>
      <c r="G522">
        <v>440266</v>
      </c>
      <c r="H522">
        <v>53</v>
      </c>
      <c r="I522" s="1" t="s">
        <v>11063</v>
      </c>
      <c r="J522" s="11">
        <v>44729.706458333334</v>
      </c>
      <c r="K522" s="1" t="s">
        <v>732</v>
      </c>
      <c r="L522" s="1">
        <v>0.65400000000000003</v>
      </c>
      <c r="M522" s="1">
        <v>0.82</v>
      </c>
      <c r="N522">
        <v>2</v>
      </c>
      <c r="O522" s="1">
        <v>-5.7690000000000001</v>
      </c>
      <c r="P522">
        <v>1</v>
      </c>
      <c r="Q522" s="1">
        <v>0.64800000000000002</v>
      </c>
      <c r="R522" s="1">
        <v>0.36799999999999999</v>
      </c>
      <c r="S522" s="1">
        <v>0.36399999999999999</v>
      </c>
      <c r="T522" s="1">
        <v>0.19500000000000001</v>
      </c>
      <c r="U522" s="1">
        <v>0.61699999999999999</v>
      </c>
      <c r="V522" s="1">
        <v>145.00200000000001</v>
      </c>
      <c r="W522">
        <v>4</v>
      </c>
    </row>
    <row r="523" spans="1:23" x14ac:dyDescent="0.25">
      <c r="A523" s="1" t="s">
        <v>14490</v>
      </c>
      <c r="B523" s="1" t="s">
        <v>14491</v>
      </c>
      <c r="C523" s="1" t="s">
        <v>2824</v>
      </c>
      <c r="D523" s="1" t="s">
        <v>2824</v>
      </c>
      <c r="E523" s="1" t="s">
        <v>2825</v>
      </c>
      <c r="F523" s="1" t="s">
        <v>14492</v>
      </c>
      <c r="G523">
        <v>289600</v>
      </c>
      <c r="H523">
        <v>50</v>
      </c>
      <c r="I523" s="1" t="s">
        <v>11063</v>
      </c>
      <c r="J523" s="11">
        <v>44729.706458333334</v>
      </c>
      <c r="K523" s="1" t="s">
        <v>996</v>
      </c>
      <c r="L523" s="1">
        <v>0.6</v>
      </c>
      <c r="M523" s="1">
        <v>0.41399999999999998</v>
      </c>
      <c r="N523">
        <v>4</v>
      </c>
      <c r="O523" s="1">
        <v>-10.179</v>
      </c>
      <c r="P523">
        <v>0</v>
      </c>
      <c r="Q523" s="1">
        <v>0.20399999999999999</v>
      </c>
      <c r="R523" s="1">
        <v>0.55200000000000005</v>
      </c>
      <c r="S523" s="1">
        <v>0.20499999999999999</v>
      </c>
      <c r="T523" s="1">
        <v>0.58399999999999996</v>
      </c>
      <c r="U523" s="1">
        <v>0.36399999999999999</v>
      </c>
      <c r="V523" s="1">
        <v>149.94900000000001</v>
      </c>
      <c r="W523">
        <v>4</v>
      </c>
    </row>
    <row r="524" spans="1:23" x14ac:dyDescent="0.25">
      <c r="A524" s="1" t="s">
        <v>14493</v>
      </c>
      <c r="B524" s="1" t="s">
        <v>14494</v>
      </c>
      <c r="C524" s="1" t="s">
        <v>2826</v>
      </c>
      <c r="D524" s="1" t="s">
        <v>2826</v>
      </c>
      <c r="E524" s="1" t="s">
        <v>2827</v>
      </c>
      <c r="F524" s="1" t="s">
        <v>14495</v>
      </c>
      <c r="G524">
        <v>191100</v>
      </c>
      <c r="H524">
        <v>72</v>
      </c>
      <c r="I524" s="1" t="s">
        <v>11063</v>
      </c>
      <c r="J524" s="11">
        <v>44729.706458333334</v>
      </c>
      <c r="K524" s="1" t="s">
        <v>2828</v>
      </c>
      <c r="L524" s="1">
        <v>0.56599999999999995</v>
      </c>
      <c r="M524" s="1">
        <v>0.76900000000000002</v>
      </c>
      <c r="N524">
        <v>7</v>
      </c>
      <c r="O524" s="1">
        <v>-4.3419999999999996</v>
      </c>
      <c r="P524">
        <v>1</v>
      </c>
      <c r="Q524" s="1">
        <v>0.872</v>
      </c>
      <c r="R524" s="1">
        <v>0.183</v>
      </c>
      <c r="S524" s="1">
        <v>0</v>
      </c>
      <c r="T524" s="1">
        <v>0.108</v>
      </c>
      <c r="U524" s="1">
        <v>0.38500000000000001</v>
      </c>
      <c r="V524" s="1">
        <v>170.036</v>
      </c>
      <c r="W524">
        <v>4</v>
      </c>
    </row>
    <row r="525" spans="1:23" x14ac:dyDescent="0.25">
      <c r="A525" s="1" t="s">
        <v>14496</v>
      </c>
      <c r="B525" s="1" t="s">
        <v>14497</v>
      </c>
      <c r="C525" s="1" t="s">
        <v>2829</v>
      </c>
      <c r="D525" s="1" t="s">
        <v>14498</v>
      </c>
      <c r="E525" s="1" t="s">
        <v>2830</v>
      </c>
      <c r="F525" s="1" t="s">
        <v>14499</v>
      </c>
      <c r="G525">
        <v>233616</v>
      </c>
      <c r="H525">
        <v>48</v>
      </c>
      <c r="I525" s="1" t="s">
        <v>11063</v>
      </c>
      <c r="J525" s="11">
        <v>44729.706458333334</v>
      </c>
      <c r="K525" s="1" t="s">
        <v>2831</v>
      </c>
      <c r="L525" s="1">
        <v>0.439</v>
      </c>
      <c r="M525" s="1">
        <v>0.82899999999999996</v>
      </c>
      <c r="N525">
        <v>2</v>
      </c>
      <c r="O525" s="1">
        <v>-2.9689999999999999</v>
      </c>
      <c r="P525">
        <v>0</v>
      </c>
      <c r="Q525" s="1">
        <v>0.67900000000000005</v>
      </c>
      <c r="R525" s="1">
        <v>0.17399999999999999</v>
      </c>
      <c r="S525" s="1">
        <v>0</v>
      </c>
      <c r="T525" s="1">
        <v>0.39100000000000001</v>
      </c>
      <c r="U525" s="1">
        <v>0.375</v>
      </c>
      <c r="V525" s="1">
        <v>149.93199999999999</v>
      </c>
      <c r="W525">
        <v>4</v>
      </c>
    </row>
    <row r="526" spans="1:23" x14ac:dyDescent="0.25">
      <c r="A526" s="1" t="s">
        <v>14500</v>
      </c>
      <c r="B526" s="1" t="s">
        <v>14501</v>
      </c>
      <c r="C526" s="1" t="s">
        <v>2832</v>
      </c>
      <c r="D526" s="1" t="s">
        <v>2832</v>
      </c>
      <c r="E526" s="1" t="s">
        <v>2833</v>
      </c>
      <c r="F526" s="1" t="s">
        <v>14502</v>
      </c>
      <c r="G526">
        <v>230985</v>
      </c>
      <c r="H526">
        <v>63</v>
      </c>
      <c r="I526" s="1" t="s">
        <v>11063</v>
      </c>
      <c r="J526" s="11">
        <v>44729.706458333334</v>
      </c>
      <c r="K526" s="1" t="s">
        <v>2834</v>
      </c>
      <c r="L526" s="1">
        <v>0.37</v>
      </c>
      <c r="M526" s="1">
        <v>0.32200000000000001</v>
      </c>
      <c r="N526">
        <v>10</v>
      </c>
      <c r="O526" s="1">
        <v>-11.763999999999999</v>
      </c>
      <c r="P526">
        <v>0</v>
      </c>
      <c r="Q526" s="1">
        <v>0.36099999999999999</v>
      </c>
      <c r="R526" s="1">
        <v>0.67500000000000004</v>
      </c>
      <c r="S526" s="1">
        <v>0.55700000000000005</v>
      </c>
      <c r="T526" s="1">
        <v>0.10100000000000001</v>
      </c>
      <c r="U526" s="1">
        <v>0.49199999999999999</v>
      </c>
      <c r="V526" s="1">
        <v>164.81200000000001</v>
      </c>
      <c r="W526">
        <v>4</v>
      </c>
    </row>
    <row r="527" spans="1:23" x14ac:dyDescent="0.25">
      <c r="A527" s="1" t="s">
        <v>11416</v>
      </c>
      <c r="B527" s="1" t="s">
        <v>11417</v>
      </c>
      <c r="C527" s="1" t="s">
        <v>2835</v>
      </c>
      <c r="D527" s="1" t="s">
        <v>11418</v>
      </c>
      <c r="E527" s="1" t="s">
        <v>193</v>
      </c>
      <c r="F527" s="1" t="s">
        <v>11419</v>
      </c>
      <c r="G527">
        <v>176840</v>
      </c>
      <c r="H527">
        <v>81</v>
      </c>
      <c r="I527" s="1" t="s">
        <v>11063</v>
      </c>
      <c r="J527" s="11">
        <v>44729.706458333334</v>
      </c>
      <c r="K527" s="1" t="s">
        <v>194</v>
      </c>
      <c r="L527" s="1">
        <v>0.77</v>
      </c>
      <c r="M527" s="1">
        <v>0.72399999999999998</v>
      </c>
      <c r="N527">
        <v>8</v>
      </c>
      <c r="O527" s="1">
        <v>-5.484</v>
      </c>
      <c r="P527">
        <v>1</v>
      </c>
      <c r="Q527" s="1">
        <v>0.495</v>
      </c>
      <c r="R527" s="1">
        <v>0.16700000000000001</v>
      </c>
      <c r="S527" s="1">
        <v>0.107</v>
      </c>
      <c r="T527" s="1">
        <v>0.35299999999999998</v>
      </c>
      <c r="U527" s="1">
        <v>0.89800000000000002</v>
      </c>
      <c r="V527" s="1">
        <v>121.97499999999999</v>
      </c>
      <c r="W527">
        <v>4</v>
      </c>
    </row>
    <row r="528" spans="1:23" x14ac:dyDescent="0.25">
      <c r="A528" s="1" t="s">
        <v>14503</v>
      </c>
      <c r="B528" s="1" t="s">
        <v>14504</v>
      </c>
      <c r="C528" s="1" t="s">
        <v>2836</v>
      </c>
      <c r="D528" s="1" t="s">
        <v>14505</v>
      </c>
      <c r="E528" s="1" t="s">
        <v>2837</v>
      </c>
      <c r="F528" s="1" t="s">
        <v>14506</v>
      </c>
      <c r="G528">
        <v>187436</v>
      </c>
      <c r="H528">
        <v>81</v>
      </c>
      <c r="I528" s="1" t="s">
        <v>11063</v>
      </c>
      <c r="J528" s="11">
        <v>44729.706458333334</v>
      </c>
      <c r="K528" s="1" t="s">
        <v>2178</v>
      </c>
      <c r="L528" s="1">
        <v>0.72</v>
      </c>
      <c r="M528" s="1">
        <v>0.70599999999999996</v>
      </c>
      <c r="N528">
        <v>1</v>
      </c>
      <c r="O528" s="1">
        <v>-4.7190000000000003</v>
      </c>
      <c r="P528">
        <v>1</v>
      </c>
      <c r="Q528" s="1">
        <v>0.47299999999999998</v>
      </c>
      <c r="R528" s="1">
        <v>0.68400000000000005</v>
      </c>
      <c r="S528" s="1">
        <v>0</v>
      </c>
      <c r="T528" s="1">
        <v>0.16600000000000001</v>
      </c>
      <c r="U528" s="1">
        <v>0.62</v>
      </c>
      <c r="V528" s="1">
        <v>133.00200000000001</v>
      </c>
      <c r="W528">
        <v>4</v>
      </c>
    </row>
    <row r="529" spans="1:23" x14ac:dyDescent="0.25">
      <c r="A529" s="1" t="s">
        <v>11420</v>
      </c>
      <c r="B529" s="1" t="s">
        <v>11421</v>
      </c>
      <c r="C529" s="1" t="s">
        <v>2838</v>
      </c>
      <c r="D529" s="1" t="s">
        <v>11422</v>
      </c>
      <c r="E529" s="1" t="s">
        <v>195</v>
      </c>
      <c r="F529" s="1" t="s">
        <v>11423</v>
      </c>
      <c r="G529">
        <v>221440</v>
      </c>
      <c r="H529">
        <v>78</v>
      </c>
      <c r="I529" s="1" t="s">
        <v>11063</v>
      </c>
      <c r="J529" s="11">
        <v>44729.706458333334</v>
      </c>
      <c r="K529" s="1" t="s">
        <v>196</v>
      </c>
      <c r="L529" s="1">
        <v>0.75</v>
      </c>
      <c r="M529" s="1">
        <v>0.56000000000000005</v>
      </c>
      <c r="N529">
        <v>8</v>
      </c>
      <c r="O529" s="1">
        <v>-8.0939999999999994</v>
      </c>
      <c r="P529">
        <v>1</v>
      </c>
      <c r="Q529" s="1">
        <v>0.105</v>
      </c>
      <c r="R529" s="1">
        <v>0.54600000000000004</v>
      </c>
      <c r="S529" s="1">
        <v>0</v>
      </c>
      <c r="T529" s="1">
        <v>0.111</v>
      </c>
      <c r="U529" s="1">
        <v>0.45900000000000002</v>
      </c>
      <c r="V529" s="1">
        <v>140.06</v>
      </c>
      <c r="W529">
        <v>4</v>
      </c>
    </row>
    <row r="530" spans="1:23" x14ac:dyDescent="0.25">
      <c r="A530" s="1" t="s">
        <v>14507</v>
      </c>
      <c r="B530" s="1" t="s">
        <v>14508</v>
      </c>
      <c r="C530" s="1" t="s">
        <v>2839</v>
      </c>
      <c r="D530" s="1" t="s">
        <v>14509</v>
      </c>
      <c r="E530" s="1" t="s">
        <v>2840</v>
      </c>
      <c r="F530" s="1" t="s">
        <v>14510</v>
      </c>
      <c r="G530">
        <v>237266</v>
      </c>
      <c r="H530">
        <v>58</v>
      </c>
      <c r="I530" s="1" t="s">
        <v>11063</v>
      </c>
      <c r="J530" s="11">
        <v>44729.706458333334</v>
      </c>
      <c r="K530" s="1" t="s">
        <v>2841</v>
      </c>
      <c r="L530" s="1">
        <v>0.76500000000000001</v>
      </c>
      <c r="M530" s="1">
        <v>0.47199999999999998</v>
      </c>
      <c r="N530">
        <v>10</v>
      </c>
      <c r="O530" s="1">
        <v>-5.8369999999999997</v>
      </c>
      <c r="P530">
        <v>1</v>
      </c>
      <c r="Q530" s="1">
        <v>0.52</v>
      </c>
      <c r="R530" s="1">
        <v>0.29099999999999998</v>
      </c>
      <c r="S530" s="1">
        <v>0</v>
      </c>
      <c r="T530" s="1">
        <v>0.38900000000000001</v>
      </c>
      <c r="U530" s="1">
        <v>0.35199999999999998</v>
      </c>
      <c r="V530" s="1">
        <v>119.946</v>
      </c>
      <c r="W530">
        <v>4</v>
      </c>
    </row>
    <row r="531" spans="1:23" x14ac:dyDescent="0.25">
      <c r="A531" s="1" t="s">
        <v>11424</v>
      </c>
      <c r="B531" s="1" t="s">
        <v>11425</v>
      </c>
      <c r="C531" s="1" t="s">
        <v>2842</v>
      </c>
      <c r="D531" s="1" t="s">
        <v>2842</v>
      </c>
      <c r="E531" s="1" t="s">
        <v>197</v>
      </c>
      <c r="F531" s="1" t="s">
        <v>11426</v>
      </c>
      <c r="G531">
        <v>229525</v>
      </c>
      <c r="H531">
        <v>82</v>
      </c>
      <c r="I531" s="1" t="s">
        <v>11063</v>
      </c>
      <c r="J531" s="11">
        <v>44729.706458333334</v>
      </c>
      <c r="K531" s="1" t="s">
        <v>198</v>
      </c>
      <c r="L531" s="1">
        <v>0.68899999999999995</v>
      </c>
      <c r="M531" s="1">
        <v>0.48099999999999998</v>
      </c>
      <c r="N531">
        <v>10</v>
      </c>
      <c r="O531" s="1">
        <v>-7.5030000000000001</v>
      </c>
      <c r="P531">
        <v>1</v>
      </c>
      <c r="Q531" s="1">
        <v>0.81499999999999995</v>
      </c>
      <c r="R531" s="1">
        <v>0.36899999999999999</v>
      </c>
      <c r="S531" s="1">
        <v>0.10299999999999999</v>
      </c>
      <c r="T531" s="1">
        <v>0.64900000000000002</v>
      </c>
      <c r="U531" s="1">
        <v>0.28299999999999997</v>
      </c>
      <c r="V531" s="1">
        <v>80.025000000000006</v>
      </c>
      <c r="W531">
        <v>4</v>
      </c>
    </row>
    <row r="532" spans="1:23" x14ac:dyDescent="0.25">
      <c r="A532" s="1" t="s">
        <v>11427</v>
      </c>
      <c r="B532" s="1" t="s">
        <v>11428</v>
      </c>
      <c r="C532" s="1" t="s">
        <v>2843</v>
      </c>
      <c r="D532" s="1" t="s">
        <v>11429</v>
      </c>
      <c r="E532" s="1" t="s">
        <v>199</v>
      </c>
      <c r="F532" s="1" t="s">
        <v>11430</v>
      </c>
      <c r="G532">
        <v>250626</v>
      </c>
      <c r="H532">
        <v>77</v>
      </c>
      <c r="I532" s="1" t="s">
        <v>11063</v>
      </c>
      <c r="J532" s="11">
        <v>44729.706458333334</v>
      </c>
      <c r="K532" s="1" t="s">
        <v>200</v>
      </c>
      <c r="L532" s="1">
        <v>0.378</v>
      </c>
      <c r="M532" s="1">
        <v>0.63800000000000001</v>
      </c>
      <c r="N532">
        <v>10</v>
      </c>
      <c r="O532" s="1">
        <v>-5.5759999999999996</v>
      </c>
      <c r="P532">
        <v>1</v>
      </c>
      <c r="Q532" s="1">
        <v>0.75</v>
      </c>
      <c r="R532" s="1">
        <v>0.2</v>
      </c>
      <c r="S532" s="1">
        <v>0.76600000000000001</v>
      </c>
      <c r="T532" s="1">
        <v>0.84899999999999998</v>
      </c>
      <c r="U532" s="1">
        <v>0.73499999999999999</v>
      </c>
      <c r="V532" s="1">
        <v>184.08600000000001</v>
      </c>
      <c r="W532">
        <v>4</v>
      </c>
    </row>
    <row r="533" spans="1:23" x14ac:dyDescent="0.25">
      <c r="A533" s="1" t="s">
        <v>14511</v>
      </c>
      <c r="B533" s="1" t="s">
        <v>13868</v>
      </c>
      <c r="C533" s="1" t="s">
        <v>2844</v>
      </c>
      <c r="D533" s="1" t="s">
        <v>14512</v>
      </c>
      <c r="E533" s="1" t="s">
        <v>2279</v>
      </c>
      <c r="F533" s="1" t="s">
        <v>11587</v>
      </c>
      <c r="G533">
        <v>219546</v>
      </c>
      <c r="H533">
        <v>75</v>
      </c>
      <c r="I533" s="1" t="s">
        <v>11063</v>
      </c>
      <c r="J533" s="11">
        <v>44729.706458333334</v>
      </c>
      <c r="K533" s="1" t="s">
        <v>919</v>
      </c>
      <c r="L533" s="1">
        <v>0.71599999999999997</v>
      </c>
      <c r="M533" s="1">
        <v>0.82099999999999995</v>
      </c>
      <c r="N533">
        <v>5</v>
      </c>
      <c r="O533" s="1">
        <v>-3.4350000000000001</v>
      </c>
      <c r="P533">
        <v>0</v>
      </c>
      <c r="Q533" s="1">
        <v>0.314</v>
      </c>
      <c r="R533" s="1">
        <v>0.55800000000000005</v>
      </c>
      <c r="S533" s="1">
        <v>0</v>
      </c>
      <c r="T533" s="1">
        <v>0.84399999999999997</v>
      </c>
      <c r="U533" s="1">
        <v>0.61799999999999999</v>
      </c>
      <c r="V533" s="1">
        <v>92.997</v>
      </c>
      <c r="W533">
        <v>4</v>
      </c>
    </row>
    <row r="534" spans="1:23" x14ac:dyDescent="0.25">
      <c r="A534" s="1" t="s">
        <v>14513</v>
      </c>
      <c r="B534" s="1" t="s">
        <v>11200</v>
      </c>
      <c r="C534" s="1" t="s">
        <v>2845</v>
      </c>
      <c r="D534" s="1" t="s">
        <v>14514</v>
      </c>
      <c r="E534" s="1" t="s">
        <v>458</v>
      </c>
      <c r="F534" s="1" t="s">
        <v>14515</v>
      </c>
      <c r="G534">
        <v>200742</v>
      </c>
      <c r="H534">
        <v>56</v>
      </c>
      <c r="I534" s="1" t="s">
        <v>11063</v>
      </c>
      <c r="J534" s="11">
        <v>44729.706458333334</v>
      </c>
      <c r="K534" s="1" t="s">
        <v>459</v>
      </c>
      <c r="L534" s="1">
        <v>0.67200000000000004</v>
      </c>
      <c r="M534" s="1">
        <v>0.46400000000000002</v>
      </c>
      <c r="N534">
        <v>6</v>
      </c>
      <c r="O534" s="1">
        <v>-5.6239999999999997</v>
      </c>
      <c r="P534">
        <v>0</v>
      </c>
      <c r="Q534" s="1">
        <v>0.37</v>
      </c>
      <c r="R534" s="1">
        <v>0.43</v>
      </c>
      <c r="S534" s="1">
        <v>0</v>
      </c>
      <c r="T534" s="1">
        <v>0.28399999999999997</v>
      </c>
      <c r="U534" s="1">
        <v>0.27100000000000002</v>
      </c>
      <c r="V534" s="1">
        <v>92.069000000000003</v>
      </c>
      <c r="W534">
        <v>4</v>
      </c>
    </row>
    <row r="535" spans="1:23" x14ac:dyDescent="0.25">
      <c r="A535" s="1" t="s">
        <v>14516</v>
      </c>
      <c r="B535" s="1" t="s">
        <v>14517</v>
      </c>
      <c r="C535" s="1" t="s">
        <v>2846</v>
      </c>
      <c r="D535" s="1" t="s">
        <v>14518</v>
      </c>
      <c r="E535" s="1" t="s">
        <v>2847</v>
      </c>
      <c r="F535" s="1" t="s">
        <v>11583</v>
      </c>
      <c r="G535">
        <v>146657</v>
      </c>
      <c r="H535">
        <v>35</v>
      </c>
      <c r="I535" s="1" t="s">
        <v>11063</v>
      </c>
      <c r="J535" s="11">
        <v>44729.706458333334</v>
      </c>
      <c r="K535" s="1" t="s">
        <v>2848</v>
      </c>
      <c r="L535" s="1">
        <v>0.39700000000000002</v>
      </c>
      <c r="M535" s="1">
        <v>0.19700000000000001</v>
      </c>
      <c r="N535">
        <v>10</v>
      </c>
      <c r="O535" s="1">
        <v>-27.010999999999999</v>
      </c>
      <c r="P535">
        <v>0</v>
      </c>
      <c r="Q535" s="1">
        <v>0.627</v>
      </c>
      <c r="R535" s="1">
        <v>0.99</v>
      </c>
      <c r="S535" s="1">
        <v>0.73399999999999999</v>
      </c>
      <c r="T535" s="1">
        <v>0.32600000000000001</v>
      </c>
      <c r="U535" s="1">
        <v>0.2</v>
      </c>
      <c r="V535" s="1">
        <v>91.935000000000002</v>
      </c>
      <c r="W535">
        <v>5</v>
      </c>
    </row>
    <row r="536" spans="1:23" x14ac:dyDescent="0.25">
      <c r="A536" s="1" t="s">
        <v>14519</v>
      </c>
      <c r="B536" s="1" t="s">
        <v>14517</v>
      </c>
      <c r="C536" s="1" t="s">
        <v>2849</v>
      </c>
      <c r="D536" s="1" t="s">
        <v>14518</v>
      </c>
      <c r="E536" s="1" t="s">
        <v>2847</v>
      </c>
      <c r="F536" s="1" t="s">
        <v>11583</v>
      </c>
      <c r="G536">
        <v>132911</v>
      </c>
      <c r="H536">
        <v>38</v>
      </c>
      <c r="I536" s="1" t="s">
        <v>11063</v>
      </c>
      <c r="J536" s="11">
        <v>44729.706458333334</v>
      </c>
      <c r="K536" s="1" t="s">
        <v>2848</v>
      </c>
      <c r="L536" s="1">
        <v>0.38800000000000001</v>
      </c>
      <c r="M536" s="1">
        <v>0.51900000000000002</v>
      </c>
      <c r="N536">
        <v>10</v>
      </c>
      <c r="O536" s="1">
        <v>-18.158999999999999</v>
      </c>
      <c r="P536">
        <v>0</v>
      </c>
      <c r="Q536" s="1">
        <v>0.377</v>
      </c>
      <c r="R536" s="1">
        <v>0.93</v>
      </c>
      <c r="S536" s="1">
        <v>0.65700000000000003</v>
      </c>
      <c r="T536" s="1">
        <v>0.95599999999999996</v>
      </c>
      <c r="U536" s="1">
        <v>0.94099999999999995</v>
      </c>
      <c r="V536" s="1">
        <v>76.944999999999993</v>
      </c>
      <c r="W536">
        <v>3</v>
      </c>
    </row>
    <row r="537" spans="1:23" x14ac:dyDescent="0.25">
      <c r="A537" s="1" t="s">
        <v>14520</v>
      </c>
      <c r="B537" s="1" t="s">
        <v>14517</v>
      </c>
      <c r="C537" s="1" t="s">
        <v>2850</v>
      </c>
      <c r="D537" s="1" t="s">
        <v>14518</v>
      </c>
      <c r="E537" s="1" t="s">
        <v>2847</v>
      </c>
      <c r="F537" s="1" t="s">
        <v>11583</v>
      </c>
      <c r="G537">
        <v>146192</v>
      </c>
      <c r="H537">
        <v>41</v>
      </c>
      <c r="I537" s="1" t="s">
        <v>11063</v>
      </c>
      <c r="J537" s="11">
        <v>44729.706458333334</v>
      </c>
      <c r="K537" s="1" t="s">
        <v>2848</v>
      </c>
      <c r="L537" s="1">
        <v>0.4</v>
      </c>
      <c r="M537" s="1">
        <v>0.193</v>
      </c>
      <c r="N537">
        <v>0</v>
      </c>
      <c r="O537" s="1">
        <v>-16.792000000000002</v>
      </c>
      <c r="P537">
        <v>1</v>
      </c>
      <c r="Q537" s="1">
        <v>0.35599999999999998</v>
      </c>
      <c r="R537" s="1">
        <v>0.91400000000000003</v>
      </c>
      <c r="S537" s="1">
        <v>0.93600000000000005</v>
      </c>
      <c r="T537" s="1">
        <v>0.11</v>
      </c>
      <c r="U537" s="1">
        <v>0.111</v>
      </c>
      <c r="V537" s="1">
        <v>113.17700000000001</v>
      </c>
      <c r="W537">
        <v>3</v>
      </c>
    </row>
    <row r="538" spans="1:23" x14ac:dyDescent="0.25">
      <c r="A538" s="1" t="s">
        <v>14521</v>
      </c>
      <c r="B538" s="1" t="s">
        <v>14522</v>
      </c>
      <c r="C538" s="1" t="s">
        <v>2851</v>
      </c>
      <c r="D538" s="1" t="s">
        <v>2851</v>
      </c>
      <c r="E538" s="1" t="s">
        <v>2852</v>
      </c>
      <c r="F538" s="1" t="s">
        <v>11775</v>
      </c>
      <c r="G538">
        <v>152380</v>
      </c>
      <c r="H538">
        <v>56</v>
      </c>
      <c r="I538" s="1" t="s">
        <v>11063</v>
      </c>
      <c r="J538" s="11">
        <v>44729.706458333334</v>
      </c>
      <c r="K538" s="1" t="s">
        <v>2457</v>
      </c>
      <c r="L538" s="1">
        <v>0.67400000000000004</v>
      </c>
      <c r="M538" s="1">
        <v>0.49099999999999999</v>
      </c>
      <c r="N538">
        <v>3</v>
      </c>
      <c r="O538" s="1">
        <v>-10.853</v>
      </c>
      <c r="P538">
        <v>0</v>
      </c>
      <c r="Q538" s="1">
        <v>0.36</v>
      </c>
      <c r="R538" s="1">
        <v>0.46400000000000002</v>
      </c>
      <c r="S538" s="1">
        <v>0.17699999999999999</v>
      </c>
      <c r="T538" s="1">
        <v>0.106</v>
      </c>
      <c r="U538" s="1">
        <v>0.49199999999999999</v>
      </c>
      <c r="V538" s="1">
        <v>126.038</v>
      </c>
      <c r="W538">
        <v>4</v>
      </c>
    </row>
    <row r="539" spans="1:23" x14ac:dyDescent="0.25">
      <c r="A539" s="1" t="s">
        <v>14523</v>
      </c>
      <c r="B539" s="1" t="s">
        <v>14524</v>
      </c>
      <c r="C539" s="1" t="s">
        <v>2853</v>
      </c>
      <c r="D539" s="1" t="s">
        <v>2853</v>
      </c>
      <c r="E539" s="1" t="s">
        <v>2854</v>
      </c>
      <c r="F539" s="1" t="s">
        <v>14525</v>
      </c>
      <c r="G539">
        <v>208000</v>
      </c>
      <c r="H539">
        <v>27</v>
      </c>
      <c r="I539" s="1" t="s">
        <v>11063</v>
      </c>
      <c r="J539" s="11">
        <v>44729.706458333334</v>
      </c>
      <c r="K539" s="1" t="s">
        <v>2855</v>
      </c>
      <c r="L539" s="1">
        <v>0.60199999999999998</v>
      </c>
      <c r="M539" s="1">
        <v>0.80800000000000005</v>
      </c>
      <c r="N539">
        <v>7</v>
      </c>
      <c r="O539" s="1">
        <v>-3.3210000000000002</v>
      </c>
      <c r="P539">
        <v>1</v>
      </c>
      <c r="Q539" s="1">
        <v>0.54</v>
      </c>
      <c r="R539" s="1">
        <v>0.309</v>
      </c>
      <c r="S539" s="1">
        <v>0</v>
      </c>
      <c r="T539" s="1">
        <v>0.84499999999999997</v>
      </c>
      <c r="U539" s="1">
        <v>0.36099999999999999</v>
      </c>
      <c r="V539" s="1">
        <v>105.051</v>
      </c>
      <c r="W539">
        <v>4</v>
      </c>
    </row>
    <row r="540" spans="1:23" x14ac:dyDescent="0.25">
      <c r="A540" s="1" t="s">
        <v>14526</v>
      </c>
      <c r="B540" s="1" t="s">
        <v>14527</v>
      </c>
      <c r="C540" s="1" t="s">
        <v>2856</v>
      </c>
      <c r="D540" s="1" t="s">
        <v>14528</v>
      </c>
      <c r="E540" s="1" t="s">
        <v>2857</v>
      </c>
      <c r="F540" s="1" t="s">
        <v>14529</v>
      </c>
      <c r="G540">
        <v>291480</v>
      </c>
      <c r="H540">
        <v>29</v>
      </c>
      <c r="I540" s="1" t="s">
        <v>11063</v>
      </c>
      <c r="J540" s="11">
        <v>44729.706458333334</v>
      </c>
      <c r="K540" s="1" t="s">
        <v>2858</v>
      </c>
      <c r="L540" s="1">
        <v>0.42499999999999999</v>
      </c>
      <c r="M540" s="1">
        <v>0.76800000000000002</v>
      </c>
      <c r="N540">
        <v>3</v>
      </c>
      <c r="O540" s="1">
        <v>-6.234</v>
      </c>
      <c r="P540">
        <v>0</v>
      </c>
      <c r="Q540" s="1">
        <v>0.46600000000000003</v>
      </c>
      <c r="R540" s="1">
        <v>0.996</v>
      </c>
      <c r="S540" s="1">
        <v>0.14099999999999999</v>
      </c>
      <c r="T540" s="1">
        <v>0.19700000000000001</v>
      </c>
      <c r="U540" s="1">
        <v>0.95399999999999996</v>
      </c>
      <c r="V540" s="1">
        <v>149.893</v>
      </c>
      <c r="W540">
        <v>4</v>
      </c>
    </row>
    <row r="541" spans="1:23" x14ac:dyDescent="0.25">
      <c r="A541" s="1" t="s">
        <v>14530</v>
      </c>
      <c r="B541" s="1" t="s">
        <v>14531</v>
      </c>
      <c r="C541" s="1" t="s">
        <v>2859</v>
      </c>
      <c r="D541" s="1" t="s">
        <v>2859</v>
      </c>
      <c r="E541" s="1" t="s">
        <v>2860</v>
      </c>
      <c r="F541" s="1" t="s">
        <v>14532</v>
      </c>
      <c r="G541">
        <v>195000</v>
      </c>
      <c r="H541">
        <v>50</v>
      </c>
      <c r="I541" s="1" t="s">
        <v>11063</v>
      </c>
      <c r="J541" s="11">
        <v>44729.706458333334</v>
      </c>
      <c r="K541" s="1" t="s">
        <v>2861</v>
      </c>
      <c r="L541" s="1">
        <v>0.64600000000000002</v>
      </c>
      <c r="M541" s="1">
        <v>0.7</v>
      </c>
      <c r="N541">
        <v>2</v>
      </c>
      <c r="O541" s="1">
        <v>-6.0010000000000003</v>
      </c>
      <c r="P541">
        <v>0</v>
      </c>
      <c r="Q541" s="1">
        <v>0.316</v>
      </c>
      <c r="R541" s="1">
        <v>0.59299999999999997</v>
      </c>
      <c r="S541" s="1">
        <v>0.35599999999999998</v>
      </c>
      <c r="T541" s="1">
        <v>0.63300000000000001</v>
      </c>
      <c r="U541" s="1">
        <v>0.309</v>
      </c>
      <c r="V541" s="1">
        <v>140.01400000000001</v>
      </c>
      <c r="W541">
        <v>4</v>
      </c>
    </row>
    <row r="542" spans="1:23" x14ac:dyDescent="0.25">
      <c r="A542" s="1" t="s">
        <v>14533</v>
      </c>
      <c r="B542" s="1" t="s">
        <v>14534</v>
      </c>
      <c r="C542" s="1" t="s">
        <v>2862</v>
      </c>
      <c r="D542" s="1" t="s">
        <v>2862</v>
      </c>
      <c r="E542" s="1" t="s">
        <v>2863</v>
      </c>
      <c r="F542" s="1" t="s">
        <v>14535</v>
      </c>
      <c r="G542">
        <v>231125</v>
      </c>
      <c r="H542">
        <v>37</v>
      </c>
      <c r="I542" s="1" t="s">
        <v>11063</v>
      </c>
      <c r="J542" s="11">
        <v>44729.706458333334</v>
      </c>
      <c r="K542" s="1" t="s">
        <v>1053</v>
      </c>
      <c r="L542" s="1">
        <v>0.47199999999999998</v>
      </c>
      <c r="M542" s="1">
        <v>0.72099999999999997</v>
      </c>
      <c r="N542">
        <v>0</v>
      </c>
      <c r="O542" s="1">
        <v>-3.782</v>
      </c>
      <c r="P542">
        <v>0</v>
      </c>
      <c r="Q542" s="1">
        <v>0.40300000000000002</v>
      </c>
      <c r="R542" s="1">
        <v>0.628</v>
      </c>
      <c r="S542" s="1">
        <v>0.41499999999999998</v>
      </c>
      <c r="T542" s="1">
        <v>0.104</v>
      </c>
      <c r="U542" s="1">
        <v>0.18099999999999999</v>
      </c>
      <c r="V542" s="1">
        <v>159.797</v>
      </c>
      <c r="W542">
        <v>4</v>
      </c>
    </row>
    <row r="543" spans="1:23" x14ac:dyDescent="0.25">
      <c r="A543" s="1" t="s">
        <v>14536</v>
      </c>
      <c r="B543" s="1" t="s">
        <v>14537</v>
      </c>
      <c r="C543" s="1" t="s">
        <v>2864</v>
      </c>
      <c r="D543" s="1" t="s">
        <v>2864</v>
      </c>
      <c r="E543" s="1" t="s">
        <v>2865</v>
      </c>
      <c r="F543" s="1" t="s">
        <v>14538</v>
      </c>
      <c r="G543">
        <v>230033</v>
      </c>
      <c r="H543">
        <v>37</v>
      </c>
      <c r="I543" s="1" t="s">
        <v>11063</v>
      </c>
      <c r="J543" s="11">
        <v>44729.706458333334</v>
      </c>
      <c r="K543" s="1" t="s">
        <v>2866</v>
      </c>
      <c r="L543" s="1">
        <v>0.47399999999999998</v>
      </c>
      <c r="M543" s="1">
        <v>0.63800000000000001</v>
      </c>
      <c r="N543">
        <v>1</v>
      </c>
      <c r="O543" s="1">
        <v>-7.3959999999999999</v>
      </c>
      <c r="P543">
        <v>0</v>
      </c>
      <c r="Q543" s="1">
        <v>0.34899999999999998</v>
      </c>
      <c r="R543" s="1">
        <v>0.314</v>
      </c>
      <c r="S543" s="1">
        <v>0.115</v>
      </c>
      <c r="T543" s="1">
        <v>0.10100000000000001</v>
      </c>
      <c r="U543" s="1">
        <v>0.97799999999999998</v>
      </c>
      <c r="V543" s="1">
        <v>96.876000000000005</v>
      </c>
      <c r="W543">
        <v>4</v>
      </c>
    </row>
    <row r="544" spans="1:23" x14ac:dyDescent="0.25">
      <c r="A544" s="1" t="s">
        <v>14539</v>
      </c>
      <c r="B544" s="1" t="s">
        <v>14540</v>
      </c>
      <c r="C544" s="1" t="s">
        <v>2867</v>
      </c>
      <c r="D544" s="1" t="s">
        <v>2867</v>
      </c>
      <c r="E544" s="1" t="s">
        <v>2868</v>
      </c>
      <c r="F544" s="1" t="s">
        <v>14541</v>
      </c>
      <c r="G544">
        <v>239110</v>
      </c>
      <c r="H544">
        <v>34</v>
      </c>
      <c r="I544" s="1" t="s">
        <v>11063</v>
      </c>
      <c r="J544" s="11">
        <v>44729.706458333334</v>
      </c>
      <c r="K544" s="1" t="s">
        <v>50</v>
      </c>
      <c r="L544" s="1">
        <v>0.626</v>
      </c>
      <c r="M544" s="1">
        <v>0.89900000000000002</v>
      </c>
      <c r="N544">
        <v>8</v>
      </c>
      <c r="O544" s="1">
        <v>-3.8069999999999999</v>
      </c>
      <c r="P544">
        <v>1</v>
      </c>
      <c r="Q544" s="1">
        <v>0.16600000000000001</v>
      </c>
      <c r="R544" s="1">
        <v>0.48699999999999999</v>
      </c>
      <c r="S544" s="1">
        <v>0.13800000000000001</v>
      </c>
      <c r="T544" s="1">
        <v>0.33300000000000002</v>
      </c>
      <c r="U544" s="1">
        <v>0.58599999999999997</v>
      </c>
      <c r="V544" s="1">
        <v>155.059</v>
      </c>
      <c r="W544">
        <v>4</v>
      </c>
    </row>
    <row r="545" spans="1:23" x14ac:dyDescent="0.25">
      <c r="A545" s="1" t="s">
        <v>14542</v>
      </c>
      <c r="B545" s="1" t="s">
        <v>14543</v>
      </c>
      <c r="C545" s="1" t="s">
        <v>2869</v>
      </c>
      <c r="D545" s="1" t="s">
        <v>2869</v>
      </c>
      <c r="E545" s="1" t="s">
        <v>2870</v>
      </c>
      <c r="F545" s="1" t="s">
        <v>14118</v>
      </c>
      <c r="G545">
        <v>198400</v>
      </c>
      <c r="H545">
        <v>52</v>
      </c>
      <c r="I545" s="1" t="s">
        <v>11063</v>
      </c>
      <c r="J545" s="11">
        <v>44729.706458333334</v>
      </c>
      <c r="K545" s="1" t="s">
        <v>996</v>
      </c>
      <c r="L545" s="1">
        <v>0.57899999999999996</v>
      </c>
      <c r="M545" s="1">
        <v>0.59199999999999997</v>
      </c>
      <c r="N545">
        <v>2</v>
      </c>
      <c r="O545" s="1">
        <v>-11.624000000000001</v>
      </c>
      <c r="P545">
        <v>0</v>
      </c>
      <c r="Q545" s="1">
        <v>0.47299999999999998</v>
      </c>
      <c r="R545" s="1">
        <v>0.30299999999999999</v>
      </c>
      <c r="S545" s="1">
        <v>0.61399999999999999</v>
      </c>
      <c r="T545" s="1">
        <v>0.156</v>
      </c>
      <c r="U545" s="1">
        <v>0.76400000000000001</v>
      </c>
      <c r="V545" s="1">
        <v>150.006</v>
      </c>
      <c r="W545">
        <v>4</v>
      </c>
    </row>
    <row r="546" spans="1:23" x14ac:dyDescent="0.25">
      <c r="A546" s="1" t="s">
        <v>14544</v>
      </c>
      <c r="B546" s="1" t="s">
        <v>14545</v>
      </c>
      <c r="C546" s="1" t="s">
        <v>2871</v>
      </c>
      <c r="D546" s="1" t="s">
        <v>2871</v>
      </c>
      <c r="E546" s="1" t="s">
        <v>2872</v>
      </c>
      <c r="F546" s="1" t="s">
        <v>11612</v>
      </c>
      <c r="G546">
        <v>193200</v>
      </c>
      <c r="H546">
        <v>69</v>
      </c>
      <c r="I546" s="1" t="s">
        <v>11063</v>
      </c>
      <c r="J546" s="11">
        <v>44729.706458333334</v>
      </c>
      <c r="K546" s="1" t="s">
        <v>2873</v>
      </c>
      <c r="L546" s="1">
        <v>0.66300000000000003</v>
      </c>
      <c r="M546" s="1">
        <v>0.57699999999999996</v>
      </c>
      <c r="N546">
        <v>11</v>
      </c>
      <c r="O546" s="1">
        <v>-7.5179999999999998</v>
      </c>
      <c r="P546">
        <v>0</v>
      </c>
      <c r="Q546" s="1">
        <v>0.53100000000000003</v>
      </c>
      <c r="R546" s="1">
        <v>0.109</v>
      </c>
      <c r="S546" s="1">
        <v>0</v>
      </c>
      <c r="T546" s="1">
        <v>0.12</v>
      </c>
      <c r="U546" s="1">
        <v>0.45400000000000001</v>
      </c>
      <c r="V546" s="1">
        <v>89.995999999999995</v>
      </c>
      <c r="W546">
        <v>4</v>
      </c>
    </row>
    <row r="547" spans="1:23" x14ac:dyDescent="0.25">
      <c r="A547" s="1" t="s">
        <v>14546</v>
      </c>
      <c r="B547" s="1" t="s">
        <v>14547</v>
      </c>
      <c r="C547" s="1" t="s">
        <v>2874</v>
      </c>
      <c r="D547" s="1" t="s">
        <v>2874</v>
      </c>
      <c r="E547" s="1" t="s">
        <v>2875</v>
      </c>
      <c r="F547" s="1" t="s">
        <v>14548</v>
      </c>
      <c r="G547">
        <v>199728</v>
      </c>
      <c r="H547">
        <v>30</v>
      </c>
      <c r="I547" s="1" t="s">
        <v>11063</v>
      </c>
      <c r="J547" s="11">
        <v>44729.706458333334</v>
      </c>
      <c r="K547" s="1" t="s">
        <v>974</v>
      </c>
      <c r="L547" s="1">
        <v>0.48199999999999998</v>
      </c>
      <c r="M547" s="1">
        <v>0.49299999999999999</v>
      </c>
      <c r="N547">
        <v>2</v>
      </c>
      <c r="O547" s="1">
        <v>-7.9470000000000001</v>
      </c>
      <c r="P547">
        <v>1</v>
      </c>
      <c r="Q547" s="1">
        <v>0.28000000000000003</v>
      </c>
      <c r="R547" s="1">
        <v>0.28699999999999998</v>
      </c>
      <c r="S547" s="1">
        <v>0</v>
      </c>
      <c r="T547" s="1">
        <v>0.111</v>
      </c>
      <c r="U547" s="1">
        <v>0.22700000000000001</v>
      </c>
      <c r="V547" s="1">
        <v>123.999</v>
      </c>
      <c r="W547">
        <v>4</v>
      </c>
    </row>
    <row r="548" spans="1:23" x14ac:dyDescent="0.25">
      <c r="A548" s="1" t="s">
        <v>14549</v>
      </c>
      <c r="B548" s="1" t="s">
        <v>14550</v>
      </c>
      <c r="C548" s="1" t="s">
        <v>2876</v>
      </c>
      <c r="D548" s="1" t="s">
        <v>14551</v>
      </c>
      <c r="E548" s="1" t="s">
        <v>2877</v>
      </c>
      <c r="F548" s="1" t="s">
        <v>14552</v>
      </c>
      <c r="G548">
        <v>194266</v>
      </c>
      <c r="H548">
        <v>33</v>
      </c>
      <c r="I548" s="1" t="s">
        <v>11063</v>
      </c>
      <c r="J548" s="11">
        <v>44729.706458333334</v>
      </c>
      <c r="K548" s="1" t="s">
        <v>2878</v>
      </c>
      <c r="L548" s="1">
        <v>0.73499999999999999</v>
      </c>
      <c r="M548" s="1">
        <v>0.876</v>
      </c>
      <c r="N548">
        <v>11</v>
      </c>
      <c r="O548" s="1">
        <v>-4.03</v>
      </c>
      <c r="P548">
        <v>0</v>
      </c>
      <c r="Q548" s="1">
        <v>0.60599999999999998</v>
      </c>
      <c r="R548" s="1">
        <v>0.61699999999999999</v>
      </c>
      <c r="S548" s="1">
        <v>0.111</v>
      </c>
      <c r="T548" s="1">
        <v>0.82499999999999996</v>
      </c>
      <c r="U548" s="1">
        <v>0.504</v>
      </c>
      <c r="V548" s="1">
        <v>100.04</v>
      </c>
      <c r="W548">
        <v>4</v>
      </c>
    </row>
    <row r="549" spans="1:23" x14ac:dyDescent="0.25">
      <c r="A549" s="1" t="s">
        <v>14553</v>
      </c>
      <c r="B549" s="1" t="s">
        <v>14554</v>
      </c>
      <c r="C549" s="1" t="s">
        <v>2879</v>
      </c>
      <c r="D549" s="1" t="s">
        <v>2879</v>
      </c>
      <c r="E549" s="1" t="s">
        <v>2880</v>
      </c>
      <c r="F549" s="1" t="s">
        <v>14555</v>
      </c>
      <c r="G549">
        <v>218012</v>
      </c>
      <c r="H549">
        <v>25</v>
      </c>
      <c r="I549" s="1" t="s">
        <v>11063</v>
      </c>
      <c r="J549" s="11">
        <v>44729.706458333334</v>
      </c>
      <c r="K549" s="1" t="s">
        <v>933</v>
      </c>
      <c r="L549" s="1">
        <v>0.57899999999999996</v>
      </c>
      <c r="M549" s="1">
        <v>0.59499999999999997</v>
      </c>
      <c r="N549">
        <v>1</v>
      </c>
      <c r="O549" s="1">
        <v>-6.375</v>
      </c>
      <c r="P549">
        <v>1</v>
      </c>
      <c r="Q549" s="1">
        <v>0.42499999999999999</v>
      </c>
      <c r="R549" s="1">
        <v>0.31900000000000001</v>
      </c>
      <c r="S549" s="1">
        <v>0.123</v>
      </c>
      <c r="T549" s="1">
        <v>0.123</v>
      </c>
      <c r="U549" s="1">
        <v>0.108</v>
      </c>
      <c r="V549" s="1">
        <v>128.114</v>
      </c>
      <c r="W549">
        <v>3</v>
      </c>
    </row>
    <row r="550" spans="1:23" x14ac:dyDescent="0.25">
      <c r="A550" s="1" t="s">
        <v>14556</v>
      </c>
      <c r="B550" s="1" t="s">
        <v>14557</v>
      </c>
      <c r="C550" s="1" t="s">
        <v>85</v>
      </c>
      <c r="D550" s="1" t="s">
        <v>85</v>
      </c>
      <c r="E550" s="1" t="s">
        <v>2881</v>
      </c>
      <c r="F550" s="1" t="s">
        <v>14558</v>
      </c>
      <c r="G550">
        <v>206896</v>
      </c>
      <c r="H550">
        <v>20</v>
      </c>
      <c r="I550" s="1" t="s">
        <v>11063</v>
      </c>
      <c r="J550" s="11">
        <v>44729.706458333334</v>
      </c>
      <c r="K550" s="1" t="s">
        <v>2228</v>
      </c>
      <c r="L550" s="1">
        <v>0.36199999999999999</v>
      </c>
      <c r="M550" s="1">
        <v>0.55700000000000005</v>
      </c>
      <c r="N550">
        <v>9</v>
      </c>
      <c r="O550" s="1">
        <v>-5.6920000000000002</v>
      </c>
      <c r="P550">
        <v>0</v>
      </c>
      <c r="Q550" s="1">
        <v>0.41</v>
      </c>
      <c r="R550" s="1">
        <v>0.26400000000000001</v>
      </c>
      <c r="S550" s="1">
        <v>0.36199999999999999</v>
      </c>
      <c r="T550" s="1">
        <v>0.123</v>
      </c>
      <c r="U550" s="1">
        <v>0.108</v>
      </c>
      <c r="V550" s="1">
        <v>174.03700000000001</v>
      </c>
      <c r="W550">
        <v>4</v>
      </c>
    </row>
    <row r="551" spans="1:23" x14ac:dyDescent="0.25">
      <c r="A551" s="1" t="s">
        <v>14559</v>
      </c>
      <c r="B551" s="1" t="s">
        <v>14560</v>
      </c>
      <c r="C551" s="1" t="s">
        <v>2882</v>
      </c>
      <c r="D551" s="1" t="s">
        <v>2882</v>
      </c>
      <c r="E551" s="1" t="s">
        <v>2883</v>
      </c>
      <c r="F551" s="1" t="s">
        <v>14343</v>
      </c>
      <c r="G551">
        <v>187206</v>
      </c>
      <c r="H551">
        <v>30</v>
      </c>
      <c r="I551" s="1" t="s">
        <v>11063</v>
      </c>
      <c r="J551" s="11">
        <v>44729.706458333334</v>
      </c>
      <c r="K551" s="1" t="s">
        <v>2884</v>
      </c>
      <c r="L551" s="1">
        <v>0.57399999999999995</v>
      </c>
      <c r="M551" s="1">
        <v>0.76900000000000002</v>
      </c>
      <c r="N551">
        <v>6</v>
      </c>
      <c r="O551" s="1">
        <v>-4.4939999999999998</v>
      </c>
      <c r="P551">
        <v>0</v>
      </c>
      <c r="Q551" s="1">
        <v>0.35199999999999998</v>
      </c>
      <c r="R551" s="1">
        <v>0.15</v>
      </c>
      <c r="S551" s="1">
        <v>0.13900000000000001</v>
      </c>
      <c r="T551" s="1">
        <v>0.126</v>
      </c>
      <c r="U551" s="1">
        <v>0.42399999999999999</v>
      </c>
      <c r="V551" s="1">
        <v>99.994</v>
      </c>
      <c r="W551">
        <v>4</v>
      </c>
    </row>
    <row r="552" spans="1:23" x14ac:dyDescent="0.25">
      <c r="A552" s="1" t="s">
        <v>14561</v>
      </c>
      <c r="B552" s="1" t="s">
        <v>14562</v>
      </c>
      <c r="C552" s="1" t="s">
        <v>2885</v>
      </c>
      <c r="D552" s="1" t="s">
        <v>2885</v>
      </c>
      <c r="E552" s="1" t="s">
        <v>2886</v>
      </c>
      <c r="F552" s="1" t="s">
        <v>14563</v>
      </c>
      <c r="G552">
        <v>188800</v>
      </c>
      <c r="H552">
        <v>37</v>
      </c>
      <c r="I552" s="1" t="s">
        <v>11063</v>
      </c>
      <c r="J552" s="11">
        <v>44729.706458333334</v>
      </c>
      <c r="K552" s="1" t="s">
        <v>933</v>
      </c>
      <c r="L552" s="1">
        <v>0.55300000000000005</v>
      </c>
      <c r="M552" s="1">
        <v>0.69699999999999995</v>
      </c>
      <c r="N552">
        <v>10</v>
      </c>
      <c r="O552" s="1">
        <v>-6.6710000000000003</v>
      </c>
      <c r="P552">
        <v>0</v>
      </c>
      <c r="Q552" s="1">
        <v>0.51800000000000002</v>
      </c>
      <c r="R552" s="1">
        <v>0.624</v>
      </c>
      <c r="S552" s="1">
        <v>0.749</v>
      </c>
      <c r="T552" s="1">
        <v>0.157</v>
      </c>
      <c r="U552" s="1">
        <v>0.44800000000000001</v>
      </c>
      <c r="V552" s="1">
        <v>149.86600000000001</v>
      </c>
      <c r="W552">
        <v>4</v>
      </c>
    </row>
    <row r="553" spans="1:23" x14ac:dyDescent="0.25">
      <c r="A553" s="1" t="s">
        <v>14564</v>
      </c>
      <c r="B553" s="1" t="s">
        <v>14565</v>
      </c>
      <c r="C553" s="1" t="s">
        <v>2887</v>
      </c>
      <c r="D553" s="1" t="s">
        <v>2887</v>
      </c>
      <c r="E553" s="1" t="s">
        <v>2888</v>
      </c>
      <c r="F553" s="1" t="s">
        <v>13866</v>
      </c>
      <c r="G553">
        <v>217600</v>
      </c>
      <c r="H553">
        <v>37</v>
      </c>
      <c r="I553" s="1" t="s">
        <v>11063</v>
      </c>
      <c r="J553" s="11">
        <v>44729.706458333334</v>
      </c>
      <c r="K553" s="1" t="s">
        <v>2889</v>
      </c>
      <c r="L553" s="1">
        <v>0.56100000000000005</v>
      </c>
      <c r="M553" s="1">
        <v>0.57499999999999996</v>
      </c>
      <c r="N553">
        <v>8</v>
      </c>
      <c r="O553" s="1">
        <v>-6.3579999999999997</v>
      </c>
      <c r="P553">
        <v>1</v>
      </c>
      <c r="Q553" s="1">
        <v>0.27200000000000002</v>
      </c>
      <c r="R553" s="1">
        <v>0.33300000000000002</v>
      </c>
      <c r="S553" s="1">
        <v>0.251</v>
      </c>
      <c r="T553" s="1">
        <v>0.98199999999999998</v>
      </c>
      <c r="U553" s="1">
        <v>0.19500000000000001</v>
      </c>
      <c r="V553" s="1">
        <v>75.036000000000001</v>
      </c>
      <c r="W553">
        <v>3</v>
      </c>
    </row>
    <row r="554" spans="1:23" x14ac:dyDescent="0.25">
      <c r="A554" s="1" t="s">
        <v>14566</v>
      </c>
      <c r="B554" s="1" t="s">
        <v>13492</v>
      </c>
      <c r="C554" s="1" t="s">
        <v>2890</v>
      </c>
      <c r="D554" s="1" t="s">
        <v>2890</v>
      </c>
      <c r="E554" s="1" t="s">
        <v>1960</v>
      </c>
      <c r="F554" s="1" t="s">
        <v>11616</v>
      </c>
      <c r="G554">
        <v>231998</v>
      </c>
      <c r="H554">
        <v>68</v>
      </c>
      <c r="I554" s="1" t="s">
        <v>11063</v>
      </c>
      <c r="J554" s="11">
        <v>44729.706458333334</v>
      </c>
      <c r="K554" s="1" t="s">
        <v>1961</v>
      </c>
      <c r="L554" s="1">
        <v>0.61099999999999999</v>
      </c>
      <c r="M554" s="1">
        <v>0.622</v>
      </c>
      <c r="N554">
        <v>9</v>
      </c>
      <c r="O554" s="1">
        <v>-5.0750000000000002</v>
      </c>
      <c r="P554">
        <v>0</v>
      </c>
      <c r="Q554" s="1">
        <v>0.73399999999999999</v>
      </c>
      <c r="R554" s="1">
        <v>0.188</v>
      </c>
      <c r="S554" s="1">
        <v>0</v>
      </c>
      <c r="T554" s="1">
        <v>0.35899999999999999</v>
      </c>
      <c r="U554" s="1">
        <v>0.53800000000000003</v>
      </c>
      <c r="V554" s="1">
        <v>146.11000000000001</v>
      </c>
      <c r="W554">
        <v>4</v>
      </c>
    </row>
    <row r="555" spans="1:23" x14ac:dyDescent="0.25">
      <c r="A555" s="1" t="s">
        <v>14567</v>
      </c>
      <c r="B555" s="1" t="s">
        <v>14568</v>
      </c>
      <c r="C555" s="1" t="s">
        <v>2891</v>
      </c>
      <c r="D555" s="1" t="s">
        <v>4846</v>
      </c>
      <c r="E555" s="1" t="s">
        <v>2892</v>
      </c>
      <c r="F555" s="1" t="s">
        <v>14569</v>
      </c>
      <c r="G555">
        <v>230640</v>
      </c>
      <c r="H555">
        <v>74</v>
      </c>
      <c r="I555" s="1" t="s">
        <v>11063</v>
      </c>
      <c r="J555" s="11">
        <v>44729.706458333334</v>
      </c>
      <c r="K555" s="1" t="s">
        <v>2893</v>
      </c>
      <c r="L555" s="1">
        <v>0.76600000000000001</v>
      </c>
      <c r="M555" s="1">
        <v>0.56299999999999994</v>
      </c>
      <c r="N555">
        <v>9</v>
      </c>
      <c r="O555" s="1">
        <v>-7.516</v>
      </c>
      <c r="P555">
        <v>0</v>
      </c>
      <c r="Q555" s="1">
        <v>0.33900000000000002</v>
      </c>
      <c r="R555" s="1">
        <v>0.26300000000000001</v>
      </c>
      <c r="S555" s="1">
        <v>0.68300000000000005</v>
      </c>
      <c r="T555" s="1">
        <v>0.115</v>
      </c>
      <c r="U555" s="1">
        <v>0.96399999999999997</v>
      </c>
      <c r="V555" s="1">
        <v>126.00700000000001</v>
      </c>
      <c r="W555">
        <v>4</v>
      </c>
    </row>
    <row r="556" spans="1:23" x14ac:dyDescent="0.25">
      <c r="A556" s="1" t="s">
        <v>14570</v>
      </c>
      <c r="B556" s="1" t="s">
        <v>14571</v>
      </c>
      <c r="C556" s="1" t="s">
        <v>2894</v>
      </c>
      <c r="D556" s="1" t="s">
        <v>14572</v>
      </c>
      <c r="E556" s="1" t="s">
        <v>2895</v>
      </c>
      <c r="F556" s="1" t="s">
        <v>14573</v>
      </c>
      <c r="G556">
        <v>170760</v>
      </c>
      <c r="H556">
        <v>63</v>
      </c>
      <c r="I556" s="1" t="s">
        <v>11063</v>
      </c>
      <c r="J556" s="11">
        <v>44729.706458333334</v>
      </c>
      <c r="K556" s="1" t="s">
        <v>1031</v>
      </c>
      <c r="L556" s="1">
        <v>0.65500000000000003</v>
      </c>
      <c r="M556" s="1">
        <v>0.79800000000000004</v>
      </c>
      <c r="N556">
        <v>2</v>
      </c>
      <c r="O556" s="1">
        <v>-7.1369999999999996</v>
      </c>
      <c r="P556">
        <v>1</v>
      </c>
      <c r="Q556" s="1">
        <v>0.13100000000000001</v>
      </c>
      <c r="R556" s="1">
        <v>0.65800000000000003</v>
      </c>
      <c r="S556" s="1">
        <v>0</v>
      </c>
      <c r="T556" s="1">
        <v>0.33500000000000002</v>
      </c>
      <c r="U556" s="1">
        <v>0.85499999999999998</v>
      </c>
      <c r="V556" s="1">
        <v>128.10300000000001</v>
      </c>
      <c r="W556">
        <v>4</v>
      </c>
    </row>
    <row r="557" spans="1:23" x14ac:dyDescent="0.25">
      <c r="A557" s="1" t="s">
        <v>14574</v>
      </c>
      <c r="B557" s="1" t="s">
        <v>11756</v>
      </c>
      <c r="C557" s="1" t="s">
        <v>451</v>
      </c>
      <c r="D557" s="1" t="s">
        <v>14575</v>
      </c>
      <c r="E557" s="1" t="s">
        <v>452</v>
      </c>
      <c r="F557" s="1" t="s">
        <v>14576</v>
      </c>
      <c r="G557">
        <v>192866</v>
      </c>
      <c r="H557">
        <v>7</v>
      </c>
      <c r="I557" s="1" t="s">
        <v>11063</v>
      </c>
      <c r="J557" s="11">
        <v>44729.706458333334</v>
      </c>
      <c r="K557" s="1" t="s">
        <v>453</v>
      </c>
      <c r="L557" s="1">
        <v>0.58199999999999996</v>
      </c>
      <c r="M557" s="1">
        <v>0.89700000000000002</v>
      </c>
      <c r="N557">
        <v>8</v>
      </c>
      <c r="O557" s="1">
        <v>-6.298</v>
      </c>
      <c r="P557">
        <v>1</v>
      </c>
      <c r="Q557" s="1">
        <v>0.41499999999999998</v>
      </c>
      <c r="R557" s="1">
        <v>0.223</v>
      </c>
      <c r="S557" s="1">
        <v>0.19600000000000001</v>
      </c>
      <c r="T557" s="1">
        <v>0.66400000000000003</v>
      </c>
      <c r="U557" s="1">
        <v>0.77500000000000002</v>
      </c>
      <c r="V557" s="1">
        <v>125.94799999999999</v>
      </c>
      <c r="W557">
        <v>4</v>
      </c>
    </row>
    <row r="558" spans="1:23" x14ac:dyDescent="0.25">
      <c r="A558" s="1" t="s">
        <v>11431</v>
      </c>
      <c r="B558" s="1" t="s">
        <v>11432</v>
      </c>
      <c r="C558" s="1" t="s">
        <v>201</v>
      </c>
      <c r="D558" s="1" t="s">
        <v>11433</v>
      </c>
      <c r="E558" s="1" t="s">
        <v>202</v>
      </c>
      <c r="F558" s="1" t="s">
        <v>11434</v>
      </c>
      <c r="G558">
        <v>200920</v>
      </c>
      <c r="H558">
        <v>51</v>
      </c>
      <c r="I558" s="1" t="s">
        <v>11063</v>
      </c>
      <c r="J558" s="11">
        <v>44729.706458333334</v>
      </c>
      <c r="K558" s="1" t="s">
        <v>203</v>
      </c>
      <c r="L558" s="1">
        <v>0.67600000000000005</v>
      </c>
      <c r="M558" s="1">
        <v>0.69099999999999995</v>
      </c>
      <c r="N558">
        <v>11</v>
      </c>
      <c r="O558" s="1">
        <v>-6.14</v>
      </c>
      <c r="P558">
        <v>0</v>
      </c>
      <c r="Q558" s="1">
        <v>0.122</v>
      </c>
      <c r="R558" s="1">
        <v>0.76800000000000002</v>
      </c>
      <c r="S558" s="1">
        <v>0</v>
      </c>
      <c r="T558" s="1">
        <v>0.184</v>
      </c>
      <c r="U558" s="1">
        <v>0.69599999999999995</v>
      </c>
      <c r="V558" s="1">
        <v>113.004</v>
      </c>
      <c r="W558">
        <v>4</v>
      </c>
    </row>
    <row r="559" spans="1:23" x14ac:dyDescent="0.25">
      <c r="A559" s="1" t="s">
        <v>14577</v>
      </c>
      <c r="B559" s="1" t="s">
        <v>11432</v>
      </c>
      <c r="C559" s="1" t="s">
        <v>2896</v>
      </c>
      <c r="D559" s="1" t="s">
        <v>14578</v>
      </c>
      <c r="E559" s="1" t="s">
        <v>202</v>
      </c>
      <c r="F559" s="1" t="s">
        <v>13538</v>
      </c>
      <c r="G559">
        <v>233813</v>
      </c>
      <c r="H559">
        <v>56</v>
      </c>
      <c r="I559" s="1" t="s">
        <v>11063</v>
      </c>
      <c r="J559" s="11">
        <v>44729.706458333334</v>
      </c>
      <c r="K559" s="1" t="s">
        <v>203</v>
      </c>
      <c r="L559" s="1">
        <v>0.57299999999999995</v>
      </c>
      <c r="M559" s="1">
        <v>0.67900000000000005</v>
      </c>
      <c r="N559">
        <v>0</v>
      </c>
      <c r="O559" s="1">
        <v>-6.1909999999999998</v>
      </c>
      <c r="P559">
        <v>1</v>
      </c>
      <c r="Q559" s="1">
        <v>0.76100000000000001</v>
      </c>
      <c r="R559" s="1">
        <v>0.47399999999999998</v>
      </c>
      <c r="S559" s="1">
        <v>0.65700000000000003</v>
      </c>
      <c r="T559" s="1">
        <v>0.64</v>
      </c>
      <c r="U559" s="1">
        <v>0.747</v>
      </c>
      <c r="V559" s="1">
        <v>166.04499999999999</v>
      </c>
      <c r="W559">
        <v>4</v>
      </c>
    </row>
    <row r="560" spans="1:23" x14ac:dyDescent="0.25">
      <c r="A560" s="1" t="s">
        <v>14579</v>
      </c>
      <c r="B560" s="1" t="s">
        <v>14580</v>
      </c>
      <c r="C560" s="1" t="s">
        <v>2897</v>
      </c>
      <c r="D560" s="1" t="s">
        <v>2897</v>
      </c>
      <c r="E560" s="1" t="s">
        <v>2898</v>
      </c>
      <c r="F560" s="1" t="s">
        <v>14073</v>
      </c>
      <c r="G560">
        <v>145666</v>
      </c>
      <c r="H560">
        <v>53</v>
      </c>
      <c r="I560" s="1" t="s">
        <v>11063</v>
      </c>
      <c r="J560" s="11">
        <v>44729.706458333334</v>
      </c>
      <c r="K560" s="1" t="s">
        <v>2066</v>
      </c>
      <c r="L560" s="1">
        <v>0.36699999999999999</v>
      </c>
      <c r="M560" s="1">
        <v>0.63100000000000001</v>
      </c>
      <c r="N560">
        <v>11</v>
      </c>
      <c r="O560" s="1">
        <v>-6.6470000000000002</v>
      </c>
      <c r="P560">
        <v>0</v>
      </c>
      <c r="Q560" s="1">
        <v>0.435</v>
      </c>
      <c r="R560" s="1">
        <v>0.68500000000000005</v>
      </c>
      <c r="S560" s="1">
        <v>0</v>
      </c>
      <c r="T560" s="1">
        <v>0.124</v>
      </c>
      <c r="U560" s="1">
        <v>0.5</v>
      </c>
      <c r="V560" s="1">
        <v>180.059</v>
      </c>
      <c r="W560">
        <v>4</v>
      </c>
    </row>
    <row r="561" spans="1:23" x14ac:dyDescent="0.25">
      <c r="A561" s="1" t="s">
        <v>14581</v>
      </c>
      <c r="B561" s="1" t="s">
        <v>14582</v>
      </c>
      <c r="C561" s="1" t="s">
        <v>2899</v>
      </c>
      <c r="D561" s="1" t="s">
        <v>2899</v>
      </c>
      <c r="E561" s="1" t="s">
        <v>2900</v>
      </c>
      <c r="F561" s="1" t="s">
        <v>14583</v>
      </c>
      <c r="G561">
        <v>193379</v>
      </c>
      <c r="H561">
        <v>52</v>
      </c>
      <c r="I561" s="1" t="s">
        <v>11063</v>
      </c>
      <c r="J561" s="11">
        <v>44729.706458333334</v>
      </c>
      <c r="K561" s="1" t="s">
        <v>2066</v>
      </c>
      <c r="L561" s="1">
        <v>0.46</v>
      </c>
      <c r="M561" s="1">
        <v>0.69699999999999995</v>
      </c>
      <c r="N561">
        <v>7</v>
      </c>
      <c r="O561" s="1">
        <v>-3.423</v>
      </c>
      <c r="P561">
        <v>0</v>
      </c>
      <c r="Q561" s="1">
        <v>0.41399999999999998</v>
      </c>
      <c r="R561" s="1">
        <v>0.27800000000000002</v>
      </c>
      <c r="S561" s="1">
        <v>0.5</v>
      </c>
      <c r="T561" s="1">
        <v>0.30599999999999999</v>
      </c>
      <c r="U561" s="1">
        <v>0.315</v>
      </c>
      <c r="V561" s="1">
        <v>144.113</v>
      </c>
      <c r="W561">
        <v>4</v>
      </c>
    </row>
    <row r="562" spans="1:23" x14ac:dyDescent="0.25">
      <c r="A562" s="1" t="s">
        <v>14584</v>
      </c>
      <c r="B562" s="1" t="s">
        <v>11075</v>
      </c>
      <c r="C562" s="1" t="s">
        <v>2901</v>
      </c>
      <c r="D562" s="1" t="s">
        <v>11076</v>
      </c>
      <c r="E562" s="1" t="s">
        <v>2902</v>
      </c>
      <c r="F562" s="1" t="s">
        <v>14585</v>
      </c>
      <c r="G562">
        <v>192608</v>
      </c>
      <c r="H562">
        <v>47</v>
      </c>
      <c r="I562" s="1" t="s">
        <v>11063</v>
      </c>
      <c r="J562" s="11">
        <v>44729.706458333334</v>
      </c>
      <c r="K562" s="1" t="s">
        <v>2903</v>
      </c>
      <c r="L562" s="1">
        <v>0.80100000000000005</v>
      </c>
      <c r="M562" s="1">
        <v>0.53700000000000003</v>
      </c>
      <c r="N562">
        <v>2</v>
      </c>
      <c r="O562" s="1">
        <v>-7.4180000000000001</v>
      </c>
      <c r="P562">
        <v>1</v>
      </c>
      <c r="Q562" s="1">
        <v>0.66500000000000004</v>
      </c>
      <c r="R562" s="1">
        <v>0.72299999999999998</v>
      </c>
      <c r="S562" s="1">
        <v>0.57899999999999996</v>
      </c>
      <c r="T562" s="1">
        <v>0.44</v>
      </c>
      <c r="U562" s="1">
        <v>0.21199999999999999</v>
      </c>
      <c r="V562" s="1">
        <v>100.074</v>
      </c>
      <c r="W562">
        <v>4</v>
      </c>
    </row>
    <row r="563" spans="1:23" x14ac:dyDescent="0.25">
      <c r="A563" s="1" t="s">
        <v>14586</v>
      </c>
      <c r="B563" s="1" t="s">
        <v>14587</v>
      </c>
      <c r="C563" s="1" t="s">
        <v>2904</v>
      </c>
      <c r="D563" s="1" t="s">
        <v>2904</v>
      </c>
      <c r="E563" s="1" t="s">
        <v>2905</v>
      </c>
      <c r="F563" s="1" t="s">
        <v>13770</v>
      </c>
      <c r="G563">
        <v>175777</v>
      </c>
      <c r="H563">
        <v>58</v>
      </c>
      <c r="I563" s="1" t="s">
        <v>11063</v>
      </c>
      <c r="J563" s="11">
        <v>44729.706458333334</v>
      </c>
      <c r="K563" s="1" t="s">
        <v>2906</v>
      </c>
      <c r="L563" s="1">
        <v>0.63300000000000001</v>
      </c>
      <c r="M563" s="1">
        <v>0.82899999999999996</v>
      </c>
      <c r="N563">
        <v>9</v>
      </c>
      <c r="O563" s="1">
        <v>-6.3040000000000003</v>
      </c>
      <c r="P563">
        <v>1</v>
      </c>
      <c r="Q563" s="1">
        <v>0.496</v>
      </c>
      <c r="R563" s="1">
        <v>0.65300000000000002</v>
      </c>
      <c r="S563" s="1">
        <v>0</v>
      </c>
      <c r="T563" s="1">
        <v>0.90700000000000003</v>
      </c>
      <c r="U563" s="1">
        <v>0.33300000000000002</v>
      </c>
      <c r="V563" s="1">
        <v>95.965999999999994</v>
      </c>
      <c r="W563">
        <v>4</v>
      </c>
    </row>
    <row r="564" spans="1:23" x14ac:dyDescent="0.25">
      <c r="A564" s="1" t="s">
        <v>14588</v>
      </c>
      <c r="B564" s="1" t="s">
        <v>14589</v>
      </c>
      <c r="C564" s="1" t="s">
        <v>2907</v>
      </c>
      <c r="D564" s="1" t="s">
        <v>2907</v>
      </c>
      <c r="E564" s="1" t="s">
        <v>2908</v>
      </c>
      <c r="F564" s="1" t="s">
        <v>13770</v>
      </c>
      <c r="G564">
        <v>165858</v>
      </c>
      <c r="H564">
        <v>67</v>
      </c>
      <c r="I564" s="1" t="s">
        <v>11063</v>
      </c>
      <c r="J564" s="11">
        <v>44729.706458333334</v>
      </c>
      <c r="K564" s="1" t="s">
        <v>2909</v>
      </c>
      <c r="L564" s="1">
        <v>0.67600000000000005</v>
      </c>
      <c r="M564" s="1">
        <v>0.73099999999999998</v>
      </c>
      <c r="N564">
        <v>8</v>
      </c>
      <c r="O564" s="1">
        <v>-5.3250000000000002</v>
      </c>
      <c r="P564">
        <v>0</v>
      </c>
      <c r="Q564" s="1">
        <v>0.94799999999999995</v>
      </c>
      <c r="R564" s="1">
        <v>0.16200000000000001</v>
      </c>
      <c r="S564" s="1">
        <v>0</v>
      </c>
      <c r="T564" s="1">
        <v>0.126</v>
      </c>
      <c r="U564" s="1">
        <v>0.753</v>
      </c>
      <c r="V564" s="1">
        <v>123.99299999999999</v>
      </c>
      <c r="W564">
        <v>4</v>
      </c>
    </row>
    <row r="565" spans="1:23" x14ac:dyDescent="0.25">
      <c r="A565" s="1" t="s">
        <v>14590</v>
      </c>
      <c r="B565" s="1" t="s">
        <v>14591</v>
      </c>
      <c r="C565" s="1" t="s">
        <v>2910</v>
      </c>
      <c r="D565" s="1" t="s">
        <v>2910</v>
      </c>
      <c r="E565" s="1" t="s">
        <v>2911</v>
      </c>
      <c r="F565" s="1" t="s">
        <v>14592</v>
      </c>
      <c r="G565">
        <v>212926</v>
      </c>
      <c r="H565">
        <v>74</v>
      </c>
      <c r="I565" s="1" t="s">
        <v>11063</v>
      </c>
      <c r="J565" s="11">
        <v>44729.706458333334</v>
      </c>
      <c r="K565" s="1" t="s">
        <v>1994</v>
      </c>
      <c r="L565" s="1">
        <v>0.59799999999999998</v>
      </c>
      <c r="M565" s="1">
        <v>0.70499999999999996</v>
      </c>
      <c r="N565">
        <v>11</v>
      </c>
      <c r="O565" s="1">
        <v>-5.4619999999999997</v>
      </c>
      <c r="P565">
        <v>1</v>
      </c>
      <c r="Q565" s="1">
        <v>0.33300000000000002</v>
      </c>
      <c r="R565" s="1">
        <v>0.82599999999999996</v>
      </c>
      <c r="S565" s="1">
        <v>0.18</v>
      </c>
      <c r="T565" s="1">
        <v>0.13300000000000001</v>
      </c>
      <c r="U565" s="1">
        <v>0.104</v>
      </c>
      <c r="V565" s="1">
        <v>95.018000000000001</v>
      </c>
      <c r="W565">
        <v>4</v>
      </c>
    </row>
    <row r="566" spans="1:23" x14ac:dyDescent="0.25">
      <c r="A566" s="1" t="s">
        <v>14593</v>
      </c>
      <c r="B566" s="1" t="s">
        <v>14594</v>
      </c>
      <c r="C566" s="1" t="s">
        <v>2912</v>
      </c>
      <c r="D566" s="1" t="s">
        <v>2912</v>
      </c>
      <c r="E566" s="1" t="s">
        <v>2913</v>
      </c>
      <c r="F566" s="1" t="s">
        <v>14595</v>
      </c>
      <c r="G566">
        <v>225000</v>
      </c>
      <c r="H566">
        <v>27</v>
      </c>
      <c r="I566" s="1" t="s">
        <v>11063</v>
      </c>
      <c r="J566" s="11">
        <v>44729.706458333334</v>
      </c>
      <c r="K566" s="1" t="s">
        <v>2787</v>
      </c>
      <c r="L566" s="1">
        <v>0.33100000000000002</v>
      </c>
      <c r="M566" s="1">
        <v>0.47499999999999998</v>
      </c>
      <c r="N566">
        <v>5</v>
      </c>
      <c r="O566" s="1">
        <v>-6.2729999999999997</v>
      </c>
      <c r="P566">
        <v>1</v>
      </c>
      <c r="Q566" s="1">
        <v>0.41599999999999998</v>
      </c>
      <c r="R566" s="1">
        <v>0.14399999999999999</v>
      </c>
      <c r="S566" s="1">
        <v>0</v>
      </c>
      <c r="T566" s="1">
        <v>0.23100000000000001</v>
      </c>
      <c r="U566" s="1">
        <v>0.122</v>
      </c>
      <c r="V566" s="1">
        <v>94.912000000000006</v>
      </c>
      <c r="W566">
        <v>4</v>
      </c>
    </row>
    <row r="567" spans="1:23" x14ac:dyDescent="0.25">
      <c r="A567" s="1" t="s">
        <v>14596</v>
      </c>
      <c r="B567" s="1" t="s">
        <v>14597</v>
      </c>
      <c r="C567" s="1" t="s">
        <v>2914</v>
      </c>
      <c r="D567" s="1" t="s">
        <v>14598</v>
      </c>
      <c r="E567" s="1" t="s">
        <v>2915</v>
      </c>
      <c r="F567" s="1" t="s">
        <v>14599</v>
      </c>
      <c r="G567">
        <v>188613</v>
      </c>
      <c r="H567">
        <v>59</v>
      </c>
      <c r="I567" s="1" t="s">
        <v>11063</v>
      </c>
      <c r="J567" s="11">
        <v>44729.706458333334</v>
      </c>
      <c r="K567" s="1" t="s">
        <v>2916</v>
      </c>
      <c r="L567" s="1">
        <v>0.93200000000000005</v>
      </c>
      <c r="M567" s="1">
        <v>0.77800000000000002</v>
      </c>
      <c r="N567">
        <v>10</v>
      </c>
      <c r="O567" s="1">
        <v>-3.3839999999999999</v>
      </c>
      <c r="P567">
        <v>0</v>
      </c>
      <c r="Q567" s="1">
        <v>0.63800000000000001</v>
      </c>
      <c r="R567" s="1">
        <v>0.21199999999999999</v>
      </c>
      <c r="S567" s="1">
        <v>0</v>
      </c>
      <c r="T567" s="1">
        <v>0.16800000000000001</v>
      </c>
      <c r="U567" s="1">
        <v>0.93300000000000005</v>
      </c>
      <c r="V567" s="1">
        <v>124.996</v>
      </c>
      <c r="W567">
        <v>4</v>
      </c>
    </row>
    <row r="568" spans="1:23" x14ac:dyDescent="0.25">
      <c r="A568" s="1" t="s">
        <v>14600</v>
      </c>
      <c r="B568" s="1" t="s">
        <v>14601</v>
      </c>
      <c r="C568" s="1" t="s">
        <v>2917</v>
      </c>
      <c r="D568" s="1" t="s">
        <v>14602</v>
      </c>
      <c r="E568" s="1" t="s">
        <v>2918</v>
      </c>
      <c r="F568" s="1" t="s">
        <v>14603</v>
      </c>
      <c r="G568">
        <v>179426</v>
      </c>
      <c r="H568">
        <v>69</v>
      </c>
      <c r="I568" s="1" t="s">
        <v>11063</v>
      </c>
      <c r="J568" s="11">
        <v>44729.706458333334</v>
      </c>
      <c r="K568" s="1" t="s">
        <v>2919</v>
      </c>
      <c r="L568" s="1">
        <v>0.80500000000000005</v>
      </c>
      <c r="M568" s="1">
        <v>0.63700000000000001</v>
      </c>
      <c r="N568">
        <v>6</v>
      </c>
      <c r="O568" s="1">
        <v>-6.5149999999999997</v>
      </c>
      <c r="P568">
        <v>1</v>
      </c>
      <c r="Q568" s="1">
        <v>0.86899999999999999</v>
      </c>
      <c r="R568" s="1">
        <v>0.22800000000000001</v>
      </c>
      <c r="S568" s="1">
        <v>0</v>
      </c>
      <c r="T568" s="1">
        <v>0.71</v>
      </c>
      <c r="U568" s="1">
        <v>0.67800000000000005</v>
      </c>
      <c r="V568" s="1">
        <v>140.04499999999999</v>
      </c>
      <c r="W568">
        <v>4</v>
      </c>
    </row>
    <row r="569" spans="1:23" x14ac:dyDescent="0.25">
      <c r="A569" s="1" t="s">
        <v>11435</v>
      </c>
      <c r="B569" s="1" t="s">
        <v>11436</v>
      </c>
      <c r="C569" s="1" t="s">
        <v>204</v>
      </c>
      <c r="D569" s="1" t="s">
        <v>204</v>
      </c>
      <c r="E569" s="1" t="s">
        <v>205</v>
      </c>
      <c r="F569" s="1" t="s">
        <v>11437</v>
      </c>
      <c r="G569">
        <v>236960</v>
      </c>
      <c r="H569">
        <v>53</v>
      </c>
      <c r="I569" s="1" t="s">
        <v>11063</v>
      </c>
      <c r="J569" s="11">
        <v>44729.706458333334</v>
      </c>
      <c r="K569" s="1" t="s">
        <v>206</v>
      </c>
      <c r="L569" s="1">
        <v>0.441</v>
      </c>
      <c r="M569" s="1">
        <v>0.625</v>
      </c>
      <c r="N569">
        <v>5</v>
      </c>
      <c r="O569" s="1">
        <v>-8.1780000000000008</v>
      </c>
      <c r="P569">
        <v>1</v>
      </c>
      <c r="Q569" s="1">
        <v>0.26900000000000002</v>
      </c>
      <c r="R569" s="1">
        <v>0.309</v>
      </c>
      <c r="S569" s="1">
        <v>0</v>
      </c>
      <c r="T569" s="1">
        <v>0.87</v>
      </c>
      <c r="U569" s="1">
        <v>0.40500000000000003</v>
      </c>
      <c r="V569" s="1">
        <v>172.05500000000001</v>
      </c>
      <c r="W569">
        <v>4</v>
      </c>
    </row>
    <row r="570" spans="1:23" x14ac:dyDescent="0.25">
      <c r="A570" s="1" t="s">
        <v>14604</v>
      </c>
      <c r="B570" s="1" t="s">
        <v>11436</v>
      </c>
      <c r="C570" s="1" t="s">
        <v>2920</v>
      </c>
      <c r="D570" s="1" t="s">
        <v>204</v>
      </c>
      <c r="E570" s="1" t="s">
        <v>205</v>
      </c>
      <c r="F570" s="1" t="s">
        <v>11437</v>
      </c>
      <c r="G570">
        <v>214773</v>
      </c>
      <c r="H570">
        <v>46</v>
      </c>
      <c r="I570" s="1" t="s">
        <v>11063</v>
      </c>
      <c r="J570" s="11">
        <v>44729.706458333334</v>
      </c>
      <c r="K570" s="1" t="s">
        <v>206</v>
      </c>
      <c r="L570" s="1">
        <v>0.76</v>
      </c>
      <c r="M570" s="1">
        <v>0.745</v>
      </c>
      <c r="N570">
        <v>10</v>
      </c>
      <c r="O570" s="1">
        <v>-5.9429999999999996</v>
      </c>
      <c r="P570">
        <v>0</v>
      </c>
      <c r="Q570" s="1">
        <v>0.23</v>
      </c>
      <c r="R570" s="1">
        <v>0.23300000000000001</v>
      </c>
      <c r="S570" s="1">
        <v>0</v>
      </c>
      <c r="T570" s="1">
        <v>0.98899999999999999</v>
      </c>
      <c r="U570" s="1">
        <v>0.54200000000000004</v>
      </c>
      <c r="V570" s="1">
        <v>92.04</v>
      </c>
      <c r="W570">
        <v>4</v>
      </c>
    </row>
    <row r="571" spans="1:23" x14ac:dyDescent="0.25">
      <c r="A571" s="1" t="s">
        <v>14605</v>
      </c>
      <c r="B571" s="1" t="s">
        <v>12057</v>
      </c>
      <c r="C571" s="1" t="s">
        <v>2921</v>
      </c>
      <c r="D571" s="1" t="s">
        <v>14606</v>
      </c>
      <c r="E571" s="1" t="s">
        <v>587</v>
      </c>
      <c r="F571" s="1" t="s">
        <v>14607</v>
      </c>
      <c r="G571">
        <v>174400</v>
      </c>
      <c r="H571">
        <v>38</v>
      </c>
      <c r="I571" s="1" t="s">
        <v>11063</v>
      </c>
      <c r="J571" s="11">
        <v>44729.706458333334</v>
      </c>
      <c r="K571" s="1" t="s">
        <v>588</v>
      </c>
      <c r="L571" s="1">
        <v>0.32200000000000001</v>
      </c>
      <c r="M571" s="1">
        <v>0.95799999999999996</v>
      </c>
      <c r="N571">
        <v>5</v>
      </c>
      <c r="O571" s="1">
        <v>-3.4220000000000002</v>
      </c>
      <c r="P571">
        <v>0</v>
      </c>
      <c r="Q571" s="1">
        <v>0.36099999999999999</v>
      </c>
      <c r="R571" s="1">
        <v>0.13400000000000001</v>
      </c>
      <c r="S571" s="1">
        <v>0.371</v>
      </c>
      <c r="T571" s="1">
        <v>0.20399999999999999</v>
      </c>
      <c r="U571" s="1">
        <v>0.96699999999999997</v>
      </c>
      <c r="V571" s="1">
        <v>150.453</v>
      </c>
      <c r="W571">
        <v>4</v>
      </c>
    </row>
    <row r="572" spans="1:23" x14ac:dyDescent="0.25">
      <c r="A572" s="1" t="s">
        <v>14608</v>
      </c>
      <c r="B572" s="1" t="s">
        <v>14609</v>
      </c>
      <c r="C572" s="1" t="s">
        <v>2922</v>
      </c>
      <c r="D572" s="1" t="s">
        <v>14610</v>
      </c>
      <c r="E572" s="1" t="s">
        <v>2923</v>
      </c>
      <c r="F572" s="1" t="s">
        <v>14611</v>
      </c>
      <c r="G572">
        <v>207191</v>
      </c>
      <c r="H572">
        <v>35</v>
      </c>
      <c r="I572" s="1" t="s">
        <v>11063</v>
      </c>
      <c r="J572" s="11">
        <v>44729.706458333334</v>
      </c>
      <c r="K572" s="1" t="s">
        <v>2924</v>
      </c>
      <c r="L572" s="1">
        <v>0.61299999999999999</v>
      </c>
      <c r="M572" s="1">
        <v>0.69499999999999995</v>
      </c>
      <c r="N572">
        <v>10</v>
      </c>
      <c r="O572" s="1">
        <v>-5.9960000000000004</v>
      </c>
      <c r="P572">
        <v>0</v>
      </c>
      <c r="Q572" s="1">
        <v>0.373</v>
      </c>
      <c r="R572" s="1">
        <v>0.245</v>
      </c>
      <c r="S572" s="1">
        <v>0.33100000000000002</v>
      </c>
      <c r="T572" s="1">
        <v>0.14000000000000001</v>
      </c>
      <c r="U572" s="1">
        <v>0.23300000000000001</v>
      </c>
      <c r="V572" s="1">
        <v>149.958</v>
      </c>
      <c r="W572">
        <v>4</v>
      </c>
    </row>
    <row r="573" spans="1:23" x14ac:dyDescent="0.25">
      <c r="A573" s="1" t="s">
        <v>14612</v>
      </c>
      <c r="B573" s="1" t="s">
        <v>14613</v>
      </c>
      <c r="C573" s="1" t="s">
        <v>2925</v>
      </c>
      <c r="D573" s="1" t="s">
        <v>2925</v>
      </c>
      <c r="E573" s="1" t="s">
        <v>2926</v>
      </c>
      <c r="F573" s="1" t="s">
        <v>14614</v>
      </c>
      <c r="G573">
        <v>272100</v>
      </c>
      <c r="H573">
        <v>34</v>
      </c>
      <c r="I573" s="1" t="s">
        <v>11063</v>
      </c>
      <c r="J573" s="11">
        <v>44729.706458333334</v>
      </c>
      <c r="K573" s="1" t="s">
        <v>2927</v>
      </c>
      <c r="L573" s="1">
        <v>0.48899999999999999</v>
      </c>
      <c r="M573" s="1">
        <v>0.79400000000000004</v>
      </c>
      <c r="N573">
        <v>11</v>
      </c>
      <c r="O573" s="1">
        <v>-5.4349999999999996</v>
      </c>
      <c r="P573">
        <v>0</v>
      </c>
      <c r="Q573" s="1">
        <v>0.33900000000000002</v>
      </c>
      <c r="R573" s="1">
        <v>0.36799999999999999</v>
      </c>
      <c r="S573" s="1">
        <v>0</v>
      </c>
      <c r="T573" s="1">
        <v>0.83099999999999996</v>
      </c>
      <c r="U573" s="1">
        <v>0.36599999999999999</v>
      </c>
      <c r="V573" s="1">
        <v>199.79</v>
      </c>
      <c r="W573">
        <v>4</v>
      </c>
    </row>
    <row r="574" spans="1:23" x14ac:dyDescent="0.25">
      <c r="A574" s="1" t="s">
        <v>14615</v>
      </c>
      <c r="B574" s="1" t="s">
        <v>14616</v>
      </c>
      <c r="C574" s="1" t="s">
        <v>2091</v>
      </c>
      <c r="D574" s="1" t="s">
        <v>2091</v>
      </c>
      <c r="E574" s="1" t="s">
        <v>2928</v>
      </c>
      <c r="F574" s="1" t="s">
        <v>14617</v>
      </c>
      <c r="G574">
        <v>185833</v>
      </c>
      <c r="H574">
        <v>28</v>
      </c>
      <c r="I574" s="1" t="s">
        <v>11063</v>
      </c>
      <c r="J574" s="11">
        <v>44729.706458333334</v>
      </c>
      <c r="K574" s="1" t="s">
        <v>298</v>
      </c>
      <c r="L574" s="1">
        <v>0.495</v>
      </c>
      <c r="M574" s="1">
        <v>0.78600000000000003</v>
      </c>
      <c r="N574">
        <v>5</v>
      </c>
      <c r="O574" s="1">
        <v>-8.5960000000000001</v>
      </c>
      <c r="P574">
        <v>0</v>
      </c>
      <c r="Q574" s="1">
        <v>0.51200000000000001</v>
      </c>
      <c r="R574" s="1">
        <v>0.94199999999999995</v>
      </c>
      <c r="S574" s="1">
        <v>0.245</v>
      </c>
      <c r="T574" s="1">
        <v>0.13900000000000001</v>
      </c>
      <c r="U574" s="1">
        <v>0.14399999999999999</v>
      </c>
      <c r="V574" s="1">
        <v>150.06100000000001</v>
      </c>
      <c r="W574">
        <v>4</v>
      </c>
    </row>
    <row r="575" spans="1:23" x14ac:dyDescent="0.25">
      <c r="A575" s="1" t="s">
        <v>14618</v>
      </c>
      <c r="B575" s="1" t="s">
        <v>14619</v>
      </c>
      <c r="C575" s="1" t="s">
        <v>2929</v>
      </c>
      <c r="D575" s="1" t="s">
        <v>2929</v>
      </c>
      <c r="E575" s="1" t="s">
        <v>2930</v>
      </c>
      <c r="F575" s="1" t="s">
        <v>14620</v>
      </c>
      <c r="G575">
        <v>214662</v>
      </c>
      <c r="H575">
        <v>38</v>
      </c>
      <c r="I575" s="1" t="s">
        <v>11063</v>
      </c>
      <c r="J575" s="11">
        <v>44729.706458333334</v>
      </c>
      <c r="K575" s="1" t="s">
        <v>2931</v>
      </c>
      <c r="L575" s="1">
        <v>0.57799999999999996</v>
      </c>
      <c r="M575" s="1">
        <v>0.63800000000000001</v>
      </c>
      <c r="N575">
        <v>6</v>
      </c>
      <c r="O575" s="1">
        <v>-6.3620000000000001</v>
      </c>
      <c r="P575">
        <v>0</v>
      </c>
      <c r="Q575" s="1">
        <v>0.20100000000000001</v>
      </c>
      <c r="R575" s="1">
        <v>0.25600000000000001</v>
      </c>
      <c r="S575" s="1">
        <v>0</v>
      </c>
      <c r="T575" s="1">
        <v>0.21</v>
      </c>
      <c r="U575" s="1">
        <v>0.48399999999999999</v>
      </c>
      <c r="V575" s="1">
        <v>147.87200000000001</v>
      </c>
      <c r="W575">
        <v>4</v>
      </c>
    </row>
    <row r="576" spans="1:23" x14ac:dyDescent="0.25">
      <c r="A576" s="1" t="s">
        <v>14621</v>
      </c>
      <c r="B576" s="1" t="s">
        <v>14622</v>
      </c>
      <c r="C576" s="1" t="s">
        <v>2932</v>
      </c>
      <c r="D576" s="1" t="s">
        <v>14623</v>
      </c>
      <c r="E576" s="1" t="s">
        <v>2933</v>
      </c>
      <c r="F576" s="1" t="s">
        <v>14624</v>
      </c>
      <c r="G576">
        <v>226800</v>
      </c>
      <c r="H576">
        <v>47</v>
      </c>
      <c r="I576" s="1" t="s">
        <v>11063</v>
      </c>
      <c r="J576" s="11">
        <v>44729.706458333334</v>
      </c>
      <c r="K576" s="1" t="s">
        <v>2934</v>
      </c>
      <c r="L576" s="1">
        <v>0.43099999999999999</v>
      </c>
      <c r="M576" s="1">
        <v>0.76100000000000001</v>
      </c>
      <c r="N576">
        <v>10</v>
      </c>
      <c r="O576" s="1">
        <v>-5.0759999999999996</v>
      </c>
      <c r="P576">
        <v>1</v>
      </c>
      <c r="Q576" s="1">
        <v>0.40799999999999997</v>
      </c>
      <c r="R576" s="1">
        <v>0.127</v>
      </c>
      <c r="S576" s="1">
        <v>0.193</v>
      </c>
      <c r="T576" s="1">
        <v>0.224</v>
      </c>
      <c r="U576" s="1">
        <v>0.48599999999999999</v>
      </c>
      <c r="V576" s="1">
        <v>100.01300000000001</v>
      </c>
      <c r="W576">
        <v>4</v>
      </c>
    </row>
    <row r="577" spans="1:23" x14ac:dyDescent="0.25">
      <c r="A577" s="1" t="s">
        <v>14625</v>
      </c>
      <c r="B577" s="1" t="s">
        <v>14626</v>
      </c>
      <c r="C577" s="1" t="s">
        <v>2935</v>
      </c>
      <c r="D577" s="1" t="s">
        <v>2935</v>
      </c>
      <c r="E577" s="1" t="s">
        <v>2936</v>
      </c>
      <c r="F577" s="1" t="s">
        <v>11627</v>
      </c>
      <c r="G577">
        <v>176000</v>
      </c>
      <c r="H577">
        <v>34</v>
      </c>
      <c r="I577" s="1" t="s">
        <v>11063</v>
      </c>
      <c r="J577" s="11">
        <v>44729.706458333334</v>
      </c>
      <c r="K577" s="1" t="s">
        <v>50</v>
      </c>
      <c r="L577" s="1">
        <v>0.433</v>
      </c>
      <c r="M577" s="1">
        <v>0.60599999999999998</v>
      </c>
      <c r="N577">
        <v>11</v>
      </c>
      <c r="O577" s="1">
        <v>-5.6859999999999999</v>
      </c>
      <c r="P577">
        <v>0</v>
      </c>
      <c r="Q577" s="1">
        <v>0.42199999999999999</v>
      </c>
      <c r="R577" s="1">
        <v>0.79500000000000004</v>
      </c>
      <c r="S577" s="1">
        <v>0.38800000000000001</v>
      </c>
      <c r="T577" s="1">
        <v>0.318</v>
      </c>
      <c r="U577" s="1">
        <v>0.183</v>
      </c>
      <c r="V577" s="1">
        <v>179.99199999999999</v>
      </c>
      <c r="W577">
        <v>4</v>
      </c>
    </row>
    <row r="578" spans="1:23" x14ac:dyDescent="0.25">
      <c r="A578" s="1" t="s">
        <v>14627</v>
      </c>
      <c r="B578" s="1" t="s">
        <v>14628</v>
      </c>
      <c r="C578" s="1" t="s">
        <v>2937</v>
      </c>
      <c r="D578" s="1" t="s">
        <v>14629</v>
      </c>
      <c r="E578" s="1" t="s">
        <v>2938</v>
      </c>
      <c r="F578" s="1" t="s">
        <v>14630</v>
      </c>
      <c r="G578">
        <v>212560</v>
      </c>
      <c r="H578">
        <v>32</v>
      </c>
      <c r="I578" s="1" t="s">
        <v>11063</v>
      </c>
      <c r="J578" s="11">
        <v>44729.706458333334</v>
      </c>
      <c r="K578" s="1" t="s">
        <v>2939</v>
      </c>
      <c r="L578" s="1">
        <v>0.53200000000000003</v>
      </c>
      <c r="M578" s="1">
        <v>0.88400000000000001</v>
      </c>
      <c r="N578">
        <v>0</v>
      </c>
      <c r="O578" s="1">
        <v>-5.9610000000000003</v>
      </c>
      <c r="P578">
        <v>0</v>
      </c>
      <c r="Q578" s="1">
        <v>0.59299999999999997</v>
      </c>
      <c r="R578" s="1">
        <v>0.22900000000000001</v>
      </c>
      <c r="S578" s="1">
        <v>0</v>
      </c>
      <c r="T578" s="1">
        <v>0.128</v>
      </c>
      <c r="U578" s="1">
        <v>0.27</v>
      </c>
      <c r="V578" s="1">
        <v>81.84</v>
      </c>
      <c r="W578">
        <v>4</v>
      </c>
    </row>
    <row r="579" spans="1:23" x14ac:dyDescent="0.25">
      <c r="A579" s="1" t="s">
        <v>14631</v>
      </c>
      <c r="B579" s="1" t="s">
        <v>14632</v>
      </c>
      <c r="C579" s="1" t="s">
        <v>2940</v>
      </c>
      <c r="D579" s="1" t="s">
        <v>2940</v>
      </c>
      <c r="E579" s="1" t="s">
        <v>2941</v>
      </c>
      <c r="F579" s="1" t="s">
        <v>14633</v>
      </c>
      <c r="G579">
        <v>208888</v>
      </c>
      <c r="H579">
        <v>52</v>
      </c>
      <c r="I579" s="1" t="s">
        <v>11063</v>
      </c>
      <c r="J579" s="11">
        <v>44729.706458333334</v>
      </c>
      <c r="K579" s="1" t="s">
        <v>2639</v>
      </c>
      <c r="L579" s="1">
        <v>0.6</v>
      </c>
      <c r="M579" s="1">
        <v>0.83399999999999996</v>
      </c>
      <c r="N579">
        <v>2</v>
      </c>
      <c r="O579" s="1">
        <v>-4.2290000000000001</v>
      </c>
      <c r="P579">
        <v>0</v>
      </c>
      <c r="Q579" s="1">
        <v>0.36699999999999999</v>
      </c>
      <c r="R579" s="1">
        <v>0.247</v>
      </c>
      <c r="S579" s="1">
        <v>0.25</v>
      </c>
      <c r="T579" s="1">
        <v>0.41399999999999998</v>
      </c>
      <c r="U579" s="1">
        <v>0.45400000000000001</v>
      </c>
      <c r="V579" s="1">
        <v>108.05200000000001</v>
      </c>
      <c r="W579">
        <v>4</v>
      </c>
    </row>
    <row r="580" spans="1:23" x14ac:dyDescent="0.25">
      <c r="A580" s="1" t="s">
        <v>14634</v>
      </c>
      <c r="B580" s="1" t="s">
        <v>14635</v>
      </c>
      <c r="C580" s="1" t="s">
        <v>2942</v>
      </c>
      <c r="D580" s="1" t="s">
        <v>14636</v>
      </c>
      <c r="E580" s="1" t="s">
        <v>2943</v>
      </c>
      <c r="F580" s="1" t="s">
        <v>14637</v>
      </c>
      <c r="G580">
        <v>191984</v>
      </c>
      <c r="H580">
        <v>70</v>
      </c>
      <c r="I580" s="1" t="s">
        <v>11063</v>
      </c>
      <c r="J580" s="11">
        <v>44729.706458333334</v>
      </c>
      <c r="K580" s="1" t="s">
        <v>2944</v>
      </c>
      <c r="L580" s="1">
        <v>0.72099999999999997</v>
      </c>
      <c r="M580" s="1">
        <v>0.52300000000000002</v>
      </c>
      <c r="N580">
        <v>7</v>
      </c>
      <c r="O580" s="1">
        <v>-8.3989999999999991</v>
      </c>
      <c r="P580">
        <v>1</v>
      </c>
      <c r="Q580" s="1">
        <v>0.14699999999999999</v>
      </c>
      <c r="R580" s="1">
        <v>0.69299999999999995</v>
      </c>
      <c r="S580" s="1">
        <v>0</v>
      </c>
      <c r="T580" s="1">
        <v>0.28100000000000003</v>
      </c>
      <c r="U580" s="1">
        <v>0.75700000000000001</v>
      </c>
      <c r="V580" s="1">
        <v>141.03399999999999</v>
      </c>
      <c r="W580">
        <v>4</v>
      </c>
    </row>
    <row r="581" spans="1:23" x14ac:dyDescent="0.25">
      <c r="A581" s="1" t="s">
        <v>14638</v>
      </c>
      <c r="B581" s="1" t="s">
        <v>14639</v>
      </c>
      <c r="C581" s="1" t="s">
        <v>2945</v>
      </c>
      <c r="D581" s="1" t="s">
        <v>14640</v>
      </c>
      <c r="E581" s="1" t="s">
        <v>2946</v>
      </c>
      <c r="F581" s="1" t="s">
        <v>14184</v>
      </c>
      <c r="G581">
        <v>196800</v>
      </c>
      <c r="H581">
        <v>61</v>
      </c>
      <c r="I581" s="1" t="s">
        <v>11063</v>
      </c>
      <c r="J581" s="11">
        <v>44729.706458333334</v>
      </c>
      <c r="K581" s="1" t="s">
        <v>2947</v>
      </c>
      <c r="L581" s="1">
        <v>0.64900000000000002</v>
      </c>
      <c r="M581" s="1">
        <v>0.57399999999999995</v>
      </c>
      <c r="N581">
        <v>2</v>
      </c>
      <c r="O581" s="1">
        <v>-7.8559999999999999</v>
      </c>
      <c r="P581">
        <v>1</v>
      </c>
      <c r="Q581" s="1">
        <v>0.14299999999999999</v>
      </c>
      <c r="R581" s="1">
        <v>0.63500000000000001</v>
      </c>
      <c r="S581" s="1">
        <v>0.128</v>
      </c>
      <c r="T581" s="1">
        <v>0.161</v>
      </c>
      <c r="U581" s="1">
        <v>0.36099999999999999</v>
      </c>
      <c r="V581" s="1">
        <v>199.90600000000001</v>
      </c>
      <c r="W581">
        <v>4</v>
      </c>
    </row>
    <row r="582" spans="1:23" x14ac:dyDescent="0.25">
      <c r="A582" s="1" t="s">
        <v>14641</v>
      </c>
      <c r="B582" s="1" t="s">
        <v>14639</v>
      </c>
      <c r="C582" s="1" t="s">
        <v>2948</v>
      </c>
      <c r="D582" s="1" t="s">
        <v>14642</v>
      </c>
      <c r="E582" s="1" t="s">
        <v>2946</v>
      </c>
      <c r="F582" s="1" t="s">
        <v>14129</v>
      </c>
      <c r="G582">
        <v>189480</v>
      </c>
      <c r="H582">
        <v>66</v>
      </c>
      <c r="I582" s="1" t="s">
        <v>11063</v>
      </c>
      <c r="J582" s="11">
        <v>44729.706458333334</v>
      </c>
      <c r="K582" s="1" t="s">
        <v>2947</v>
      </c>
      <c r="L582" s="1">
        <v>0.70299999999999996</v>
      </c>
      <c r="M582" s="1">
        <v>0.442</v>
      </c>
      <c r="N582">
        <v>0</v>
      </c>
      <c r="O582" s="1">
        <v>-10.382999999999999</v>
      </c>
      <c r="P582">
        <v>1</v>
      </c>
      <c r="Q582" s="1">
        <v>0.82299999999999995</v>
      </c>
      <c r="R582" s="1">
        <v>0.59399999999999997</v>
      </c>
      <c r="S582" s="1">
        <v>0.23899999999999999</v>
      </c>
      <c r="T582" s="1">
        <v>0.27600000000000002</v>
      </c>
      <c r="U582" s="1">
        <v>0.38100000000000001</v>
      </c>
      <c r="V582" s="1">
        <v>115.932</v>
      </c>
      <c r="W582">
        <v>4</v>
      </c>
    </row>
    <row r="583" spans="1:23" x14ac:dyDescent="0.25">
      <c r="A583" s="1" t="s">
        <v>14643</v>
      </c>
      <c r="B583" s="1" t="s">
        <v>14644</v>
      </c>
      <c r="C583" s="1" t="s">
        <v>2949</v>
      </c>
      <c r="D583" s="1" t="s">
        <v>14642</v>
      </c>
      <c r="E583" s="1" t="s">
        <v>2950</v>
      </c>
      <c r="F583" s="1" t="s">
        <v>14129</v>
      </c>
      <c r="G583">
        <v>202120</v>
      </c>
      <c r="H583">
        <v>61</v>
      </c>
      <c r="I583" s="1" t="s">
        <v>11063</v>
      </c>
      <c r="J583" s="11">
        <v>44729.706458333334</v>
      </c>
      <c r="K583" s="1" t="s">
        <v>2951</v>
      </c>
      <c r="L583" s="1">
        <v>0.69199999999999995</v>
      </c>
      <c r="M583" s="1">
        <v>0.54200000000000004</v>
      </c>
      <c r="N583">
        <v>11</v>
      </c>
      <c r="O583" s="1">
        <v>-7.9</v>
      </c>
      <c r="P583">
        <v>0</v>
      </c>
      <c r="Q583" s="1">
        <v>0.19700000000000001</v>
      </c>
      <c r="R583" s="1">
        <v>0.49299999999999999</v>
      </c>
      <c r="S583" s="1">
        <v>0.27500000000000002</v>
      </c>
      <c r="T583" s="1">
        <v>0.247</v>
      </c>
      <c r="U583" s="1">
        <v>0.28499999999999998</v>
      </c>
      <c r="V583" s="1">
        <v>105.005</v>
      </c>
      <c r="W583">
        <v>4</v>
      </c>
    </row>
    <row r="584" spans="1:23" x14ac:dyDescent="0.25">
      <c r="A584" s="1" t="s">
        <v>14645</v>
      </c>
      <c r="B584" s="1" t="s">
        <v>14646</v>
      </c>
      <c r="C584" s="1" t="s">
        <v>2952</v>
      </c>
      <c r="D584" s="1" t="s">
        <v>14647</v>
      </c>
      <c r="E584" s="1" t="s">
        <v>2953</v>
      </c>
      <c r="F584" s="1" t="s">
        <v>13520</v>
      </c>
      <c r="G584">
        <v>162906</v>
      </c>
      <c r="H584">
        <v>60</v>
      </c>
      <c r="I584" s="1" t="s">
        <v>11063</v>
      </c>
      <c r="J584" s="11">
        <v>44729.706458333334</v>
      </c>
      <c r="K584" s="1" t="s">
        <v>2954</v>
      </c>
      <c r="L584" s="1">
        <v>0.81100000000000005</v>
      </c>
      <c r="M584" s="1">
        <v>0.69199999999999995</v>
      </c>
      <c r="N584">
        <v>4</v>
      </c>
      <c r="O584" s="1">
        <v>-2.8359999999999999</v>
      </c>
      <c r="P584">
        <v>0</v>
      </c>
      <c r="Q584" s="1">
        <v>0.105</v>
      </c>
      <c r="R584" s="1">
        <v>0.93700000000000006</v>
      </c>
      <c r="S584" s="1">
        <v>0</v>
      </c>
      <c r="T584" s="1">
        <v>0.59799999999999998</v>
      </c>
      <c r="U584" s="1">
        <v>0.81699999999999995</v>
      </c>
      <c r="V584" s="1">
        <v>125.009</v>
      </c>
      <c r="W584">
        <v>4</v>
      </c>
    </row>
    <row r="585" spans="1:23" x14ac:dyDescent="0.25">
      <c r="A585" s="1" t="s">
        <v>14648</v>
      </c>
      <c r="B585" s="1" t="s">
        <v>14649</v>
      </c>
      <c r="C585" s="1" t="s">
        <v>2955</v>
      </c>
      <c r="D585" s="1" t="s">
        <v>2955</v>
      </c>
      <c r="E585" s="1" t="s">
        <v>2956</v>
      </c>
      <c r="F585" s="1" t="s">
        <v>13253</v>
      </c>
      <c r="G585">
        <v>179868</v>
      </c>
      <c r="H585">
        <v>68</v>
      </c>
      <c r="I585" s="1" t="s">
        <v>11063</v>
      </c>
      <c r="J585" s="11">
        <v>44729.706458333334</v>
      </c>
      <c r="K585" s="1" t="s">
        <v>2957</v>
      </c>
      <c r="L585" s="1">
        <v>0.71</v>
      </c>
      <c r="M585" s="1">
        <v>0.69899999999999995</v>
      </c>
      <c r="N585">
        <v>7</v>
      </c>
      <c r="O585" s="1">
        <v>-4.6639999999999997</v>
      </c>
      <c r="P585">
        <v>0</v>
      </c>
      <c r="Q585" s="1">
        <v>0.1</v>
      </c>
      <c r="R585" s="1">
        <v>0.32700000000000001</v>
      </c>
      <c r="S585" s="1">
        <v>0.46400000000000002</v>
      </c>
      <c r="T585" s="1">
        <v>0.97499999999999998</v>
      </c>
      <c r="U585" s="1">
        <v>0.48399999999999999</v>
      </c>
      <c r="V585" s="1">
        <v>125.051</v>
      </c>
      <c r="W585">
        <v>4</v>
      </c>
    </row>
    <row r="586" spans="1:23" x14ac:dyDescent="0.25">
      <c r="A586" s="1" t="s">
        <v>14650</v>
      </c>
      <c r="B586" s="1" t="s">
        <v>14651</v>
      </c>
      <c r="C586" s="1" t="s">
        <v>2958</v>
      </c>
      <c r="D586" s="1" t="s">
        <v>2958</v>
      </c>
      <c r="E586" s="1" t="s">
        <v>2959</v>
      </c>
      <c r="F586" s="1" t="s">
        <v>14652</v>
      </c>
      <c r="G586">
        <v>189933</v>
      </c>
      <c r="H586">
        <v>59</v>
      </c>
      <c r="I586" s="1" t="s">
        <v>11063</v>
      </c>
      <c r="J586" s="11">
        <v>44729.706458333334</v>
      </c>
      <c r="K586" s="1" t="s">
        <v>2960</v>
      </c>
      <c r="L586" s="1">
        <v>0.624</v>
      </c>
      <c r="M586" s="1">
        <v>0.80200000000000005</v>
      </c>
      <c r="N586">
        <v>6</v>
      </c>
      <c r="O586" s="1">
        <v>-4.8179999999999996</v>
      </c>
      <c r="P586">
        <v>1</v>
      </c>
      <c r="Q586" s="1">
        <v>0.311</v>
      </c>
      <c r="R586" s="1">
        <v>0.59699999999999998</v>
      </c>
      <c r="S586" s="1">
        <v>0</v>
      </c>
      <c r="T586" s="1">
        <v>0.252</v>
      </c>
      <c r="U586" s="1">
        <v>0.81799999999999995</v>
      </c>
      <c r="V586" s="1">
        <v>133.88800000000001</v>
      </c>
      <c r="W586">
        <v>4</v>
      </c>
    </row>
    <row r="587" spans="1:23" x14ac:dyDescent="0.25">
      <c r="A587" s="1" t="s">
        <v>11438</v>
      </c>
      <c r="B587" s="1" t="s">
        <v>11439</v>
      </c>
      <c r="C587" s="1" t="s">
        <v>207</v>
      </c>
      <c r="D587" s="1" t="s">
        <v>11440</v>
      </c>
      <c r="E587" s="1" t="s">
        <v>208</v>
      </c>
      <c r="F587" s="1" t="s">
        <v>11441</v>
      </c>
      <c r="G587">
        <v>263576</v>
      </c>
      <c r="H587">
        <v>69</v>
      </c>
      <c r="I587" s="1" t="s">
        <v>11063</v>
      </c>
      <c r="J587" s="11">
        <v>44729.706458333334</v>
      </c>
      <c r="K587" s="1" t="s">
        <v>209</v>
      </c>
      <c r="L587" s="1">
        <v>0.72099999999999997</v>
      </c>
      <c r="M587" s="1">
        <v>0.58799999999999997</v>
      </c>
      <c r="N587">
        <v>4</v>
      </c>
      <c r="O587" s="1">
        <v>-7.8010000000000002</v>
      </c>
      <c r="P587">
        <v>0</v>
      </c>
      <c r="Q587" s="1">
        <v>0.501</v>
      </c>
      <c r="R587" s="1">
        <v>0.37</v>
      </c>
      <c r="S587" s="1">
        <v>0.20799999999999999</v>
      </c>
      <c r="T587" s="1">
        <v>0.1</v>
      </c>
      <c r="U587" s="1">
        <v>0.27600000000000002</v>
      </c>
      <c r="V587" s="1">
        <v>150.03100000000001</v>
      </c>
      <c r="W587">
        <v>4</v>
      </c>
    </row>
    <row r="588" spans="1:23" x14ac:dyDescent="0.25">
      <c r="A588" s="1" t="s">
        <v>14653</v>
      </c>
      <c r="B588" s="1" t="s">
        <v>11439</v>
      </c>
      <c r="C588" s="1" t="s">
        <v>2961</v>
      </c>
      <c r="D588" s="1" t="s">
        <v>11664</v>
      </c>
      <c r="E588" s="1" t="s">
        <v>208</v>
      </c>
      <c r="F588" s="1" t="s">
        <v>11665</v>
      </c>
      <c r="G588">
        <v>305506</v>
      </c>
      <c r="H588">
        <v>68</v>
      </c>
      <c r="I588" s="1" t="s">
        <v>11063</v>
      </c>
      <c r="J588" s="11">
        <v>44729.706458333334</v>
      </c>
      <c r="K588" s="1" t="s">
        <v>209</v>
      </c>
      <c r="L588" s="1">
        <v>0.56000000000000005</v>
      </c>
      <c r="M588" s="1">
        <v>0.59099999999999997</v>
      </c>
      <c r="N588">
        <v>6</v>
      </c>
      <c r="O588" s="1">
        <v>-9.9139999999999997</v>
      </c>
      <c r="P588">
        <v>1</v>
      </c>
      <c r="Q588" s="1">
        <v>0.316</v>
      </c>
      <c r="R588" s="1">
        <v>0.375</v>
      </c>
      <c r="S588" s="1">
        <v>0.57399999999999995</v>
      </c>
      <c r="T588" s="1">
        <v>0.127</v>
      </c>
      <c r="U588" s="1">
        <v>0.36899999999999999</v>
      </c>
      <c r="V588" s="1">
        <v>126.628</v>
      </c>
      <c r="W588">
        <v>4</v>
      </c>
    </row>
    <row r="589" spans="1:23" x14ac:dyDescent="0.25">
      <c r="A589" s="1" t="s">
        <v>11442</v>
      </c>
      <c r="B589" s="1" t="s">
        <v>11443</v>
      </c>
      <c r="C589" s="1" t="s">
        <v>210</v>
      </c>
      <c r="D589" s="1" t="s">
        <v>11444</v>
      </c>
      <c r="E589" s="1" t="s">
        <v>211</v>
      </c>
      <c r="F589" s="1" t="s">
        <v>11445</v>
      </c>
      <c r="G589">
        <v>154280</v>
      </c>
      <c r="H589">
        <v>67</v>
      </c>
      <c r="I589" s="1" t="s">
        <v>11063</v>
      </c>
      <c r="J589" s="11">
        <v>44729.706458333334</v>
      </c>
      <c r="K589" s="1" t="s">
        <v>212</v>
      </c>
      <c r="L589" s="1">
        <v>0.88200000000000001</v>
      </c>
      <c r="M589" s="1">
        <v>0.67500000000000004</v>
      </c>
      <c r="N589">
        <v>3</v>
      </c>
      <c r="O589" s="1">
        <v>-6.0039999999999996</v>
      </c>
      <c r="P589">
        <v>1</v>
      </c>
      <c r="Q589" s="1">
        <v>0.14099999999999999</v>
      </c>
      <c r="R589" s="1">
        <v>0.47399999999999998</v>
      </c>
      <c r="S589" s="1">
        <v>0.59799999999999998</v>
      </c>
      <c r="T589" s="1">
        <v>0.124</v>
      </c>
      <c r="U589" s="1">
        <v>0.75800000000000001</v>
      </c>
      <c r="V589" s="1">
        <v>140.09200000000001</v>
      </c>
      <c r="W589">
        <v>4</v>
      </c>
    </row>
    <row r="590" spans="1:23" x14ac:dyDescent="0.25">
      <c r="A590" s="1" t="s">
        <v>14654</v>
      </c>
      <c r="B590" s="1" t="s">
        <v>11447</v>
      </c>
      <c r="C590" s="1" t="s">
        <v>2962</v>
      </c>
      <c r="D590" s="1" t="s">
        <v>11448</v>
      </c>
      <c r="E590" s="1" t="s">
        <v>214</v>
      </c>
      <c r="F590" s="1" t="s">
        <v>11449</v>
      </c>
      <c r="G590">
        <v>181111</v>
      </c>
      <c r="H590">
        <v>69</v>
      </c>
      <c r="I590" s="1" t="s">
        <v>11063</v>
      </c>
      <c r="J590" s="11">
        <v>44729.706458333334</v>
      </c>
      <c r="K590" s="1" t="s">
        <v>215</v>
      </c>
      <c r="L590" s="1">
        <v>0.65600000000000003</v>
      </c>
      <c r="M590" s="1">
        <v>0.46300000000000002</v>
      </c>
      <c r="N590">
        <v>2</v>
      </c>
      <c r="O590" s="1">
        <v>-10.93</v>
      </c>
      <c r="P590">
        <v>1</v>
      </c>
      <c r="Q590" s="1">
        <v>0.59799999999999998</v>
      </c>
      <c r="R590" s="1">
        <v>0.38</v>
      </c>
      <c r="S590" s="1">
        <v>0</v>
      </c>
      <c r="T590" s="1">
        <v>0.44600000000000001</v>
      </c>
      <c r="U590" s="1">
        <v>0.40699999999999997</v>
      </c>
      <c r="V590" s="1">
        <v>81.498999999999995</v>
      </c>
      <c r="W590">
        <v>4</v>
      </c>
    </row>
    <row r="591" spans="1:23" x14ac:dyDescent="0.25">
      <c r="A591" s="1" t="s">
        <v>11446</v>
      </c>
      <c r="B591" s="1" t="s">
        <v>11447</v>
      </c>
      <c r="C591" s="1" t="s">
        <v>213</v>
      </c>
      <c r="D591" s="1" t="s">
        <v>11448</v>
      </c>
      <c r="E591" s="1" t="s">
        <v>214</v>
      </c>
      <c r="F591" s="1" t="s">
        <v>11449</v>
      </c>
      <c r="G591">
        <v>244000</v>
      </c>
      <c r="H591">
        <v>74</v>
      </c>
      <c r="I591" s="1" t="s">
        <v>11063</v>
      </c>
      <c r="J591" s="11">
        <v>44729.706458333334</v>
      </c>
      <c r="K591" s="1" t="s">
        <v>215</v>
      </c>
      <c r="L591" s="1">
        <v>0.83199999999999996</v>
      </c>
      <c r="M591" s="1">
        <v>0.54</v>
      </c>
      <c r="N591">
        <v>6</v>
      </c>
      <c r="O591" s="1">
        <v>-8.6669999999999998</v>
      </c>
      <c r="P591">
        <v>1</v>
      </c>
      <c r="Q591" s="1">
        <v>0.39700000000000002</v>
      </c>
      <c r="R591" s="1">
        <v>0.36</v>
      </c>
      <c r="S591" s="1">
        <v>0</v>
      </c>
      <c r="T591" s="1">
        <v>0.10100000000000001</v>
      </c>
      <c r="U591" s="1">
        <v>0.84</v>
      </c>
      <c r="V591" s="1">
        <v>120.105</v>
      </c>
      <c r="W591">
        <v>4</v>
      </c>
    </row>
    <row r="592" spans="1:23" x14ac:dyDescent="0.25">
      <c r="A592" s="1" t="s">
        <v>14655</v>
      </c>
      <c r="B592" s="1" t="s">
        <v>11447</v>
      </c>
      <c r="C592" s="1" t="s">
        <v>2963</v>
      </c>
      <c r="D592" s="1" t="s">
        <v>11448</v>
      </c>
      <c r="E592" s="1" t="s">
        <v>214</v>
      </c>
      <c r="F592" s="1" t="s">
        <v>11449</v>
      </c>
      <c r="G592">
        <v>282475</v>
      </c>
      <c r="H592">
        <v>66</v>
      </c>
      <c r="I592" s="1" t="s">
        <v>11063</v>
      </c>
      <c r="J592" s="11">
        <v>44729.706458333334</v>
      </c>
      <c r="K592" s="1" t="s">
        <v>215</v>
      </c>
      <c r="L592" s="1">
        <v>0.63500000000000001</v>
      </c>
      <c r="M592" s="1">
        <v>0.75800000000000001</v>
      </c>
      <c r="N592">
        <v>1</v>
      </c>
      <c r="O592" s="1">
        <v>-8.0790000000000006</v>
      </c>
      <c r="P592">
        <v>1</v>
      </c>
      <c r="Q592" s="1">
        <v>0.153</v>
      </c>
      <c r="R592" s="1">
        <v>0.66700000000000004</v>
      </c>
      <c r="S592" s="1">
        <v>0</v>
      </c>
      <c r="T592" s="1">
        <v>0.29799999999999999</v>
      </c>
      <c r="U592" s="1">
        <v>0.29099999999999998</v>
      </c>
      <c r="V592" s="1">
        <v>59.973999999999997</v>
      </c>
      <c r="W592">
        <v>4</v>
      </c>
    </row>
    <row r="593" spans="1:23" x14ac:dyDescent="0.25">
      <c r="A593" s="1" t="s">
        <v>14656</v>
      </c>
      <c r="B593" s="1" t="s">
        <v>11447</v>
      </c>
      <c r="C593" s="1" t="s">
        <v>2964</v>
      </c>
      <c r="D593" s="1" t="s">
        <v>11448</v>
      </c>
      <c r="E593" s="1" t="s">
        <v>214</v>
      </c>
      <c r="F593" s="1" t="s">
        <v>11449</v>
      </c>
      <c r="G593">
        <v>227040</v>
      </c>
      <c r="H593">
        <v>65</v>
      </c>
      <c r="I593" s="1" t="s">
        <v>11063</v>
      </c>
      <c r="J593" s="11">
        <v>44729.706458333334</v>
      </c>
      <c r="K593" s="1" t="s">
        <v>215</v>
      </c>
      <c r="L593" s="1">
        <v>0.83399999999999996</v>
      </c>
      <c r="M593" s="1">
        <v>0.69299999999999995</v>
      </c>
      <c r="N593">
        <v>8</v>
      </c>
      <c r="O593" s="1">
        <v>-8.2810000000000006</v>
      </c>
      <c r="P593">
        <v>1</v>
      </c>
      <c r="Q593" s="1">
        <v>0.29399999999999998</v>
      </c>
      <c r="R593" s="1">
        <v>0.217</v>
      </c>
      <c r="S593" s="1">
        <v>0</v>
      </c>
      <c r="T593" s="1">
        <v>0.183</v>
      </c>
      <c r="U593" s="1">
        <v>0.35799999999999998</v>
      </c>
      <c r="V593" s="1">
        <v>149.952</v>
      </c>
      <c r="W593">
        <v>4</v>
      </c>
    </row>
    <row r="594" spans="1:23" x14ac:dyDescent="0.25">
      <c r="A594" s="1" t="s">
        <v>14657</v>
      </c>
      <c r="B594" s="1" t="s">
        <v>11447</v>
      </c>
      <c r="C594" s="1" t="s">
        <v>2965</v>
      </c>
      <c r="D594" s="1" t="s">
        <v>14658</v>
      </c>
      <c r="E594" s="1" t="s">
        <v>214</v>
      </c>
      <c r="F594" s="1" t="s">
        <v>14659</v>
      </c>
      <c r="G594">
        <v>219865</v>
      </c>
      <c r="H594">
        <v>62</v>
      </c>
      <c r="I594" s="1" t="s">
        <v>11063</v>
      </c>
      <c r="J594" s="11">
        <v>44729.706458333334</v>
      </c>
      <c r="K594" s="1" t="s">
        <v>215</v>
      </c>
      <c r="L594" s="1">
        <v>0.63400000000000001</v>
      </c>
      <c r="M594" s="1">
        <v>0.67500000000000004</v>
      </c>
      <c r="N594">
        <v>7</v>
      </c>
      <c r="O594" s="1">
        <v>-7.351</v>
      </c>
      <c r="P594">
        <v>0</v>
      </c>
      <c r="Q594" s="1">
        <v>0.92600000000000005</v>
      </c>
      <c r="R594" s="1">
        <v>0.99</v>
      </c>
      <c r="S594" s="1">
        <v>0.314</v>
      </c>
      <c r="T594" s="1">
        <v>0.36199999999999999</v>
      </c>
      <c r="U594" s="1">
        <v>0.63300000000000001</v>
      </c>
      <c r="V594" s="1">
        <v>82.183000000000007</v>
      </c>
      <c r="W594">
        <v>4</v>
      </c>
    </row>
    <row r="595" spans="1:23" x14ac:dyDescent="0.25">
      <c r="A595" s="1" t="s">
        <v>14660</v>
      </c>
      <c r="B595" s="1" t="s">
        <v>14661</v>
      </c>
      <c r="C595" s="1" t="s">
        <v>2966</v>
      </c>
      <c r="D595" s="1" t="s">
        <v>14662</v>
      </c>
      <c r="E595" s="1" t="s">
        <v>2967</v>
      </c>
      <c r="F595" s="1" t="s">
        <v>13926</v>
      </c>
      <c r="G595">
        <v>175346</v>
      </c>
      <c r="H595">
        <v>58</v>
      </c>
      <c r="I595" s="1" t="s">
        <v>11063</v>
      </c>
      <c r="J595" s="11">
        <v>44729.706458333334</v>
      </c>
      <c r="K595" s="1" t="s">
        <v>2968</v>
      </c>
      <c r="L595" s="1">
        <v>0.69399999999999995</v>
      </c>
      <c r="M595" s="1">
        <v>0.75900000000000001</v>
      </c>
      <c r="N595">
        <v>2</v>
      </c>
      <c r="O595" s="1">
        <v>-5.2309999999999999</v>
      </c>
      <c r="P595">
        <v>0</v>
      </c>
      <c r="Q595" s="1">
        <v>0.124</v>
      </c>
      <c r="R595" s="1">
        <v>0.75600000000000001</v>
      </c>
      <c r="S595" s="1">
        <v>0</v>
      </c>
      <c r="T595" s="1">
        <v>0.255</v>
      </c>
      <c r="U595" s="1">
        <v>0.77700000000000002</v>
      </c>
      <c r="V595" s="1">
        <v>86.037000000000006</v>
      </c>
      <c r="W595">
        <v>4</v>
      </c>
    </row>
    <row r="596" spans="1:23" x14ac:dyDescent="0.25">
      <c r="A596" s="1" t="s">
        <v>14663</v>
      </c>
      <c r="B596" s="1" t="s">
        <v>11447</v>
      </c>
      <c r="C596" s="1" t="s">
        <v>2969</v>
      </c>
      <c r="D596" s="1" t="s">
        <v>14662</v>
      </c>
      <c r="E596" s="1" t="s">
        <v>214</v>
      </c>
      <c r="F596" s="1" t="s">
        <v>13926</v>
      </c>
      <c r="G596">
        <v>163986</v>
      </c>
      <c r="H596">
        <v>58</v>
      </c>
      <c r="I596" s="1" t="s">
        <v>11063</v>
      </c>
      <c r="J596" s="11">
        <v>44729.706458333334</v>
      </c>
      <c r="K596" s="1" t="s">
        <v>215</v>
      </c>
      <c r="L596" s="1">
        <v>0.82699999999999996</v>
      </c>
      <c r="M596" s="1">
        <v>0.625</v>
      </c>
      <c r="N596">
        <v>11</v>
      </c>
      <c r="O596" s="1">
        <v>-5.9960000000000004</v>
      </c>
      <c r="P596">
        <v>0</v>
      </c>
      <c r="Q596" s="1">
        <v>0.26900000000000002</v>
      </c>
      <c r="R596" s="1">
        <v>0.33100000000000002</v>
      </c>
      <c r="S596" s="1">
        <v>0.623</v>
      </c>
      <c r="T596" s="1">
        <v>0.109</v>
      </c>
      <c r="U596" s="1">
        <v>0.58699999999999997</v>
      </c>
      <c r="V596" s="1">
        <v>132.06800000000001</v>
      </c>
      <c r="W596">
        <v>4</v>
      </c>
    </row>
    <row r="597" spans="1:23" x14ac:dyDescent="0.25">
      <c r="A597" s="1" t="s">
        <v>14664</v>
      </c>
      <c r="B597" s="1" t="s">
        <v>14665</v>
      </c>
      <c r="C597" s="1" t="s">
        <v>2970</v>
      </c>
      <c r="D597" s="1" t="s">
        <v>14666</v>
      </c>
      <c r="E597" s="1" t="s">
        <v>2971</v>
      </c>
      <c r="F597" s="1" t="s">
        <v>14667</v>
      </c>
      <c r="G597">
        <v>194266</v>
      </c>
      <c r="H597">
        <v>63</v>
      </c>
      <c r="I597" s="1" t="s">
        <v>11063</v>
      </c>
      <c r="J597" s="11">
        <v>44729.706458333334</v>
      </c>
      <c r="K597" s="1" t="s">
        <v>2972</v>
      </c>
      <c r="L597" s="1">
        <v>0.84699999999999998</v>
      </c>
      <c r="M597" s="1">
        <v>0.83</v>
      </c>
      <c r="N597">
        <v>7</v>
      </c>
      <c r="O597" s="1">
        <v>-5.8730000000000002</v>
      </c>
      <c r="P597">
        <v>0</v>
      </c>
      <c r="Q597" s="1">
        <v>0.34</v>
      </c>
      <c r="R597" s="1">
        <v>0.47899999999999998</v>
      </c>
      <c r="S597" s="1">
        <v>0.254</v>
      </c>
      <c r="T597" s="1">
        <v>0.68</v>
      </c>
      <c r="U597" s="1">
        <v>0.89500000000000002</v>
      </c>
      <c r="V597" s="1">
        <v>130.05000000000001</v>
      </c>
      <c r="W597">
        <v>4</v>
      </c>
    </row>
    <row r="598" spans="1:23" x14ac:dyDescent="0.25">
      <c r="A598" s="1" t="s">
        <v>14668</v>
      </c>
      <c r="B598" s="1" t="s">
        <v>14669</v>
      </c>
      <c r="C598" s="1" t="s">
        <v>2973</v>
      </c>
      <c r="D598" s="1" t="s">
        <v>2973</v>
      </c>
      <c r="E598" s="1" t="s">
        <v>2974</v>
      </c>
      <c r="F598" s="1" t="s">
        <v>14670</v>
      </c>
      <c r="G598">
        <v>356346</v>
      </c>
      <c r="H598">
        <v>70</v>
      </c>
      <c r="I598" s="1" t="s">
        <v>11063</v>
      </c>
      <c r="J598" s="11">
        <v>44729.706458333334</v>
      </c>
      <c r="K598" s="1" t="s">
        <v>2957</v>
      </c>
      <c r="L598" s="1">
        <v>0.90100000000000002</v>
      </c>
      <c r="M598" s="1">
        <v>0.93899999999999995</v>
      </c>
      <c r="N598">
        <v>6</v>
      </c>
      <c r="O598" s="1">
        <v>-2.762</v>
      </c>
      <c r="P598">
        <v>1</v>
      </c>
      <c r="Q598" s="1">
        <v>0.27400000000000002</v>
      </c>
      <c r="R598" s="1">
        <v>0.11700000000000001</v>
      </c>
      <c r="S598" s="1">
        <v>0</v>
      </c>
      <c r="T598" s="1">
        <v>0.64300000000000002</v>
      </c>
      <c r="U598" s="1">
        <v>0.80500000000000005</v>
      </c>
      <c r="V598" s="1">
        <v>142.94800000000001</v>
      </c>
      <c r="W598">
        <v>4</v>
      </c>
    </row>
    <row r="599" spans="1:23" x14ac:dyDescent="0.25">
      <c r="A599" s="1" t="s">
        <v>14671</v>
      </c>
      <c r="B599" s="1" t="s">
        <v>14665</v>
      </c>
      <c r="C599" s="1" t="s">
        <v>2975</v>
      </c>
      <c r="D599" s="1" t="s">
        <v>14672</v>
      </c>
      <c r="E599" s="1" t="s">
        <v>2971</v>
      </c>
      <c r="F599" s="1" t="s">
        <v>11335</v>
      </c>
      <c r="G599">
        <v>196733</v>
      </c>
      <c r="H599">
        <v>68</v>
      </c>
      <c r="I599" s="1" t="s">
        <v>11063</v>
      </c>
      <c r="J599" s="11">
        <v>44729.706458333334</v>
      </c>
      <c r="K599" s="1" t="s">
        <v>2972</v>
      </c>
      <c r="L599" s="1">
        <v>0.89800000000000002</v>
      </c>
      <c r="M599" s="1">
        <v>0.73799999999999999</v>
      </c>
      <c r="N599">
        <v>7</v>
      </c>
      <c r="O599" s="1">
        <v>-3.5209999999999999</v>
      </c>
      <c r="P599">
        <v>0</v>
      </c>
      <c r="Q599" s="1">
        <v>0.50900000000000001</v>
      </c>
      <c r="R599" s="1">
        <v>0.39700000000000002</v>
      </c>
      <c r="S599" s="1">
        <v>0</v>
      </c>
      <c r="T599" s="1">
        <v>0.78600000000000003</v>
      </c>
      <c r="U599" s="1">
        <v>0.60399999999999998</v>
      </c>
      <c r="V599" s="1">
        <v>128.048</v>
      </c>
      <c r="W599">
        <v>4</v>
      </c>
    </row>
    <row r="600" spans="1:23" x14ac:dyDescent="0.25">
      <c r="A600" s="1" t="s">
        <v>11450</v>
      </c>
      <c r="B600" s="1" t="s">
        <v>11451</v>
      </c>
      <c r="C600" s="1" t="s">
        <v>216</v>
      </c>
      <c r="D600" s="1" t="s">
        <v>11452</v>
      </c>
      <c r="E600" s="1" t="s">
        <v>217</v>
      </c>
      <c r="F600" s="1" t="s">
        <v>11453</v>
      </c>
      <c r="G600">
        <v>216586</v>
      </c>
      <c r="H600">
        <v>53</v>
      </c>
      <c r="I600" s="1" t="s">
        <v>11063</v>
      </c>
      <c r="J600" s="11">
        <v>44729.706458333334</v>
      </c>
      <c r="K600" s="1" t="s">
        <v>218</v>
      </c>
      <c r="L600" s="1">
        <v>0.83399999999999996</v>
      </c>
      <c r="M600" s="1">
        <v>0.96399999999999997</v>
      </c>
      <c r="N600">
        <v>0</v>
      </c>
      <c r="O600" s="1">
        <v>-3.8220000000000001</v>
      </c>
      <c r="P600">
        <v>1</v>
      </c>
      <c r="Q600" s="1">
        <v>0.23200000000000001</v>
      </c>
      <c r="R600" s="1">
        <v>0.19800000000000001</v>
      </c>
      <c r="S600" s="1">
        <v>0</v>
      </c>
      <c r="T600" s="1">
        <v>0.17599999999999999</v>
      </c>
      <c r="U600" s="1">
        <v>0.68</v>
      </c>
      <c r="V600" s="1">
        <v>127.994</v>
      </c>
      <c r="W600">
        <v>4</v>
      </c>
    </row>
    <row r="601" spans="1:23" x14ac:dyDescent="0.25">
      <c r="A601" s="1" t="s">
        <v>14673</v>
      </c>
      <c r="B601" s="1" t="s">
        <v>14674</v>
      </c>
      <c r="C601" s="1" t="s">
        <v>2976</v>
      </c>
      <c r="D601" s="1" t="s">
        <v>14675</v>
      </c>
      <c r="E601" s="1" t="s">
        <v>2977</v>
      </c>
      <c r="F601" s="1" t="s">
        <v>14676</v>
      </c>
      <c r="G601">
        <v>206320</v>
      </c>
      <c r="H601">
        <v>56</v>
      </c>
      <c r="I601" s="1" t="s">
        <v>11063</v>
      </c>
      <c r="J601" s="11">
        <v>44729.706458333334</v>
      </c>
      <c r="K601" s="1" t="s">
        <v>2978</v>
      </c>
      <c r="L601" s="1">
        <v>0.86299999999999999</v>
      </c>
      <c r="M601" s="1">
        <v>0.90900000000000003</v>
      </c>
      <c r="N601">
        <v>7</v>
      </c>
      <c r="O601" s="1">
        <v>-5.9850000000000003</v>
      </c>
      <c r="P601">
        <v>0</v>
      </c>
      <c r="Q601" s="1">
        <v>0.81299999999999994</v>
      </c>
      <c r="R601" s="1">
        <v>0.161</v>
      </c>
      <c r="S601" s="1">
        <v>0</v>
      </c>
      <c r="T601" s="1">
        <v>0.108</v>
      </c>
      <c r="U601" s="1">
        <v>0.84499999999999997</v>
      </c>
      <c r="V601" s="1">
        <v>119.038</v>
      </c>
      <c r="W601">
        <v>4</v>
      </c>
    </row>
    <row r="602" spans="1:23" x14ac:dyDescent="0.25">
      <c r="A602" s="1" t="s">
        <v>14677</v>
      </c>
      <c r="B602" s="1" t="s">
        <v>14678</v>
      </c>
      <c r="C602" s="1" t="s">
        <v>2979</v>
      </c>
      <c r="D602" s="1" t="s">
        <v>14679</v>
      </c>
      <c r="E602" s="1" t="s">
        <v>2980</v>
      </c>
      <c r="F602" s="1" t="s">
        <v>14680</v>
      </c>
      <c r="G602">
        <v>233693</v>
      </c>
      <c r="H602">
        <v>69</v>
      </c>
      <c r="I602" s="1" t="s">
        <v>11063</v>
      </c>
      <c r="J602" s="11">
        <v>44729.706458333334</v>
      </c>
      <c r="K602" s="1" t="s">
        <v>2981</v>
      </c>
      <c r="L602" s="1">
        <v>0.621</v>
      </c>
      <c r="M602" s="1">
        <v>0.90700000000000003</v>
      </c>
      <c r="N602">
        <v>2</v>
      </c>
      <c r="O602" s="1">
        <v>-3.923</v>
      </c>
      <c r="P602">
        <v>1</v>
      </c>
      <c r="Q602" s="1">
        <v>0.47399999999999998</v>
      </c>
      <c r="R602" s="1">
        <v>0.91</v>
      </c>
      <c r="S602" s="1">
        <v>0</v>
      </c>
      <c r="T602" s="1">
        <v>0.67</v>
      </c>
      <c r="U602" s="1">
        <v>0.88400000000000001</v>
      </c>
      <c r="V602" s="1">
        <v>128.05600000000001</v>
      </c>
      <c r="W602">
        <v>4</v>
      </c>
    </row>
    <row r="603" spans="1:23" x14ac:dyDescent="0.25">
      <c r="A603" s="1" t="s">
        <v>14681</v>
      </c>
      <c r="B603" s="1" t="s">
        <v>14682</v>
      </c>
      <c r="C603" s="1" t="s">
        <v>2982</v>
      </c>
      <c r="D603" s="1" t="s">
        <v>14683</v>
      </c>
      <c r="E603" s="1" t="s">
        <v>2983</v>
      </c>
      <c r="F603" s="1" t="s">
        <v>14684</v>
      </c>
      <c r="G603">
        <v>204798</v>
      </c>
      <c r="H603">
        <v>68</v>
      </c>
      <c r="I603" s="1" t="s">
        <v>11063</v>
      </c>
      <c r="J603" s="11">
        <v>44729.706458333334</v>
      </c>
      <c r="K603" s="1" t="s">
        <v>2984</v>
      </c>
      <c r="L603" s="1">
        <v>0.72299999999999998</v>
      </c>
      <c r="M603" s="1">
        <v>0.872</v>
      </c>
      <c r="N603">
        <v>1</v>
      </c>
      <c r="O603" s="1">
        <v>-3.617</v>
      </c>
      <c r="P603">
        <v>1</v>
      </c>
      <c r="Q603" s="1">
        <v>0.58599999999999997</v>
      </c>
      <c r="R603" s="1">
        <v>0.192</v>
      </c>
      <c r="S603" s="1">
        <v>0.154</v>
      </c>
      <c r="T603" s="1">
        <v>0.81399999999999995</v>
      </c>
      <c r="U603" s="1">
        <v>0.54400000000000004</v>
      </c>
      <c r="V603" s="1">
        <v>128.03800000000001</v>
      </c>
      <c r="W603">
        <v>4</v>
      </c>
    </row>
    <row r="604" spans="1:23" x14ac:dyDescent="0.25">
      <c r="A604" s="1" t="s">
        <v>14685</v>
      </c>
      <c r="B604" s="1" t="s">
        <v>14686</v>
      </c>
      <c r="C604" s="1" t="s">
        <v>2985</v>
      </c>
      <c r="D604" s="1" t="s">
        <v>14687</v>
      </c>
      <c r="E604" s="1" t="s">
        <v>2986</v>
      </c>
      <c r="F604" s="1" t="s">
        <v>14688</v>
      </c>
      <c r="G604">
        <v>245466</v>
      </c>
      <c r="H604">
        <v>69</v>
      </c>
      <c r="I604" s="1" t="s">
        <v>11063</v>
      </c>
      <c r="J604" s="11">
        <v>44729.706458333334</v>
      </c>
      <c r="K604" s="1" t="s">
        <v>2984</v>
      </c>
      <c r="L604" s="1">
        <v>0.89300000000000002</v>
      </c>
      <c r="M604" s="1">
        <v>0.82299999999999995</v>
      </c>
      <c r="N604">
        <v>5</v>
      </c>
      <c r="O604" s="1">
        <v>-3.7080000000000002</v>
      </c>
      <c r="P604">
        <v>0</v>
      </c>
      <c r="Q604" s="1">
        <v>0.122</v>
      </c>
      <c r="R604" s="1">
        <v>0.71399999999999997</v>
      </c>
      <c r="S604" s="1">
        <v>0</v>
      </c>
      <c r="T604" s="1">
        <v>0.50900000000000001</v>
      </c>
      <c r="U604" s="1">
        <v>0.90200000000000002</v>
      </c>
      <c r="V604" s="1">
        <v>128.00899999999999</v>
      </c>
      <c r="W604">
        <v>4</v>
      </c>
    </row>
    <row r="605" spans="1:23" x14ac:dyDescent="0.25">
      <c r="A605" s="1" t="s">
        <v>14689</v>
      </c>
      <c r="B605" s="1" t="s">
        <v>14690</v>
      </c>
      <c r="C605" s="1" t="s">
        <v>2987</v>
      </c>
      <c r="D605" s="1" t="s">
        <v>2987</v>
      </c>
      <c r="E605" s="1" t="s">
        <v>2988</v>
      </c>
      <c r="F605" s="1" t="s">
        <v>11222</v>
      </c>
      <c r="G605">
        <v>207781</v>
      </c>
      <c r="H605">
        <v>59</v>
      </c>
      <c r="I605" s="1" t="s">
        <v>11063</v>
      </c>
      <c r="J605" s="11">
        <v>44729.706458333334</v>
      </c>
      <c r="K605" s="1" t="s">
        <v>2989</v>
      </c>
      <c r="L605" s="1">
        <v>0.70699999999999996</v>
      </c>
      <c r="M605" s="1">
        <v>0.95099999999999996</v>
      </c>
      <c r="N605">
        <v>11</v>
      </c>
      <c r="O605" s="1">
        <v>-3.1019999999999999</v>
      </c>
      <c r="P605">
        <v>0</v>
      </c>
      <c r="Q605" s="1">
        <v>0.17799999999999999</v>
      </c>
      <c r="R605" s="1">
        <v>0.64100000000000001</v>
      </c>
      <c r="S605" s="1">
        <v>0</v>
      </c>
      <c r="T605" s="1">
        <v>0.128</v>
      </c>
      <c r="U605" s="1">
        <v>0.32700000000000001</v>
      </c>
      <c r="V605" s="1">
        <v>125.952</v>
      </c>
      <c r="W605">
        <v>4</v>
      </c>
    </row>
    <row r="606" spans="1:23" x14ac:dyDescent="0.25">
      <c r="A606" s="1" t="s">
        <v>14691</v>
      </c>
      <c r="B606" s="1" t="s">
        <v>14692</v>
      </c>
      <c r="C606" s="1" t="s">
        <v>2990</v>
      </c>
      <c r="D606" s="1" t="s">
        <v>2990</v>
      </c>
      <c r="E606" s="1" t="s">
        <v>2991</v>
      </c>
      <c r="F606" s="1" t="s">
        <v>13465</v>
      </c>
      <c r="G606">
        <v>203406</v>
      </c>
      <c r="H606">
        <v>61</v>
      </c>
      <c r="I606" s="1" t="s">
        <v>11063</v>
      </c>
      <c r="J606" s="11">
        <v>44729.706458333334</v>
      </c>
      <c r="K606" s="1" t="s">
        <v>2989</v>
      </c>
      <c r="L606" s="1">
        <v>0.74099999999999999</v>
      </c>
      <c r="M606" s="1">
        <v>0.80700000000000005</v>
      </c>
      <c r="N606">
        <v>2</v>
      </c>
      <c r="O606" s="1">
        <v>-6.5620000000000003</v>
      </c>
      <c r="P606">
        <v>1</v>
      </c>
      <c r="Q606" s="1">
        <v>0.45100000000000001</v>
      </c>
      <c r="R606" s="1">
        <v>0.56299999999999994</v>
      </c>
      <c r="S606" s="1">
        <v>0.747</v>
      </c>
      <c r="T606" s="1">
        <v>0.35099999999999998</v>
      </c>
      <c r="U606" s="1">
        <v>0.11799999999999999</v>
      </c>
      <c r="V606" s="1">
        <v>124.06</v>
      </c>
      <c r="W606">
        <v>4</v>
      </c>
    </row>
    <row r="607" spans="1:23" x14ac:dyDescent="0.25">
      <c r="A607" s="1" t="s">
        <v>14693</v>
      </c>
      <c r="B607" s="1" t="s">
        <v>14694</v>
      </c>
      <c r="C607" s="1" t="s">
        <v>2992</v>
      </c>
      <c r="D607" s="1" t="s">
        <v>2992</v>
      </c>
      <c r="E607" s="1" t="s">
        <v>2993</v>
      </c>
      <c r="F607" s="1" t="s">
        <v>13527</v>
      </c>
      <c r="G607">
        <v>184838</v>
      </c>
      <c r="H607">
        <v>66</v>
      </c>
      <c r="I607" s="1" t="s">
        <v>11063</v>
      </c>
      <c r="J607" s="11">
        <v>44729.706458333334</v>
      </c>
      <c r="K607" s="1" t="s">
        <v>2989</v>
      </c>
      <c r="L607" s="1">
        <v>0.72</v>
      </c>
      <c r="M607" s="1">
        <v>0.85799999999999998</v>
      </c>
      <c r="N607">
        <v>0</v>
      </c>
      <c r="O607" s="1">
        <v>-5.657</v>
      </c>
      <c r="P607">
        <v>1</v>
      </c>
      <c r="Q607" s="1">
        <v>0.314</v>
      </c>
      <c r="R607" s="1">
        <v>0.307</v>
      </c>
      <c r="S607" s="1">
        <v>0.69199999999999995</v>
      </c>
      <c r="T607" s="1">
        <v>0.93200000000000005</v>
      </c>
      <c r="U607" s="1">
        <v>0.56499999999999995</v>
      </c>
      <c r="V607" s="1">
        <v>124.001</v>
      </c>
      <c r="W607">
        <v>4</v>
      </c>
    </row>
    <row r="608" spans="1:23" x14ac:dyDescent="0.25">
      <c r="A608" s="1" t="s">
        <v>14695</v>
      </c>
      <c r="B608" s="1" t="s">
        <v>14696</v>
      </c>
      <c r="C608" s="1" t="s">
        <v>2994</v>
      </c>
      <c r="D608" s="1" t="s">
        <v>2994</v>
      </c>
      <c r="E608" s="1" t="s">
        <v>2995</v>
      </c>
      <c r="F608" s="1" t="s">
        <v>11563</v>
      </c>
      <c r="G608">
        <v>172073</v>
      </c>
      <c r="H608">
        <v>68</v>
      </c>
      <c r="I608" s="1" t="s">
        <v>11063</v>
      </c>
      <c r="J608" s="11">
        <v>44729.706458333334</v>
      </c>
      <c r="K608" s="1" t="s">
        <v>2996</v>
      </c>
      <c r="L608" s="1">
        <v>0.60399999999999998</v>
      </c>
      <c r="M608" s="1">
        <v>0.89400000000000002</v>
      </c>
      <c r="N608">
        <v>11</v>
      </c>
      <c r="O608" s="1">
        <v>-3.7959999999999998</v>
      </c>
      <c r="P608">
        <v>1</v>
      </c>
      <c r="Q608" s="1">
        <v>0.19900000000000001</v>
      </c>
      <c r="R608" s="1">
        <v>0.82899999999999996</v>
      </c>
      <c r="S608" s="1">
        <v>0.56399999999999995</v>
      </c>
      <c r="T608" s="1">
        <v>0.20100000000000001</v>
      </c>
      <c r="U608" s="1">
        <v>0.66900000000000004</v>
      </c>
      <c r="V608" s="1">
        <v>122.884</v>
      </c>
      <c r="W608">
        <v>4</v>
      </c>
    </row>
    <row r="609" spans="1:23" x14ac:dyDescent="0.25">
      <c r="A609" s="1" t="s">
        <v>11454</v>
      </c>
      <c r="B609" s="1" t="s">
        <v>11455</v>
      </c>
      <c r="C609" s="1" t="s">
        <v>219</v>
      </c>
      <c r="D609" s="1" t="s">
        <v>219</v>
      </c>
      <c r="E609" s="1" t="s">
        <v>220</v>
      </c>
      <c r="F609" s="1" t="s">
        <v>11456</v>
      </c>
      <c r="G609">
        <v>251670</v>
      </c>
      <c r="H609">
        <v>67</v>
      </c>
      <c r="I609" s="1" t="s">
        <v>11063</v>
      </c>
      <c r="J609" s="11">
        <v>44729.706458333334</v>
      </c>
      <c r="K609" s="1" t="s">
        <v>221</v>
      </c>
      <c r="L609" s="1">
        <v>0.65700000000000003</v>
      </c>
      <c r="M609" s="1">
        <v>0.64300000000000002</v>
      </c>
      <c r="N609">
        <v>8</v>
      </c>
      <c r="O609" s="1">
        <v>-6.6609999999999996</v>
      </c>
      <c r="P609">
        <v>0</v>
      </c>
      <c r="Q609" s="1">
        <v>0.433</v>
      </c>
      <c r="R609" s="1">
        <v>0.48199999999999998</v>
      </c>
      <c r="S609" s="1">
        <v>0.20799999999999999</v>
      </c>
      <c r="T609" s="1">
        <v>0.189</v>
      </c>
      <c r="U609" s="1">
        <v>0.39400000000000002</v>
      </c>
      <c r="V609" s="1">
        <v>82.516000000000005</v>
      </c>
      <c r="W609">
        <v>4</v>
      </c>
    </row>
    <row r="610" spans="1:23" x14ac:dyDescent="0.25">
      <c r="A610" s="1" t="s">
        <v>14697</v>
      </c>
      <c r="B610" s="1" t="s">
        <v>14698</v>
      </c>
      <c r="C610" s="1" t="s">
        <v>2997</v>
      </c>
      <c r="D610" s="1" t="s">
        <v>14699</v>
      </c>
      <c r="E610" s="1" t="s">
        <v>2998</v>
      </c>
      <c r="F610" s="1" t="s">
        <v>13652</v>
      </c>
      <c r="G610">
        <v>228267</v>
      </c>
      <c r="H610">
        <v>71</v>
      </c>
      <c r="I610" s="1" t="s">
        <v>11063</v>
      </c>
      <c r="J610" s="11">
        <v>44729.706458333334</v>
      </c>
      <c r="K610" s="1" t="s">
        <v>2999</v>
      </c>
      <c r="L610" s="1">
        <v>0.69299999999999995</v>
      </c>
      <c r="M610" s="1">
        <v>0.67800000000000005</v>
      </c>
      <c r="N610">
        <v>8</v>
      </c>
      <c r="O610" s="1">
        <v>-7.1589999999999998</v>
      </c>
      <c r="P610">
        <v>1</v>
      </c>
      <c r="Q610" s="1">
        <v>0.32400000000000001</v>
      </c>
      <c r="R610" s="1">
        <v>0.151</v>
      </c>
      <c r="S610" s="1">
        <v>0.57099999999999995</v>
      </c>
      <c r="T610" s="1">
        <v>0.10100000000000001</v>
      </c>
      <c r="U610" s="1">
        <v>0.40400000000000003</v>
      </c>
      <c r="V610" s="1">
        <v>103.952</v>
      </c>
      <c r="W610">
        <v>4</v>
      </c>
    </row>
    <row r="611" spans="1:23" x14ac:dyDescent="0.25">
      <c r="A611" s="1" t="s">
        <v>14700</v>
      </c>
      <c r="B611" s="1" t="s">
        <v>14701</v>
      </c>
      <c r="C611" s="1" t="s">
        <v>3000</v>
      </c>
      <c r="D611" s="1" t="s">
        <v>3000</v>
      </c>
      <c r="E611" s="1" t="s">
        <v>3001</v>
      </c>
      <c r="F611" s="1" t="s">
        <v>14702</v>
      </c>
      <c r="G611">
        <v>120157</v>
      </c>
      <c r="H611">
        <v>78</v>
      </c>
      <c r="I611" s="1" t="s">
        <v>11063</v>
      </c>
      <c r="J611" s="11">
        <v>44729.706458333334</v>
      </c>
      <c r="K611" s="1" t="s">
        <v>3002</v>
      </c>
      <c r="L611" s="1">
        <v>0.70599999999999996</v>
      </c>
      <c r="M611" s="1">
        <v>0.63300000000000001</v>
      </c>
      <c r="N611">
        <v>1</v>
      </c>
      <c r="O611" s="1">
        <v>-9.5839999999999996</v>
      </c>
      <c r="P611">
        <v>1</v>
      </c>
      <c r="Q611" s="1">
        <v>0.41899999999999998</v>
      </c>
      <c r="R611" s="1">
        <v>0.26700000000000002</v>
      </c>
      <c r="S611" s="1">
        <v>0.192</v>
      </c>
      <c r="T611" s="1">
        <v>0.17499999999999999</v>
      </c>
      <c r="U611" s="1">
        <v>0.375</v>
      </c>
      <c r="V611" s="1">
        <v>110.005</v>
      </c>
      <c r="W611">
        <v>4</v>
      </c>
    </row>
    <row r="612" spans="1:23" x14ac:dyDescent="0.25">
      <c r="A612" s="1" t="s">
        <v>11457</v>
      </c>
      <c r="B612" s="1" t="s">
        <v>11458</v>
      </c>
      <c r="C612" s="1" t="s">
        <v>3003</v>
      </c>
      <c r="D612" s="1" t="s">
        <v>11459</v>
      </c>
      <c r="E612" s="1" t="s">
        <v>222</v>
      </c>
      <c r="F612" s="1" t="s">
        <v>11460</v>
      </c>
      <c r="G612">
        <v>173381</v>
      </c>
      <c r="H612">
        <v>81</v>
      </c>
      <c r="I612" s="1" t="s">
        <v>11063</v>
      </c>
      <c r="J612" s="11">
        <v>44729.706458333334</v>
      </c>
      <c r="K612" s="1" t="s">
        <v>223</v>
      </c>
      <c r="L612" s="1">
        <v>0.72199999999999998</v>
      </c>
      <c r="M612" s="1">
        <v>0.745</v>
      </c>
      <c r="N612">
        <v>7</v>
      </c>
      <c r="O612" s="1">
        <v>-4.1639999999999997</v>
      </c>
      <c r="P612">
        <v>1</v>
      </c>
      <c r="Q612" s="1">
        <v>0.25600000000000001</v>
      </c>
      <c r="R612" s="1">
        <v>0.247</v>
      </c>
      <c r="S612" s="1">
        <v>0</v>
      </c>
      <c r="T612" s="1">
        <v>0.41899999999999998</v>
      </c>
      <c r="U612" s="1">
        <v>0.52</v>
      </c>
      <c r="V612" s="1">
        <v>77.028999999999996</v>
      </c>
      <c r="W612">
        <v>4</v>
      </c>
    </row>
    <row r="613" spans="1:23" x14ac:dyDescent="0.25">
      <c r="A613" s="1" t="s">
        <v>14703</v>
      </c>
      <c r="B613" s="1" t="s">
        <v>13503</v>
      </c>
      <c r="C613" s="1" t="s">
        <v>3004</v>
      </c>
      <c r="D613" s="1" t="s">
        <v>14704</v>
      </c>
      <c r="E613" s="1" t="s">
        <v>1972</v>
      </c>
      <c r="F613" s="1" t="s">
        <v>14502</v>
      </c>
      <c r="G613">
        <v>146041</v>
      </c>
      <c r="H613">
        <v>35</v>
      </c>
      <c r="I613" s="1" t="s">
        <v>11063</v>
      </c>
      <c r="J613" s="11">
        <v>44729.706458333334</v>
      </c>
      <c r="K613" s="1" t="s">
        <v>1973</v>
      </c>
      <c r="L613" s="1">
        <v>0.53500000000000003</v>
      </c>
      <c r="M613" s="1">
        <v>0.64200000000000002</v>
      </c>
      <c r="N613">
        <v>2</v>
      </c>
      <c r="O613" s="1">
        <v>-8.1270000000000007</v>
      </c>
      <c r="P613">
        <v>0</v>
      </c>
      <c r="Q613" s="1">
        <v>0.32300000000000001</v>
      </c>
      <c r="R613" s="1">
        <v>0.54900000000000004</v>
      </c>
      <c r="S613" s="1">
        <v>0.27200000000000002</v>
      </c>
      <c r="T613" s="1">
        <v>0.22500000000000001</v>
      </c>
      <c r="U613" s="1">
        <v>0.22</v>
      </c>
      <c r="V613" s="1">
        <v>105.96599999999999</v>
      </c>
      <c r="W613">
        <v>3</v>
      </c>
    </row>
    <row r="614" spans="1:23" x14ac:dyDescent="0.25">
      <c r="A614" s="1" t="s">
        <v>14705</v>
      </c>
      <c r="B614" s="1" t="s">
        <v>14706</v>
      </c>
      <c r="C614" s="1" t="s">
        <v>3005</v>
      </c>
      <c r="D614" s="1" t="s">
        <v>3005</v>
      </c>
      <c r="E614" s="1" t="s">
        <v>3006</v>
      </c>
      <c r="F614" s="1" t="s">
        <v>14502</v>
      </c>
      <c r="G614">
        <v>299200</v>
      </c>
      <c r="H614">
        <v>38</v>
      </c>
      <c r="I614" s="1" t="s">
        <v>11063</v>
      </c>
      <c r="J614" s="11">
        <v>44729.706458333334</v>
      </c>
      <c r="K614" s="1" t="s">
        <v>3007</v>
      </c>
      <c r="L614" s="1">
        <v>0.26100000000000001</v>
      </c>
      <c r="M614" s="1">
        <v>0.71</v>
      </c>
      <c r="N614">
        <v>5</v>
      </c>
      <c r="O614" s="1">
        <v>-3.641</v>
      </c>
      <c r="P614">
        <v>0</v>
      </c>
      <c r="Q614" s="1">
        <v>0.38500000000000001</v>
      </c>
      <c r="R614" s="1">
        <v>0.89100000000000001</v>
      </c>
      <c r="S614" s="1">
        <v>0</v>
      </c>
      <c r="T614" s="1">
        <v>0.113</v>
      </c>
      <c r="U614" s="1">
        <v>0.99099999999999999</v>
      </c>
      <c r="V614" s="1">
        <v>71.168000000000006</v>
      </c>
      <c r="W614">
        <v>4</v>
      </c>
    </row>
    <row r="615" spans="1:23" x14ac:dyDescent="0.25">
      <c r="A615" s="1" t="s">
        <v>14707</v>
      </c>
      <c r="B615" s="1" t="s">
        <v>14219</v>
      </c>
      <c r="C615" s="1" t="s">
        <v>2890</v>
      </c>
      <c r="D615" s="1" t="s">
        <v>2890</v>
      </c>
      <c r="E615" s="1" t="s">
        <v>2579</v>
      </c>
      <c r="F615" s="1" t="s">
        <v>14702</v>
      </c>
      <c r="G615">
        <v>209986</v>
      </c>
      <c r="H615">
        <v>41</v>
      </c>
      <c r="I615" s="1" t="s">
        <v>11063</v>
      </c>
      <c r="J615" s="11">
        <v>44729.706458333334</v>
      </c>
      <c r="K615" s="1" t="s">
        <v>2580</v>
      </c>
      <c r="L615" s="1">
        <v>0.81399999999999995</v>
      </c>
      <c r="M615" s="1">
        <v>0.56899999999999995</v>
      </c>
      <c r="N615">
        <v>6</v>
      </c>
      <c r="O615" s="1">
        <v>-6.726</v>
      </c>
      <c r="P615">
        <v>0</v>
      </c>
      <c r="Q615" s="1">
        <v>0.55200000000000005</v>
      </c>
      <c r="R615" s="1">
        <v>0.10299999999999999</v>
      </c>
      <c r="S615" s="1">
        <v>0.158</v>
      </c>
      <c r="T615" s="1">
        <v>0.22500000000000001</v>
      </c>
      <c r="U615" s="1">
        <v>0.72499999999999998</v>
      </c>
      <c r="V615" s="1">
        <v>130.012</v>
      </c>
      <c r="W615">
        <v>4</v>
      </c>
    </row>
    <row r="616" spans="1:23" x14ac:dyDescent="0.25">
      <c r="A616" s="1" t="s">
        <v>14708</v>
      </c>
      <c r="B616" s="1" t="s">
        <v>14709</v>
      </c>
      <c r="C616" s="1" t="s">
        <v>3008</v>
      </c>
      <c r="D616" s="1" t="s">
        <v>3008</v>
      </c>
      <c r="E616" s="1" t="s">
        <v>3009</v>
      </c>
      <c r="F616" s="1" t="s">
        <v>14710</v>
      </c>
      <c r="G616">
        <v>170533</v>
      </c>
      <c r="H616">
        <v>53</v>
      </c>
      <c r="I616" s="1" t="s">
        <v>11063</v>
      </c>
      <c r="J616" s="11">
        <v>44729.706458333334</v>
      </c>
      <c r="K616" s="1" t="s">
        <v>3010</v>
      </c>
      <c r="L616" s="1">
        <v>0.504</v>
      </c>
      <c r="M616" s="1">
        <v>0.55500000000000005</v>
      </c>
      <c r="N616">
        <v>7</v>
      </c>
      <c r="O616" s="1">
        <v>-4.8929999999999998</v>
      </c>
      <c r="P616">
        <v>0</v>
      </c>
      <c r="Q616" s="1">
        <v>0.32</v>
      </c>
      <c r="R616" s="1">
        <v>0.13300000000000001</v>
      </c>
      <c r="S616" s="1">
        <v>0.53600000000000003</v>
      </c>
      <c r="T616" s="1">
        <v>0.22500000000000001</v>
      </c>
      <c r="U616" s="1">
        <v>0.157</v>
      </c>
      <c r="V616" s="1">
        <v>123.852</v>
      </c>
      <c r="W616">
        <v>4</v>
      </c>
    </row>
    <row r="617" spans="1:23" x14ac:dyDescent="0.25">
      <c r="A617" s="1" t="s">
        <v>14711</v>
      </c>
      <c r="B617" s="1" t="s">
        <v>14277</v>
      </c>
      <c r="C617" s="1" t="s">
        <v>3011</v>
      </c>
      <c r="D617" s="1" t="s">
        <v>3011</v>
      </c>
      <c r="E617" s="1" t="s">
        <v>2627</v>
      </c>
      <c r="F617" s="1" t="s">
        <v>14702</v>
      </c>
      <c r="G617">
        <v>129836</v>
      </c>
      <c r="H617">
        <v>51</v>
      </c>
      <c r="I617" s="1" t="s">
        <v>11063</v>
      </c>
      <c r="J617" s="11">
        <v>44729.706458333334</v>
      </c>
      <c r="K617" s="1" t="s">
        <v>2457</v>
      </c>
      <c r="L617" s="1">
        <v>0.72299999999999998</v>
      </c>
      <c r="M617" s="1">
        <v>0.61099999999999999</v>
      </c>
      <c r="N617">
        <v>9</v>
      </c>
      <c r="O617" s="1">
        <v>-5.22</v>
      </c>
      <c r="P617">
        <v>0</v>
      </c>
      <c r="Q617" s="1">
        <v>0.41799999999999998</v>
      </c>
      <c r="R617" s="1">
        <v>0.50900000000000001</v>
      </c>
      <c r="S617" s="1">
        <v>0</v>
      </c>
      <c r="T617" s="1">
        <v>0.95899999999999996</v>
      </c>
      <c r="U617" s="1">
        <v>0.252</v>
      </c>
      <c r="V617" s="1">
        <v>121.974</v>
      </c>
      <c r="W617">
        <v>4</v>
      </c>
    </row>
    <row r="618" spans="1:23" x14ac:dyDescent="0.25">
      <c r="A618" s="1" t="s">
        <v>14712</v>
      </c>
      <c r="B618" s="1" t="s">
        <v>11184</v>
      </c>
      <c r="C618" s="1" t="s">
        <v>3012</v>
      </c>
      <c r="D618" s="1" t="s">
        <v>3012</v>
      </c>
      <c r="E618" s="1" t="s">
        <v>2057</v>
      </c>
      <c r="F618" s="1" t="s">
        <v>11456</v>
      </c>
      <c r="G618">
        <v>182666</v>
      </c>
      <c r="H618">
        <v>37</v>
      </c>
      <c r="I618" s="1" t="s">
        <v>11063</v>
      </c>
      <c r="J618" s="11">
        <v>44729.706458333334</v>
      </c>
      <c r="K618" s="1" t="s">
        <v>50</v>
      </c>
      <c r="L618" s="1">
        <v>0.57799999999999996</v>
      </c>
      <c r="M618" s="1">
        <v>0.78400000000000003</v>
      </c>
      <c r="N618">
        <v>7</v>
      </c>
      <c r="O618" s="1">
        <v>-6.298</v>
      </c>
      <c r="P618">
        <v>0</v>
      </c>
      <c r="Q618" s="1">
        <v>0.46700000000000003</v>
      </c>
      <c r="R618" s="1">
        <v>0.58099999999999996</v>
      </c>
      <c r="S618" s="1">
        <v>0</v>
      </c>
      <c r="T618" s="1">
        <v>0.158</v>
      </c>
      <c r="U618" s="1">
        <v>0.34300000000000003</v>
      </c>
      <c r="V618" s="1">
        <v>179.90199999999999</v>
      </c>
      <c r="W618">
        <v>4</v>
      </c>
    </row>
    <row r="619" spans="1:23" x14ac:dyDescent="0.25">
      <c r="A619" s="1" t="s">
        <v>14713</v>
      </c>
      <c r="B619" s="1" t="s">
        <v>14714</v>
      </c>
      <c r="C619" s="1" t="s">
        <v>3013</v>
      </c>
      <c r="D619" s="1" t="s">
        <v>3013</v>
      </c>
      <c r="E619" s="1" t="s">
        <v>3014</v>
      </c>
      <c r="F619" s="1" t="s">
        <v>14702</v>
      </c>
      <c r="G619">
        <v>191124</v>
      </c>
      <c r="H619">
        <v>66</v>
      </c>
      <c r="I619" s="1" t="s">
        <v>11063</v>
      </c>
      <c r="J619" s="11">
        <v>44729.706458333334</v>
      </c>
      <c r="K619" s="1" t="s">
        <v>3015</v>
      </c>
      <c r="L619" s="1">
        <v>0.52100000000000002</v>
      </c>
      <c r="M619" s="1">
        <v>0.89200000000000002</v>
      </c>
      <c r="N619">
        <v>3</v>
      </c>
      <c r="O619" s="1">
        <v>-4.0289999999999999</v>
      </c>
      <c r="P619">
        <v>1</v>
      </c>
      <c r="Q619" s="1">
        <v>0.433</v>
      </c>
      <c r="R619" s="1">
        <v>0.53900000000000003</v>
      </c>
      <c r="S619" s="1">
        <v>0</v>
      </c>
      <c r="T619" s="1">
        <v>0.11700000000000001</v>
      </c>
      <c r="U619" s="1">
        <v>0.36899999999999999</v>
      </c>
      <c r="V619" s="1">
        <v>96.991</v>
      </c>
      <c r="W619">
        <v>4</v>
      </c>
    </row>
    <row r="620" spans="1:23" x14ac:dyDescent="0.25">
      <c r="A620" s="1" t="s">
        <v>14715</v>
      </c>
      <c r="B620" s="1" t="s">
        <v>13503</v>
      </c>
      <c r="C620" s="1" t="s">
        <v>3016</v>
      </c>
      <c r="D620" s="1" t="s">
        <v>14716</v>
      </c>
      <c r="E620" s="1" t="s">
        <v>1972</v>
      </c>
      <c r="F620" s="1" t="s">
        <v>14717</v>
      </c>
      <c r="G620">
        <v>193972</v>
      </c>
      <c r="H620">
        <v>51</v>
      </c>
      <c r="I620" s="1" t="s">
        <v>11063</v>
      </c>
      <c r="J620" s="11">
        <v>44729.706458333334</v>
      </c>
      <c r="K620" s="1" t="s">
        <v>1973</v>
      </c>
      <c r="L620" s="1">
        <v>0.58499999999999996</v>
      </c>
      <c r="M620" s="1">
        <v>0.68500000000000005</v>
      </c>
      <c r="N620">
        <v>1</v>
      </c>
      <c r="O620" s="1">
        <v>-6.49</v>
      </c>
      <c r="P620">
        <v>0</v>
      </c>
      <c r="Q620" s="1">
        <v>0.502</v>
      </c>
      <c r="R620" s="1">
        <v>0.38800000000000001</v>
      </c>
      <c r="S620" s="1">
        <v>0</v>
      </c>
      <c r="T620" s="1">
        <v>0.11</v>
      </c>
      <c r="U620" s="1">
        <v>0.46</v>
      </c>
      <c r="V620" s="1">
        <v>145.983</v>
      </c>
      <c r="W620">
        <v>4</v>
      </c>
    </row>
    <row r="621" spans="1:23" x14ac:dyDescent="0.25">
      <c r="A621" s="1" t="s">
        <v>14718</v>
      </c>
      <c r="B621" s="1" t="s">
        <v>14719</v>
      </c>
      <c r="C621" s="1" t="s">
        <v>3017</v>
      </c>
      <c r="D621" s="1" t="s">
        <v>14720</v>
      </c>
      <c r="E621" s="1" t="s">
        <v>3018</v>
      </c>
      <c r="F621" s="1" t="s">
        <v>13797</v>
      </c>
      <c r="G621">
        <v>190588</v>
      </c>
      <c r="H621">
        <v>47</v>
      </c>
      <c r="I621" s="1" t="s">
        <v>11063</v>
      </c>
      <c r="J621" s="11">
        <v>44729.706458333334</v>
      </c>
      <c r="K621" s="1" t="s">
        <v>3019</v>
      </c>
      <c r="L621" s="1">
        <v>0.49399999999999999</v>
      </c>
      <c r="M621" s="1">
        <v>0.78900000000000003</v>
      </c>
      <c r="N621">
        <v>6</v>
      </c>
      <c r="O621" s="1">
        <v>-3.8439999999999999</v>
      </c>
      <c r="P621">
        <v>0</v>
      </c>
      <c r="Q621" s="1">
        <v>0.53</v>
      </c>
      <c r="R621" s="1">
        <v>0.40100000000000002</v>
      </c>
      <c r="S621" s="1">
        <v>0.52700000000000002</v>
      </c>
      <c r="T621" s="1">
        <v>0.66100000000000003</v>
      </c>
      <c r="U621" s="1">
        <v>0.151</v>
      </c>
      <c r="V621" s="1">
        <v>169.94200000000001</v>
      </c>
      <c r="W621">
        <v>4</v>
      </c>
    </row>
    <row r="622" spans="1:23" x14ac:dyDescent="0.25">
      <c r="A622" s="1" t="s">
        <v>14721</v>
      </c>
      <c r="B622" s="1" t="s">
        <v>14722</v>
      </c>
      <c r="C622" s="1" t="s">
        <v>3020</v>
      </c>
      <c r="D622" s="1" t="s">
        <v>14723</v>
      </c>
      <c r="E622" s="1" t="s">
        <v>3021</v>
      </c>
      <c r="F622" s="1" t="s">
        <v>14620</v>
      </c>
      <c r="G622">
        <v>204375</v>
      </c>
      <c r="H622">
        <v>33</v>
      </c>
      <c r="I622" s="1" t="s">
        <v>11063</v>
      </c>
      <c r="J622" s="11">
        <v>44729.706458333334</v>
      </c>
      <c r="K622" s="1" t="s">
        <v>3022</v>
      </c>
      <c r="L622" s="1">
        <v>0.57999999999999996</v>
      </c>
      <c r="M622" s="1">
        <v>0.83</v>
      </c>
      <c r="N622">
        <v>2</v>
      </c>
      <c r="O622" s="1">
        <v>-5.7560000000000002</v>
      </c>
      <c r="P622">
        <v>1</v>
      </c>
      <c r="Q622" s="1">
        <v>0.14299999999999999</v>
      </c>
      <c r="R622" s="1">
        <v>0.21099999999999999</v>
      </c>
      <c r="S622" s="1">
        <v>0</v>
      </c>
      <c r="T622" s="1">
        <v>0.14699999999999999</v>
      </c>
      <c r="U622" s="1">
        <v>0.26700000000000002</v>
      </c>
      <c r="V622" s="1">
        <v>127.866</v>
      </c>
      <c r="W622">
        <v>4</v>
      </c>
    </row>
    <row r="623" spans="1:23" x14ac:dyDescent="0.25">
      <c r="A623" s="1" t="s">
        <v>14724</v>
      </c>
      <c r="B623" s="1" t="s">
        <v>14725</v>
      </c>
      <c r="C623" s="1" t="s">
        <v>3023</v>
      </c>
      <c r="D623" s="1" t="s">
        <v>14726</v>
      </c>
      <c r="E623" s="1" t="s">
        <v>3024</v>
      </c>
      <c r="F623" s="1" t="s">
        <v>14727</v>
      </c>
      <c r="G623">
        <v>262400</v>
      </c>
      <c r="H623">
        <v>34</v>
      </c>
      <c r="I623" s="1" t="s">
        <v>11063</v>
      </c>
      <c r="J623" s="11">
        <v>44729.706458333334</v>
      </c>
      <c r="K623" s="1" t="s">
        <v>2939</v>
      </c>
      <c r="L623" s="1">
        <v>0.54100000000000004</v>
      </c>
      <c r="M623" s="1">
        <v>0.71199999999999997</v>
      </c>
      <c r="N623">
        <v>5</v>
      </c>
      <c r="O623" s="1">
        <v>-4.8280000000000003</v>
      </c>
      <c r="P623">
        <v>0</v>
      </c>
      <c r="Q623" s="1">
        <v>0.32600000000000001</v>
      </c>
      <c r="R623" s="1">
        <v>0.13700000000000001</v>
      </c>
      <c r="S623" s="1">
        <v>0.52</v>
      </c>
      <c r="T623" s="1">
        <v>0.107</v>
      </c>
      <c r="U623" s="1">
        <v>0.21</v>
      </c>
      <c r="V623" s="1">
        <v>150.02500000000001</v>
      </c>
      <c r="W623">
        <v>4</v>
      </c>
    </row>
    <row r="624" spans="1:23" x14ac:dyDescent="0.25">
      <c r="A624" s="1" t="s">
        <v>14728</v>
      </c>
      <c r="B624" s="1" t="s">
        <v>14729</v>
      </c>
      <c r="C624" s="1" t="s">
        <v>3025</v>
      </c>
      <c r="D624" s="1" t="s">
        <v>14730</v>
      </c>
      <c r="E624" s="1" t="s">
        <v>3026</v>
      </c>
      <c r="F624" s="1" t="s">
        <v>14731</v>
      </c>
      <c r="G624">
        <v>234186</v>
      </c>
      <c r="H624">
        <v>27</v>
      </c>
      <c r="I624" s="1" t="s">
        <v>11063</v>
      </c>
      <c r="J624" s="11">
        <v>44729.706458333334</v>
      </c>
      <c r="K624" s="1" t="s">
        <v>3027</v>
      </c>
      <c r="L624" s="1">
        <v>0.54400000000000004</v>
      </c>
      <c r="M624" s="1">
        <v>0.84499999999999997</v>
      </c>
      <c r="N624">
        <v>10</v>
      </c>
      <c r="O624" s="1">
        <v>-2.2669999999999999</v>
      </c>
      <c r="P624">
        <v>0</v>
      </c>
      <c r="Q624" s="1">
        <v>0.48699999999999999</v>
      </c>
      <c r="R624" s="1">
        <v>0.16200000000000001</v>
      </c>
      <c r="S624" s="1">
        <v>0</v>
      </c>
      <c r="T624" s="1">
        <v>0.40200000000000002</v>
      </c>
      <c r="U624" s="1">
        <v>0.17699999999999999</v>
      </c>
      <c r="V624" s="1">
        <v>149.98400000000001</v>
      </c>
      <c r="W624">
        <v>4</v>
      </c>
    </row>
    <row r="625" spans="1:23" x14ac:dyDescent="0.25">
      <c r="A625" s="1" t="s">
        <v>14732</v>
      </c>
      <c r="B625" s="1" t="s">
        <v>14733</v>
      </c>
      <c r="C625" s="1" t="s">
        <v>2126</v>
      </c>
      <c r="D625" s="1" t="s">
        <v>2126</v>
      </c>
      <c r="E625" s="1" t="s">
        <v>3028</v>
      </c>
      <c r="F625" s="1" t="s">
        <v>14734</v>
      </c>
      <c r="G625">
        <v>188404</v>
      </c>
      <c r="H625">
        <v>44</v>
      </c>
      <c r="I625" s="1" t="s">
        <v>11063</v>
      </c>
      <c r="J625" s="11">
        <v>44729.706458333334</v>
      </c>
      <c r="K625" s="1" t="s">
        <v>2939</v>
      </c>
      <c r="L625" s="1">
        <v>0.61499999999999999</v>
      </c>
      <c r="M625" s="1">
        <v>0.94399999999999995</v>
      </c>
      <c r="N625">
        <v>1</v>
      </c>
      <c r="O625" s="1">
        <v>-4.3360000000000003</v>
      </c>
      <c r="P625">
        <v>0</v>
      </c>
      <c r="Q625" s="1">
        <v>0.54700000000000004</v>
      </c>
      <c r="R625" s="1">
        <v>0.17899999999999999</v>
      </c>
      <c r="S625" s="1">
        <v>0.47099999999999997</v>
      </c>
      <c r="T625" s="1">
        <v>0.33700000000000002</v>
      </c>
      <c r="U625" s="1">
        <v>0.47299999999999998</v>
      </c>
      <c r="V625" s="1">
        <v>150.08099999999999</v>
      </c>
      <c r="W625">
        <v>4</v>
      </c>
    </row>
    <row r="626" spans="1:23" x14ac:dyDescent="0.25">
      <c r="A626" s="1" t="s">
        <v>14735</v>
      </c>
      <c r="B626" s="1" t="s">
        <v>11173</v>
      </c>
      <c r="C626" s="1" t="s">
        <v>3029</v>
      </c>
      <c r="D626" s="1" t="s">
        <v>8824</v>
      </c>
      <c r="E626" s="1" t="s">
        <v>3030</v>
      </c>
      <c r="F626" s="1" t="s">
        <v>14736</v>
      </c>
      <c r="G626">
        <v>127500</v>
      </c>
      <c r="H626">
        <v>28</v>
      </c>
      <c r="I626" s="1" t="s">
        <v>11063</v>
      </c>
      <c r="J626" s="11">
        <v>44729.706458333334</v>
      </c>
      <c r="K626" s="1" t="s">
        <v>142</v>
      </c>
      <c r="L626" s="1">
        <v>0.40200000000000002</v>
      </c>
      <c r="M626" s="1">
        <v>0.51300000000000001</v>
      </c>
      <c r="N626">
        <v>1</v>
      </c>
      <c r="O626" s="1">
        <v>-5.617</v>
      </c>
      <c r="P626">
        <v>1</v>
      </c>
      <c r="Q626" s="1">
        <v>0.29799999999999999</v>
      </c>
      <c r="R626" s="1">
        <v>0.438</v>
      </c>
      <c r="S626" s="1">
        <v>0.2</v>
      </c>
      <c r="T626" s="1">
        <v>0.92700000000000005</v>
      </c>
      <c r="U626" s="1">
        <v>0.435</v>
      </c>
      <c r="V626" s="1">
        <v>173.488</v>
      </c>
      <c r="W626">
        <v>4</v>
      </c>
    </row>
    <row r="627" spans="1:23" x14ac:dyDescent="0.25">
      <c r="A627" s="1" t="s">
        <v>14737</v>
      </c>
      <c r="B627" s="1" t="s">
        <v>14738</v>
      </c>
      <c r="C627" s="1" t="s">
        <v>3031</v>
      </c>
      <c r="D627" s="1" t="s">
        <v>3031</v>
      </c>
      <c r="E627" s="1" t="s">
        <v>3032</v>
      </c>
      <c r="F627" s="1" t="s">
        <v>14739</v>
      </c>
      <c r="G627">
        <v>194848</v>
      </c>
      <c r="H627">
        <v>27</v>
      </c>
      <c r="I627" s="1" t="s">
        <v>11063</v>
      </c>
      <c r="J627" s="11">
        <v>44729.706458333334</v>
      </c>
      <c r="K627" s="1" t="s">
        <v>3033</v>
      </c>
      <c r="L627" s="1">
        <v>0.40300000000000002</v>
      </c>
      <c r="M627" s="1">
        <v>0.8</v>
      </c>
      <c r="N627">
        <v>1</v>
      </c>
      <c r="O627" s="1">
        <v>-4.2009999999999996</v>
      </c>
      <c r="P627">
        <v>1</v>
      </c>
      <c r="Q627" s="1">
        <v>0.71799999999999997</v>
      </c>
      <c r="R627" s="1">
        <v>0.153</v>
      </c>
      <c r="S627" s="1">
        <v>0</v>
      </c>
      <c r="T627" s="1">
        <v>0.13700000000000001</v>
      </c>
      <c r="U627" s="1">
        <v>0.41199999999999998</v>
      </c>
      <c r="V627" s="1">
        <v>159.989</v>
      </c>
      <c r="W627">
        <v>4</v>
      </c>
    </row>
    <row r="628" spans="1:23" x14ac:dyDescent="0.25">
      <c r="A628" s="1" t="s">
        <v>14740</v>
      </c>
      <c r="B628" s="1" t="s">
        <v>14741</v>
      </c>
      <c r="C628" s="1" t="s">
        <v>3034</v>
      </c>
      <c r="D628" s="1" t="s">
        <v>3034</v>
      </c>
      <c r="E628" s="1" t="s">
        <v>3035</v>
      </c>
      <c r="F628" s="1" t="s">
        <v>14742</v>
      </c>
      <c r="G628">
        <v>235200</v>
      </c>
      <c r="H628">
        <v>30</v>
      </c>
      <c r="I628" s="1" t="s">
        <v>11063</v>
      </c>
      <c r="J628" s="11">
        <v>44729.706458333334</v>
      </c>
      <c r="K628" s="1" t="s">
        <v>50</v>
      </c>
      <c r="L628" s="1">
        <v>0.51900000000000002</v>
      </c>
      <c r="M628" s="1">
        <v>0.69499999999999995</v>
      </c>
      <c r="N628">
        <v>5</v>
      </c>
      <c r="O628" s="1">
        <v>-6.5010000000000003</v>
      </c>
      <c r="P628">
        <v>1</v>
      </c>
      <c r="Q628" s="1">
        <v>0.38900000000000001</v>
      </c>
      <c r="R628" s="1">
        <v>0.88900000000000001</v>
      </c>
      <c r="S628" s="1">
        <v>0.60399999999999998</v>
      </c>
      <c r="T628" s="1">
        <v>0.95699999999999996</v>
      </c>
      <c r="U628" s="1">
        <v>0.36499999999999999</v>
      </c>
      <c r="V628" s="1">
        <v>100.006</v>
      </c>
      <c r="W628">
        <v>4</v>
      </c>
    </row>
    <row r="629" spans="1:23" x14ac:dyDescent="0.25">
      <c r="A629" s="1" t="s">
        <v>14743</v>
      </c>
      <c r="B629" s="1" t="s">
        <v>14744</v>
      </c>
      <c r="C629" s="1" t="s">
        <v>3036</v>
      </c>
      <c r="D629" s="1" t="s">
        <v>3036</v>
      </c>
      <c r="E629" s="1" t="s">
        <v>3037</v>
      </c>
      <c r="F629" s="1" t="s">
        <v>14745</v>
      </c>
      <c r="G629">
        <v>205090</v>
      </c>
      <c r="H629">
        <v>33</v>
      </c>
      <c r="I629" s="1" t="s">
        <v>11063</v>
      </c>
      <c r="J629" s="11">
        <v>44729.706458333334</v>
      </c>
      <c r="K629" s="1" t="s">
        <v>2939</v>
      </c>
      <c r="L629" s="1">
        <v>0.55800000000000005</v>
      </c>
      <c r="M629" s="1">
        <v>0.71099999999999997</v>
      </c>
      <c r="N629">
        <v>4</v>
      </c>
      <c r="O629" s="1">
        <v>-4.601</v>
      </c>
      <c r="P629">
        <v>0</v>
      </c>
      <c r="Q629" s="1">
        <v>0.33700000000000002</v>
      </c>
      <c r="R629" s="1">
        <v>0.216</v>
      </c>
      <c r="S629" s="1">
        <v>0</v>
      </c>
      <c r="T629" s="1">
        <v>0.152</v>
      </c>
      <c r="U629" s="1">
        <v>0.33100000000000002</v>
      </c>
      <c r="V629" s="1">
        <v>110.03700000000001</v>
      </c>
      <c r="W629">
        <v>4</v>
      </c>
    </row>
    <row r="630" spans="1:23" x14ac:dyDescent="0.25">
      <c r="A630" s="1" t="s">
        <v>14746</v>
      </c>
      <c r="B630" s="1" t="s">
        <v>14747</v>
      </c>
      <c r="C630" s="1" t="s">
        <v>3038</v>
      </c>
      <c r="D630" s="1" t="s">
        <v>3038</v>
      </c>
      <c r="E630" s="1" t="s">
        <v>3039</v>
      </c>
      <c r="F630" s="1" t="s">
        <v>14748</v>
      </c>
      <c r="G630">
        <v>189517</v>
      </c>
      <c r="H630">
        <v>41</v>
      </c>
      <c r="I630" s="1" t="s">
        <v>11063</v>
      </c>
      <c r="J630" s="11">
        <v>44729.706458333334</v>
      </c>
      <c r="K630" s="1" t="s">
        <v>3040</v>
      </c>
      <c r="L630" s="1">
        <v>0.40600000000000003</v>
      </c>
      <c r="M630" s="1">
        <v>0.84</v>
      </c>
      <c r="N630">
        <v>10</v>
      </c>
      <c r="O630" s="1">
        <v>-4.34</v>
      </c>
      <c r="P630">
        <v>0</v>
      </c>
      <c r="Q630" s="1">
        <v>0.59799999999999998</v>
      </c>
      <c r="R630" s="1">
        <v>0.12</v>
      </c>
      <c r="S630" s="1">
        <v>0.22800000000000001</v>
      </c>
      <c r="T630" s="1">
        <v>0.112</v>
      </c>
      <c r="U630" s="1">
        <v>0.42899999999999999</v>
      </c>
      <c r="V630" s="1">
        <v>144.66200000000001</v>
      </c>
      <c r="W630">
        <v>4</v>
      </c>
    </row>
    <row r="631" spans="1:23" x14ac:dyDescent="0.25">
      <c r="A631" s="1" t="s">
        <v>14749</v>
      </c>
      <c r="B631" s="1" t="s">
        <v>14750</v>
      </c>
      <c r="C631" s="1" t="s">
        <v>3041</v>
      </c>
      <c r="D631" s="1" t="s">
        <v>14751</v>
      </c>
      <c r="E631" s="1" t="s">
        <v>3042</v>
      </c>
      <c r="F631" s="1" t="s">
        <v>14752</v>
      </c>
      <c r="G631">
        <v>136344</v>
      </c>
      <c r="H631">
        <v>30</v>
      </c>
      <c r="I631" s="1" t="s">
        <v>11063</v>
      </c>
      <c r="J631" s="11">
        <v>44729.706458333334</v>
      </c>
      <c r="K631" s="1" t="s">
        <v>3043</v>
      </c>
      <c r="L631" s="1">
        <v>0.623</v>
      </c>
      <c r="M631" s="1">
        <v>0.74299999999999999</v>
      </c>
      <c r="N631">
        <v>1</v>
      </c>
      <c r="O631" s="1">
        <v>-4.7039999999999997</v>
      </c>
      <c r="P631">
        <v>0</v>
      </c>
      <c r="Q631" s="1">
        <v>0.12</v>
      </c>
      <c r="R631" s="1">
        <v>0.76800000000000002</v>
      </c>
      <c r="S631" s="1">
        <v>0</v>
      </c>
      <c r="T631" s="1">
        <v>0.754</v>
      </c>
      <c r="U631" s="1">
        <v>0.63700000000000001</v>
      </c>
      <c r="V631" s="1">
        <v>145.05600000000001</v>
      </c>
      <c r="W631">
        <v>4</v>
      </c>
    </row>
    <row r="632" spans="1:23" x14ac:dyDescent="0.25">
      <c r="A632" s="1" t="s">
        <v>14753</v>
      </c>
      <c r="B632" s="1" t="s">
        <v>14754</v>
      </c>
      <c r="C632" s="1" t="s">
        <v>3044</v>
      </c>
      <c r="D632" s="1" t="s">
        <v>3044</v>
      </c>
      <c r="E632" s="1" t="s">
        <v>3045</v>
      </c>
      <c r="F632" s="1" t="s">
        <v>14755</v>
      </c>
      <c r="G632">
        <v>270942</v>
      </c>
      <c r="H632">
        <v>31</v>
      </c>
      <c r="I632" s="1" t="s">
        <v>11063</v>
      </c>
      <c r="J632" s="11">
        <v>44729.706458333334</v>
      </c>
      <c r="K632" s="1" t="s">
        <v>3046</v>
      </c>
      <c r="L632" s="1">
        <v>0.36399999999999999</v>
      </c>
      <c r="M632" s="1">
        <v>0.72099999999999997</v>
      </c>
      <c r="N632">
        <v>5</v>
      </c>
      <c r="O632" s="1">
        <v>-5.8280000000000003</v>
      </c>
      <c r="P632">
        <v>0</v>
      </c>
      <c r="Q632" s="1">
        <v>0.67700000000000005</v>
      </c>
      <c r="R632" s="1">
        <v>0.186</v>
      </c>
      <c r="S632" s="1">
        <v>0.82899999999999996</v>
      </c>
      <c r="T632" s="1">
        <v>0.26400000000000001</v>
      </c>
      <c r="U632" s="1">
        <v>0.17399999999999999</v>
      </c>
      <c r="V632" s="1">
        <v>140.18</v>
      </c>
      <c r="W632">
        <v>4</v>
      </c>
    </row>
    <row r="633" spans="1:23" x14ac:dyDescent="0.25">
      <c r="A633" s="1" t="s">
        <v>14756</v>
      </c>
      <c r="B633" s="1" t="s">
        <v>14757</v>
      </c>
      <c r="C633" s="1" t="s">
        <v>3047</v>
      </c>
      <c r="D633" s="1" t="s">
        <v>14758</v>
      </c>
      <c r="E633" s="1" t="s">
        <v>3048</v>
      </c>
      <c r="F633" s="1" t="s">
        <v>14759</v>
      </c>
      <c r="G633">
        <v>222015</v>
      </c>
      <c r="H633">
        <v>35</v>
      </c>
      <c r="I633" s="1" t="s">
        <v>11063</v>
      </c>
      <c r="J633" s="11">
        <v>44729.706458333334</v>
      </c>
      <c r="K633" s="1" t="s">
        <v>3049</v>
      </c>
      <c r="L633" s="1">
        <v>0.34200000000000003</v>
      </c>
      <c r="M633" s="1">
        <v>0.85</v>
      </c>
      <c r="N633">
        <v>9</v>
      </c>
      <c r="O633" s="1">
        <v>-4.8789999999999996</v>
      </c>
      <c r="P633">
        <v>1</v>
      </c>
      <c r="Q633" s="1">
        <v>0.95699999999999996</v>
      </c>
      <c r="R633" s="1">
        <v>0.32100000000000001</v>
      </c>
      <c r="S633" s="1">
        <v>0</v>
      </c>
      <c r="T633" s="1">
        <v>0.67400000000000004</v>
      </c>
      <c r="U633" s="1">
        <v>0.315</v>
      </c>
      <c r="V633" s="1">
        <v>160.02699999999999</v>
      </c>
      <c r="W633">
        <v>4</v>
      </c>
    </row>
    <row r="634" spans="1:23" x14ac:dyDescent="0.25">
      <c r="A634" s="1" t="s">
        <v>14760</v>
      </c>
      <c r="B634" s="1" t="s">
        <v>14761</v>
      </c>
      <c r="C634" s="1" t="s">
        <v>3050</v>
      </c>
      <c r="D634" s="1" t="s">
        <v>3050</v>
      </c>
      <c r="E634" s="1" t="s">
        <v>3051</v>
      </c>
      <c r="F634" s="1" t="s">
        <v>14762</v>
      </c>
      <c r="G634">
        <v>217727</v>
      </c>
      <c r="H634">
        <v>30</v>
      </c>
      <c r="I634" s="1" t="s">
        <v>11063</v>
      </c>
      <c r="J634" s="11">
        <v>44729.706458333334</v>
      </c>
      <c r="K634" s="1" t="s">
        <v>50</v>
      </c>
      <c r="L634" s="1">
        <v>0.504</v>
      </c>
      <c r="M634" s="1">
        <v>0.69899999999999995</v>
      </c>
      <c r="N634">
        <v>5</v>
      </c>
      <c r="O634" s="1">
        <v>-5.05</v>
      </c>
      <c r="P634">
        <v>0</v>
      </c>
      <c r="Q634" s="1">
        <v>0.48099999999999998</v>
      </c>
      <c r="R634" s="1">
        <v>0.20300000000000001</v>
      </c>
      <c r="S634" s="1">
        <v>0.46400000000000002</v>
      </c>
      <c r="T634" s="1">
        <v>0.104</v>
      </c>
      <c r="U634" s="1">
        <v>0.50800000000000001</v>
      </c>
      <c r="V634" s="1">
        <v>139.858</v>
      </c>
      <c r="W634">
        <v>4</v>
      </c>
    </row>
    <row r="635" spans="1:23" x14ac:dyDescent="0.25">
      <c r="A635" s="1" t="s">
        <v>14763</v>
      </c>
      <c r="B635" s="1" t="s">
        <v>14764</v>
      </c>
      <c r="C635" s="1" t="s">
        <v>3052</v>
      </c>
      <c r="D635" s="1" t="s">
        <v>3052</v>
      </c>
      <c r="E635" s="1" t="s">
        <v>3053</v>
      </c>
      <c r="F635" s="1" t="s">
        <v>11349</v>
      </c>
      <c r="G635">
        <v>181392</v>
      </c>
      <c r="H635">
        <v>41</v>
      </c>
      <c r="I635" s="1" t="s">
        <v>11063</v>
      </c>
      <c r="J635" s="11">
        <v>44729.706458333334</v>
      </c>
      <c r="K635" s="1" t="s">
        <v>50</v>
      </c>
      <c r="L635" s="1">
        <v>0.64700000000000002</v>
      </c>
      <c r="M635" s="1">
        <v>0.85299999999999998</v>
      </c>
      <c r="N635">
        <v>6</v>
      </c>
      <c r="O635" s="1">
        <v>-7.3609999999999998</v>
      </c>
      <c r="P635">
        <v>0</v>
      </c>
      <c r="Q635" s="1">
        <v>0.47499999999999998</v>
      </c>
      <c r="R635" s="1">
        <v>0.30099999999999999</v>
      </c>
      <c r="S635" s="1">
        <v>0.105</v>
      </c>
      <c r="T635" s="1">
        <v>0.191</v>
      </c>
      <c r="U635" s="1">
        <v>0.375</v>
      </c>
      <c r="V635" s="1">
        <v>140.02099999999999</v>
      </c>
      <c r="W635">
        <v>4</v>
      </c>
    </row>
    <row r="636" spans="1:23" x14ac:dyDescent="0.25">
      <c r="A636" s="1" t="s">
        <v>14765</v>
      </c>
      <c r="B636" s="1" t="s">
        <v>14766</v>
      </c>
      <c r="C636" s="1" t="s">
        <v>3054</v>
      </c>
      <c r="D636" s="1" t="s">
        <v>3054</v>
      </c>
      <c r="E636" s="1" t="s">
        <v>3055</v>
      </c>
      <c r="F636" s="1" t="s">
        <v>14767</v>
      </c>
      <c r="G636">
        <v>253090</v>
      </c>
      <c r="H636">
        <v>41</v>
      </c>
      <c r="I636" s="1" t="s">
        <v>11063</v>
      </c>
      <c r="J636" s="11">
        <v>44729.706458333334</v>
      </c>
      <c r="K636" s="1" t="s">
        <v>3056</v>
      </c>
      <c r="L636" s="1">
        <v>0.59299999999999997</v>
      </c>
      <c r="M636" s="1">
        <v>0.76600000000000001</v>
      </c>
      <c r="N636">
        <v>5</v>
      </c>
      <c r="O636" s="1">
        <v>-1.958</v>
      </c>
      <c r="P636">
        <v>1</v>
      </c>
      <c r="Q636" s="1">
        <v>0.44500000000000001</v>
      </c>
      <c r="R636" s="1">
        <v>0.61699999999999999</v>
      </c>
      <c r="S636" s="1">
        <v>0</v>
      </c>
      <c r="T636" s="1">
        <v>0.217</v>
      </c>
      <c r="U636" s="1">
        <v>0.47299999999999998</v>
      </c>
      <c r="V636" s="1">
        <v>109.916</v>
      </c>
      <c r="W636">
        <v>4</v>
      </c>
    </row>
    <row r="637" spans="1:23" x14ac:dyDescent="0.25">
      <c r="A637" s="1" t="s">
        <v>14768</v>
      </c>
      <c r="B637" s="1" t="s">
        <v>14769</v>
      </c>
      <c r="C637" s="1" t="s">
        <v>3057</v>
      </c>
      <c r="D637" s="1" t="s">
        <v>14770</v>
      </c>
      <c r="E637" s="1" t="s">
        <v>3058</v>
      </c>
      <c r="F637" s="1" t="s">
        <v>14771</v>
      </c>
      <c r="G637">
        <v>213474</v>
      </c>
      <c r="H637">
        <v>67</v>
      </c>
      <c r="I637" s="1" t="s">
        <v>11063</v>
      </c>
      <c r="J637" s="11">
        <v>44729.706458333334</v>
      </c>
      <c r="K637" s="1" t="s">
        <v>3059</v>
      </c>
      <c r="L637" s="1">
        <v>0.42799999999999999</v>
      </c>
      <c r="M637" s="1">
        <v>0.28799999999999998</v>
      </c>
      <c r="N637">
        <v>5</v>
      </c>
      <c r="O637" s="1">
        <v>-8.8960000000000008</v>
      </c>
      <c r="P637">
        <v>0</v>
      </c>
      <c r="Q637" s="1">
        <v>0.38700000000000001</v>
      </c>
      <c r="R637" s="1">
        <v>0.57799999999999996</v>
      </c>
      <c r="S637" s="1">
        <v>0.96799999999999997</v>
      </c>
      <c r="T637" s="1">
        <v>0.79500000000000004</v>
      </c>
      <c r="U637" s="1">
        <v>0.159</v>
      </c>
      <c r="V637" s="1">
        <v>110.218</v>
      </c>
      <c r="W637">
        <v>3</v>
      </c>
    </row>
    <row r="638" spans="1:23" x14ac:dyDescent="0.25">
      <c r="A638" s="1" t="s">
        <v>14772</v>
      </c>
      <c r="B638" s="1" t="s">
        <v>13905</v>
      </c>
      <c r="C638" s="1" t="s">
        <v>3060</v>
      </c>
      <c r="D638" s="1" t="s">
        <v>3060</v>
      </c>
      <c r="E638" s="1" t="s">
        <v>2316</v>
      </c>
      <c r="F638" s="1" t="s">
        <v>14469</v>
      </c>
      <c r="G638">
        <v>293824</v>
      </c>
      <c r="H638">
        <v>55</v>
      </c>
      <c r="I638" s="1" t="s">
        <v>11063</v>
      </c>
      <c r="J638" s="11">
        <v>44729.706458333334</v>
      </c>
      <c r="K638" s="1" t="s">
        <v>2317</v>
      </c>
      <c r="L638" s="1">
        <v>0.47299999999999998</v>
      </c>
      <c r="M638" s="1">
        <v>0.9</v>
      </c>
      <c r="N638">
        <v>11</v>
      </c>
      <c r="O638" s="1">
        <v>-3.073</v>
      </c>
      <c r="P638">
        <v>0</v>
      </c>
      <c r="Q638" s="1">
        <v>0.51100000000000001</v>
      </c>
      <c r="R638" s="1">
        <v>0.20899999999999999</v>
      </c>
      <c r="S638" s="1">
        <v>0</v>
      </c>
      <c r="T638" s="1">
        <v>0.94799999999999995</v>
      </c>
      <c r="U638" s="1">
        <v>0.377</v>
      </c>
      <c r="V638" s="1">
        <v>186.91</v>
      </c>
      <c r="W638">
        <v>4</v>
      </c>
    </row>
    <row r="639" spans="1:23" x14ac:dyDescent="0.25">
      <c r="A639" s="1" t="s">
        <v>14773</v>
      </c>
      <c r="B639" s="1" t="s">
        <v>14774</v>
      </c>
      <c r="C639" s="1" t="s">
        <v>3061</v>
      </c>
      <c r="D639" s="1" t="s">
        <v>14775</v>
      </c>
      <c r="E639" s="1" t="s">
        <v>3062</v>
      </c>
      <c r="F639" s="1" t="s">
        <v>14776</v>
      </c>
      <c r="G639">
        <v>251813</v>
      </c>
      <c r="H639">
        <v>54</v>
      </c>
      <c r="I639" s="1" t="s">
        <v>11063</v>
      </c>
      <c r="J639" s="11">
        <v>44729.706458333334</v>
      </c>
      <c r="K639" s="1" t="s">
        <v>3063</v>
      </c>
      <c r="L639" s="1">
        <v>0.69699999999999995</v>
      </c>
      <c r="M639" s="1">
        <v>0.71299999999999997</v>
      </c>
      <c r="N639">
        <v>11</v>
      </c>
      <c r="O639" s="1">
        <v>-5.9560000000000004</v>
      </c>
      <c r="P639">
        <v>1</v>
      </c>
      <c r="Q639" s="1">
        <v>0.34200000000000003</v>
      </c>
      <c r="R639" s="1">
        <v>0.4</v>
      </c>
      <c r="S639" s="1">
        <v>0</v>
      </c>
      <c r="T639" s="1">
        <v>0.113</v>
      </c>
      <c r="U639" s="1">
        <v>0.45</v>
      </c>
      <c r="V639" s="1">
        <v>123.374</v>
      </c>
      <c r="W639">
        <v>4</v>
      </c>
    </row>
    <row r="640" spans="1:23" x14ac:dyDescent="0.25">
      <c r="A640" s="1" t="s">
        <v>14777</v>
      </c>
      <c r="B640" s="1" t="s">
        <v>14778</v>
      </c>
      <c r="C640" s="1" t="s">
        <v>3064</v>
      </c>
      <c r="D640" s="1" t="s">
        <v>14779</v>
      </c>
      <c r="E640" s="1" t="s">
        <v>3065</v>
      </c>
      <c r="F640" s="1" t="s">
        <v>14780</v>
      </c>
      <c r="G640">
        <v>238991</v>
      </c>
      <c r="H640">
        <v>50</v>
      </c>
      <c r="I640" s="1" t="s">
        <v>11063</v>
      </c>
      <c r="J640" s="11">
        <v>44729.706458333334</v>
      </c>
      <c r="K640" s="1" t="s">
        <v>3066</v>
      </c>
      <c r="L640" s="1">
        <v>0.63900000000000001</v>
      </c>
      <c r="M640" s="1">
        <v>0.68500000000000005</v>
      </c>
      <c r="N640">
        <v>9</v>
      </c>
      <c r="O640" s="1">
        <v>-4.5709999999999997</v>
      </c>
      <c r="P640">
        <v>0</v>
      </c>
      <c r="Q640" s="1">
        <v>0.49</v>
      </c>
      <c r="R640" s="1">
        <v>0.105</v>
      </c>
      <c r="S640" s="1">
        <v>0</v>
      </c>
      <c r="T640" s="1">
        <v>0.14299999999999999</v>
      </c>
      <c r="U640" s="1">
        <v>0.36299999999999999</v>
      </c>
      <c r="V640" s="1">
        <v>110.041</v>
      </c>
      <c r="W640">
        <v>4</v>
      </c>
    </row>
    <row r="641" spans="1:23" x14ac:dyDescent="0.25">
      <c r="A641" s="1" t="s">
        <v>14781</v>
      </c>
      <c r="B641" s="1" t="s">
        <v>14782</v>
      </c>
      <c r="C641" s="1" t="s">
        <v>2719</v>
      </c>
      <c r="D641" s="1" t="s">
        <v>2719</v>
      </c>
      <c r="E641" s="1" t="s">
        <v>3067</v>
      </c>
      <c r="F641" s="1" t="s">
        <v>14783</v>
      </c>
      <c r="G641">
        <v>206134</v>
      </c>
      <c r="H641">
        <v>27</v>
      </c>
      <c r="I641" s="1" t="s">
        <v>11063</v>
      </c>
      <c r="J641" s="11">
        <v>44729.706458333334</v>
      </c>
      <c r="K641" s="1" t="s">
        <v>992</v>
      </c>
      <c r="L641" s="1">
        <v>0.61</v>
      </c>
      <c r="M641" s="1">
        <v>0.52200000000000002</v>
      </c>
      <c r="N641">
        <v>9</v>
      </c>
      <c r="O641" s="1">
        <v>-8.7769999999999992</v>
      </c>
      <c r="P641">
        <v>0</v>
      </c>
      <c r="Q641" s="1">
        <v>0.40300000000000002</v>
      </c>
      <c r="R641" s="1">
        <v>0.22900000000000001</v>
      </c>
      <c r="S641" s="1">
        <v>0.27300000000000002</v>
      </c>
      <c r="T641" s="1">
        <v>0.89800000000000002</v>
      </c>
      <c r="U641" s="1">
        <v>0.214</v>
      </c>
      <c r="V641" s="1">
        <v>89.963999999999999</v>
      </c>
      <c r="W641">
        <v>4</v>
      </c>
    </row>
    <row r="642" spans="1:23" x14ac:dyDescent="0.25">
      <c r="A642" s="1" t="s">
        <v>14784</v>
      </c>
      <c r="B642" s="1" t="s">
        <v>14785</v>
      </c>
      <c r="C642" s="1" t="s">
        <v>3068</v>
      </c>
      <c r="D642" s="1" t="s">
        <v>14786</v>
      </c>
      <c r="E642" s="1" t="s">
        <v>3069</v>
      </c>
      <c r="F642" s="1" t="s">
        <v>13338</v>
      </c>
      <c r="G642">
        <v>180842</v>
      </c>
      <c r="H642">
        <v>68</v>
      </c>
      <c r="I642" s="1" t="s">
        <v>11063</v>
      </c>
      <c r="J642" s="11">
        <v>44729.706458333334</v>
      </c>
      <c r="K642" s="1" t="s">
        <v>3070</v>
      </c>
      <c r="L642" s="1">
        <v>0.58699999999999997</v>
      </c>
      <c r="M642" s="1">
        <v>0.72199999999999998</v>
      </c>
      <c r="N642">
        <v>2</v>
      </c>
      <c r="O642" s="1">
        <v>-6.9829999999999997</v>
      </c>
      <c r="P642">
        <v>0</v>
      </c>
      <c r="Q642" s="1">
        <v>0.70899999999999996</v>
      </c>
      <c r="R642" s="1">
        <v>0.754</v>
      </c>
      <c r="S642" s="1">
        <v>0.66800000000000004</v>
      </c>
      <c r="T642" s="1">
        <v>0.54300000000000004</v>
      </c>
      <c r="U642" s="1">
        <v>0.46600000000000003</v>
      </c>
      <c r="V642" s="1">
        <v>121.964</v>
      </c>
      <c r="W642">
        <v>4</v>
      </c>
    </row>
    <row r="643" spans="1:23" x14ac:dyDescent="0.25">
      <c r="A643" s="1" t="s">
        <v>14787</v>
      </c>
      <c r="B643" s="1" t="s">
        <v>13501</v>
      </c>
      <c r="C643" s="1" t="s">
        <v>3071</v>
      </c>
      <c r="D643" s="1" t="s">
        <v>3071</v>
      </c>
      <c r="E643" s="1" t="s">
        <v>1969</v>
      </c>
      <c r="F643" s="1" t="s">
        <v>14788</v>
      </c>
      <c r="G643">
        <v>185379</v>
      </c>
      <c r="H643">
        <v>51</v>
      </c>
      <c r="I643" s="1" t="s">
        <v>11063</v>
      </c>
      <c r="J643" s="11">
        <v>44729.706458333334</v>
      </c>
      <c r="K643" s="1" t="s">
        <v>1970</v>
      </c>
      <c r="L643" s="1">
        <v>0.63700000000000001</v>
      </c>
      <c r="M643" s="1">
        <v>0.755</v>
      </c>
      <c r="N643">
        <v>7</v>
      </c>
      <c r="O643" s="1">
        <v>-3.5750000000000002</v>
      </c>
      <c r="P643">
        <v>1</v>
      </c>
      <c r="Q643" s="1">
        <v>0.17399999999999999</v>
      </c>
      <c r="R643" s="1">
        <v>0.26100000000000001</v>
      </c>
      <c r="S643" s="1">
        <v>0</v>
      </c>
      <c r="T643" s="1">
        <v>0.26800000000000002</v>
      </c>
      <c r="U643" s="1">
        <v>0.39</v>
      </c>
      <c r="V643" s="1">
        <v>166.18899999999999</v>
      </c>
      <c r="W643">
        <v>4</v>
      </c>
    </row>
    <row r="644" spans="1:23" x14ac:dyDescent="0.25">
      <c r="A644" s="1" t="s">
        <v>14789</v>
      </c>
      <c r="B644" s="1" t="s">
        <v>14790</v>
      </c>
      <c r="C644" s="1" t="s">
        <v>3072</v>
      </c>
      <c r="D644" s="1" t="s">
        <v>14791</v>
      </c>
      <c r="E644" s="1" t="s">
        <v>3073</v>
      </c>
      <c r="F644" s="1" t="s">
        <v>11249</v>
      </c>
      <c r="G644">
        <v>136413</v>
      </c>
      <c r="H644">
        <v>48</v>
      </c>
      <c r="I644" s="1" t="s">
        <v>11063</v>
      </c>
      <c r="J644" s="11">
        <v>44729.706458333334</v>
      </c>
      <c r="K644" s="1" t="s">
        <v>1043</v>
      </c>
      <c r="L644" s="1">
        <v>0.90700000000000003</v>
      </c>
      <c r="M644" s="1">
        <v>0.67600000000000005</v>
      </c>
      <c r="N644">
        <v>5</v>
      </c>
      <c r="O644" s="1">
        <v>-5.6130000000000004</v>
      </c>
      <c r="P644">
        <v>0</v>
      </c>
      <c r="Q644" s="1">
        <v>0.112</v>
      </c>
      <c r="R644" s="1">
        <v>0.16600000000000001</v>
      </c>
      <c r="S644" s="1">
        <v>0.17199999999999999</v>
      </c>
      <c r="T644" s="1">
        <v>0.59299999999999997</v>
      </c>
      <c r="U644" s="1">
        <v>0.69799999999999995</v>
      </c>
      <c r="V644" s="1">
        <v>136.99199999999999</v>
      </c>
      <c r="W644">
        <v>4</v>
      </c>
    </row>
    <row r="645" spans="1:23" x14ac:dyDescent="0.25">
      <c r="A645" s="1" t="s">
        <v>14792</v>
      </c>
      <c r="B645" s="1" t="s">
        <v>14793</v>
      </c>
      <c r="C645" s="1" t="s">
        <v>3074</v>
      </c>
      <c r="D645" s="1" t="s">
        <v>3074</v>
      </c>
      <c r="E645" s="1" t="s">
        <v>3075</v>
      </c>
      <c r="F645" s="1" t="s">
        <v>14794</v>
      </c>
      <c r="G645">
        <v>154368</v>
      </c>
      <c r="H645">
        <v>27</v>
      </c>
      <c r="I645" s="1" t="s">
        <v>11063</v>
      </c>
      <c r="J645" s="11">
        <v>44729.706458333334</v>
      </c>
      <c r="K645" s="1" t="s">
        <v>3076</v>
      </c>
      <c r="L645" s="1">
        <v>0.77900000000000003</v>
      </c>
      <c r="M645" s="1">
        <v>0.66</v>
      </c>
      <c r="N645">
        <v>5</v>
      </c>
      <c r="O645" s="1">
        <v>-4.9390000000000001</v>
      </c>
      <c r="P645">
        <v>0</v>
      </c>
      <c r="Q645" s="1">
        <v>0.61799999999999999</v>
      </c>
      <c r="R645" s="1">
        <v>0.76800000000000002</v>
      </c>
      <c r="S645" s="1">
        <v>0.17100000000000001</v>
      </c>
      <c r="T645" s="1">
        <v>0.114</v>
      </c>
      <c r="U645" s="1">
        <v>0.20200000000000001</v>
      </c>
      <c r="V645" s="1">
        <v>102.935</v>
      </c>
      <c r="W645">
        <v>4</v>
      </c>
    </row>
    <row r="646" spans="1:23" x14ac:dyDescent="0.25">
      <c r="A646" s="1" t="s">
        <v>12583</v>
      </c>
      <c r="B646" s="1" t="s">
        <v>12584</v>
      </c>
      <c r="C646" s="1" t="s">
        <v>1638</v>
      </c>
      <c r="D646" s="1" t="s">
        <v>1638</v>
      </c>
      <c r="E646" s="1" t="s">
        <v>1639</v>
      </c>
      <c r="F646" s="1" t="s">
        <v>14795</v>
      </c>
      <c r="G646">
        <v>176930</v>
      </c>
      <c r="H646">
        <v>68</v>
      </c>
      <c r="I646" s="1" t="s">
        <v>11063</v>
      </c>
      <c r="J646" s="11">
        <v>44729.706458333334</v>
      </c>
      <c r="K646" s="1" t="s">
        <v>1640</v>
      </c>
      <c r="L646" s="1">
        <v>0.42899999999999999</v>
      </c>
      <c r="M646" s="1">
        <v>0.90500000000000003</v>
      </c>
      <c r="N646">
        <v>10</v>
      </c>
      <c r="O646" s="1">
        <v>-2.93</v>
      </c>
      <c r="P646">
        <v>1</v>
      </c>
      <c r="Q646" s="1">
        <v>0.51200000000000001</v>
      </c>
      <c r="R646" s="1">
        <v>0.22800000000000001</v>
      </c>
      <c r="S646" s="1">
        <v>0</v>
      </c>
      <c r="T646" s="1">
        <v>0.71399999999999997</v>
      </c>
      <c r="U646" s="1">
        <v>0.65900000000000003</v>
      </c>
      <c r="V646" s="1">
        <v>121.02500000000001</v>
      </c>
      <c r="W646">
        <v>4</v>
      </c>
    </row>
    <row r="647" spans="1:23" x14ac:dyDescent="0.25">
      <c r="A647" s="1" t="s">
        <v>14796</v>
      </c>
      <c r="B647" s="1" t="s">
        <v>14797</v>
      </c>
      <c r="C647" s="1" t="s">
        <v>3077</v>
      </c>
      <c r="D647" s="1" t="s">
        <v>3077</v>
      </c>
      <c r="E647" s="1" t="s">
        <v>3078</v>
      </c>
      <c r="F647" s="1" t="s">
        <v>11249</v>
      </c>
      <c r="G647">
        <v>155538</v>
      </c>
      <c r="H647">
        <v>42</v>
      </c>
      <c r="I647" s="1" t="s">
        <v>11063</v>
      </c>
      <c r="J647" s="11">
        <v>44729.706458333334</v>
      </c>
      <c r="K647" s="1" t="s">
        <v>2066</v>
      </c>
      <c r="L647" s="1">
        <v>0.623</v>
      </c>
      <c r="M647" s="1">
        <v>0.622</v>
      </c>
      <c r="N647">
        <v>1</v>
      </c>
      <c r="O647" s="1">
        <v>-6.891</v>
      </c>
      <c r="P647">
        <v>1</v>
      </c>
      <c r="Q647" s="1">
        <v>0.76800000000000002</v>
      </c>
      <c r="R647" s="1">
        <v>0.16200000000000001</v>
      </c>
      <c r="S647" s="1">
        <v>0.85099999999999998</v>
      </c>
      <c r="T647" s="1">
        <v>0.113</v>
      </c>
      <c r="U647" s="1">
        <v>0.45800000000000002</v>
      </c>
      <c r="V647" s="1">
        <v>129.82900000000001</v>
      </c>
      <c r="W647">
        <v>4</v>
      </c>
    </row>
    <row r="648" spans="1:23" x14ac:dyDescent="0.25">
      <c r="A648" s="1" t="s">
        <v>14798</v>
      </c>
      <c r="B648" s="1" t="s">
        <v>14799</v>
      </c>
      <c r="C648" s="1" t="s">
        <v>3079</v>
      </c>
      <c r="D648" s="1" t="s">
        <v>3079</v>
      </c>
      <c r="E648" s="1" t="s">
        <v>3080</v>
      </c>
      <c r="F648" s="1" t="s">
        <v>14771</v>
      </c>
      <c r="G648">
        <v>189692</v>
      </c>
      <c r="H648">
        <v>57</v>
      </c>
      <c r="I648" s="1" t="s">
        <v>11063</v>
      </c>
      <c r="J648" s="11">
        <v>44729.706458333334</v>
      </c>
      <c r="K648" s="1" t="s">
        <v>3081</v>
      </c>
      <c r="L648" s="1">
        <v>0.65</v>
      </c>
      <c r="M648" s="1">
        <v>0.67500000000000004</v>
      </c>
      <c r="N648">
        <v>1</v>
      </c>
      <c r="O648" s="1">
        <v>-5.8440000000000003</v>
      </c>
      <c r="P648">
        <v>1</v>
      </c>
      <c r="Q648" s="1">
        <v>0.19400000000000001</v>
      </c>
      <c r="R648" s="1">
        <v>0.68100000000000005</v>
      </c>
      <c r="S648" s="1">
        <v>0</v>
      </c>
      <c r="T648" s="1">
        <v>0.98899999999999999</v>
      </c>
      <c r="U648" s="1">
        <v>0.36799999999999999</v>
      </c>
      <c r="V648" s="1">
        <v>99.86</v>
      </c>
      <c r="W648">
        <v>4</v>
      </c>
    </row>
    <row r="649" spans="1:23" x14ac:dyDescent="0.25">
      <c r="A649" s="1" t="s">
        <v>14800</v>
      </c>
      <c r="B649" s="1" t="s">
        <v>14801</v>
      </c>
      <c r="C649" s="1" t="s">
        <v>3082</v>
      </c>
      <c r="D649" s="1" t="s">
        <v>3082</v>
      </c>
      <c r="E649" s="1" t="s">
        <v>3083</v>
      </c>
      <c r="F649" s="1" t="s">
        <v>11249</v>
      </c>
      <c r="G649">
        <v>185316</v>
      </c>
      <c r="H649">
        <v>56</v>
      </c>
      <c r="I649" s="1" t="s">
        <v>11063</v>
      </c>
      <c r="J649" s="11">
        <v>44729.706458333334</v>
      </c>
      <c r="K649" s="1" t="s">
        <v>3084</v>
      </c>
      <c r="L649" s="1">
        <v>0.59199999999999997</v>
      </c>
      <c r="M649" s="1">
        <v>0.73799999999999999</v>
      </c>
      <c r="N649">
        <v>10</v>
      </c>
      <c r="O649" s="1">
        <v>-5.9749999999999996</v>
      </c>
      <c r="P649">
        <v>0</v>
      </c>
      <c r="Q649" s="1">
        <v>0.36699999999999999</v>
      </c>
      <c r="R649" s="1">
        <v>0.64500000000000002</v>
      </c>
      <c r="S649" s="1">
        <v>0.92</v>
      </c>
      <c r="T649" s="1">
        <v>0.109</v>
      </c>
      <c r="U649" s="1">
        <v>0.31900000000000001</v>
      </c>
      <c r="V649" s="1">
        <v>158.05099999999999</v>
      </c>
      <c r="W649">
        <v>4</v>
      </c>
    </row>
    <row r="650" spans="1:23" x14ac:dyDescent="0.25">
      <c r="A650" s="1" t="s">
        <v>14802</v>
      </c>
      <c r="B650" s="1" t="s">
        <v>11184</v>
      </c>
      <c r="C650" s="1" t="s">
        <v>3085</v>
      </c>
      <c r="D650" s="1" t="s">
        <v>3085</v>
      </c>
      <c r="E650" s="1" t="s">
        <v>2057</v>
      </c>
      <c r="F650" s="1" t="s">
        <v>14795</v>
      </c>
      <c r="G650">
        <v>218000</v>
      </c>
      <c r="H650">
        <v>51</v>
      </c>
      <c r="I650" s="1" t="s">
        <v>11063</v>
      </c>
      <c r="J650" s="11">
        <v>44729.706458333334</v>
      </c>
      <c r="K650" s="1" t="s">
        <v>50</v>
      </c>
      <c r="L650" s="1">
        <v>0.80900000000000005</v>
      </c>
      <c r="M650" s="1">
        <v>0.81799999999999995</v>
      </c>
      <c r="N650">
        <v>1</v>
      </c>
      <c r="O650" s="1">
        <v>-4.5060000000000002</v>
      </c>
      <c r="P650">
        <v>1</v>
      </c>
      <c r="Q650" s="1">
        <v>0.41699999999999998</v>
      </c>
      <c r="R650" s="1">
        <v>0.34499999999999997</v>
      </c>
      <c r="S650" s="1">
        <v>0.85199999999999998</v>
      </c>
      <c r="T650" s="1">
        <v>0.218</v>
      </c>
      <c r="U650" s="1">
        <v>0.33200000000000002</v>
      </c>
      <c r="V650" s="1">
        <v>120.041</v>
      </c>
      <c r="W650">
        <v>4</v>
      </c>
    </row>
    <row r="651" spans="1:23" x14ac:dyDescent="0.25">
      <c r="A651" s="1" t="s">
        <v>14803</v>
      </c>
      <c r="B651" s="1" t="s">
        <v>14804</v>
      </c>
      <c r="C651" s="1" t="s">
        <v>3086</v>
      </c>
      <c r="D651" s="1" t="s">
        <v>14805</v>
      </c>
      <c r="E651" s="1" t="s">
        <v>3087</v>
      </c>
      <c r="F651" s="1" t="s">
        <v>13607</v>
      </c>
      <c r="G651">
        <v>233076</v>
      </c>
      <c r="H651">
        <v>23</v>
      </c>
      <c r="I651" s="1" t="s">
        <v>11063</v>
      </c>
      <c r="J651" s="11">
        <v>44729.706458333334</v>
      </c>
      <c r="K651" s="1" t="s">
        <v>3088</v>
      </c>
      <c r="L651" s="1">
        <v>0.76300000000000001</v>
      </c>
      <c r="M651" s="1">
        <v>0.76800000000000002</v>
      </c>
      <c r="N651">
        <v>7</v>
      </c>
      <c r="O651" s="1">
        <v>-6.6559999999999997</v>
      </c>
      <c r="P651">
        <v>1</v>
      </c>
      <c r="Q651" s="1">
        <v>0.42199999999999999</v>
      </c>
      <c r="R651" s="1">
        <v>0.1</v>
      </c>
      <c r="S651" s="1">
        <v>0.40600000000000003</v>
      </c>
      <c r="T651" s="1">
        <v>0.155</v>
      </c>
      <c r="U651" s="1">
        <v>0.28100000000000003</v>
      </c>
      <c r="V651" s="1">
        <v>103.97</v>
      </c>
      <c r="W651">
        <v>4</v>
      </c>
    </row>
    <row r="652" spans="1:23" x14ac:dyDescent="0.25">
      <c r="A652" s="1" t="s">
        <v>14806</v>
      </c>
      <c r="B652" s="1" t="s">
        <v>14807</v>
      </c>
      <c r="C652" s="1" t="s">
        <v>3089</v>
      </c>
      <c r="D652" s="1" t="s">
        <v>3089</v>
      </c>
      <c r="E652" s="1" t="s">
        <v>3090</v>
      </c>
      <c r="F652" s="1" t="s">
        <v>13607</v>
      </c>
      <c r="G652">
        <v>221471</v>
      </c>
      <c r="H652">
        <v>53</v>
      </c>
      <c r="I652" s="1" t="s">
        <v>11063</v>
      </c>
      <c r="J652" s="11">
        <v>44729.706458333334</v>
      </c>
      <c r="K652" s="1" t="s">
        <v>3091</v>
      </c>
      <c r="L652" s="1">
        <v>0.68</v>
      </c>
      <c r="M652" s="1">
        <v>0.91200000000000003</v>
      </c>
      <c r="N652">
        <v>11</v>
      </c>
      <c r="O652" s="1">
        <v>-8.7850000000000001</v>
      </c>
      <c r="P652">
        <v>1</v>
      </c>
      <c r="Q652" s="1">
        <v>0.57999999999999996</v>
      </c>
      <c r="R652" s="1">
        <v>0.14899999999999999</v>
      </c>
      <c r="S652" s="1">
        <v>0.316</v>
      </c>
      <c r="T652" s="1">
        <v>0.69</v>
      </c>
      <c r="U652" s="1">
        <v>0.32700000000000001</v>
      </c>
      <c r="V652" s="1">
        <v>124.994</v>
      </c>
      <c r="W652">
        <v>4</v>
      </c>
    </row>
    <row r="653" spans="1:23" x14ac:dyDescent="0.25">
      <c r="A653" s="1" t="s">
        <v>14808</v>
      </c>
      <c r="B653" s="1" t="s">
        <v>14809</v>
      </c>
      <c r="C653" s="1" t="s">
        <v>3092</v>
      </c>
      <c r="D653" s="1" t="s">
        <v>3092</v>
      </c>
      <c r="E653" s="1" t="s">
        <v>3093</v>
      </c>
      <c r="F653" s="1" t="s">
        <v>11449</v>
      </c>
      <c r="G653">
        <v>207956</v>
      </c>
      <c r="H653">
        <v>23</v>
      </c>
      <c r="I653" s="1" t="s">
        <v>11063</v>
      </c>
      <c r="J653" s="11">
        <v>44729.706458333334</v>
      </c>
      <c r="K653" s="1" t="s">
        <v>3094</v>
      </c>
      <c r="L653" s="1">
        <v>0.72399999999999998</v>
      </c>
      <c r="M653" s="1">
        <v>0.83099999999999996</v>
      </c>
      <c r="N653">
        <v>5</v>
      </c>
      <c r="O653" s="1">
        <v>-6.1580000000000004</v>
      </c>
      <c r="P653">
        <v>1</v>
      </c>
      <c r="Q653" s="1">
        <v>0.436</v>
      </c>
      <c r="R653" s="1">
        <v>0.72199999999999998</v>
      </c>
      <c r="S653" s="1">
        <v>0.69499999999999995</v>
      </c>
      <c r="T653" s="1">
        <v>0.109</v>
      </c>
      <c r="U653" s="1">
        <v>0.71899999999999997</v>
      </c>
      <c r="V653" s="1">
        <v>108.039</v>
      </c>
      <c r="W653">
        <v>4</v>
      </c>
    </row>
    <row r="654" spans="1:23" x14ac:dyDescent="0.25">
      <c r="A654" s="1" t="s">
        <v>14810</v>
      </c>
      <c r="B654" s="1" t="s">
        <v>14811</v>
      </c>
      <c r="C654" s="1" t="s">
        <v>3095</v>
      </c>
      <c r="D654" s="1" t="s">
        <v>3095</v>
      </c>
      <c r="E654" s="1" t="s">
        <v>3096</v>
      </c>
      <c r="F654" s="1" t="s">
        <v>14812</v>
      </c>
      <c r="G654">
        <v>201290</v>
      </c>
      <c r="H654">
        <v>15</v>
      </c>
      <c r="I654" s="1" t="s">
        <v>11063</v>
      </c>
      <c r="J654" s="11">
        <v>44729.706458333334</v>
      </c>
      <c r="K654" s="1" t="s">
        <v>50</v>
      </c>
      <c r="L654" s="1">
        <v>0.55300000000000005</v>
      </c>
      <c r="M654" s="1">
        <v>0.82699999999999996</v>
      </c>
      <c r="N654">
        <v>1</v>
      </c>
      <c r="O654" s="1">
        <v>-4.2050000000000001</v>
      </c>
      <c r="P654">
        <v>1</v>
      </c>
      <c r="Q654" s="1">
        <v>0.30399999999999999</v>
      </c>
      <c r="R654" s="1">
        <v>0.20799999999999999</v>
      </c>
      <c r="S654" s="1">
        <v>0.187</v>
      </c>
      <c r="T654" s="1">
        <v>0.54700000000000004</v>
      </c>
      <c r="U654" s="1">
        <v>0.14899999999999999</v>
      </c>
      <c r="V654" s="1">
        <v>124.03</v>
      </c>
      <c r="W654">
        <v>4</v>
      </c>
    </row>
    <row r="655" spans="1:23" x14ac:dyDescent="0.25">
      <c r="A655" s="1" t="s">
        <v>14813</v>
      </c>
      <c r="B655" s="1" t="s">
        <v>14814</v>
      </c>
      <c r="C655" s="1" t="s">
        <v>3097</v>
      </c>
      <c r="D655" s="1" t="s">
        <v>3097</v>
      </c>
      <c r="E655" s="1" t="s">
        <v>3098</v>
      </c>
      <c r="F655" s="1" t="s">
        <v>11449</v>
      </c>
      <c r="G655">
        <v>159617</v>
      </c>
      <c r="H655">
        <v>62</v>
      </c>
      <c r="I655" s="1" t="s">
        <v>11063</v>
      </c>
      <c r="J655" s="11">
        <v>44729.706458333334</v>
      </c>
      <c r="K655" s="1" t="s">
        <v>3099</v>
      </c>
      <c r="L655" s="1">
        <v>0.68700000000000006</v>
      </c>
      <c r="M655" s="1">
        <v>0.91700000000000004</v>
      </c>
      <c r="N655">
        <v>7</v>
      </c>
      <c r="O655" s="1">
        <v>-3.976</v>
      </c>
      <c r="P655">
        <v>0</v>
      </c>
      <c r="Q655" s="1">
        <v>0.156</v>
      </c>
      <c r="R655" s="1">
        <v>0.32400000000000001</v>
      </c>
      <c r="S655" s="1">
        <v>0</v>
      </c>
      <c r="T655" s="1">
        <v>0.97099999999999997</v>
      </c>
      <c r="U655" s="1">
        <v>0.92900000000000005</v>
      </c>
      <c r="V655" s="1">
        <v>125.895</v>
      </c>
      <c r="W655">
        <v>4</v>
      </c>
    </row>
    <row r="656" spans="1:23" x14ac:dyDescent="0.25">
      <c r="A656" s="1" t="s">
        <v>14815</v>
      </c>
      <c r="B656" s="1" t="s">
        <v>14816</v>
      </c>
      <c r="C656" s="1" t="s">
        <v>3100</v>
      </c>
      <c r="D656" s="1" t="s">
        <v>3100</v>
      </c>
      <c r="E656" s="1" t="s">
        <v>3101</v>
      </c>
      <c r="F656" s="1" t="s">
        <v>11449</v>
      </c>
      <c r="G656">
        <v>195837</v>
      </c>
      <c r="H656">
        <v>53</v>
      </c>
      <c r="I656" s="1" t="s">
        <v>11063</v>
      </c>
      <c r="J656" s="11">
        <v>44729.706458333334</v>
      </c>
      <c r="K656" s="1" t="s">
        <v>3102</v>
      </c>
      <c r="L656" s="1">
        <v>0.6</v>
      </c>
      <c r="M656" s="1">
        <v>0.78100000000000003</v>
      </c>
      <c r="N656">
        <v>2</v>
      </c>
      <c r="O656" s="1">
        <v>-5.2450000000000001</v>
      </c>
      <c r="P656">
        <v>1</v>
      </c>
      <c r="Q656" s="1">
        <v>0.35</v>
      </c>
      <c r="R656" s="1">
        <v>0.69699999999999995</v>
      </c>
      <c r="S656" s="1">
        <v>0.47199999999999998</v>
      </c>
      <c r="T656" s="1">
        <v>0.747</v>
      </c>
      <c r="U656" s="1">
        <v>0.60099999999999998</v>
      </c>
      <c r="V656" s="1">
        <v>77.992000000000004</v>
      </c>
      <c r="W656">
        <v>4</v>
      </c>
    </row>
    <row r="657" spans="1:23" x14ac:dyDescent="0.25">
      <c r="A657" s="1" t="s">
        <v>14817</v>
      </c>
      <c r="B657" s="1" t="s">
        <v>14818</v>
      </c>
      <c r="C657" s="1" t="s">
        <v>3103</v>
      </c>
      <c r="D657" s="1" t="s">
        <v>3103</v>
      </c>
      <c r="E657" s="1" t="s">
        <v>3104</v>
      </c>
      <c r="F657" s="1" t="s">
        <v>11449</v>
      </c>
      <c r="G657">
        <v>178024</v>
      </c>
      <c r="H657">
        <v>53</v>
      </c>
      <c r="I657" s="1" t="s">
        <v>11063</v>
      </c>
      <c r="J657" s="11">
        <v>44729.706458333334</v>
      </c>
      <c r="K657" s="1" t="s">
        <v>3105</v>
      </c>
      <c r="L657" s="1">
        <v>0.33600000000000002</v>
      </c>
      <c r="M657" s="1">
        <v>0.51600000000000001</v>
      </c>
      <c r="N657">
        <v>0</v>
      </c>
      <c r="O657" s="1">
        <v>-6.7560000000000002</v>
      </c>
      <c r="P657">
        <v>1</v>
      </c>
      <c r="Q657" s="1">
        <v>0.69</v>
      </c>
      <c r="R657" s="1">
        <v>0.59599999999999997</v>
      </c>
      <c r="S657" s="1">
        <v>0</v>
      </c>
      <c r="T657" s="1">
        <v>0.871</v>
      </c>
      <c r="U657" s="1">
        <v>0.38</v>
      </c>
      <c r="V657" s="1">
        <v>179.84899999999999</v>
      </c>
      <c r="W657">
        <v>3</v>
      </c>
    </row>
    <row r="658" spans="1:23" x14ac:dyDescent="0.25">
      <c r="A658" s="1" t="s">
        <v>14819</v>
      </c>
      <c r="B658" s="1" t="s">
        <v>13485</v>
      </c>
      <c r="C658" s="1" t="s">
        <v>3106</v>
      </c>
      <c r="D658" s="1" t="s">
        <v>14820</v>
      </c>
      <c r="E658" s="1" t="s">
        <v>1951</v>
      </c>
      <c r="F658" s="1" t="s">
        <v>14821</v>
      </c>
      <c r="G658">
        <v>186590</v>
      </c>
      <c r="H658">
        <v>37</v>
      </c>
      <c r="I658" s="1" t="s">
        <v>11063</v>
      </c>
      <c r="J658" s="11">
        <v>44729.706458333334</v>
      </c>
      <c r="K658" s="1" t="s">
        <v>1952</v>
      </c>
      <c r="L658" s="1">
        <v>0.59299999999999997</v>
      </c>
      <c r="M658" s="1">
        <v>0.72</v>
      </c>
      <c r="N658">
        <v>10</v>
      </c>
      <c r="O658" s="1">
        <v>-4.7030000000000003</v>
      </c>
      <c r="P658">
        <v>0</v>
      </c>
      <c r="Q658" s="1">
        <v>0.55000000000000004</v>
      </c>
      <c r="R658" s="1">
        <v>0.68500000000000005</v>
      </c>
      <c r="S658" s="1">
        <v>0</v>
      </c>
      <c r="T658" s="1">
        <v>0.183</v>
      </c>
      <c r="U658" s="1">
        <v>0.56200000000000006</v>
      </c>
      <c r="V658" s="1">
        <v>90.27</v>
      </c>
      <c r="W658">
        <v>4</v>
      </c>
    </row>
    <row r="659" spans="1:23" x14ac:dyDescent="0.25">
      <c r="A659" s="1" t="s">
        <v>14822</v>
      </c>
      <c r="B659" s="1" t="s">
        <v>14823</v>
      </c>
      <c r="C659" s="1" t="s">
        <v>3107</v>
      </c>
      <c r="D659" s="1" t="s">
        <v>3107</v>
      </c>
      <c r="E659" s="1" t="s">
        <v>3108</v>
      </c>
      <c r="F659" s="1" t="s">
        <v>14824</v>
      </c>
      <c r="G659">
        <v>163445</v>
      </c>
      <c r="H659">
        <v>55</v>
      </c>
      <c r="I659" s="1" t="s">
        <v>11063</v>
      </c>
      <c r="J659" s="11">
        <v>44729.706458333334</v>
      </c>
      <c r="K659" s="1" t="s">
        <v>3033</v>
      </c>
      <c r="L659" s="1">
        <v>0.44700000000000001</v>
      </c>
      <c r="M659" s="1">
        <v>0.70699999999999996</v>
      </c>
      <c r="N659">
        <v>8</v>
      </c>
      <c r="O659" s="1">
        <v>-6.2750000000000004</v>
      </c>
      <c r="P659">
        <v>0</v>
      </c>
      <c r="Q659" s="1">
        <v>0.81</v>
      </c>
      <c r="R659" s="1">
        <v>0.83599999999999997</v>
      </c>
      <c r="S659" s="1">
        <v>0</v>
      </c>
      <c r="T659" s="1">
        <v>0.13600000000000001</v>
      </c>
      <c r="U659" s="1">
        <v>0.30399999999999999</v>
      </c>
      <c r="V659" s="1">
        <v>180.053</v>
      </c>
      <c r="W659">
        <v>4</v>
      </c>
    </row>
    <row r="660" spans="1:23" x14ac:dyDescent="0.25">
      <c r="A660" s="1" t="s">
        <v>14825</v>
      </c>
      <c r="B660" s="1" t="s">
        <v>14826</v>
      </c>
      <c r="C660" s="1" t="s">
        <v>3109</v>
      </c>
      <c r="D660" s="1" t="s">
        <v>3109</v>
      </c>
      <c r="E660" s="1" t="s">
        <v>3110</v>
      </c>
      <c r="F660" s="1" t="s">
        <v>11449</v>
      </c>
      <c r="G660">
        <v>168833</v>
      </c>
      <c r="H660">
        <v>58</v>
      </c>
      <c r="I660" s="1" t="s">
        <v>11063</v>
      </c>
      <c r="J660" s="11">
        <v>44729.706458333334</v>
      </c>
      <c r="K660" s="1" t="s">
        <v>3111</v>
      </c>
      <c r="L660" s="1">
        <v>0.51</v>
      </c>
      <c r="M660" s="1">
        <v>0.89800000000000002</v>
      </c>
      <c r="N660">
        <v>11</v>
      </c>
      <c r="O660" s="1">
        <v>-1.218</v>
      </c>
      <c r="P660">
        <v>1</v>
      </c>
      <c r="Q660" s="1">
        <v>0.77200000000000002</v>
      </c>
      <c r="R660" s="1">
        <v>0.29399999999999998</v>
      </c>
      <c r="S660" s="1">
        <v>0.314</v>
      </c>
      <c r="T660" s="1">
        <v>0.255</v>
      </c>
      <c r="U660" s="1">
        <v>0.48299999999999998</v>
      </c>
      <c r="V660" s="1">
        <v>179.96899999999999</v>
      </c>
      <c r="W660">
        <v>4</v>
      </c>
    </row>
    <row r="661" spans="1:23" x14ac:dyDescent="0.25">
      <c r="A661" s="1" t="s">
        <v>14827</v>
      </c>
      <c r="B661" s="1" t="s">
        <v>13501</v>
      </c>
      <c r="C661" s="1" t="s">
        <v>3112</v>
      </c>
      <c r="D661" s="1" t="s">
        <v>3112</v>
      </c>
      <c r="E661" s="1" t="s">
        <v>1969</v>
      </c>
      <c r="F661" s="1" t="s">
        <v>11449</v>
      </c>
      <c r="G661">
        <v>238386</v>
      </c>
      <c r="H661">
        <v>36</v>
      </c>
      <c r="I661" s="1" t="s">
        <v>11063</v>
      </c>
      <c r="J661" s="11">
        <v>44729.706458333334</v>
      </c>
      <c r="K661" s="1" t="s">
        <v>1970</v>
      </c>
      <c r="L661" s="1">
        <v>0.54900000000000004</v>
      </c>
      <c r="M661" s="1">
        <v>0.23100000000000001</v>
      </c>
      <c r="N661">
        <v>6</v>
      </c>
      <c r="O661" s="1">
        <v>-10.355</v>
      </c>
      <c r="P661">
        <v>1</v>
      </c>
      <c r="Q661" s="1">
        <v>0.30399999999999999</v>
      </c>
      <c r="R661" s="1">
        <v>0.94399999999999995</v>
      </c>
      <c r="S661" s="1">
        <v>0.22700000000000001</v>
      </c>
      <c r="T661" s="1">
        <v>0.11600000000000001</v>
      </c>
      <c r="U661" s="1">
        <v>0.255</v>
      </c>
      <c r="V661" s="1">
        <v>136.13</v>
      </c>
      <c r="W661">
        <v>4</v>
      </c>
    </row>
    <row r="662" spans="1:23" x14ac:dyDescent="0.25">
      <c r="A662" s="1" t="s">
        <v>14828</v>
      </c>
      <c r="B662" s="1" t="s">
        <v>14091</v>
      </c>
      <c r="C662" s="1" t="s">
        <v>3113</v>
      </c>
      <c r="D662" s="1" t="s">
        <v>14829</v>
      </c>
      <c r="E662" s="1" t="s">
        <v>2475</v>
      </c>
      <c r="F662" s="1" t="s">
        <v>14830</v>
      </c>
      <c r="G662">
        <v>226460</v>
      </c>
      <c r="H662">
        <v>61</v>
      </c>
      <c r="I662" s="1" t="s">
        <v>11063</v>
      </c>
      <c r="J662" s="11">
        <v>44729.706458333334</v>
      </c>
      <c r="K662" s="1" t="s">
        <v>2476</v>
      </c>
      <c r="L662" s="1">
        <v>0.253</v>
      </c>
      <c r="M662" s="1">
        <v>0.29799999999999999</v>
      </c>
      <c r="N662">
        <v>3</v>
      </c>
      <c r="O662" s="1">
        <v>-7.5830000000000002</v>
      </c>
      <c r="P662">
        <v>0</v>
      </c>
      <c r="Q662" s="1">
        <v>0.29399999999999998</v>
      </c>
      <c r="R662" s="1">
        <v>0.28999999999999998</v>
      </c>
      <c r="S662" s="1">
        <v>0</v>
      </c>
      <c r="T662" s="1">
        <v>0.11700000000000001</v>
      </c>
      <c r="U662" s="1">
        <v>0.10299999999999999</v>
      </c>
      <c r="V662" s="1">
        <v>139.72200000000001</v>
      </c>
      <c r="W662">
        <v>4</v>
      </c>
    </row>
    <row r="663" spans="1:23" x14ac:dyDescent="0.25">
      <c r="A663" s="1" t="s">
        <v>14831</v>
      </c>
      <c r="B663" s="1" t="s">
        <v>11184</v>
      </c>
      <c r="C663" s="1" t="s">
        <v>3114</v>
      </c>
      <c r="D663" s="1" t="s">
        <v>3114</v>
      </c>
      <c r="E663" s="1" t="s">
        <v>2057</v>
      </c>
      <c r="F663" s="1" t="s">
        <v>14832</v>
      </c>
      <c r="G663">
        <v>182400</v>
      </c>
      <c r="H663">
        <v>69</v>
      </c>
      <c r="I663" s="1" t="s">
        <v>11063</v>
      </c>
      <c r="J663" s="11">
        <v>44729.706458333334</v>
      </c>
      <c r="K663" s="1" t="s">
        <v>50</v>
      </c>
      <c r="L663" s="1">
        <v>0.78200000000000003</v>
      </c>
      <c r="M663" s="1">
        <v>0.75700000000000001</v>
      </c>
      <c r="N663">
        <v>6</v>
      </c>
      <c r="O663" s="1">
        <v>-6.5039999999999996</v>
      </c>
      <c r="P663">
        <v>1</v>
      </c>
      <c r="Q663" s="1">
        <v>0.89800000000000002</v>
      </c>
      <c r="R663" s="1">
        <v>0.107</v>
      </c>
      <c r="S663" s="1">
        <v>0</v>
      </c>
      <c r="T663" s="1">
        <v>0.77900000000000003</v>
      </c>
      <c r="U663" s="1">
        <v>0.94299999999999995</v>
      </c>
      <c r="V663" s="1">
        <v>75.001999999999995</v>
      </c>
      <c r="W663">
        <v>4</v>
      </c>
    </row>
    <row r="664" spans="1:23" x14ac:dyDescent="0.25">
      <c r="A664" s="1" t="s">
        <v>11461</v>
      </c>
      <c r="B664" s="1" t="s">
        <v>11462</v>
      </c>
      <c r="C664" s="1" t="s">
        <v>3115</v>
      </c>
      <c r="D664" s="1" t="s">
        <v>3115</v>
      </c>
      <c r="E664" s="1" t="s">
        <v>224</v>
      </c>
      <c r="F664" s="1" t="s">
        <v>11463</v>
      </c>
      <c r="G664">
        <v>260634</v>
      </c>
      <c r="H664">
        <v>38</v>
      </c>
      <c r="I664" s="1" t="s">
        <v>11063</v>
      </c>
      <c r="J664" s="11">
        <v>44729.706458333334</v>
      </c>
      <c r="K664" s="1" t="s">
        <v>50</v>
      </c>
      <c r="L664" s="1">
        <v>0.752</v>
      </c>
      <c r="M664" s="1">
        <v>0.59699999999999998</v>
      </c>
      <c r="N664">
        <v>3</v>
      </c>
      <c r="O664" s="1">
        <v>-6.4450000000000003</v>
      </c>
      <c r="P664">
        <v>0</v>
      </c>
      <c r="Q664" s="1">
        <v>0.41899999999999998</v>
      </c>
      <c r="R664" s="1">
        <v>0.155</v>
      </c>
      <c r="S664" s="1">
        <v>0.24299999999999999</v>
      </c>
      <c r="T664" s="1">
        <v>0.121</v>
      </c>
      <c r="U664" s="1">
        <v>0.40899999999999997</v>
      </c>
      <c r="V664" s="1">
        <v>128.01599999999999</v>
      </c>
      <c r="W664">
        <v>4</v>
      </c>
    </row>
    <row r="665" spans="1:23" x14ac:dyDescent="0.25">
      <c r="A665" s="1" t="s">
        <v>14833</v>
      </c>
      <c r="B665" s="1" t="s">
        <v>14834</v>
      </c>
      <c r="C665" s="1" t="s">
        <v>3116</v>
      </c>
      <c r="D665" s="1" t="s">
        <v>3116</v>
      </c>
      <c r="E665" s="1" t="s">
        <v>3117</v>
      </c>
      <c r="F665" s="1" t="s">
        <v>14835</v>
      </c>
      <c r="G665">
        <v>281142</v>
      </c>
      <c r="H665">
        <v>37</v>
      </c>
      <c r="I665" s="1" t="s">
        <v>11063</v>
      </c>
      <c r="J665" s="11">
        <v>44729.706458333334</v>
      </c>
      <c r="K665" s="1" t="s">
        <v>50</v>
      </c>
      <c r="L665" s="1">
        <v>0.40600000000000003</v>
      </c>
      <c r="M665" s="1">
        <v>0.67600000000000005</v>
      </c>
      <c r="N665">
        <v>1</v>
      </c>
      <c r="O665" s="1">
        <v>-3.69</v>
      </c>
      <c r="P665">
        <v>0</v>
      </c>
      <c r="Q665" s="1">
        <v>0.45100000000000001</v>
      </c>
      <c r="R665" s="1">
        <v>0.65100000000000002</v>
      </c>
      <c r="S665" s="1">
        <v>0.31900000000000001</v>
      </c>
      <c r="T665" s="1">
        <v>0.113</v>
      </c>
      <c r="U665" s="1">
        <v>0.34100000000000003</v>
      </c>
      <c r="V665" s="1">
        <v>139.80799999999999</v>
      </c>
      <c r="W665">
        <v>4</v>
      </c>
    </row>
    <row r="666" spans="1:23" x14ac:dyDescent="0.25">
      <c r="A666" s="1" t="s">
        <v>14836</v>
      </c>
      <c r="B666" s="1" t="s">
        <v>14837</v>
      </c>
      <c r="C666" s="1" t="s">
        <v>3118</v>
      </c>
      <c r="D666" s="1" t="s">
        <v>3118</v>
      </c>
      <c r="E666" s="1" t="s">
        <v>3119</v>
      </c>
      <c r="F666" s="1" t="s">
        <v>14838</v>
      </c>
      <c r="G666">
        <v>322000</v>
      </c>
      <c r="H666">
        <v>36</v>
      </c>
      <c r="I666" s="1" t="s">
        <v>11063</v>
      </c>
      <c r="J666" s="11">
        <v>44729.706458333334</v>
      </c>
      <c r="K666" s="1" t="s">
        <v>50</v>
      </c>
      <c r="L666" s="1">
        <v>0.76</v>
      </c>
      <c r="M666" s="1">
        <v>0.76100000000000001</v>
      </c>
      <c r="N666">
        <v>8</v>
      </c>
      <c r="O666" s="1">
        <v>-6.351</v>
      </c>
      <c r="P666">
        <v>1</v>
      </c>
      <c r="Q666" s="1">
        <v>0.52400000000000002</v>
      </c>
      <c r="R666" s="1">
        <v>0.83599999999999997</v>
      </c>
      <c r="S666" s="1">
        <v>0.879</v>
      </c>
      <c r="T666" s="1">
        <v>0.96399999999999997</v>
      </c>
      <c r="U666" s="1">
        <v>0.83799999999999997</v>
      </c>
      <c r="V666" s="1">
        <v>127.989</v>
      </c>
      <c r="W666">
        <v>4</v>
      </c>
    </row>
    <row r="667" spans="1:23" x14ac:dyDescent="0.25">
      <c r="A667" s="1" t="s">
        <v>14839</v>
      </c>
      <c r="B667" s="1" t="s">
        <v>14840</v>
      </c>
      <c r="C667" s="1" t="s">
        <v>3120</v>
      </c>
      <c r="D667" s="1" t="s">
        <v>3120</v>
      </c>
      <c r="E667" s="1" t="s">
        <v>3121</v>
      </c>
      <c r="F667" s="1" t="s">
        <v>14841</v>
      </c>
      <c r="G667">
        <v>166351</v>
      </c>
      <c r="H667">
        <v>25</v>
      </c>
      <c r="I667" s="1" t="s">
        <v>11063</v>
      </c>
      <c r="J667" s="11">
        <v>44729.706458333334</v>
      </c>
      <c r="K667" s="1" t="s">
        <v>1066</v>
      </c>
      <c r="L667" s="1">
        <v>0.58599999999999997</v>
      </c>
      <c r="M667" s="1">
        <v>0.56999999999999995</v>
      </c>
      <c r="N667">
        <v>9</v>
      </c>
      <c r="O667" s="1">
        <v>-7.5979999999999999</v>
      </c>
      <c r="P667">
        <v>1</v>
      </c>
      <c r="Q667" s="1">
        <v>0.373</v>
      </c>
      <c r="R667" s="1">
        <v>0.39900000000000002</v>
      </c>
      <c r="S667" s="1">
        <v>0</v>
      </c>
      <c r="T667" s="1">
        <v>0.11700000000000001</v>
      </c>
      <c r="U667" s="1">
        <v>0.41599999999999998</v>
      </c>
      <c r="V667" s="1">
        <v>136.119</v>
      </c>
      <c r="W667">
        <v>4</v>
      </c>
    </row>
    <row r="668" spans="1:23" x14ac:dyDescent="0.25">
      <c r="A668" s="1" t="s">
        <v>14842</v>
      </c>
      <c r="B668" s="1" t="s">
        <v>14843</v>
      </c>
      <c r="C668" s="1" t="s">
        <v>3122</v>
      </c>
      <c r="D668" s="1" t="s">
        <v>3122</v>
      </c>
      <c r="E668" s="1" t="s">
        <v>3123</v>
      </c>
      <c r="F668" s="1" t="s">
        <v>14844</v>
      </c>
      <c r="G668">
        <v>212500</v>
      </c>
      <c r="H668">
        <v>25</v>
      </c>
      <c r="I668" s="1" t="s">
        <v>11063</v>
      </c>
      <c r="J668" s="11">
        <v>44729.706458333334</v>
      </c>
      <c r="K668" s="1" t="s">
        <v>3124</v>
      </c>
      <c r="L668" s="1">
        <v>0.57999999999999996</v>
      </c>
      <c r="M668" s="1">
        <v>0.55000000000000004</v>
      </c>
      <c r="N668">
        <v>9</v>
      </c>
      <c r="O668" s="1">
        <v>-9.3510000000000009</v>
      </c>
      <c r="P668">
        <v>0</v>
      </c>
      <c r="Q668" s="1">
        <v>0.105</v>
      </c>
      <c r="R668" s="1">
        <v>0.34200000000000003</v>
      </c>
      <c r="S668" s="1">
        <v>0.39900000000000002</v>
      </c>
      <c r="T668" s="1">
        <v>0.122</v>
      </c>
      <c r="U668" s="1">
        <v>0.34399999999999997</v>
      </c>
      <c r="V668" s="1">
        <v>157.018</v>
      </c>
      <c r="W668">
        <v>4</v>
      </c>
    </row>
    <row r="669" spans="1:23" x14ac:dyDescent="0.25">
      <c r="A669" s="1" t="s">
        <v>14845</v>
      </c>
      <c r="B669" s="1" t="s">
        <v>14846</v>
      </c>
      <c r="C669" s="1" t="s">
        <v>3125</v>
      </c>
      <c r="D669" s="1" t="s">
        <v>3125</v>
      </c>
      <c r="E669" s="1" t="s">
        <v>3126</v>
      </c>
      <c r="F669" s="1" t="s">
        <v>14847</v>
      </c>
      <c r="G669">
        <v>183214</v>
      </c>
      <c r="H669">
        <v>30</v>
      </c>
      <c r="I669" s="1" t="s">
        <v>11063</v>
      </c>
      <c r="J669" s="11">
        <v>44729.706458333334</v>
      </c>
      <c r="K669" s="1" t="s">
        <v>50</v>
      </c>
      <c r="L669" s="1">
        <v>0.28599999999999998</v>
      </c>
      <c r="M669" s="1">
        <v>0.88200000000000001</v>
      </c>
      <c r="N669">
        <v>7</v>
      </c>
      <c r="O669" s="1">
        <v>-2.3620000000000001</v>
      </c>
      <c r="P669">
        <v>1</v>
      </c>
      <c r="Q669" s="1">
        <v>0.39</v>
      </c>
      <c r="R669" s="1">
        <v>0.435</v>
      </c>
      <c r="S669" s="1">
        <v>0.40600000000000003</v>
      </c>
      <c r="T669" s="1">
        <v>0.107</v>
      </c>
      <c r="U669" s="1">
        <v>0.438</v>
      </c>
      <c r="V669" s="1">
        <v>139.584</v>
      </c>
      <c r="W669">
        <v>4</v>
      </c>
    </row>
    <row r="670" spans="1:23" x14ac:dyDescent="0.25">
      <c r="A670" s="1" t="s">
        <v>14848</v>
      </c>
      <c r="B670" s="1" t="s">
        <v>14849</v>
      </c>
      <c r="C670" s="1" t="s">
        <v>3127</v>
      </c>
      <c r="D670" s="1" t="s">
        <v>3127</v>
      </c>
      <c r="E670" s="1" t="s">
        <v>3128</v>
      </c>
      <c r="F670" s="1" t="s">
        <v>14850</v>
      </c>
      <c r="G670">
        <v>183431</v>
      </c>
      <c r="H670">
        <v>36</v>
      </c>
      <c r="I670" s="1" t="s">
        <v>11063</v>
      </c>
      <c r="J670" s="11">
        <v>44729.706458333334</v>
      </c>
      <c r="K670" s="1" t="s">
        <v>3129</v>
      </c>
      <c r="L670" s="1">
        <v>0.65500000000000003</v>
      </c>
      <c r="M670" s="1">
        <v>0.69599999999999995</v>
      </c>
      <c r="N670">
        <v>0</v>
      </c>
      <c r="O670" s="1">
        <v>-6.0990000000000002</v>
      </c>
      <c r="P670">
        <v>1</v>
      </c>
      <c r="Q670" s="1">
        <v>0.68</v>
      </c>
      <c r="R670" s="1">
        <v>0.69899999999999995</v>
      </c>
      <c r="S670" s="1">
        <v>0.252</v>
      </c>
      <c r="T670" s="1">
        <v>0.3</v>
      </c>
      <c r="U670" s="1">
        <v>0.185</v>
      </c>
      <c r="V670" s="1">
        <v>139.952</v>
      </c>
      <c r="W670">
        <v>4</v>
      </c>
    </row>
    <row r="671" spans="1:23" x14ac:dyDescent="0.25">
      <c r="A671" s="1" t="s">
        <v>14851</v>
      </c>
      <c r="B671" s="1" t="s">
        <v>14852</v>
      </c>
      <c r="C671" s="1" t="s">
        <v>3130</v>
      </c>
      <c r="D671" s="1" t="s">
        <v>14853</v>
      </c>
      <c r="E671" s="1" t="s">
        <v>3131</v>
      </c>
      <c r="F671" s="1" t="s">
        <v>14767</v>
      </c>
      <c r="G671">
        <v>204374</v>
      </c>
      <c r="H671">
        <v>22</v>
      </c>
      <c r="I671" s="1" t="s">
        <v>11063</v>
      </c>
      <c r="J671" s="11">
        <v>44729.706458333334</v>
      </c>
      <c r="K671" s="1" t="s">
        <v>3132</v>
      </c>
      <c r="L671" s="1">
        <v>0.59399999999999997</v>
      </c>
      <c r="M671" s="1">
        <v>0.67500000000000004</v>
      </c>
      <c r="N671">
        <v>9</v>
      </c>
      <c r="O671" s="1">
        <v>-6.0750000000000002</v>
      </c>
      <c r="P671">
        <v>1</v>
      </c>
      <c r="Q671" s="1">
        <v>0.39800000000000002</v>
      </c>
      <c r="R671" s="1">
        <v>0.224</v>
      </c>
      <c r="S671" s="1">
        <v>0</v>
      </c>
      <c r="T671" s="1">
        <v>0.97899999999999998</v>
      </c>
      <c r="U671" s="1">
        <v>0.502</v>
      </c>
      <c r="V671" s="1">
        <v>100.051</v>
      </c>
      <c r="W671">
        <v>4</v>
      </c>
    </row>
    <row r="672" spans="1:23" x14ac:dyDescent="0.25">
      <c r="A672" s="1" t="s">
        <v>14854</v>
      </c>
      <c r="B672" s="1" t="s">
        <v>14855</v>
      </c>
      <c r="C672" s="1" t="s">
        <v>3133</v>
      </c>
      <c r="D672" s="1" t="s">
        <v>14856</v>
      </c>
      <c r="E672" s="1" t="s">
        <v>3134</v>
      </c>
      <c r="F672" s="1" t="s">
        <v>14857</v>
      </c>
      <c r="G672">
        <v>330862</v>
      </c>
      <c r="H672">
        <v>46</v>
      </c>
      <c r="I672" s="1" t="s">
        <v>11063</v>
      </c>
      <c r="J672" s="11">
        <v>44729.706458333334</v>
      </c>
      <c r="K672" s="1" t="s">
        <v>3135</v>
      </c>
      <c r="L672" s="1">
        <v>0.34899999999999998</v>
      </c>
      <c r="M672" s="1">
        <v>0.69599999999999995</v>
      </c>
      <c r="N672">
        <v>3</v>
      </c>
      <c r="O672" s="1">
        <v>-3.274</v>
      </c>
      <c r="P672">
        <v>0</v>
      </c>
      <c r="Q672" s="1">
        <v>0.36199999999999999</v>
      </c>
      <c r="R672" s="1">
        <v>0.13700000000000001</v>
      </c>
      <c r="S672" s="1">
        <v>0.40699999999999997</v>
      </c>
      <c r="T672" s="1">
        <v>0.11600000000000001</v>
      </c>
      <c r="U672" s="1">
        <v>0.78200000000000003</v>
      </c>
      <c r="V672" s="1">
        <v>173.90100000000001</v>
      </c>
      <c r="W672">
        <v>4</v>
      </c>
    </row>
    <row r="673" spans="1:23" x14ac:dyDescent="0.25">
      <c r="A673" s="1" t="s">
        <v>14858</v>
      </c>
      <c r="B673" s="1" t="s">
        <v>14859</v>
      </c>
      <c r="C673" s="1" t="s">
        <v>3136</v>
      </c>
      <c r="D673" s="1" t="s">
        <v>3136</v>
      </c>
      <c r="E673" s="1" t="s">
        <v>3137</v>
      </c>
      <c r="F673" s="1" t="s">
        <v>14860</v>
      </c>
      <c r="G673">
        <v>205846</v>
      </c>
      <c r="H673">
        <v>34</v>
      </c>
      <c r="I673" s="1" t="s">
        <v>11063</v>
      </c>
      <c r="J673" s="11">
        <v>44729.706458333334</v>
      </c>
      <c r="K673" s="1" t="s">
        <v>3138</v>
      </c>
      <c r="L673" s="1">
        <v>0.622</v>
      </c>
      <c r="M673" s="1">
        <v>0.73199999999999998</v>
      </c>
      <c r="N673">
        <v>10</v>
      </c>
      <c r="O673" s="1">
        <v>-4.7670000000000003</v>
      </c>
      <c r="P673">
        <v>0</v>
      </c>
      <c r="Q673" s="1">
        <v>0.13</v>
      </c>
      <c r="R673" s="1">
        <v>0.254</v>
      </c>
      <c r="S673" s="1">
        <v>0</v>
      </c>
      <c r="T673" s="1">
        <v>0.161</v>
      </c>
      <c r="U673" s="1">
        <v>0.56200000000000006</v>
      </c>
      <c r="V673" s="1">
        <v>74.966999999999999</v>
      </c>
      <c r="W673">
        <v>4</v>
      </c>
    </row>
    <row r="674" spans="1:23" x14ac:dyDescent="0.25">
      <c r="A674" s="1" t="s">
        <v>14861</v>
      </c>
      <c r="B674" s="1" t="s">
        <v>14862</v>
      </c>
      <c r="C674" s="1" t="s">
        <v>3139</v>
      </c>
      <c r="D674" s="1" t="s">
        <v>3139</v>
      </c>
      <c r="E674" s="1" t="s">
        <v>3140</v>
      </c>
      <c r="F674" s="1" t="s">
        <v>13926</v>
      </c>
      <c r="G674">
        <v>218333</v>
      </c>
      <c r="H674">
        <v>25</v>
      </c>
      <c r="I674" s="1" t="s">
        <v>11063</v>
      </c>
      <c r="J674" s="11">
        <v>44729.706458333334</v>
      </c>
      <c r="K674" s="1" t="s">
        <v>50</v>
      </c>
      <c r="L674" s="1">
        <v>0.72</v>
      </c>
      <c r="M674" s="1">
        <v>0.623</v>
      </c>
      <c r="N674">
        <v>1</v>
      </c>
      <c r="O674" s="1">
        <v>-7.3869999999999996</v>
      </c>
      <c r="P674">
        <v>1</v>
      </c>
      <c r="Q674" s="1">
        <v>0.59899999999999998</v>
      </c>
      <c r="R674" s="1">
        <v>0.23499999999999999</v>
      </c>
      <c r="S674" s="1">
        <v>0</v>
      </c>
      <c r="T674" s="1">
        <v>0.106</v>
      </c>
      <c r="U674" s="1">
        <v>0.29499999999999998</v>
      </c>
      <c r="V674" s="1">
        <v>107.985</v>
      </c>
      <c r="W674">
        <v>4</v>
      </c>
    </row>
    <row r="675" spans="1:23" x14ac:dyDescent="0.25">
      <c r="A675" s="1" t="s">
        <v>14863</v>
      </c>
      <c r="B675" s="1" t="s">
        <v>14864</v>
      </c>
      <c r="C675" s="1" t="s">
        <v>3141</v>
      </c>
      <c r="D675" s="1" t="s">
        <v>3141</v>
      </c>
      <c r="E675" s="1" t="s">
        <v>3142</v>
      </c>
      <c r="F675" s="1" t="s">
        <v>14865</v>
      </c>
      <c r="G675">
        <v>224052</v>
      </c>
      <c r="H675">
        <v>28</v>
      </c>
      <c r="I675" s="1" t="s">
        <v>11063</v>
      </c>
      <c r="J675" s="11">
        <v>44729.706458333334</v>
      </c>
      <c r="K675" s="1" t="s">
        <v>2541</v>
      </c>
      <c r="L675" s="1">
        <v>0.58399999999999996</v>
      </c>
      <c r="M675" s="1">
        <v>0.64600000000000002</v>
      </c>
      <c r="N675">
        <v>3</v>
      </c>
      <c r="O675" s="1">
        <v>-7.0069999999999997</v>
      </c>
      <c r="P675">
        <v>0</v>
      </c>
      <c r="Q675" s="1">
        <v>0.30499999999999999</v>
      </c>
      <c r="R675" s="1">
        <v>0.126</v>
      </c>
      <c r="S675" s="1">
        <v>0.14299999999999999</v>
      </c>
      <c r="T675" s="1">
        <v>0.108</v>
      </c>
      <c r="U675" s="1">
        <v>0.26100000000000001</v>
      </c>
      <c r="V675" s="1">
        <v>149.95699999999999</v>
      </c>
      <c r="W675">
        <v>4</v>
      </c>
    </row>
    <row r="676" spans="1:23" x14ac:dyDescent="0.25">
      <c r="A676" s="1" t="s">
        <v>11464</v>
      </c>
      <c r="B676" s="1" t="s">
        <v>11465</v>
      </c>
      <c r="C676" s="1" t="s">
        <v>225</v>
      </c>
      <c r="D676" s="1" t="s">
        <v>11466</v>
      </c>
      <c r="E676" s="1" t="s">
        <v>226</v>
      </c>
      <c r="F676" s="1" t="s">
        <v>11467</v>
      </c>
      <c r="G676">
        <v>251428</v>
      </c>
      <c r="H676">
        <v>50</v>
      </c>
      <c r="I676" s="1" t="s">
        <v>11063</v>
      </c>
      <c r="J676" s="11">
        <v>44729.706458333334</v>
      </c>
      <c r="K676" s="1" t="s">
        <v>227</v>
      </c>
      <c r="L676" s="1">
        <v>0.88</v>
      </c>
      <c r="M676" s="1">
        <v>0.626</v>
      </c>
      <c r="N676">
        <v>2</v>
      </c>
      <c r="O676" s="1">
        <v>-7.0620000000000003</v>
      </c>
      <c r="P676">
        <v>1</v>
      </c>
      <c r="Q676" s="1">
        <v>0.47299999999999998</v>
      </c>
      <c r="R676" s="1">
        <v>0.19</v>
      </c>
      <c r="S676" s="1">
        <v>0.755</v>
      </c>
      <c r="T676" s="1">
        <v>0.94</v>
      </c>
      <c r="U676" s="1">
        <v>0.441</v>
      </c>
      <c r="V676" s="1">
        <v>105.01</v>
      </c>
      <c r="W676">
        <v>4</v>
      </c>
    </row>
    <row r="677" spans="1:23" x14ac:dyDescent="0.25">
      <c r="A677" s="1" t="s">
        <v>14866</v>
      </c>
      <c r="B677" s="1" t="s">
        <v>14867</v>
      </c>
      <c r="C677" s="1" t="s">
        <v>3143</v>
      </c>
      <c r="D677" s="1" t="s">
        <v>3143</v>
      </c>
      <c r="E677" s="1" t="s">
        <v>3144</v>
      </c>
      <c r="F677" s="1" t="s">
        <v>14868</v>
      </c>
      <c r="G677">
        <v>236239</v>
      </c>
      <c r="H677">
        <v>33</v>
      </c>
      <c r="I677" s="1" t="s">
        <v>11063</v>
      </c>
      <c r="J677" s="11">
        <v>44729.706458333334</v>
      </c>
      <c r="K677" s="1" t="s">
        <v>1053</v>
      </c>
      <c r="L677" s="1">
        <v>0.45400000000000001</v>
      </c>
      <c r="M677" s="1">
        <v>0.501</v>
      </c>
      <c r="N677">
        <v>3</v>
      </c>
      <c r="O677" s="1">
        <v>-7.4980000000000002</v>
      </c>
      <c r="P677">
        <v>0</v>
      </c>
      <c r="Q677" s="1">
        <v>0.34799999999999998</v>
      </c>
      <c r="R677" s="1">
        <v>0.70199999999999996</v>
      </c>
      <c r="S677" s="1">
        <v>0.44900000000000001</v>
      </c>
      <c r="T677" s="1">
        <v>0.106</v>
      </c>
      <c r="U677" s="1">
        <v>0.33800000000000002</v>
      </c>
      <c r="V677" s="1">
        <v>74.287999999999997</v>
      </c>
      <c r="W677">
        <v>4</v>
      </c>
    </row>
    <row r="678" spans="1:23" x14ac:dyDescent="0.25">
      <c r="A678" s="1" t="s">
        <v>14869</v>
      </c>
      <c r="B678" s="1" t="s">
        <v>14870</v>
      </c>
      <c r="C678" s="1" t="s">
        <v>3145</v>
      </c>
      <c r="D678" s="1" t="s">
        <v>14871</v>
      </c>
      <c r="E678" s="1" t="s">
        <v>3146</v>
      </c>
      <c r="F678" s="1" t="s">
        <v>14633</v>
      </c>
      <c r="G678">
        <v>290999</v>
      </c>
      <c r="H678">
        <v>36</v>
      </c>
      <c r="I678" s="1" t="s">
        <v>11063</v>
      </c>
      <c r="J678" s="11">
        <v>44729.706458333334</v>
      </c>
      <c r="K678" s="1" t="s">
        <v>3147</v>
      </c>
      <c r="L678" s="1">
        <v>0.45400000000000001</v>
      </c>
      <c r="M678" s="1">
        <v>0.95799999999999996</v>
      </c>
      <c r="N678">
        <v>5</v>
      </c>
      <c r="O678" s="1">
        <v>-2.9889999999999999</v>
      </c>
      <c r="P678">
        <v>0</v>
      </c>
      <c r="Q678" s="1">
        <v>0.34200000000000003</v>
      </c>
      <c r="R678" s="1">
        <v>0.42799999999999999</v>
      </c>
      <c r="S678" s="1">
        <v>0.224</v>
      </c>
      <c r="T678" s="1">
        <v>0.109</v>
      </c>
      <c r="U678" s="1">
        <v>0.214</v>
      </c>
      <c r="V678" s="1">
        <v>149.90199999999999</v>
      </c>
      <c r="W678">
        <v>4</v>
      </c>
    </row>
    <row r="679" spans="1:23" x14ac:dyDescent="0.25">
      <c r="A679" s="1" t="s">
        <v>14872</v>
      </c>
      <c r="B679" s="1" t="s">
        <v>14873</v>
      </c>
      <c r="C679" s="1" t="s">
        <v>3148</v>
      </c>
      <c r="D679" s="1" t="s">
        <v>3148</v>
      </c>
      <c r="E679" s="1" t="s">
        <v>3149</v>
      </c>
      <c r="F679" s="1" t="s">
        <v>14771</v>
      </c>
      <c r="G679">
        <v>178080</v>
      </c>
      <c r="H679">
        <v>65</v>
      </c>
      <c r="I679" s="1" t="s">
        <v>11063</v>
      </c>
      <c r="J679" s="11">
        <v>44729.706458333334</v>
      </c>
      <c r="K679" s="1" t="s">
        <v>3150</v>
      </c>
      <c r="L679" s="1">
        <v>0.70299999999999996</v>
      </c>
      <c r="M679" s="1">
        <v>0.83399999999999996</v>
      </c>
      <c r="N679">
        <v>1</v>
      </c>
      <c r="O679" s="1">
        <v>-5.1340000000000003</v>
      </c>
      <c r="P679">
        <v>1</v>
      </c>
      <c r="Q679" s="1">
        <v>0.60299999999999998</v>
      </c>
      <c r="R679" s="1">
        <v>0.13900000000000001</v>
      </c>
      <c r="S679" s="1">
        <v>0</v>
      </c>
      <c r="T679" s="1">
        <v>0.1</v>
      </c>
      <c r="U679" s="1">
        <v>0.86299999999999999</v>
      </c>
      <c r="V679" s="1">
        <v>153.97</v>
      </c>
      <c r="W679">
        <v>4</v>
      </c>
    </row>
    <row r="680" spans="1:23" x14ac:dyDescent="0.25">
      <c r="A680" s="1" t="s">
        <v>14874</v>
      </c>
      <c r="B680" s="1" t="s">
        <v>14709</v>
      </c>
      <c r="C680" s="1" t="s">
        <v>3151</v>
      </c>
      <c r="D680" s="1" t="s">
        <v>14875</v>
      </c>
      <c r="E680" s="1" t="s">
        <v>3009</v>
      </c>
      <c r="F680" s="1" t="s">
        <v>14502</v>
      </c>
      <c r="G680">
        <v>188551</v>
      </c>
      <c r="H680">
        <v>25</v>
      </c>
      <c r="I680" s="1" t="s">
        <v>11063</v>
      </c>
      <c r="J680" s="11">
        <v>44729.706458333334</v>
      </c>
      <c r="K680" s="1" t="s">
        <v>3010</v>
      </c>
      <c r="L680" s="1">
        <v>0.51400000000000001</v>
      </c>
      <c r="M680" s="1">
        <v>0.88700000000000001</v>
      </c>
      <c r="N680">
        <v>6</v>
      </c>
      <c r="O680" s="1">
        <v>-3.7909999999999999</v>
      </c>
      <c r="P680">
        <v>1</v>
      </c>
      <c r="Q680" s="1">
        <v>0.57699999999999996</v>
      </c>
      <c r="R680" s="1">
        <v>0.40200000000000002</v>
      </c>
      <c r="S680" s="1">
        <v>0.14299999999999999</v>
      </c>
      <c r="T680" s="1">
        <v>0.25800000000000001</v>
      </c>
      <c r="U680" s="1">
        <v>0.49199999999999999</v>
      </c>
      <c r="V680" s="1">
        <v>141.93600000000001</v>
      </c>
      <c r="W680">
        <v>4</v>
      </c>
    </row>
    <row r="681" spans="1:23" x14ac:dyDescent="0.25">
      <c r="A681" s="1" t="s">
        <v>14876</v>
      </c>
      <c r="B681" s="1" t="s">
        <v>14877</v>
      </c>
      <c r="C681" s="1" t="s">
        <v>3152</v>
      </c>
      <c r="D681" s="1" t="s">
        <v>3152</v>
      </c>
      <c r="E681" s="1" t="s">
        <v>3153</v>
      </c>
      <c r="F681" s="1" t="s">
        <v>11449</v>
      </c>
      <c r="G681">
        <v>163064</v>
      </c>
      <c r="H681">
        <v>54</v>
      </c>
      <c r="I681" s="1" t="s">
        <v>11063</v>
      </c>
      <c r="J681" s="11">
        <v>44729.706458333334</v>
      </c>
      <c r="K681" s="1" t="s">
        <v>3154</v>
      </c>
      <c r="L681" s="1">
        <v>0.53100000000000003</v>
      </c>
      <c r="M681" s="1">
        <v>0.64400000000000002</v>
      </c>
      <c r="N681">
        <v>0</v>
      </c>
      <c r="O681" s="1">
        <v>-9.8119999999999994</v>
      </c>
      <c r="P681">
        <v>0</v>
      </c>
      <c r="Q681" s="1">
        <v>0.38100000000000001</v>
      </c>
      <c r="R681" s="1">
        <v>0.65200000000000002</v>
      </c>
      <c r="S681" s="1">
        <v>0</v>
      </c>
      <c r="T681" s="1">
        <v>0.128</v>
      </c>
      <c r="U681" s="1">
        <v>0.122</v>
      </c>
      <c r="V681" s="1">
        <v>123.946</v>
      </c>
      <c r="W681">
        <v>4</v>
      </c>
    </row>
    <row r="682" spans="1:23" x14ac:dyDescent="0.25">
      <c r="A682" s="1" t="s">
        <v>14878</v>
      </c>
      <c r="B682" s="1" t="s">
        <v>14879</v>
      </c>
      <c r="C682" s="1" t="s">
        <v>3155</v>
      </c>
      <c r="D682" s="1" t="s">
        <v>3155</v>
      </c>
      <c r="E682" s="1" t="s">
        <v>3156</v>
      </c>
      <c r="F682" s="1" t="s">
        <v>11449</v>
      </c>
      <c r="G682">
        <v>160000</v>
      </c>
      <c r="H682">
        <v>4</v>
      </c>
      <c r="I682" s="1" t="s">
        <v>11063</v>
      </c>
      <c r="J682" s="11">
        <v>44729.706458333334</v>
      </c>
      <c r="K682" s="1" t="s">
        <v>2939</v>
      </c>
      <c r="L682" s="1">
        <v>0.67900000000000005</v>
      </c>
      <c r="M682" s="1">
        <v>0.60399999999999998</v>
      </c>
      <c r="N682">
        <v>8</v>
      </c>
      <c r="O682" s="1">
        <v>-8.5549999999999997</v>
      </c>
      <c r="P682">
        <v>0</v>
      </c>
      <c r="Q682" s="1">
        <v>0.58199999999999996</v>
      </c>
      <c r="R682" s="1">
        <v>0.30099999999999999</v>
      </c>
      <c r="S682" s="1">
        <v>0.106</v>
      </c>
      <c r="T682" s="1">
        <v>0.109</v>
      </c>
      <c r="U682" s="1">
        <v>0.57399999999999995</v>
      </c>
      <c r="V682" s="1">
        <v>131.94999999999999</v>
      </c>
      <c r="W682">
        <v>4</v>
      </c>
    </row>
    <row r="683" spans="1:23" x14ac:dyDescent="0.25">
      <c r="A683" s="1" t="s">
        <v>14880</v>
      </c>
      <c r="B683" s="1" t="s">
        <v>14881</v>
      </c>
      <c r="C683" s="1" t="s">
        <v>3157</v>
      </c>
      <c r="D683" s="1" t="s">
        <v>3157</v>
      </c>
      <c r="E683" s="1" t="s">
        <v>3158</v>
      </c>
      <c r="F683" s="1" t="s">
        <v>11449</v>
      </c>
      <c r="G683">
        <v>218728</v>
      </c>
      <c r="H683">
        <v>53</v>
      </c>
      <c r="I683" s="1" t="s">
        <v>11063</v>
      </c>
      <c r="J683" s="11">
        <v>44729.706458333334</v>
      </c>
      <c r="K683" s="1" t="s">
        <v>3159</v>
      </c>
      <c r="L683" s="1">
        <v>0.66400000000000003</v>
      </c>
      <c r="M683" s="1">
        <v>0.54800000000000004</v>
      </c>
      <c r="N683">
        <v>4</v>
      </c>
      <c r="O683" s="1">
        <v>-8.6839999999999993</v>
      </c>
      <c r="P683">
        <v>1</v>
      </c>
      <c r="Q683" s="1">
        <v>0.42099999999999999</v>
      </c>
      <c r="R683" s="1">
        <v>0.315</v>
      </c>
      <c r="S683" s="1">
        <v>0.83699999999999997</v>
      </c>
      <c r="T683" s="1">
        <v>0.17199999999999999</v>
      </c>
      <c r="U683" s="1">
        <v>0.22800000000000001</v>
      </c>
      <c r="V683" s="1">
        <v>127.014</v>
      </c>
      <c r="W683">
        <v>4</v>
      </c>
    </row>
    <row r="684" spans="1:23" x14ac:dyDescent="0.25">
      <c r="A684" s="1" t="s">
        <v>14882</v>
      </c>
      <c r="B684" s="1" t="s">
        <v>14248</v>
      </c>
      <c r="C684" s="1" t="s">
        <v>3160</v>
      </c>
      <c r="D684" s="1" t="s">
        <v>3160</v>
      </c>
      <c r="E684" s="1" t="s">
        <v>2602</v>
      </c>
      <c r="F684" s="1" t="s">
        <v>11449</v>
      </c>
      <c r="G684">
        <v>248455</v>
      </c>
      <c r="H684">
        <v>31</v>
      </c>
      <c r="I684" s="1" t="s">
        <v>11063</v>
      </c>
      <c r="J684" s="11">
        <v>44729.706458333334</v>
      </c>
      <c r="K684" s="1" t="s">
        <v>2603</v>
      </c>
      <c r="L684" s="1">
        <v>0.51900000000000002</v>
      </c>
      <c r="M684" s="1">
        <v>0.59</v>
      </c>
      <c r="N684">
        <v>3</v>
      </c>
      <c r="O684" s="1">
        <v>-7.4710000000000001</v>
      </c>
      <c r="P684">
        <v>1</v>
      </c>
      <c r="Q684" s="1">
        <v>0.32700000000000001</v>
      </c>
      <c r="R684" s="1">
        <v>0.72199999999999998</v>
      </c>
      <c r="S684" s="1">
        <v>0.34200000000000003</v>
      </c>
      <c r="T684" s="1">
        <v>0.15</v>
      </c>
      <c r="U684" s="1">
        <v>0.49199999999999999</v>
      </c>
      <c r="V684" s="1">
        <v>165.999</v>
      </c>
      <c r="W684">
        <v>4</v>
      </c>
    </row>
    <row r="685" spans="1:23" x14ac:dyDescent="0.25">
      <c r="A685" s="1" t="s">
        <v>14883</v>
      </c>
      <c r="B685" s="1" t="s">
        <v>14884</v>
      </c>
      <c r="C685" s="1" t="s">
        <v>3161</v>
      </c>
      <c r="D685" s="1" t="s">
        <v>3161</v>
      </c>
      <c r="E685" s="1" t="s">
        <v>3162</v>
      </c>
      <c r="F685" s="1" t="s">
        <v>14821</v>
      </c>
      <c r="G685">
        <v>196842</v>
      </c>
      <c r="H685">
        <v>21</v>
      </c>
      <c r="I685" s="1" t="s">
        <v>11063</v>
      </c>
      <c r="J685" s="11">
        <v>44729.706458333334</v>
      </c>
      <c r="K685" s="1" t="s">
        <v>3163</v>
      </c>
      <c r="L685" s="1">
        <v>0.63200000000000001</v>
      </c>
      <c r="M685" s="1">
        <v>0.74199999999999999</v>
      </c>
      <c r="N685">
        <v>0</v>
      </c>
      <c r="O685" s="1">
        <v>-4.8310000000000004</v>
      </c>
      <c r="P685">
        <v>0</v>
      </c>
      <c r="Q685" s="1">
        <v>0.498</v>
      </c>
      <c r="R685" s="1">
        <v>0.14199999999999999</v>
      </c>
      <c r="S685" s="1">
        <v>0</v>
      </c>
      <c r="T685" s="1">
        <v>0.24</v>
      </c>
      <c r="U685" s="1">
        <v>0.66900000000000004</v>
      </c>
      <c r="V685" s="1">
        <v>114.05800000000001</v>
      </c>
      <c r="W685">
        <v>4</v>
      </c>
    </row>
    <row r="686" spans="1:23" x14ac:dyDescent="0.25">
      <c r="A686" s="1" t="s">
        <v>14885</v>
      </c>
      <c r="B686" s="1" t="s">
        <v>14886</v>
      </c>
      <c r="C686" s="1" t="s">
        <v>3164</v>
      </c>
      <c r="D686" s="1" t="s">
        <v>3164</v>
      </c>
      <c r="E686" s="1" t="s">
        <v>3165</v>
      </c>
      <c r="F686" s="1" t="s">
        <v>14887</v>
      </c>
      <c r="G686">
        <v>166000</v>
      </c>
      <c r="H686">
        <v>47</v>
      </c>
      <c r="I686" s="1" t="s">
        <v>11063</v>
      </c>
      <c r="J686" s="11">
        <v>44729.706458333334</v>
      </c>
      <c r="K686" s="1" t="s">
        <v>3166</v>
      </c>
      <c r="L686" s="1">
        <v>0.73</v>
      </c>
      <c r="M686" s="1">
        <v>0.752</v>
      </c>
      <c r="N686">
        <v>6</v>
      </c>
      <c r="O686" s="1">
        <v>-5.3170000000000002</v>
      </c>
      <c r="P686">
        <v>1</v>
      </c>
      <c r="Q686" s="1">
        <v>0.42</v>
      </c>
      <c r="R686" s="1">
        <v>0.185</v>
      </c>
      <c r="S686" s="1">
        <v>0</v>
      </c>
      <c r="T686" s="1">
        <v>0.115</v>
      </c>
      <c r="U686" s="1">
        <v>0.26200000000000001</v>
      </c>
      <c r="V686" s="1">
        <v>119.955</v>
      </c>
      <c r="W686">
        <v>4</v>
      </c>
    </row>
    <row r="687" spans="1:23" x14ac:dyDescent="0.25">
      <c r="A687" s="1" t="s">
        <v>14888</v>
      </c>
      <c r="B687" s="1" t="s">
        <v>14889</v>
      </c>
      <c r="C687" s="1" t="s">
        <v>3167</v>
      </c>
      <c r="D687" s="1" t="s">
        <v>13670</v>
      </c>
      <c r="E687" s="1" t="s">
        <v>3168</v>
      </c>
      <c r="F687" s="1" t="s">
        <v>11524</v>
      </c>
      <c r="G687">
        <v>222400</v>
      </c>
      <c r="H687">
        <v>54</v>
      </c>
      <c r="I687" s="1" t="s">
        <v>11063</v>
      </c>
      <c r="J687" s="11">
        <v>44729.706458333334</v>
      </c>
      <c r="K687" s="1" t="s">
        <v>3169</v>
      </c>
      <c r="L687" s="1">
        <v>0.49399999999999999</v>
      </c>
      <c r="M687" s="1">
        <v>0.65100000000000002</v>
      </c>
      <c r="N687">
        <v>11</v>
      </c>
      <c r="O687" s="1">
        <v>-4.1269999999999998</v>
      </c>
      <c r="P687">
        <v>0</v>
      </c>
      <c r="Q687" s="1">
        <v>0.38400000000000001</v>
      </c>
      <c r="R687" s="1">
        <v>0.81899999999999995</v>
      </c>
      <c r="S687" s="1">
        <v>0</v>
      </c>
      <c r="T687" s="1">
        <v>0.104</v>
      </c>
      <c r="U687" s="1">
        <v>0.16200000000000001</v>
      </c>
      <c r="V687" s="1">
        <v>149.97900000000001</v>
      </c>
      <c r="W687">
        <v>4</v>
      </c>
    </row>
    <row r="688" spans="1:23" x14ac:dyDescent="0.25">
      <c r="A688" s="1" t="s">
        <v>14890</v>
      </c>
      <c r="B688" s="1" t="s">
        <v>14891</v>
      </c>
      <c r="C688" s="1" t="s">
        <v>3170</v>
      </c>
      <c r="D688" s="1" t="s">
        <v>3170</v>
      </c>
      <c r="E688" s="1" t="s">
        <v>3171</v>
      </c>
      <c r="F688" s="1" t="s">
        <v>11651</v>
      </c>
      <c r="G688">
        <v>292203</v>
      </c>
      <c r="H688">
        <v>35</v>
      </c>
      <c r="I688" s="1" t="s">
        <v>11063</v>
      </c>
      <c r="J688" s="11">
        <v>44729.706458333334</v>
      </c>
      <c r="K688" s="1" t="s">
        <v>3172</v>
      </c>
      <c r="L688" s="1">
        <v>0.75700000000000001</v>
      </c>
      <c r="M688" s="1">
        <v>0.63400000000000001</v>
      </c>
      <c r="N688">
        <v>6</v>
      </c>
      <c r="O688" s="1">
        <v>-7.835</v>
      </c>
      <c r="P688">
        <v>0</v>
      </c>
      <c r="Q688" s="1">
        <v>0.89100000000000001</v>
      </c>
      <c r="R688" s="1">
        <v>0.1</v>
      </c>
      <c r="S688" s="1">
        <v>0.93500000000000005</v>
      </c>
      <c r="T688" s="1">
        <v>0.13900000000000001</v>
      </c>
      <c r="U688" s="1">
        <v>0.41399999999999998</v>
      </c>
      <c r="V688" s="1">
        <v>152.03800000000001</v>
      </c>
      <c r="W688">
        <v>4</v>
      </c>
    </row>
    <row r="689" spans="1:23" x14ac:dyDescent="0.25">
      <c r="A689" s="1" t="s">
        <v>14892</v>
      </c>
      <c r="B689" s="1" t="s">
        <v>14893</v>
      </c>
      <c r="C689" s="1" t="s">
        <v>3173</v>
      </c>
      <c r="D689" s="1" t="s">
        <v>3173</v>
      </c>
      <c r="E689" s="1" t="s">
        <v>3174</v>
      </c>
      <c r="F689" s="1" t="s">
        <v>14894</v>
      </c>
      <c r="G689">
        <v>226925</v>
      </c>
      <c r="H689">
        <v>42</v>
      </c>
      <c r="I689" s="1" t="s">
        <v>11063</v>
      </c>
      <c r="J689" s="11">
        <v>44729.706458333334</v>
      </c>
      <c r="K689" s="1" t="s">
        <v>2787</v>
      </c>
      <c r="L689" s="1">
        <v>0.55300000000000005</v>
      </c>
      <c r="M689" s="1">
        <v>0.68799999999999994</v>
      </c>
      <c r="N689">
        <v>11</v>
      </c>
      <c r="O689" s="1">
        <v>-3.984</v>
      </c>
      <c r="P689">
        <v>0</v>
      </c>
      <c r="Q689" s="1">
        <v>0.42499999999999999</v>
      </c>
      <c r="R689" s="1">
        <v>0.307</v>
      </c>
      <c r="S689" s="1">
        <v>0.74299999999999999</v>
      </c>
      <c r="T689" s="1">
        <v>0.61599999999999999</v>
      </c>
      <c r="U689" s="1">
        <v>0.38100000000000001</v>
      </c>
      <c r="V689" s="1">
        <v>174.96600000000001</v>
      </c>
      <c r="W689">
        <v>4</v>
      </c>
    </row>
    <row r="690" spans="1:23" x14ac:dyDescent="0.25">
      <c r="A690" s="1" t="s">
        <v>14895</v>
      </c>
      <c r="B690" s="1" t="s">
        <v>14896</v>
      </c>
      <c r="C690" s="1" t="s">
        <v>3175</v>
      </c>
      <c r="D690" s="1" t="s">
        <v>14897</v>
      </c>
      <c r="E690" s="1" t="s">
        <v>3176</v>
      </c>
      <c r="F690" s="1" t="s">
        <v>14898</v>
      </c>
      <c r="G690">
        <v>218506</v>
      </c>
      <c r="H690">
        <v>40</v>
      </c>
      <c r="I690" s="1" t="s">
        <v>11063</v>
      </c>
      <c r="J690" s="11">
        <v>44729.706458333334</v>
      </c>
      <c r="K690" s="1" t="s">
        <v>3177</v>
      </c>
      <c r="L690" s="1">
        <v>0.67500000000000004</v>
      </c>
      <c r="M690" s="1">
        <v>0.93700000000000006</v>
      </c>
      <c r="N690">
        <v>0</v>
      </c>
      <c r="O690" s="1">
        <v>-3.5249999999999999</v>
      </c>
      <c r="P690">
        <v>0</v>
      </c>
      <c r="Q690" s="1">
        <v>0.50900000000000001</v>
      </c>
      <c r="R690" s="1">
        <v>0.152</v>
      </c>
      <c r="S690" s="1">
        <v>0</v>
      </c>
      <c r="T690" s="1">
        <v>0.154</v>
      </c>
      <c r="U690" s="1">
        <v>0.56699999999999995</v>
      </c>
      <c r="V690" s="1">
        <v>103.961</v>
      </c>
      <c r="W690">
        <v>4</v>
      </c>
    </row>
    <row r="691" spans="1:23" x14ac:dyDescent="0.25">
      <c r="A691" s="1" t="s">
        <v>14899</v>
      </c>
      <c r="B691" s="1" t="s">
        <v>11315</v>
      </c>
      <c r="C691" s="1" t="s">
        <v>3178</v>
      </c>
      <c r="D691" s="1" t="s">
        <v>3178</v>
      </c>
      <c r="E691" s="1" t="s">
        <v>112</v>
      </c>
      <c r="F691" s="1" t="s">
        <v>14900</v>
      </c>
      <c r="G691">
        <v>174506</v>
      </c>
      <c r="H691">
        <v>65</v>
      </c>
      <c r="I691" s="1" t="s">
        <v>11063</v>
      </c>
      <c r="J691" s="11">
        <v>44729.706458333334</v>
      </c>
      <c r="K691" s="1" t="s">
        <v>113</v>
      </c>
      <c r="L691" s="1">
        <v>0.63700000000000001</v>
      </c>
      <c r="M691" s="1">
        <v>0.88700000000000001</v>
      </c>
      <c r="N691">
        <v>7</v>
      </c>
      <c r="O691" s="1">
        <v>-5.444</v>
      </c>
      <c r="P691">
        <v>0</v>
      </c>
      <c r="Q691" s="1">
        <v>0.22700000000000001</v>
      </c>
      <c r="R691" s="1">
        <v>0.70699999999999996</v>
      </c>
      <c r="S691" s="1">
        <v>0.188</v>
      </c>
      <c r="T691" s="1">
        <v>0.32600000000000001</v>
      </c>
      <c r="U691" s="1">
        <v>0.59599999999999997</v>
      </c>
      <c r="V691" s="1">
        <v>157.75899999999999</v>
      </c>
      <c r="W691">
        <v>4</v>
      </c>
    </row>
    <row r="692" spans="1:23" x14ac:dyDescent="0.25">
      <c r="A692" s="1" t="s">
        <v>11480</v>
      </c>
      <c r="B692" s="1" t="s">
        <v>11315</v>
      </c>
      <c r="C692" s="1" t="s">
        <v>236</v>
      </c>
      <c r="D692" s="1" t="s">
        <v>11481</v>
      </c>
      <c r="E692" s="1" t="s">
        <v>112</v>
      </c>
      <c r="F692" s="1" t="s">
        <v>11482</v>
      </c>
      <c r="G692">
        <v>192706</v>
      </c>
      <c r="H692">
        <v>51</v>
      </c>
      <c r="I692" s="1" t="s">
        <v>11063</v>
      </c>
      <c r="J692" s="11">
        <v>44729.706458333334</v>
      </c>
      <c r="K692" s="1" t="s">
        <v>113</v>
      </c>
      <c r="L692" s="1">
        <v>0.54500000000000004</v>
      </c>
      <c r="M692" s="1">
        <v>0.65900000000000003</v>
      </c>
      <c r="N692">
        <v>1</v>
      </c>
      <c r="O692" s="1">
        <v>-8.18</v>
      </c>
      <c r="P692">
        <v>1</v>
      </c>
      <c r="Q692" s="1">
        <v>0.39400000000000002</v>
      </c>
      <c r="R692" s="1">
        <v>0.36699999999999999</v>
      </c>
      <c r="S692" s="1">
        <v>0.111</v>
      </c>
      <c r="T692" s="1">
        <v>0.41499999999999998</v>
      </c>
      <c r="U692" s="1">
        <v>0.59899999999999998</v>
      </c>
      <c r="V692" s="1">
        <v>108.04</v>
      </c>
      <c r="W692">
        <v>4</v>
      </c>
    </row>
    <row r="693" spans="1:23" x14ac:dyDescent="0.25">
      <c r="A693" s="1" t="s">
        <v>14901</v>
      </c>
      <c r="B693" s="1" t="s">
        <v>11315</v>
      </c>
      <c r="C693" s="1" t="s">
        <v>3179</v>
      </c>
      <c r="D693" s="1" t="s">
        <v>14902</v>
      </c>
      <c r="E693" s="1" t="s">
        <v>112</v>
      </c>
      <c r="F693" s="1" t="s">
        <v>14857</v>
      </c>
      <c r="G693">
        <v>189840</v>
      </c>
      <c r="H693">
        <v>30</v>
      </c>
      <c r="I693" s="1" t="s">
        <v>11063</v>
      </c>
      <c r="J693" s="11">
        <v>44729.706458333334</v>
      </c>
      <c r="K693" s="1" t="s">
        <v>113</v>
      </c>
      <c r="L693" s="1">
        <v>0.63500000000000001</v>
      </c>
      <c r="M693" s="1">
        <v>0.92600000000000005</v>
      </c>
      <c r="N693">
        <v>0</v>
      </c>
      <c r="O693" s="1">
        <v>-5.5890000000000004</v>
      </c>
      <c r="P693">
        <v>1</v>
      </c>
      <c r="Q693" s="1">
        <v>0.151</v>
      </c>
      <c r="R693" s="1">
        <v>0.89300000000000002</v>
      </c>
      <c r="S693" s="1">
        <v>0.45300000000000001</v>
      </c>
      <c r="T693" s="1">
        <v>0.92800000000000005</v>
      </c>
      <c r="U693" s="1">
        <v>0.76100000000000001</v>
      </c>
      <c r="V693" s="1">
        <v>100.048</v>
      </c>
      <c r="W693">
        <v>4</v>
      </c>
    </row>
    <row r="694" spans="1:23" x14ac:dyDescent="0.25">
      <c r="A694" s="1" t="s">
        <v>14903</v>
      </c>
      <c r="B694" s="1" t="s">
        <v>11315</v>
      </c>
      <c r="C694" s="1" t="s">
        <v>3180</v>
      </c>
      <c r="D694" s="1" t="s">
        <v>14902</v>
      </c>
      <c r="E694" s="1" t="s">
        <v>112</v>
      </c>
      <c r="F694" s="1" t="s">
        <v>14857</v>
      </c>
      <c r="G694">
        <v>221053</v>
      </c>
      <c r="H694">
        <v>27</v>
      </c>
      <c r="I694" s="1" t="s">
        <v>11063</v>
      </c>
      <c r="J694" s="11">
        <v>44729.706458333334</v>
      </c>
      <c r="K694" s="1" t="s">
        <v>113</v>
      </c>
      <c r="L694" s="1">
        <v>0.29899999999999999</v>
      </c>
      <c r="M694" s="1">
        <v>0.754</v>
      </c>
      <c r="N694">
        <v>5</v>
      </c>
      <c r="O694" s="1">
        <v>-4.0780000000000003</v>
      </c>
      <c r="P694">
        <v>0</v>
      </c>
      <c r="Q694" s="1">
        <v>0.73199999999999998</v>
      </c>
      <c r="R694" s="1">
        <v>0.19500000000000001</v>
      </c>
      <c r="S694" s="1">
        <v>0.13</v>
      </c>
      <c r="T694" s="1">
        <v>0.10299999999999999</v>
      </c>
      <c r="U694" s="1">
        <v>0.29499999999999998</v>
      </c>
      <c r="V694" s="1">
        <v>169.37299999999999</v>
      </c>
      <c r="W694">
        <v>4</v>
      </c>
    </row>
    <row r="695" spans="1:23" x14ac:dyDescent="0.25">
      <c r="A695" s="1" t="s">
        <v>14904</v>
      </c>
      <c r="B695" s="1" t="s">
        <v>11315</v>
      </c>
      <c r="C695" s="1" t="s">
        <v>3181</v>
      </c>
      <c r="D695" s="1" t="s">
        <v>14902</v>
      </c>
      <c r="E695" s="1" t="s">
        <v>112</v>
      </c>
      <c r="F695" s="1" t="s">
        <v>14857</v>
      </c>
      <c r="G695">
        <v>186813</v>
      </c>
      <c r="H695">
        <v>35</v>
      </c>
      <c r="I695" s="1" t="s">
        <v>11063</v>
      </c>
      <c r="J695" s="11">
        <v>44729.706458333334</v>
      </c>
      <c r="K695" s="1" t="s">
        <v>113</v>
      </c>
      <c r="L695" s="1">
        <v>0.44800000000000001</v>
      </c>
      <c r="M695" s="1">
        <v>0.78400000000000003</v>
      </c>
      <c r="N695">
        <v>9</v>
      </c>
      <c r="O695" s="1">
        <v>-3.6859999999999999</v>
      </c>
      <c r="P695">
        <v>1</v>
      </c>
      <c r="Q695" s="1">
        <v>0.627</v>
      </c>
      <c r="R695" s="1">
        <v>0.106</v>
      </c>
      <c r="S695" s="1">
        <v>0.108</v>
      </c>
      <c r="T695" s="1">
        <v>0.66800000000000004</v>
      </c>
      <c r="U695" s="1">
        <v>0.23599999999999999</v>
      </c>
      <c r="V695" s="1">
        <v>136.245</v>
      </c>
      <c r="W695">
        <v>4</v>
      </c>
    </row>
    <row r="696" spans="1:23" x14ac:dyDescent="0.25">
      <c r="A696" s="1" t="s">
        <v>14905</v>
      </c>
      <c r="B696" s="1" t="s">
        <v>11315</v>
      </c>
      <c r="C696" s="1" t="s">
        <v>3182</v>
      </c>
      <c r="D696" s="1" t="s">
        <v>11481</v>
      </c>
      <c r="E696" s="1" t="s">
        <v>112</v>
      </c>
      <c r="F696" s="1" t="s">
        <v>11482</v>
      </c>
      <c r="G696">
        <v>272852</v>
      </c>
      <c r="H696">
        <v>60</v>
      </c>
      <c r="I696" s="1" t="s">
        <v>11063</v>
      </c>
      <c r="J696" s="11">
        <v>44729.706458333334</v>
      </c>
      <c r="K696" s="1" t="s">
        <v>113</v>
      </c>
      <c r="L696" s="1">
        <v>0.23200000000000001</v>
      </c>
      <c r="M696" s="1">
        <v>0.90100000000000002</v>
      </c>
      <c r="N696">
        <v>8</v>
      </c>
      <c r="O696" s="1">
        <v>-6.84</v>
      </c>
      <c r="P696">
        <v>1</v>
      </c>
      <c r="Q696" s="1">
        <v>0.124</v>
      </c>
      <c r="R696" s="1">
        <v>0.41499999999999998</v>
      </c>
      <c r="S696" s="1">
        <v>0.64900000000000002</v>
      </c>
      <c r="T696" s="1">
        <v>0.123</v>
      </c>
      <c r="U696" s="1">
        <v>0.39200000000000002</v>
      </c>
      <c r="V696" s="1">
        <v>130.05500000000001</v>
      </c>
      <c r="W696">
        <v>4</v>
      </c>
    </row>
    <row r="697" spans="1:23" x14ac:dyDescent="0.25">
      <c r="A697" s="1" t="s">
        <v>14906</v>
      </c>
      <c r="B697" s="1" t="s">
        <v>14907</v>
      </c>
      <c r="C697" s="1" t="s">
        <v>3183</v>
      </c>
      <c r="D697" s="1" t="s">
        <v>14908</v>
      </c>
      <c r="E697" s="1" t="s">
        <v>3184</v>
      </c>
      <c r="F697" s="1" t="s">
        <v>14909</v>
      </c>
      <c r="G697">
        <v>182626</v>
      </c>
      <c r="H697">
        <v>62</v>
      </c>
      <c r="I697" s="1" t="s">
        <v>11063</v>
      </c>
      <c r="J697" s="11">
        <v>44729.706458333334</v>
      </c>
      <c r="K697" s="1" t="s">
        <v>3185</v>
      </c>
      <c r="L697" s="1">
        <v>0.57199999999999995</v>
      </c>
      <c r="M697" s="1">
        <v>0.75</v>
      </c>
      <c r="N697">
        <v>1</v>
      </c>
      <c r="O697" s="1">
        <v>-5.0419999999999998</v>
      </c>
      <c r="P697">
        <v>0</v>
      </c>
      <c r="Q697" s="1">
        <v>0.60399999999999998</v>
      </c>
      <c r="R697" s="1">
        <v>0.94599999999999995</v>
      </c>
      <c r="S697" s="1">
        <v>0</v>
      </c>
      <c r="T697" s="1">
        <v>0.378</v>
      </c>
      <c r="U697" s="1">
        <v>0.47499999999999998</v>
      </c>
      <c r="V697" s="1">
        <v>144.08099999999999</v>
      </c>
      <c r="W697">
        <v>4</v>
      </c>
    </row>
    <row r="698" spans="1:23" x14ac:dyDescent="0.25">
      <c r="A698" s="1" t="s">
        <v>14910</v>
      </c>
      <c r="B698" s="1" t="s">
        <v>11473</v>
      </c>
      <c r="C698" s="1" t="s">
        <v>3186</v>
      </c>
      <c r="D698" s="1" t="s">
        <v>11361</v>
      </c>
      <c r="E698" s="1" t="s">
        <v>231</v>
      </c>
      <c r="F698" s="1" t="s">
        <v>11362</v>
      </c>
      <c r="G698">
        <v>234506</v>
      </c>
      <c r="H698">
        <v>71</v>
      </c>
      <c r="I698" s="1" t="s">
        <v>11063</v>
      </c>
      <c r="J698" s="11">
        <v>44729.706458333334</v>
      </c>
      <c r="K698" s="1" t="s">
        <v>232</v>
      </c>
      <c r="L698" s="1">
        <v>0.69499999999999995</v>
      </c>
      <c r="M698" s="1">
        <v>0.86899999999999999</v>
      </c>
      <c r="N698">
        <v>8</v>
      </c>
      <c r="O698" s="1">
        <v>-5.0659999999999998</v>
      </c>
      <c r="P698">
        <v>1</v>
      </c>
      <c r="Q698" s="1">
        <v>0.48299999999999998</v>
      </c>
      <c r="R698" s="1">
        <v>0.41</v>
      </c>
      <c r="S698" s="1">
        <v>0</v>
      </c>
      <c r="T698" s="1">
        <v>0.23699999999999999</v>
      </c>
      <c r="U698" s="1">
        <v>0.57999999999999996</v>
      </c>
      <c r="V698" s="1">
        <v>124.989</v>
      </c>
      <c r="W698">
        <v>4</v>
      </c>
    </row>
    <row r="699" spans="1:23" x14ac:dyDescent="0.25">
      <c r="A699" s="1" t="s">
        <v>11472</v>
      </c>
      <c r="B699" s="1" t="s">
        <v>11473</v>
      </c>
      <c r="C699" s="1" t="s">
        <v>3187</v>
      </c>
      <c r="D699" s="1" t="s">
        <v>11474</v>
      </c>
      <c r="E699" s="1" t="s">
        <v>231</v>
      </c>
      <c r="F699" s="1" t="s">
        <v>11475</v>
      </c>
      <c r="G699">
        <v>227266</v>
      </c>
      <c r="H699">
        <v>79</v>
      </c>
      <c r="I699" s="1" t="s">
        <v>11063</v>
      </c>
      <c r="J699" s="11">
        <v>44729.706458333334</v>
      </c>
      <c r="K699" s="1" t="s">
        <v>232</v>
      </c>
      <c r="L699" s="1">
        <v>0.64600000000000002</v>
      </c>
      <c r="M699" s="1">
        <v>0.82299999999999995</v>
      </c>
      <c r="N699">
        <v>2</v>
      </c>
      <c r="O699" s="1">
        <v>-4.1230000000000002</v>
      </c>
      <c r="P699">
        <v>0</v>
      </c>
      <c r="Q699" s="1">
        <v>0.39400000000000002</v>
      </c>
      <c r="R699" s="1">
        <v>0.21299999999999999</v>
      </c>
      <c r="S699" s="1">
        <v>0</v>
      </c>
      <c r="T699" s="1">
        <v>0.32200000000000001</v>
      </c>
      <c r="U699" s="1">
        <v>0.41799999999999998</v>
      </c>
      <c r="V699" s="1">
        <v>128.035</v>
      </c>
      <c r="W699">
        <v>4</v>
      </c>
    </row>
    <row r="700" spans="1:23" x14ac:dyDescent="0.25">
      <c r="A700" s="1" t="s">
        <v>14911</v>
      </c>
      <c r="B700" s="1" t="s">
        <v>14912</v>
      </c>
      <c r="C700" s="1" t="s">
        <v>3188</v>
      </c>
      <c r="D700" s="1" t="s">
        <v>14913</v>
      </c>
      <c r="E700" s="1" t="s">
        <v>3189</v>
      </c>
      <c r="F700" s="1" t="s">
        <v>11408</v>
      </c>
      <c r="G700">
        <v>276626</v>
      </c>
      <c r="H700">
        <v>37</v>
      </c>
      <c r="I700" s="1" t="s">
        <v>11063</v>
      </c>
      <c r="J700" s="11">
        <v>44729.706458333334</v>
      </c>
      <c r="K700" s="1" t="s">
        <v>3190</v>
      </c>
      <c r="L700" s="1">
        <v>0.53</v>
      </c>
      <c r="M700" s="1">
        <v>0.8</v>
      </c>
      <c r="N700">
        <v>1</v>
      </c>
      <c r="O700" s="1">
        <v>-4.883</v>
      </c>
      <c r="P700">
        <v>1</v>
      </c>
      <c r="Q700" s="1">
        <v>0.28999999999999998</v>
      </c>
      <c r="R700" s="1">
        <v>0.50600000000000001</v>
      </c>
      <c r="S700" s="1">
        <v>0.68500000000000005</v>
      </c>
      <c r="T700" s="1">
        <v>0.77900000000000003</v>
      </c>
      <c r="U700" s="1">
        <v>0.32400000000000001</v>
      </c>
      <c r="V700" s="1">
        <v>140.005</v>
      </c>
      <c r="W700">
        <v>4</v>
      </c>
    </row>
    <row r="701" spans="1:23" x14ac:dyDescent="0.25">
      <c r="A701" s="1" t="s">
        <v>14914</v>
      </c>
      <c r="B701" s="1" t="s">
        <v>14915</v>
      </c>
      <c r="C701" s="1" t="s">
        <v>3191</v>
      </c>
      <c r="D701" s="1" t="s">
        <v>14916</v>
      </c>
      <c r="E701" s="1" t="s">
        <v>3192</v>
      </c>
      <c r="F701" s="1" t="s">
        <v>13114</v>
      </c>
      <c r="G701">
        <v>245853</v>
      </c>
      <c r="H701">
        <v>57</v>
      </c>
      <c r="I701" s="1" t="s">
        <v>11063</v>
      </c>
      <c r="J701" s="11">
        <v>44729.706458333334</v>
      </c>
      <c r="K701" s="1" t="s">
        <v>3193</v>
      </c>
      <c r="L701" s="1">
        <v>0.69899999999999995</v>
      </c>
      <c r="M701" s="1">
        <v>0.73199999999999998</v>
      </c>
      <c r="N701">
        <v>8</v>
      </c>
      <c r="O701" s="1">
        <v>-6.3070000000000004</v>
      </c>
      <c r="P701">
        <v>0</v>
      </c>
      <c r="Q701" s="1">
        <v>0.30399999999999999</v>
      </c>
      <c r="R701" s="1">
        <v>0.77100000000000002</v>
      </c>
      <c r="S701" s="1">
        <v>0.19800000000000001</v>
      </c>
      <c r="T701" s="1">
        <v>0.13100000000000001</v>
      </c>
      <c r="U701" s="1">
        <v>0.67600000000000005</v>
      </c>
      <c r="V701" s="1">
        <v>120.02800000000001</v>
      </c>
      <c r="W701">
        <v>4</v>
      </c>
    </row>
    <row r="702" spans="1:23" x14ac:dyDescent="0.25">
      <c r="A702" s="1" t="s">
        <v>14917</v>
      </c>
      <c r="B702" s="1" t="s">
        <v>14918</v>
      </c>
      <c r="C702" s="1" t="s">
        <v>3194</v>
      </c>
      <c r="D702" s="1" t="s">
        <v>3194</v>
      </c>
      <c r="E702" s="1" t="s">
        <v>3195</v>
      </c>
      <c r="F702" s="1" t="s">
        <v>14824</v>
      </c>
      <c r="G702">
        <v>156373</v>
      </c>
      <c r="H702">
        <v>64</v>
      </c>
      <c r="I702" s="1" t="s">
        <v>11063</v>
      </c>
      <c r="J702" s="11">
        <v>44729.706458333334</v>
      </c>
      <c r="K702" s="1" t="s">
        <v>3196</v>
      </c>
      <c r="L702" s="1">
        <v>0.71499999999999997</v>
      </c>
      <c r="M702" s="1">
        <v>0.79900000000000004</v>
      </c>
      <c r="N702">
        <v>0</v>
      </c>
      <c r="O702" s="1">
        <v>-6.4470000000000001</v>
      </c>
      <c r="P702">
        <v>0</v>
      </c>
      <c r="Q702" s="1">
        <v>0.433</v>
      </c>
      <c r="R702" s="1">
        <v>0.14099999999999999</v>
      </c>
      <c r="S702" s="1">
        <v>0.35</v>
      </c>
      <c r="T702" s="1">
        <v>0.34200000000000003</v>
      </c>
      <c r="U702" s="1">
        <v>0.91600000000000004</v>
      </c>
      <c r="V702" s="1">
        <v>128.92500000000001</v>
      </c>
      <c r="W702">
        <v>4</v>
      </c>
    </row>
    <row r="703" spans="1:23" x14ac:dyDescent="0.25">
      <c r="A703" s="1" t="s">
        <v>14919</v>
      </c>
      <c r="B703" s="1" t="s">
        <v>14920</v>
      </c>
      <c r="C703" s="1" t="s">
        <v>3197</v>
      </c>
      <c r="D703" s="1" t="s">
        <v>3197</v>
      </c>
      <c r="E703" s="1" t="s">
        <v>3198</v>
      </c>
      <c r="F703" s="1" t="s">
        <v>14824</v>
      </c>
      <c r="G703">
        <v>160500</v>
      </c>
      <c r="H703">
        <v>56</v>
      </c>
      <c r="I703" s="1" t="s">
        <v>11063</v>
      </c>
      <c r="J703" s="11">
        <v>44729.706458333334</v>
      </c>
      <c r="K703" s="1" t="s">
        <v>50</v>
      </c>
      <c r="L703" s="1">
        <v>0.88200000000000001</v>
      </c>
      <c r="M703" s="1">
        <v>0.60699999999999998</v>
      </c>
      <c r="N703">
        <v>9</v>
      </c>
      <c r="O703" s="1">
        <v>-6.46</v>
      </c>
      <c r="P703">
        <v>0</v>
      </c>
      <c r="Q703" s="1">
        <v>0.17599999999999999</v>
      </c>
      <c r="R703" s="1">
        <v>0.67</v>
      </c>
      <c r="S703" s="1">
        <v>0</v>
      </c>
      <c r="T703" s="1">
        <v>0.97099999999999997</v>
      </c>
      <c r="U703" s="1">
        <v>0.50600000000000001</v>
      </c>
      <c r="V703" s="1">
        <v>109.968</v>
      </c>
      <c r="W703">
        <v>4</v>
      </c>
    </row>
    <row r="704" spans="1:23" x14ac:dyDescent="0.25">
      <c r="A704" s="1" t="s">
        <v>14921</v>
      </c>
      <c r="B704" s="1" t="s">
        <v>14922</v>
      </c>
      <c r="C704" s="1" t="s">
        <v>491</v>
      </c>
      <c r="D704" s="1" t="s">
        <v>491</v>
      </c>
      <c r="E704" s="1" t="s">
        <v>3199</v>
      </c>
      <c r="F704" s="1" t="s">
        <v>14923</v>
      </c>
      <c r="G704">
        <v>330400</v>
      </c>
      <c r="H704">
        <v>51</v>
      </c>
      <c r="I704" s="1" t="s">
        <v>11063</v>
      </c>
      <c r="J704" s="11">
        <v>44729.706458333334</v>
      </c>
      <c r="K704" s="1" t="s">
        <v>3200</v>
      </c>
      <c r="L704" s="1">
        <v>0.436</v>
      </c>
      <c r="M704" s="1">
        <v>0.92200000000000004</v>
      </c>
      <c r="N704">
        <v>11</v>
      </c>
      <c r="O704" s="1">
        <v>-3.2789999999999999</v>
      </c>
      <c r="P704">
        <v>0</v>
      </c>
      <c r="Q704" s="1">
        <v>0.627</v>
      </c>
      <c r="R704" s="1">
        <v>0.374</v>
      </c>
      <c r="S704" s="1">
        <v>0.41299999999999998</v>
      </c>
      <c r="T704" s="1">
        <v>0.253</v>
      </c>
      <c r="U704" s="1">
        <v>0.92800000000000005</v>
      </c>
      <c r="V704" s="1">
        <v>150.15100000000001</v>
      </c>
      <c r="W704">
        <v>4</v>
      </c>
    </row>
    <row r="705" spans="1:23" x14ac:dyDescent="0.25">
      <c r="A705" s="1" t="s">
        <v>14924</v>
      </c>
      <c r="B705" s="1" t="s">
        <v>14925</v>
      </c>
      <c r="C705" s="1" t="s">
        <v>3201</v>
      </c>
      <c r="D705" s="1" t="s">
        <v>3201</v>
      </c>
      <c r="E705" s="1" t="s">
        <v>3202</v>
      </c>
      <c r="F705" s="1" t="s">
        <v>14926</v>
      </c>
      <c r="G705">
        <v>255703</v>
      </c>
      <c r="H705">
        <v>34</v>
      </c>
      <c r="I705" s="1" t="s">
        <v>11063</v>
      </c>
      <c r="J705" s="11">
        <v>44729.706458333334</v>
      </c>
      <c r="K705" s="1" t="s">
        <v>3203</v>
      </c>
      <c r="L705" s="1">
        <v>0.58499999999999996</v>
      </c>
      <c r="M705" s="1">
        <v>0.60899999999999999</v>
      </c>
      <c r="N705">
        <v>6</v>
      </c>
      <c r="O705" s="1">
        <v>-8.6590000000000007</v>
      </c>
      <c r="P705">
        <v>0</v>
      </c>
      <c r="Q705" s="1">
        <v>0.34899999999999998</v>
      </c>
      <c r="R705" s="1">
        <v>0.52400000000000002</v>
      </c>
      <c r="S705" s="1">
        <v>0.123</v>
      </c>
      <c r="T705" s="1">
        <v>0.14399999999999999</v>
      </c>
      <c r="U705" s="1">
        <v>0.86499999999999999</v>
      </c>
      <c r="V705" s="1">
        <v>170.01300000000001</v>
      </c>
      <c r="W705">
        <v>4</v>
      </c>
    </row>
    <row r="706" spans="1:23" x14ac:dyDescent="0.25">
      <c r="A706" s="1" t="s">
        <v>14927</v>
      </c>
      <c r="B706" s="1" t="s">
        <v>11671</v>
      </c>
      <c r="C706" s="1" t="s">
        <v>3204</v>
      </c>
      <c r="D706" s="1" t="s">
        <v>11672</v>
      </c>
      <c r="E706" s="1" t="s">
        <v>387</v>
      </c>
      <c r="F706" s="1" t="s">
        <v>11673</v>
      </c>
      <c r="G706">
        <v>191493</v>
      </c>
      <c r="H706">
        <v>68</v>
      </c>
      <c r="I706" s="1" t="s">
        <v>11063</v>
      </c>
      <c r="J706" s="11">
        <v>44729.706458333334</v>
      </c>
      <c r="K706" s="1" t="s">
        <v>113</v>
      </c>
      <c r="L706" s="1">
        <v>0.71899999999999997</v>
      </c>
      <c r="M706" s="1">
        <v>0.64500000000000002</v>
      </c>
      <c r="N706">
        <v>2</v>
      </c>
      <c r="O706" s="1">
        <v>-6.141</v>
      </c>
      <c r="P706">
        <v>0</v>
      </c>
      <c r="Q706" s="1">
        <v>0.35799999999999998</v>
      </c>
      <c r="R706" s="1">
        <v>0.121</v>
      </c>
      <c r="S706" s="1">
        <v>0.316</v>
      </c>
      <c r="T706" s="1">
        <v>0.36199999999999999</v>
      </c>
      <c r="U706" s="1">
        <v>0.69</v>
      </c>
      <c r="V706" s="1">
        <v>123.02</v>
      </c>
      <c r="W706">
        <v>4</v>
      </c>
    </row>
    <row r="707" spans="1:23" x14ac:dyDescent="0.25">
      <c r="A707" s="1" t="s">
        <v>14928</v>
      </c>
      <c r="B707" s="1" t="s">
        <v>14929</v>
      </c>
      <c r="C707" s="1" t="s">
        <v>3205</v>
      </c>
      <c r="D707" s="1" t="s">
        <v>14930</v>
      </c>
      <c r="E707" s="1" t="s">
        <v>3206</v>
      </c>
      <c r="F707" s="1" t="s">
        <v>14931</v>
      </c>
      <c r="G707">
        <v>237586</v>
      </c>
      <c r="H707">
        <v>75</v>
      </c>
      <c r="I707" s="1" t="s">
        <v>11063</v>
      </c>
      <c r="J707" s="11">
        <v>44729.706458333334</v>
      </c>
      <c r="K707" s="1" t="s">
        <v>3207</v>
      </c>
      <c r="L707" s="1">
        <v>0.54100000000000004</v>
      </c>
      <c r="M707" s="1">
        <v>0.97699999999999998</v>
      </c>
      <c r="N707">
        <v>4</v>
      </c>
      <c r="O707" s="1">
        <v>-2.8279999999999998</v>
      </c>
      <c r="P707">
        <v>0</v>
      </c>
      <c r="Q707" s="1">
        <v>0.157</v>
      </c>
      <c r="R707" s="1">
        <v>0.32100000000000001</v>
      </c>
      <c r="S707" s="1">
        <v>0.51300000000000001</v>
      </c>
      <c r="T707" s="1">
        <v>0.79600000000000004</v>
      </c>
      <c r="U707" s="1">
        <v>0.26300000000000001</v>
      </c>
      <c r="V707" s="1">
        <v>134.93799999999999</v>
      </c>
      <c r="W707">
        <v>4</v>
      </c>
    </row>
    <row r="708" spans="1:23" x14ac:dyDescent="0.25">
      <c r="A708" s="1" t="s">
        <v>14932</v>
      </c>
      <c r="B708" s="1" t="s">
        <v>14487</v>
      </c>
      <c r="C708" s="1" t="s">
        <v>3208</v>
      </c>
      <c r="D708" s="1" t="s">
        <v>14933</v>
      </c>
      <c r="E708" s="1" t="s">
        <v>2823</v>
      </c>
      <c r="F708" s="1" t="s">
        <v>14022</v>
      </c>
      <c r="G708">
        <v>394482</v>
      </c>
      <c r="H708">
        <v>48</v>
      </c>
      <c r="I708" s="1" t="s">
        <v>11063</v>
      </c>
      <c r="J708" s="11">
        <v>44729.706458333334</v>
      </c>
      <c r="K708" s="1" t="s">
        <v>732</v>
      </c>
      <c r="L708" s="1">
        <v>0.49199999999999999</v>
      </c>
      <c r="M708" s="1">
        <v>0.95199999999999996</v>
      </c>
      <c r="N708">
        <v>11</v>
      </c>
      <c r="O708" s="1">
        <v>-4.875</v>
      </c>
      <c r="P708">
        <v>0</v>
      </c>
      <c r="Q708" s="1">
        <v>0.68700000000000006</v>
      </c>
      <c r="R708" s="1">
        <v>0.152</v>
      </c>
      <c r="S708" s="1">
        <v>0.96599999999999997</v>
      </c>
      <c r="T708" s="1">
        <v>0.10299999999999999</v>
      </c>
      <c r="U708" s="1">
        <v>0.373</v>
      </c>
      <c r="V708" s="1">
        <v>174.03399999999999</v>
      </c>
      <c r="W708">
        <v>4</v>
      </c>
    </row>
    <row r="709" spans="1:23" x14ac:dyDescent="0.25">
      <c r="A709" s="1" t="s">
        <v>14934</v>
      </c>
      <c r="B709" s="1" t="s">
        <v>14935</v>
      </c>
      <c r="C709" s="1" t="s">
        <v>3209</v>
      </c>
      <c r="D709" s="1" t="s">
        <v>14936</v>
      </c>
      <c r="E709" s="1" t="s">
        <v>3210</v>
      </c>
      <c r="F709" s="1" t="s">
        <v>14132</v>
      </c>
      <c r="G709">
        <v>304394</v>
      </c>
      <c r="H709">
        <v>48</v>
      </c>
      <c r="I709" s="1" t="s">
        <v>11063</v>
      </c>
      <c r="J709" s="11">
        <v>44729.706458333334</v>
      </c>
      <c r="K709" s="1" t="s">
        <v>3211</v>
      </c>
      <c r="L709" s="1">
        <v>0.38500000000000001</v>
      </c>
      <c r="M709" s="1">
        <v>0.76800000000000002</v>
      </c>
      <c r="N709">
        <v>2</v>
      </c>
      <c r="O709" s="1">
        <v>-5.2130000000000001</v>
      </c>
      <c r="P709">
        <v>1</v>
      </c>
      <c r="Q709" s="1">
        <v>0.84699999999999998</v>
      </c>
      <c r="R709" s="1">
        <v>0.47099999999999997</v>
      </c>
      <c r="S709" s="1">
        <v>0.17899999999999999</v>
      </c>
      <c r="T709" s="1">
        <v>0.106</v>
      </c>
      <c r="U709" s="1">
        <v>0.36599999999999999</v>
      </c>
      <c r="V709" s="1">
        <v>145.12</v>
      </c>
      <c r="W709">
        <v>4</v>
      </c>
    </row>
    <row r="710" spans="1:23" x14ac:dyDescent="0.25">
      <c r="A710" s="1" t="s">
        <v>14937</v>
      </c>
      <c r="B710" s="1" t="s">
        <v>14938</v>
      </c>
      <c r="C710" s="1" t="s">
        <v>3212</v>
      </c>
      <c r="D710" s="1" t="s">
        <v>3212</v>
      </c>
      <c r="E710" s="1" t="s">
        <v>3213</v>
      </c>
      <c r="F710" s="1" t="s">
        <v>14939</v>
      </c>
      <c r="G710">
        <v>228965</v>
      </c>
      <c r="H710">
        <v>46</v>
      </c>
      <c r="I710" s="1" t="s">
        <v>11063</v>
      </c>
      <c r="J710" s="11">
        <v>44729.706458333334</v>
      </c>
      <c r="K710" s="1" t="s">
        <v>3214</v>
      </c>
      <c r="L710" s="1">
        <v>0.41799999999999998</v>
      </c>
      <c r="M710" s="1">
        <v>0.95</v>
      </c>
      <c r="N710">
        <v>6</v>
      </c>
      <c r="O710" s="1">
        <v>-4.2389999999999999</v>
      </c>
      <c r="P710">
        <v>0</v>
      </c>
      <c r="Q710" s="1">
        <v>0.64400000000000002</v>
      </c>
      <c r="R710" s="1">
        <v>0.215</v>
      </c>
      <c r="S710" s="1">
        <v>0.95299999999999996</v>
      </c>
      <c r="T710" s="1">
        <v>0.109</v>
      </c>
      <c r="U710" s="1">
        <v>0.39900000000000002</v>
      </c>
      <c r="V710" s="1">
        <v>173.917</v>
      </c>
      <c r="W710">
        <v>4</v>
      </c>
    </row>
    <row r="711" spans="1:23" x14ac:dyDescent="0.25">
      <c r="A711" s="1" t="s">
        <v>14940</v>
      </c>
      <c r="B711" s="1" t="s">
        <v>14941</v>
      </c>
      <c r="C711" s="1" t="s">
        <v>3215</v>
      </c>
      <c r="D711" s="1" t="s">
        <v>3215</v>
      </c>
      <c r="E711" s="1" t="s">
        <v>3216</v>
      </c>
      <c r="F711" s="1" t="s">
        <v>11482</v>
      </c>
      <c r="G711">
        <v>215037</v>
      </c>
      <c r="H711">
        <v>39</v>
      </c>
      <c r="I711" s="1" t="s">
        <v>11063</v>
      </c>
      <c r="J711" s="11">
        <v>44729.706458333334</v>
      </c>
      <c r="K711" s="1" t="s">
        <v>3214</v>
      </c>
      <c r="L711" s="1">
        <v>0.53700000000000003</v>
      </c>
      <c r="M711" s="1">
        <v>0.84199999999999997</v>
      </c>
      <c r="N711">
        <v>7</v>
      </c>
      <c r="O711" s="1">
        <v>-3.7890000000000001</v>
      </c>
      <c r="P711">
        <v>1</v>
      </c>
      <c r="Q711" s="1">
        <v>0.40899999999999997</v>
      </c>
      <c r="R711" s="1">
        <v>0.122</v>
      </c>
      <c r="S711" s="1">
        <v>0</v>
      </c>
      <c r="T711" s="1">
        <v>0.318</v>
      </c>
      <c r="U711" s="1">
        <v>0.71899999999999997</v>
      </c>
      <c r="V711" s="1">
        <v>82.444000000000003</v>
      </c>
      <c r="W711">
        <v>4</v>
      </c>
    </row>
    <row r="712" spans="1:23" x14ac:dyDescent="0.25">
      <c r="A712" s="1" t="s">
        <v>12387</v>
      </c>
      <c r="B712" s="1" t="s">
        <v>12388</v>
      </c>
      <c r="C712" s="1" t="s">
        <v>3217</v>
      </c>
      <c r="D712" s="1" t="s">
        <v>12389</v>
      </c>
      <c r="E712" s="1" t="s">
        <v>896</v>
      </c>
      <c r="F712" s="1" t="s">
        <v>14942</v>
      </c>
      <c r="G712">
        <v>161048</v>
      </c>
      <c r="H712">
        <v>49</v>
      </c>
      <c r="I712" s="1" t="s">
        <v>11063</v>
      </c>
      <c r="J712" s="11">
        <v>44729.706458333334</v>
      </c>
      <c r="K712" s="1" t="s">
        <v>826</v>
      </c>
      <c r="L712" s="1">
        <v>0.624</v>
      </c>
      <c r="M712" s="1">
        <v>0.97499999999999998</v>
      </c>
      <c r="N712">
        <v>10</v>
      </c>
      <c r="O712" s="1">
        <v>-2.0680000000000001</v>
      </c>
      <c r="P712">
        <v>0</v>
      </c>
      <c r="Q712" s="1">
        <v>0.13100000000000001</v>
      </c>
      <c r="R712" s="1">
        <v>0.64500000000000002</v>
      </c>
      <c r="S712" s="1">
        <v>0.129</v>
      </c>
      <c r="T712" s="1">
        <v>0.36399999999999999</v>
      </c>
      <c r="U712" s="1">
        <v>0.14699999999999999</v>
      </c>
      <c r="V712" s="1">
        <v>154.99700000000001</v>
      </c>
      <c r="W712">
        <v>4</v>
      </c>
    </row>
    <row r="713" spans="1:23" x14ac:dyDescent="0.25">
      <c r="A713" s="1" t="s">
        <v>14943</v>
      </c>
      <c r="B713" s="1" t="s">
        <v>14944</v>
      </c>
      <c r="C713" s="1" t="s">
        <v>3218</v>
      </c>
      <c r="D713" s="1" t="s">
        <v>14945</v>
      </c>
      <c r="E713" s="1" t="s">
        <v>3219</v>
      </c>
      <c r="F713" s="1" t="s">
        <v>11282</v>
      </c>
      <c r="G713">
        <v>162857</v>
      </c>
      <c r="H713">
        <v>14</v>
      </c>
      <c r="I713" s="1" t="s">
        <v>11063</v>
      </c>
      <c r="J713" s="11">
        <v>44729.706458333334</v>
      </c>
      <c r="K713" s="1" t="s">
        <v>3220</v>
      </c>
      <c r="L713" s="1">
        <v>0.80500000000000005</v>
      </c>
      <c r="M713" s="1">
        <v>0.41399999999999998</v>
      </c>
      <c r="N713">
        <v>5</v>
      </c>
      <c r="O713" s="1">
        <v>-11.64</v>
      </c>
      <c r="P713">
        <v>0</v>
      </c>
      <c r="Q713" s="1">
        <v>0.115</v>
      </c>
      <c r="R713" s="1">
        <v>0.53400000000000003</v>
      </c>
      <c r="S713" s="1">
        <v>0</v>
      </c>
      <c r="T713" s="1">
        <v>0.16900000000000001</v>
      </c>
      <c r="U713" s="1">
        <v>0.27200000000000002</v>
      </c>
      <c r="V713" s="1">
        <v>111.992</v>
      </c>
      <c r="W713">
        <v>4</v>
      </c>
    </row>
    <row r="714" spans="1:23" x14ac:dyDescent="0.25">
      <c r="A714" s="1" t="s">
        <v>14946</v>
      </c>
      <c r="B714" s="1" t="s">
        <v>14947</v>
      </c>
      <c r="C714" s="1" t="s">
        <v>3221</v>
      </c>
      <c r="D714" s="1" t="s">
        <v>14948</v>
      </c>
      <c r="E714" s="1" t="s">
        <v>3222</v>
      </c>
      <c r="F714" s="1" t="s">
        <v>11282</v>
      </c>
      <c r="G714">
        <v>188005</v>
      </c>
      <c r="H714">
        <v>38</v>
      </c>
      <c r="I714" s="1" t="s">
        <v>11063</v>
      </c>
      <c r="J714" s="11">
        <v>44729.706458333334</v>
      </c>
      <c r="K714" s="1" t="s">
        <v>3223</v>
      </c>
      <c r="L714" s="1">
        <v>0.59</v>
      </c>
      <c r="M714" s="1">
        <v>0.89500000000000002</v>
      </c>
      <c r="N714">
        <v>6</v>
      </c>
      <c r="O714" s="1">
        <v>-3.629</v>
      </c>
      <c r="P714">
        <v>0</v>
      </c>
      <c r="Q714" s="1">
        <v>0.53700000000000003</v>
      </c>
      <c r="R714" s="1">
        <v>0.28299999999999997</v>
      </c>
      <c r="S714" s="1">
        <v>0.186</v>
      </c>
      <c r="T714" s="1">
        <v>0.20499999999999999</v>
      </c>
      <c r="U714" s="1">
        <v>0.38</v>
      </c>
      <c r="V714" s="1">
        <v>120.01900000000001</v>
      </c>
      <c r="W714">
        <v>4</v>
      </c>
    </row>
    <row r="715" spans="1:23" x14ac:dyDescent="0.25">
      <c r="A715" s="1" t="s">
        <v>14949</v>
      </c>
      <c r="B715" s="1" t="s">
        <v>14879</v>
      </c>
      <c r="C715" s="1" t="s">
        <v>3224</v>
      </c>
      <c r="D715" s="1" t="s">
        <v>3224</v>
      </c>
      <c r="E715" s="1" t="s">
        <v>3156</v>
      </c>
      <c r="F715" s="1" t="s">
        <v>14502</v>
      </c>
      <c r="G715">
        <v>169495</v>
      </c>
      <c r="H715">
        <v>4</v>
      </c>
      <c r="I715" s="1" t="s">
        <v>11063</v>
      </c>
      <c r="J715" s="11">
        <v>44729.706458333334</v>
      </c>
      <c r="K715" s="1" t="s">
        <v>2939</v>
      </c>
      <c r="L715" s="1">
        <v>0.48</v>
      </c>
      <c r="M715" s="1">
        <v>0.59199999999999997</v>
      </c>
      <c r="N715">
        <v>1</v>
      </c>
      <c r="O715" s="1">
        <v>-8.3010000000000002</v>
      </c>
      <c r="P715">
        <v>0</v>
      </c>
      <c r="Q715" s="1">
        <v>0.38900000000000001</v>
      </c>
      <c r="R715" s="1">
        <v>0.5</v>
      </c>
      <c r="S715" s="1">
        <v>0.113</v>
      </c>
      <c r="T715" s="1">
        <v>0.77800000000000002</v>
      </c>
      <c r="U715" s="1">
        <v>0.499</v>
      </c>
      <c r="V715" s="1">
        <v>160.05500000000001</v>
      </c>
      <c r="W715">
        <v>4</v>
      </c>
    </row>
    <row r="716" spans="1:23" x14ac:dyDescent="0.25">
      <c r="A716" s="1" t="s">
        <v>14950</v>
      </c>
      <c r="B716" s="1" t="s">
        <v>14951</v>
      </c>
      <c r="C716" s="1" t="s">
        <v>3225</v>
      </c>
      <c r="D716" s="1" t="s">
        <v>3225</v>
      </c>
      <c r="E716" s="1" t="s">
        <v>3226</v>
      </c>
      <c r="F716" s="1" t="s">
        <v>14502</v>
      </c>
      <c r="G716">
        <v>194136</v>
      </c>
      <c r="H716">
        <v>42</v>
      </c>
      <c r="I716" s="1" t="s">
        <v>11063</v>
      </c>
      <c r="J716" s="11">
        <v>44729.706458333334</v>
      </c>
      <c r="K716" s="1" t="s">
        <v>3227</v>
      </c>
      <c r="L716" s="1">
        <v>0.56699999999999995</v>
      </c>
      <c r="M716" s="1">
        <v>0.73799999999999999</v>
      </c>
      <c r="N716">
        <v>0</v>
      </c>
      <c r="O716" s="1">
        <v>-7.194</v>
      </c>
      <c r="P716">
        <v>1</v>
      </c>
      <c r="Q716" s="1">
        <v>0.54600000000000004</v>
      </c>
      <c r="R716" s="1">
        <v>0.90500000000000003</v>
      </c>
      <c r="S716" s="1">
        <v>0</v>
      </c>
      <c r="T716" s="1">
        <v>0.47899999999999998</v>
      </c>
      <c r="U716" s="1">
        <v>0.67800000000000005</v>
      </c>
      <c r="V716" s="1">
        <v>159.941</v>
      </c>
      <c r="W716">
        <v>4</v>
      </c>
    </row>
    <row r="717" spans="1:23" x14ac:dyDescent="0.25">
      <c r="A717" s="1" t="s">
        <v>11483</v>
      </c>
      <c r="B717" s="1" t="s">
        <v>11484</v>
      </c>
      <c r="C717" s="1" t="s">
        <v>237</v>
      </c>
      <c r="D717" s="1" t="s">
        <v>237</v>
      </c>
      <c r="E717" s="1" t="s">
        <v>238</v>
      </c>
      <c r="F717" s="1" t="s">
        <v>11485</v>
      </c>
      <c r="G717">
        <v>246371</v>
      </c>
      <c r="H717">
        <v>27</v>
      </c>
      <c r="I717" s="1" t="s">
        <v>11063</v>
      </c>
      <c r="J717" s="11">
        <v>44729.706458333334</v>
      </c>
      <c r="K717" s="1" t="s">
        <v>239</v>
      </c>
      <c r="L717" s="1">
        <v>0.76</v>
      </c>
      <c r="M717" s="1">
        <v>0.54500000000000004</v>
      </c>
      <c r="N717">
        <v>10</v>
      </c>
      <c r="O717" s="1">
        <v>-10.412000000000001</v>
      </c>
      <c r="P717">
        <v>0</v>
      </c>
      <c r="Q717" s="1">
        <v>0.91500000000000004</v>
      </c>
      <c r="R717" s="1">
        <v>0.22600000000000001</v>
      </c>
      <c r="S717" s="1">
        <v>0.254</v>
      </c>
      <c r="T717" s="1">
        <v>0.40500000000000003</v>
      </c>
      <c r="U717" s="1">
        <v>0.11</v>
      </c>
      <c r="V717" s="1">
        <v>112.922</v>
      </c>
      <c r="W717">
        <v>4</v>
      </c>
    </row>
    <row r="718" spans="1:23" x14ac:dyDescent="0.25">
      <c r="A718" s="1" t="s">
        <v>14952</v>
      </c>
      <c r="B718" s="1" t="s">
        <v>14953</v>
      </c>
      <c r="C718" s="1" t="s">
        <v>3228</v>
      </c>
      <c r="D718" s="1" t="s">
        <v>3228</v>
      </c>
      <c r="E718" s="1" t="s">
        <v>3229</v>
      </c>
      <c r="F718" s="1" t="s">
        <v>13607</v>
      </c>
      <c r="G718">
        <v>167232</v>
      </c>
      <c r="H718">
        <v>65</v>
      </c>
      <c r="I718" s="1" t="s">
        <v>11063</v>
      </c>
      <c r="J718" s="11">
        <v>44729.706458333334</v>
      </c>
      <c r="K718" s="1" t="s">
        <v>3230</v>
      </c>
      <c r="L718" s="1">
        <v>0.54</v>
      </c>
      <c r="M718" s="1">
        <v>0.83299999999999996</v>
      </c>
      <c r="N718">
        <v>6</v>
      </c>
      <c r="O718" s="1">
        <v>-4.266</v>
      </c>
      <c r="P718">
        <v>1</v>
      </c>
      <c r="Q718" s="1">
        <v>0.312</v>
      </c>
      <c r="R718" s="1">
        <v>0.17899999999999999</v>
      </c>
      <c r="S718" s="1">
        <v>0.126</v>
      </c>
      <c r="T718" s="1">
        <v>0.17299999999999999</v>
      </c>
      <c r="U718" s="1">
        <v>0.64900000000000002</v>
      </c>
      <c r="V718" s="1">
        <v>167.93899999999999</v>
      </c>
      <c r="W718">
        <v>4</v>
      </c>
    </row>
    <row r="719" spans="1:23" x14ac:dyDescent="0.25">
      <c r="A719" s="1" t="s">
        <v>14954</v>
      </c>
      <c r="B719" s="1" t="s">
        <v>14955</v>
      </c>
      <c r="C719" s="1" t="s">
        <v>3231</v>
      </c>
      <c r="D719" s="1" t="s">
        <v>3231</v>
      </c>
      <c r="E719" s="1" t="s">
        <v>3232</v>
      </c>
      <c r="F719" s="1" t="s">
        <v>13607</v>
      </c>
      <c r="G719">
        <v>181942</v>
      </c>
      <c r="H719">
        <v>28</v>
      </c>
      <c r="I719" s="1" t="s">
        <v>11063</v>
      </c>
      <c r="J719" s="11">
        <v>44729.706458333334</v>
      </c>
      <c r="K719" s="1" t="s">
        <v>3233</v>
      </c>
      <c r="L719" s="1">
        <v>0.69199999999999995</v>
      </c>
      <c r="M719" s="1">
        <v>0.55600000000000005</v>
      </c>
      <c r="N719">
        <v>8</v>
      </c>
      <c r="O719" s="1">
        <v>-8.7360000000000007</v>
      </c>
      <c r="P719">
        <v>1</v>
      </c>
      <c r="Q719" s="1">
        <v>0.67</v>
      </c>
      <c r="R719" s="1">
        <v>0.72199999999999998</v>
      </c>
      <c r="S719" s="1">
        <v>0.17799999999999999</v>
      </c>
      <c r="T719" s="1">
        <v>0.98099999999999998</v>
      </c>
      <c r="U719" s="1">
        <v>0.17599999999999999</v>
      </c>
      <c r="V719" s="1">
        <v>93.995999999999995</v>
      </c>
      <c r="W719">
        <v>4</v>
      </c>
    </row>
    <row r="720" spans="1:23" x14ac:dyDescent="0.25">
      <c r="A720" s="1" t="s">
        <v>14956</v>
      </c>
      <c r="B720" s="1" t="s">
        <v>14957</v>
      </c>
      <c r="C720" s="1" t="s">
        <v>3234</v>
      </c>
      <c r="D720" s="1" t="s">
        <v>3234</v>
      </c>
      <c r="E720" s="1" t="s">
        <v>3235</v>
      </c>
      <c r="F720" s="1" t="s">
        <v>13607</v>
      </c>
      <c r="G720">
        <v>147540</v>
      </c>
      <c r="H720">
        <v>48</v>
      </c>
      <c r="I720" s="1" t="s">
        <v>11063</v>
      </c>
      <c r="J720" s="11">
        <v>44729.706458333334</v>
      </c>
      <c r="K720" s="1" t="s">
        <v>3236</v>
      </c>
      <c r="L720" s="1">
        <v>0.68700000000000006</v>
      </c>
      <c r="M720" s="1">
        <v>0.72799999999999998</v>
      </c>
      <c r="N720">
        <v>6</v>
      </c>
      <c r="O720" s="1">
        <v>-5.899</v>
      </c>
      <c r="P720">
        <v>0</v>
      </c>
      <c r="Q720" s="1">
        <v>0.255</v>
      </c>
      <c r="R720" s="1">
        <v>0.40899999999999997</v>
      </c>
      <c r="S720" s="1">
        <v>0.19400000000000001</v>
      </c>
      <c r="T720" s="1">
        <v>0.107</v>
      </c>
      <c r="U720" s="1">
        <v>0.22600000000000001</v>
      </c>
      <c r="V720" s="1">
        <v>122.04900000000001</v>
      </c>
      <c r="W720">
        <v>4</v>
      </c>
    </row>
    <row r="721" spans="1:23" x14ac:dyDescent="0.25">
      <c r="A721" s="1" t="s">
        <v>14958</v>
      </c>
      <c r="B721" s="1" t="s">
        <v>14148</v>
      </c>
      <c r="C721" s="1" t="s">
        <v>483</v>
      </c>
      <c r="D721" s="1" t="s">
        <v>483</v>
      </c>
      <c r="E721" s="1" t="s">
        <v>2521</v>
      </c>
      <c r="F721" s="1" t="s">
        <v>13607</v>
      </c>
      <c r="G721">
        <v>197541</v>
      </c>
      <c r="H721">
        <v>40</v>
      </c>
      <c r="I721" s="1" t="s">
        <v>11063</v>
      </c>
      <c r="J721" s="11">
        <v>44729.706458333334</v>
      </c>
      <c r="K721" s="1" t="s">
        <v>2522</v>
      </c>
      <c r="L721" s="1">
        <v>0.91300000000000003</v>
      </c>
      <c r="M721" s="1">
        <v>0.498</v>
      </c>
      <c r="N721">
        <v>10</v>
      </c>
      <c r="O721" s="1">
        <v>-7.0190000000000001</v>
      </c>
      <c r="P721">
        <v>1</v>
      </c>
      <c r="Q721" s="1">
        <v>0.123</v>
      </c>
      <c r="R721" s="1">
        <v>0.68899999999999995</v>
      </c>
      <c r="S721" s="1">
        <v>0.76100000000000001</v>
      </c>
      <c r="T721" s="1">
        <v>0.123</v>
      </c>
      <c r="U721" s="1">
        <v>0.50800000000000001</v>
      </c>
      <c r="V721" s="1">
        <v>120.98699999999999</v>
      </c>
      <c r="W721">
        <v>4</v>
      </c>
    </row>
    <row r="722" spans="1:23" x14ac:dyDescent="0.25">
      <c r="A722" s="1" t="s">
        <v>14959</v>
      </c>
      <c r="B722" s="1" t="s">
        <v>14960</v>
      </c>
      <c r="C722" s="1" t="s">
        <v>3237</v>
      </c>
      <c r="D722" s="1" t="s">
        <v>14961</v>
      </c>
      <c r="E722" s="1" t="s">
        <v>3238</v>
      </c>
      <c r="F722" s="1" t="s">
        <v>13607</v>
      </c>
      <c r="G722">
        <v>202281</v>
      </c>
      <c r="H722">
        <v>40</v>
      </c>
      <c r="I722" s="1" t="s">
        <v>11063</v>
      </c>
      <c r="J722" s="11">
        <v>44729.706458333334</v>
      </c>
      <c r="K722" s="1" t="s">
        <v>3239</v>
      </c>
      <c r="L722" s="1">
        <v>0.49299999999999999</v>
      </c>
      <c r="M722" s="1">
        <v>0.83399999999999996</v>
      </c>
      <c r="N722">
        <v>2</v>
      </c>
      <c r="O722" s="1">
        <v>-7.0620000000000003</v>
      </c>
      <c r="P722">
        <v>1</v>
      </c>
      <c r="Q722" s="1">
        <v>0.13600000000000001</v>
      </c>
      <c r="R722" s="1">
        <v>0.53</v>
      </c>
      <c r="S722" s="1">
        <v>0.125</v>
      </c>
      <c r="T722" s="1">
        <v>0.42799999999999999</v>
      </c>
      <c r="U722" s="1">
        <v>0.24</v>
      </c>
      <c r="V722" s="1">
        <v>140.00299999999999</v>
      </c>
      <c r="W722">
        <v>4</v>
      </c>
    </row>
    <row r="723" spans="1:23" x14ac:dyDescent="0.25">
      <c r="A723" s="1" t="s">
        <v>14962</v>
      </c>
      <c r="B723" s="1" t="s">
        <v>14963</v>
      </c>
      <c r="C723" s="1" t="s">
        <v>3240</v>
      </c>
      <c r="D723" s="1" t="s">
        <v>3240</v>
      </c>
      <c r="E723" s="1" t="s">
        <v>3241</v>
      </c>
      <c r="F723" s="1" t="s">
        <v>13607</v>
      </c>
      <c r="G723">
        <v>162878</v>
      </c>
      <c r="H723">
        <v>57</v>
      </c>
      <c r="I723" s="1" t="s">
        <v>11063</v>
      </c>
      <c r="J723" s="11">
        <v>44729.706458333334</v>
      </c>
      <c r="K723" s="1" t="s">
        <v>3242</v>
      </c>
      <c r="L723" s="1">
        <v>0.46700000000000003</v>
      </c>
      <c r="M723" s="1">
        <v>0.70499999999999996</v>
      </c>
      <c r="N723">
        <v>11</v>
      </c>
      <c r="O723" s="1">
        <v>-4.7610000000000001</v>
      </c>
      <c r="P723">
        <v>0</v>
      </c>
      <c r="Q723" s="1">
        <v>0.57799999999999996</v>
      </c>
      <c r="R723" s="1">
        <v>0.16700000000000001</v>
      </c>
      <c r="S723" s="1">
        <v>0.97499999999999998</v>
      </c>
      <c r="T723" s="1">
        <v>0.18</v>
      </c>
      <c r="U723" s="1">
        <v>0.41799999999999998</v>
      </c>
      <c r="V723" s="1">
        <v>85.364999999999995</v>
      </c>
      <c r="W723">
        <v>4</v>
      </c>
    </row>
    <row r="724" spans="1:23" x14ac:dyDescent="0.25">
      <c r="A724" s="1" t="s">
        <v>14964</v>
      </c>
      <c r="B724" s="1" t="s">
        <v>11184</v>
      </c>
      <c r="C724" s="1" t="s">
        <v>3243</v>
      </c>
      <c r="D724" s="1" t="s">
        <v>14965</v>
      </c>
      <c r="E724" s="1" t="s">
        <v>2057</v>
      </c>
      <c r="F724" s="1" t="s">
        <v>14966</v>
      </c>
      <c r="G724">
        <v>155200</v>
      </c>
      <c r="H724">
        <v>50</v>
      </c>
      <c r="I724" s="1" t="s">
        <v>11063</v>
      </c>
      <c r="J724" s="11">
        <v>44729.706458333334</v>
      </c>
      <c r="K724" s="1" t="s">
        <v>50</v>
      </c>
      <c r="L724" s="1">
        <v>0.71699999999999997</v>
      </c>
      <c r="M724" s="1">
        <v>0.54300000000000004</v>
      </c>
      <c r="N724">
        <v>5</v>
      </c>
      <c r="O724" s="1">
        <v>-9.2390000000000008</v>
      </c>
      <c r="P724">
        <v>0</v>
      </c>
      <c r="Q724" s="1">
        <v>0.371</v>
      </c>
      <c r="R724" s="1">
        <v>0.16600000000000001</v>
      </c>
      <c r="S724" s="1">
        <v>0.65900000000000003</v>
      </c>
      <c r="T724" s="1">
        <v>0.14299999999999999</v>
      </c>
      <c r="U724" s="1">
        <v>0.34300000000000003</v>
      </c>
      <c r="V724" s="1">
        <v>74.91</v>
      </c>
      <c r="W724">
        <v>4</v>
      </c>
    </row>
    <row r="725" spans="1:23" x14ac:dyDescent="0.25">
      <c r="A725" s="1" t="s">
        <v>14967</v>
      </c>
      <c r="B725" s="1" t="s">
        <v>14968</v>
      </c>
      <c r="C725" s="1" t="s">
        <v>3244</v>
      </c>
      <c r="D725" s="1" t="s">
        <v>3244</v>
      </c>
      <c r="E725" s="1" t="s">
        <v>3245</v>
      </c>
      <c r="F725" s="1" t="s">
        <v>14969</v>
      </c>
      <c r="G725">
        <v>207714</v>
      </c>
      <c r="H725">
        <v>25</v>
      </c>
      <c r="I725" s="1" t="s">
        <v>11063</v>
      </c>
      <c r="J725" s="11">
        <v>44729.706458333334</v>
      </c>
      <c r="K725" s="1" t="s">
        <v>50</v>
      </c>
      <c r="L725" s="1">
        <v>0.502</v>
      </c>
      <c r="M725" s="1">
        <v>0.52200000000000002</v>
      </c>
      <c r="N725">
        <v>6</v>
      </c>
      <c r="O725" s="1">
        <v>-9.24</v>
      </c>
      <c r="P725">
        <v>1</v>
      </c>
      <c r="Q725" s="1">
        <v>0.151</v>
      </c>
      <c r="R725" s="1">
        <v>0.20300000000000001</v>
      </c>
      <c r="S725" s="1">
        <v>0.499</v>
      </c>
      <c r="T725" s="1">
        <v>0.217</v>
      </c>
      <c r="U725" s="1">
        <v>0.23400000000000001</v>
      </c>
      <c r="V725" s="1">
        <v>171.6</v>
      </c>
      <c r="W725">
        <v>4</v>
      </c>
    </row>
    <row r="726" spans="1:23" x14ac:dyDescent="0.25">
      <c r="A726" s="1" t="s">
        <v>14970</v>
      </c>
      <c r="B726" s="1" t="s">
        <v>14971</v>
      </c>
      <c r="C726" s="1" t="s">
        <v>3246</v>
      </c>
      <c r="D726" s="1" t="s">
        <v>14972</v>
      </c>
      <c r="E726" s="1" t="s">
        <v>3247</v>
      </c>
      <c r="F726" s="1" t="s">
        <v>13644</v>
      </c>
      <c r="G726">
        <v>317391</v>
      </c>
      <c r="H726">
        <v>54</v>
      </c>
      <c r="I726" s="1" t="s">
        <v>11063</v>
      </c>
      <c r="J726" s="11">
        <v>44729.706458333334</v>
      </c>
      <c r="K726" s="1" t="s">
        <v>3248</v>
      </c>
      <c r="L726" s="1">
        <v>0.48699999999999999</v>
      </c>
      <c r="M726" s="1">
        <v>0.753</v>
      </c>
      <c r="N726">
        <v>1</v>
      </c>
      <c r="O726" s="1">
        <v>-3.1840000000000002</v>
      </c>
      <c r="P726">
        <v>0</v>
      </c>
      <c r="Q726" s="1">
        <v>0.31</v>
      </c>
      <c r="R726" s="1">
        <v>0.16300000000000001</v>
      </c>
      <c r="S726" s="1">
        <v>0.71499999999999997</v>
      </c>
      <c r="T726" s="1">
        <v>0.97699999999999998</v>
      </c>
      <c r="U726" s="1">
        <v>0.245</v>
      </c>
      <c r="V726" s="1">
        <v>138.00899999999999</v>
      </c>
      <c r="W726">
        <v>4</v>
      </c>
    </row>
    <row r="727" spans="1:23" x14ac:dyDescent="0.25">
      <c r="A727" s="1" t="s">
        <v>14973</v>
      </c>
      <c r="B727" s="1" t="s">
        <v>14974</v>
      </c>
      <c r="C727" s="1" t="s">
        <v>3249</v>
      </c>
      <c r="D727" s="1" t="s">
        <v>14975</v>
      </c>
      <c r="E727" s="1" t="s">
        <v>3250</v>
      </c>
      <c r="F727" s="1" t="s">
        <v>14976</v>
      </c>
      <c r="G727">
        <v>170498</v>
      </c>
      <c r="H727">
        <v>51</v>
      </c>
      <c r="I727" s="1" t="s">
        <v>11063</v>
      </c>
      <c r="J727" s="11">
        <v>44729.706458333334</v>
      </c>
      <c r="K727" s="1" t="s">
        <v>235</v>
      </c>
      <c r="L727" s="1">
        <v>0.78400000000000003</v>
      </c>
      <c r="M727" s="1">
        <v>0.55200000000000005</v>
      </c>
      <c r="N727">
        <v>1</v>
      </c>
      <c r="O727" s="1">
        <v>-7.2610000000000001</v>
      </c>
      <c r="P727">
        <v>0</v>
      </c>
      <c r="Q727" s="1">
        <v>0.871</v>
      </c>
      <c r="R727" s="1">
        <v>0.44700000000000001</v>
      </c>
      <c r="S727" s="1">
        <v>0</v>
      </c>
      <c r="T727" s="1">
        <v>0.192</v>
      </c>
      <c r="U727" s="1">
        <v>0.46500000000000002</v>
      </c>
      <c r="V727" s="1">
        <v>111.98399999999999</v>
      </c>
      <c r="W727">
        <v>4</v>
      </c>
    </row>
    <row r="728" spans="1:23" x14ac:dyDescent="0.25">
      <c r="A728" s="1" t="s">
        <v>14977</v>
      </c>
      <c r="B728" s="1" t="s">
        <v>13873</v>
      </c>
      <c r="C728" s="1" t="s">
        <v>3251</v>
      </c>
      <c r="D728" s="1" t="s">
        <v>3255</v>
      </c>
      <c r="E728" s="1" t="s">
        <v>2283</v>
      </c>
      <c r="F728" s="1" t="s">
        <v>11677</v>
      </c>
      <c r="G728">
        <v>228154</v>
      </c>
      <c r="H728">
        <v>57</v>
      </c>
      <c r="I728" s="1" t="s">
        <v>11063</v>
      </c>
      <c r="J728" s="11">
        <v>44729.706458333334</v>
      </c>
      <c r="K728" s="1" t="s">
        <v>1964</v>
      </c>
      <c r="L728" s="1">
        <v>0.61199999999999999</v>
      </c>
      <c r="M728" s="1">
        <v>0.628</v>
      </c>
      <c r="N728">
        <v>2</v>
      </c>
      <c r="O728" s="1">
        <v>-6.7539999999999996</v>
      </c>
      <c r="P728">
        <v>1</v>
      </c>
      <c r="Q728" s="1">
        <v>0.752</v>
      </c>
      <c r="R728" s="1">
        <v>0.35799999999999998</v>
      </c>
      <c r="S728" s="1">
        <v>0.89800000000000002</v>
      </c>
      <c r="T728" s="1">
        <v>0.193</v>
      </c>
      <c r="U728" s="1">
        <v>0.434</v>
      </c>
      <c r="V728" s="1">
        <v>125.04300000000001</v>
      </c>
      <c r="W728">
        <v>4</v>
      </c>
    </row>
    <row r="729" spans="1:23" x14ac:dyDescent="0.25">
      <c r="A729" s="1" t="s">
        <v>14978</v>
      </c>
      <c r="B729" s="1" t="s">
        <v>14979</v>
      </c>
      <c r="C729" s="1" t="s">
        <v>3252</v>
      </c>
      <c r="D729" s="1" t="s">
        <v>3255</v>
      </c>
      <c r="E729" s="1" t="s">
        <v>3253</v>
      </c>
      <c r="F729" s="1" t="s">
        <v>11677</v>
      </c>
      <c r="G729">
        <v>237140</v>
      </c>
      <c r="H729">
        <v>61</v>
      </c>
      <c r="I729" s="1" t="s">
        <v>11063</v>
      </c>
      <c r="J729" s="11">
        <v>44729.706458333334</v>
      </c>
      <c r="K729" s="1" t="s">
        <v>3254</v>
      </c>
      <c r="L729" s="1">
        <v>0.55800000000000005</v>
      </c>
      <c r="M729" s="1">
        <v>0.73299999999999998</v>
      </c>
      <c r="N729">
        <v>8</v>
      </c>
      <c r="O729" s="1">
        <v>-6.65</v>
      </c>
      <c r="P729">
        <v>1</v>
      </c>
      <c r="Q729" s="1">
        <v>0.69299999999999995</v>
      </c>
      <c r="R729" s="1">
        <v>0.33400000000000002</v>
      </c>
      <c r="S729" s="1">
        <v>0.193</v>
      </c>
      <c r="T729" s="1">
        <v>0.193</v>
      </c>
      <c r="U729" s="1">
        <v>0.17299999999999999</v>
      </c>
      <c r="V729" s="1">
        <v>89.992000000000004</v>
      </c>
      <c r="W729">
        <v>4</v>
      </c>
    </row>
    <row r="730" spans="1:23" x14ac:dyDescent="0.25">
      <c r="A730" s="1" t="s">
        <v>14980</v>
      </c>
      <c r="B730" s="1" t="s">
        <v>13873</v>
      </c>
      <c r="C730" s="1" t="s">
        <v>3255</v>
      </c>
      <c r="D730" s="1" t="s">
        <v>3255</v>
      </c>
      <c r="E730" s="1" t="s">
        <v>2283</v>
      </c>
      <c r="F730" s="1" t="s">
        <v>11677</v>
      </c>
      <c r="G730">
        <v>234244</v>
      </c>
      <c r="H730">
        <v>64</v>
      </c>
      <c r="I730" s="1" t="s">
        <v>11063</v>
      </c>
      <c r="J730" s="11">
        <v>44729.706458333334</v>
      </c>
      <c r="K730" s="1" t="s">
        <v>1964</v>
      </c>
      <c r="L730" s="1">
        <v>0.51500000000000001</v>
      </c>
      <c r="M730" s="1">
        <v>0.66300000000000003</v>
      </c>
      <c r="N730">
        <v>7</v>
      </c>
      <c r="O730" s="1">
        <v>-7.8959999999999999</v>
      </c>
      <c r="P730">
        <v>0</v>
      </c>
      <c r="Q730" s="1">
        <v>0.32800000000000001</v>
      </c>
      <c r="R730" s="1">
        <v>0.17899999999999999</v>
      </c>
      <c r="S730" s="1">
        <v>0.66800000000000004</v>
      </c>
      <c r="T730" s="1">
        <v>0.49399999999999999</v>
      </c>
      <c r="U730" s="1">
        <v>0.75600000000000001</v>
      </c>
      <c r="V730" s="1">
        <v>120.024</v>
      </c>
      <c r="W730">
        <v>4</v>
      </c>
    </row>
    <row r="731" spans="1:23" x14ac:dyDescent="0.25">
      <c r="A731" s="1" t="s">
        <v>14981</v>
      </c>
      <c r="B731" s="1" t="s">
        <v>14982</v>
      </c>
      <c r="C731" s="1" t="s">
        <v>3256</v>
      </c>
      <c r="D731" s="1" t="s">
        <v>3256</v>
      </c>
      <c r="E731" s="1" t="s">
        <v>3257</v>
      </c>
      <c r="F731" s="1" t="s">
        <v>14983</v>
      </c>
      <c r="G731">
        <v>186206</v>
      </c>
      <c r="H731">
        <v>46</v>
      </c>
      <c r="I731" s="1" t="s">
        <v>11063</v>
      </c>
      <c r="J731" s="11">
        <v>44729.706458333334</v>
      </c>
      <c r="K731" s="1" t="s">
        <v>2568</v>
      </c>
      <c r="L731" s="1">
        <v>0.38900000000000001</v>
      </c>
      <c r="M731" s="1">
        <v>0.91200000000000003</v>
      </c>
      <c r="N731">
        <v>0</v>
      </c>
      <c r="O731" s="1">
        <v>-2.444</v>
      </c>
      <c r="P731">
        <v>1</v>
      </c>
      <c r="Q731" s="1">
        <v>0.624</v>
      </c>
      <c r="R731" s="1">
        <v>0.17199999999999999</v>
      </c>
      <c r="S731" s="1">
        <v>0.13100000000000001</v>
      </c>
      <c r="T731" s="1">
        <v>0.91100000000000003</v>
      </c>
      <c r="U731" s="1">
        <v>0.39500000000000002</v>
      </c>
      <c r="V731" s="1">
        <v>174.101</v>
      </c>
      <c r="W731">
        <v>4</v>
      </c>
    </row>
    <row r="732" spans="1:23" x14ac:dyDescent="0.25">
      <c r="A732" s="1" t="s">
        <v>14984</v>
      </c>
      <c r="B732" s="1" t="s">
        <v>13920</v>
      </c>
      <c r="C732" s="1" t="s">
        <v>3258</v>
      </c>
      <c r="D732" s="1" t="s">
        <v>13921</v>
      </c>
      <c r="E732" s="1" t="s">
        <v>2327</v>
      </c>
      <c r="F732" s="1" t="s">
        <v>13922</v>
      </c>
      <c r="G732">
        <v>233346</v>
      </c>
      <c r="H732">
        <v>65</v>
      </c>
      <c r="I732" s="1" t="s">
        <v>11063</v>
      </c>
      <c r="J732" s="11">
        <v>44729.706458333334</v>
      </c>
      <c r="K732" s="1" t="s">
        <v>2328</v>
      </c>
      <c r="L732" s="1">
        <v>0.58599999999999997</v>
      </c>
      <c r="M732" s="1">
        <v>0.72699999999999998</v>
      </c>
      <c r="N732">
        <v>6</v>
      </c>
      <c r="O732" s="1">
        <v>-4.7990000000000004</v>
      </c>
      <c r="P732">
        <v>1</v>
      </c>
      <c r="Q732" s="1">
        <v>0.39</v>
      </c>
      <c r="R732" s="1">
        <v>0.247</v>
      </c>
      <c r="S732" s="1">
        <v>0.107</v>
      </c>
      <c r="T732" s="1">
        <v>0.152</v>
      </c>
      <c r="U732" s="1">
        <v>0.496</v>
      </c>
      <c r="V732" s="1">
        <v>124.99</v>
      </c>
      <c r="W732">
        <v>4</v>
      </c>
    </row>
    <row r="733" spans="1:23" x14ac:dyDescent="0.25">
      <c r="A733" s="1" t="s">
        <v>14985</v>
      </c>
      <c r="B733" s="1" t="s">
        <v>13920</v>
      </c>
      <c r="C733" s="1" t="s">
        <v>3259</v>
      </c>
      <c r="D733" s="1" t="s">
        <v>13921</v>
      </c>
      <c r="E733" s="1" t="s">
        <v>2327</v>
      </c>
      <c r="F733" s="1" t="s">
        <v>13922</v>
      </c>
      <c r="G733">
        <v>255093</v>
      </c>
      <c r="H733">
        <v>78</v>
      </c>
      <c r="I733" s="1" t="s">
        <v>11063</v>
      </c>
      <c r="J733" s="11">
        <v>44729.706458333334</v>
      </c>
      <c r="K733" s="1" t="s">
        <v>2328</v>
      </c>
      <c r="L733" s="1">
        <v>0.54500000000000004</v>
      </c>
      <c r="M733" s="1">
        <v>0.78</v>
      </c>
      <c r="N733">
        <v>7</v>
      </c>
      <c r="O733" s="1">
        <v>-4.867</v>
      </c>
      <c r="P733">
        <v>0</v>
      </c>
      <c r="Q733" s="1">
        <v>0.436</v>
      </c>
      <c r="R733" s="1">
        <v>0.309</v>
      </c>
      <c r="S733" s="1">
        <v>0.46400000000000002</v>
      </c>
      <c r="T733" s="1">
        <v>0.82799999999999996</v>
      </c>
      <c r="U733" s="1">
        <v>0.45800000000000002</v>
      </c>
      <c r="V733" s="1">
        <v>125.014</v>
      </c>
      <c r="W733">
        <v>4</v>
      </c>
    </row>
    <row r="734" spans="1:23" x14ac:dyDescent="0.25">
      <c r="A734" s="1" t="s">
        <v>14986</v>
      </c>
      <c r="B734" s="1" t="s">
        <v>13920</v>
      </c>
      <c r="C734" s="1" t="s">
        <v>3260</v>
      </c>
      <c r="D734" s="1" t="s">
        <v>13921</v>
      </c>
      <c r="E734" s="1" t="s">
        <v>2327</v>
      </c>
      <c r="F734" s="1" t="s">
        <v>13922</v>
      </c>
      <c r="G734">
        <v>148386</v>
      </c>
      <c r="H734">
        <v>69</v>
      </c>
      <c r="I734" s="1" t="s">
        <v>11063</v>
      </c>
      <c r="J734" s="11">
        <v>44729.706458333334</v>
      </c>
      <c r="K734" s="1" t="s">
        <v>2328</v>
      </c>
      <c r="L734" s="1">
        <v>0.56899999999999995</v>
      </c>
      <c r="M734" s="1">
        <v>0.78500000000000003</v>
      </c>
      <c r="N734">
        <v>1</v>
      </c>
      <c r="O734" s="1">
        <v>-4.0570000000000004</v>
      </c>
      <c r="P734">
        <v>0</v>
      </c>
      <c r="Q734" s="1">
        <v>0.45700000000000002</v>
      </c>
      <c r="R734" s="1">
        <v>0.505</v>
      </c>
      <c r="S734" s="1">
        <v>0.112</v>
      </c>
      <c r="T734" s="1">
        <v>0.86</v>
      </c>
      <c r="U734" s="1">
        <v>0.30299999999999999</v>
      </c>
      <c r="V734" s="1">
        <v>128.03100000000001</v>
      </c>
      <c r="W734">
        <v>4</v>
      </c>
    </row>
    <row r="735" spans="1:23" x14ac:dyDescent="0.25">
      <c r="A735" s="1" t="s">
        <v>14987</v>
      </c>
      <c r="B735" s="1" t="s">
        <v>14988</v>
      </c>
      <c r="C735" s="1" t="s">
        <v>3261</v>
      </c>
      <c r="D735" s="1" t="s">
        <v>3261</v>
      </c>
      <c r="E735" s="1" t="s">
        <v>3262</v>
      </c>
      <c r="F735" s="1" t="s">
        <v>14989</v>
      </c>
      <c r="G735">
        <v>269135</v>
      </c>
      <c r="H735">
        <v>32</v>
      </c>
      <c r="I735" s="1" t="s">
        <v>11063</v>
      </c>
      <c r="J735" s="11">
        <v>44729.706458333334</v>
      </c>
      <c r="K735" s="1" t="s">
        <v>3263</v>
      </c>
      <c r="L735" s="1">
        <v>0.57499999999999996</v>
      </c>
      <c r="M735" s="1">
        <v>0.47899999999999998</v>
      </c>
      <c r="N735">
        <v>5</v>
      </c>
      <c r="O735" s="1">
        <v>-10.316000000000001</v>
      </c>
      <c r="P735">
        <v>0</v>
      </c>
      <c r="Q735" s="1">
        <v>0.27900000000000003</v>
      </c>
      <c r="R735" s="1">
        <v>0.47</v>
      </c>
      <c r="S735" s="1">
        <v>0.42</v>
      </c>
      <c r="T735" s="1">
        <v>0.93100000000000005</v>
      </c>
      <c r="U735" s="1">
        <v>0.28999999999999998</v>
      </c>
      <c r="V735" s="1">
        <v>140.04</v>
      </c>
      <c r="W735">
        <v>4</v>
      </c>
    </row>
    <row r="736" spans="1:23" x14ac:dyDescent="0.25">
      <c r="A736" s="1" t="s">
        <v>14990</v>
      </c>
      <c r="B736" s="1" t="s">
        <v>14991</v>
      </c>
      <c r="C736" s="1" t="s">
        <v>3264</v>
      </c>
      <c r="D736" s="1" t="s">
        <v>3264</v>
      </c>
      <c r="E736" s="1" t="s">
        <v>3265</v>
      </c>
      <c r="F736" s="1" t="s">
        <v>14992</v>
      </c>
      <c r="G736">
        <v>199511</v>
      </c>
      <c r="H736">
        <v>25</v>
      </c>
      <c r="I736" s="1" t="s">
        <v>11063</v>
      </c>
      <c r="J736" s="11">
        <v>44729.706458333334</v>
      </c>
      <c r="K736" s="1" t="s">
        <v>3266</v>
      </c>
      <c r="L736" s="1">
        <v>0.34799999999999998</v>
      </c>
      <c r="M736" s="1">
        <v>0.64200000000000002</v>
      </c>
      <c r="N736">
        <v>1</v>
      </c>
      <c r="O736" s="1">
        <v>-4.5919999999999996</v>
      </c>
      <c r="P736">
        <v>1</v>
      </c>
      <c r="Q736" s="1">
        <v>0.39100000000000001</v>
      </c>
      <c r="R736" s="1">
        <v>0.42399999999999999</v>
      </c>
      <c r="S736" s="1">
        <v>0</v>
      </c>
      <c r="T736" s="1">
        <v>0.128</v>
      </c>
      <c r="U736" s="1">
        <v>0.13800000000000001</v>
      </c>
      <c r="V736" s="1">
        <v>79.233000000000004</v>
      </c>
      <c r="W736">
        <v>4</v>
      </c>
    </row>
    <row r="737" spans="1:23" x14ac:dyDescent="0.25">
      <c r="A737" s="1" t="s">
        <v>14993</v>
      </c>
      <c r="B737" s="1" t="s">
        <v>14994</v>
      </c>
      <c r="C737" s="1" t="s">
        <v>3267</v>
      </c>
      <c r="D737" s="1" t="s">
        <v>3267</v>
      </c>
      <c r="E737" s="1" t="s">
        <v>3268</v>
      </c>
      <c r="F737" s="1" t="s">
        <v>14995</v>
      </c>
      <c r="G737">
        <v>200401</v>
      </c>
      <c r="H737">
        <v>24</v>
      </c>
      <c r="I737" s="1" t="s">
        <v>11063</v>
      </c>
      <c r="J737" s="11">
        <v>44729.706458333334</v>
      </c>
      <c r="K737" s="1" t="s">
        <v>50</v>
      </c>
      <c r="L737" s="1">
        <v>0.79900000000000004</v>
      </c>
      <c r="M737" s="1">
        <v>0.53500000000000003</v>
      </c>
      <c r="N737">
        <v>0</v>
      </c>
      <c r="O737" s="1">
        <v>-6.0410000000000004</v>
      </c>
      <c r="P737">
        <v>1</v>
      </c>
      <c r="Q737" s="1">
        <v>0.57799999999999996</v>
      </c>
      <c r="R737" s="1">
        <v>0.10299999999999999</v>
      </c>
      <c r="S737" s="1">
        <v>0.154</v>
      </c>
      <c r="T737" s="1">
        <v>0.251</v>
      </c>
      <c r="U737" s="1">
        <v>0.51</v>
      </c>
      <c r="V737" s="1">
        <v>103.04900000000001</v>
      </c>
      <c r="W737">
        <v>4</v>
      </c>
    </row>
    <row r="738" spans="1:23" x14ac:dyDescent="0.25">
      <c r="A738" s="1" t="s">
        <v>14996</v>
      </c>
      <c r="B738" s="1" t="s">
        <v>14997</v>
      </c>
      <c r="C738" s="1" t="s">
        <v>3269</v>
      </c>
      <c r="D738" s="1" t="s">
        <v>3269</v>
      </c>
      <c r="E738" s="1" t="s">
        <v>3270</v>
      </c>
      <c r="F738" s="1" t="s">
        <v>14998</v>
      </c>
      <c r="G738">
        <v>205565</v>
      </c>
      <c r="H738">
        <v>27</v>
      </c>
      <c r="I738" s="1" t="s">
        <v>11063</v>
      </c>
      <c r="J738" s="11">
        <v>44729.706458333334</v>
      </c>
      <c r="K738" s="1" t="s">
        <v>996</v>
      </c>
      <c r="L738" s="1">
        <v>0.78200000000000003</v>
      </c>
      <c r="M738" s="1">
        <v>0.56499999999999995</v>
      </c>
      <c r="N738">
        <v>6</v>
      </c>
      <c r="O738" s="1">
        <v>-6.7240000000000002</v>
      </c>
      <c r="P738">
        <v>0</v>
      </c>
      <c r="Q738" s="1">
        <v>0.55900000000000005</v>
      </c>
      <c r="R738" s="1">
        <v>0.502</v>
      </c>
      <c r="S738" s="1">
        <v>0.30199999999999999</v>
      </c>
      <c r="T738" s="1">
        <v>0.13</v>
      </c>
      <c r="U738" s="1">
        <v>0.505</v>
      </c>
      <c r="V738" s="1">
        <v>114.971</v>
      </c>
      <c r="W738">
        <v>4</v>
      </c>
    </row>
    <row r="739" spans="1:23" x14ac:dyDescent="0.25">
      <c r="A739" s="1" t="s">
        <v>14999</v>
      </c>
      <c r="B739" s="1" t="s">
        <v>15000</v>
      </c>
      <c r="C739" s="1" t="s">
        <v>3271</v>
      </c>
      <c r="D739" s="1" t="s">
        <v>3271</v>
      </c>
      <c r="E739" s="1" t="s">
        <v>3272</v>
      </c>
      <c r="F739" s="1" t="s">
        <v>15001</v>
      </c>
      <c r="G739">
        <v>187200</v>
      </c>
      <c r="H739">
        <v>33</v>
      </c>
      <c r="I739" s="1" t="s">
        <v>11063</v>
      </c>
      <c r="J739" s="11">
        <v>44729.706458333334</v>
      </c>
      <c r="K739" s="1" t="s">
        <v>3273</v>
      </c>
      <c r="L739" s="1">
        <v>0.60199999999999998</v>
      </c>
      <c r="M739" s="1">
        <v>0.747</v>
      </c>
      <c r="N739">
        <v>9</v>
      </c>
      <c r="O739" s="1">
        <v>-5.3780000000000001</v>
      </c>
      <c r="P739">
        <v>1</v>
      </c>
      <c r="Q739" s="1">
        <v>0.61799999999999999</v>
      </c>
      <c r="R739" s="1">
        <v>0.10199999999999999</v>
      </c>
      <c r="S739" s="1">
        <v>0</v>
      </c>
      <c r="T739" s="1">
        <v>0.25</v>
      </c>
      <c r="U739" s="1">
        <v>0.41399999999999998</v>
      </c>
      <c r="V739" s="1">
        <v>99.98</v>
      </c>
      <c r="W739">
        <v>4</v>
      </c>
    </row>
    <row r="740" spans="1:23" x14ac:dyDescent="0.25">
      <c r="A740" s="1" t="s">
        <v>15002</v>
      </c>
      <c r="B740" s="1" t="s">
        <v>15003</v>
      </c>
      <c r="C740" s="1" t="s">
        <v>3274</v>
      </c>
      <c r="D740" s="1" t="s">
        <v>3274</v>
      </c>
      <c r="E740" s="1" t="s">
        <v>3275</v>
      </c>
      <c r="F740" s="1" t="s">
        <v>15004</v>
      </c>
      <c r="G740">
        <v>279344</v>
      </c>
      <c r="H740">
        <v>21</v>
      </c>
      <c r="I740" s="1" t="s">
        <v>11063</v>
      </c>
      <c r="J740" s="11">
        <v>44729.706458333334</v>
      </c>
      <c r="K740" s="1" t="s">
        <v>2713</v>
      </c>
      <c r="L740" s="1">
        <v>0.34300000000000003</v>
      </c>
      <c r="M740" s="1">
        <v>0.504</v>
      </c>
      <c r="N740">
        <v>9</v>
      </c>
      <c r="O740" s="1">
        <v>-8.16</v>
      </c>
      <c r="P740">
        <v>0</v>
      </c>
      <c r="Q740" s="1">
        <v>0.40400000000000003</v>
      </c>
      <c r="R740" s="1">
        <v>0.14299999999999999</v>
      </c>
      <c r="S740" s="1">
        <v>0.55900000000000005</v>
      </c>
      <c r="T740" s="1">
        <v>0.91500000000000004</v>
      </c>
      <c r="U740" s="1">
        <v>0.75</v>
      </c>
      <c r="V740" s="1">
        <v>122.124</v>
      </c>
      <c r="W740">
        <v>4</v>
      </c>
    </row>
    <row r="741" spans="1:23" x14ac:dyDescent="0.25">
      <c r="A741" s="1" t="s">
        <v>15005</v>
      </c>
      <c r="B741" s="1" t="s">
        <v>15006</v>
      </c>
      <c r="C741" s="1" t="s">
        <v>3276</v>
      </c>
      <c r="D741" s="1" t="s">
        <v>15007</v>
      </c>
      <c r="E741" s="1" t="s">
        <v>3277</v>
      </c>
      <c r="F741" s="1" t="s">
        <v>15008</v>
      </c>
      <c r="G741">
        <v>211614</v>
      </c>
      <c r="H741">
        <v>31</v>
      </c>
      <c r="I741" s="1" t="s">
        <v>11063</v>
      </c>
      <c r="J741" s="11">
        <v>44729.706458333334</v>
      </c>
      <c r="K741" s="1" t="s">
        <v>954</v>
      </c>
      <c r="L741" s="1">
        <v>0.47</v>
      </c>
      <c r="M741" s="1">
        <v>0.50800000000000001</v>
      </c>
      <c r="N741">
        <v>1</v>
      </c>
      <c r="O741" s="1">
        <v>-10.231</v>
      </c>
      <c r="P741">
        <v>0</v>
      </c>
      <c r="Q741" s="1">
        <v>0.6</v>
      </c>
      <c r="R741" s="1">
        <v>0.17</v>
      </c>
      <c r="S741" s="1">
        <v>0.40100000000000002</v>
      </c>
      <c r="T741" s="1">
        <v>0.106</v>
      </c>
      <c r="U741" s="1">
        <v>0.79700000000000004</v>
      </c>
      <c r="V741" s="1">
        <v>101.273</v>
      </c>
      <c r="W741">
        <v>3</v>
      </c>
    </row>
    <row r="742" spans="1:23" x14ac:dyDescent="0.25">
      <c r="A742" s="1" t="s">
        <v>15009</v>
      </c>
      <c r="B742" s="1" t="s">
        <v>15010</v>
      </c>
      <c r="C742" s="1" t="s">
        <v>3278</v>
      </c>
      <c r="D742" s="1" t="s">
        <v>15011</v>
      </c>
      <c r="E742" s="1" t="s">
        <v>3279</v>
      </c>
      <c r="F742" s="1" t="s">
        <v>15012</v>
      </c>
      <c r="G742">
        <v>310797</v>
      </c>
      <c r="H742">
        <v>23</v>
      </c>
      <c r="I742" s="1" t="s">
        <v>11063</v>
      </c>
      <c r="J742" s="11">
        <v>44729.706458333334</v>
      </c>
      <c r="K742" s="1" t="s">
        <v>994</v>
      </c>
      <c r="L742" s="1">
        <v>0.55100000000000005</v>
      </c>
      <c r="M742" s="1">
        <v>0.73499999999999999</v>
      </c>
      <c r="N742">
        <v>6</v>
      </c>
      <c r="O742" s="1">
        <v>-9.3279999999999994</v>
      </c>
      <c r="P742">
        <v>1</v>
      </c>
      <c r="Q742" s="1">
        <v>0.41499999999999998</v>
      </c>
      <c r="R742" s="1">
        <v>0.223</v>
      </c>
      <c r="S742" s="1">
        <v>0.75600000000000001</v>
      </c>
      <c r="T742" s="1">
        <v>0.35599999999999998</v>
      </c>
      <c r="U742" s="1">
        <v>0.39300000000000002</v>
      </c>
      <c r="V742" s="1">
        <v>153.04900000000001</v>
      </c>
      <c r="W742">
        <v>4</v>
      </c>
    </row>
    <row r="743" spans="1:23" x14ac:dyDescent="0.25">
      <c r="A743" s="1" t="s">
        <v>15013</v>
      </c>
      <c r="B743" s="1" t="s">
        <v>15014</v>
      </c>
      <c r="C743" s="1" t="s">
        <v>3280</v>
      </c>
      <c r="D743" s="1" t="s">
        <v>7918</v>
      </c>
      <c r="E743" s="1" t="s">
        <v>3281</v>
      </c>
      <c r="F743" s="1" t="s">
        <v>13531</v>
      </c>
      <c r="G743">
        <v>285627</v>
      </c>
      <c r="H743">
        <v>23</v>
      </c>
      <c r="I743" s="1" t="s">
        <v>11063</v>
      </c>
      <c r="J743" s="11">
        <v>44729.706458333334</v>
      </c>
      <c r="K743" s="1" t="s">
        <v>632</v>
      </c>
      <c r="L743" s="1">
        <v>0.54100000000000004</v>
      </c>
      <c r="M743" s="1">
        <v>0.56100000000000005</v>
      </c>
      <c r="N743">
        <v>5</v>
      </c>
      <c r="O743" s="1">
        <v>-5.0149999999999997</v>
      </c>
      <c r="P743">
        <v>1</v>
      </c>
      <c r="Q743" s="1">
        <v>0.48099999999999998</v>
      </c>
      <c r="R743" s="1">
        <v>0.20200000000000001</v>
      </c>
      <c r="S743" s="1">
        <v>0.56100000000000005</v>
      </c>
      <c r="T743" s="1">
        <v>0.11899999999999999</v>
      </c>
      <c r="U743" s="1">
        <v>0.13300000000000001</v>
      </c>
      <c r="V743" s="1">
        <v>149.83699999999999</v>
      </c>
      <c r="W743">
        <v>4</v>
      </c>
    </row>
    <row r="744" spans="1:23" x14ac:dyDescent="0.25">
      <c r="A744" s="1" t="s">
        <v>15015</v>
      </c>
      <c r="B744" s="1" t="s">
        <v>15016</v>
      </c>
      <c r="C744" s="1" t="s">
        <v>3282</v>
      </c>
      <c r="D744" s="1" t="s">
        <v>3282</v>
      </c>
      <c r="E744" s="1" t="s">
        <v>3283</v>
      </c>
      <c r="F744" s="1" t="s">
        <v>15017</v>
      </c>
      <c r="G744">
        <v>217263</v>
      </c>
      <c r="H744">
        <v>45</v>
      </c>
      <c r="I744" s="1" t="s">
        <v>11063</v>
      </c>
      <c r="J744" s="11">
        <v>44729.706458333334</v>
      </c>
      <c r="K744" s="1" t="s">
        <v>2713</v>
      </c>
      <c r="L744" s="1">
        <v>0.59499999999999997</v>
      </c>
      <c r="M744" s="1">
        <v>0.67</v>
      </c>
      <c r="N744">
        <v>11</v>
      </c>
      <c r="O744" s="1">
        <v>-6.8019999999999996</v>
      </c>
      <c r="P744">
        <v>0</v>
      </c>
      <c r="Q744" s="1">
        <v>0.35899999999999999</v>
      </c>
      <c r="R744" s="1">
        <v>0.30099999999999999</v>
      </c>
      <c r="S744" s="1">
        <v>0</v>
      </c>
      <c r="T744" s="1">
        <v>0.157</v>
      </c>
      <c r="U744" s="1">
        <v>0.29499999999999998</v>
      </c>
      <c r="V744" s="1">
        <v>95.019000000000005</v>
      </c>
      <c r="W744">
        <v>4</v>
      </c>
    </row>
    <row r="745" spans="1:23" x14ac:dyDescent="0.25">
      <c r="A745" s="1" t="s">
        <v>15018</v>
      </c>
      <c r="B745" s="1" t="s">
        <v>15019</v>
      </c>
      <c r="C745" s="1" t="s">
        <v>3284</v>
      </c>
      <c r="D745" s="1" t="s">
        <v>3284</v>
      </c>
      <c r="E745" s="1" t="s">
        <v>3285</v>
      </c>
      <c r="F745" s="1" t="s">
        <v>15020</v>
      </c>
      <c r="G745">
        <v>240405</v>
      </c>
      <c r="H745">
        <v>31</v>
      </c>
      <c r="I745" s="1" t="s">
        <v>11063</v>
      </c>
      <c r="J745" s="11">
        <v>44729.706458333334</v>
      </c>
      <c r="K745" s="1" t="s">
        <v>998</v>
      </c>
      <c r="L745" s="1">
        <v>0.49199999999999999</v>
      </c>
      <c r="M745" s="1">
        <v>0.94499999999999995</v>
      </c>
      <c r="N745">
        <v>6</v>
      </c>
      <c r="O745" s="1">
        <v>-2.278</v>
      </c>
      <c r="P745">
        <v>1</v>
      </c>
      <c r="Q745" s="1">
        <v>0.34300000000000003</v>
      </c>
      <c r="R745" s="1">
        <v>0.182</v>
      </c>
      <c r="S745" s="1">
        <v>0.95799999999999996</v>
      </c>
      <c r="T745" s="1">
        <v>0.29899999999999999</v>
      </c>
      <c r="U745" s="1">
        <v>0.11700000000000001</v>
      </c>
      <c r="V745" s="1">
        <v>128.00299999999999</v>
      </c>
      <c r="W745">
        <v>4</v>
      </c>
    </row>
    <row r="746" spans="1:23" x14ac:dyDescent="0.25">
      <c r="A746" s="1" t="s">
        <v>15021</v>
      </c>
      <c r="B746" s="1" t="s">
        <v>15022</v>
      </c>
      <c r="C746" s="1" t="s">
        <v>3286</v>
      </c>
      <c r="D746" s="1" t="s">
        <v>11507</v>
      </c>
      <c r="E746" s="1" t="s">
        <v>3287</v>
      </c>
      <c r="F746" s="1" t="s">
        <v>11445</v>
      </c>
      <c r="G746">
        <v>198684</v>
      </c>
      <c r="H746">
        <v>47</v>
      </c>
      <c r="I746" s="1" t="s">
        <v>11063</v>
      </c>
      <c r="J746" s="11">
        <v>44729.706458333334</v>
      </c>
      <c r="K746" s="1" t="s">
        <v>3288</v>
      </c>
      <c r="L746" s="1">
        <v>0.49399999999999999</v>
      </c>
      <c r="M746" s="1">
        <v>0.46200000000000002</v>
      </c>
      <c r="N746">
        <v>2</v>
      </c>
      <c r="O746" s="1">
        <v>-9.7759999999999998</v>
      </c>
      <c r="P746">
        <v>1</v>
      </c>
      <c r="Q746" s="1">
        <v>0.43</v>
      </c>
      <c r="R746" s="1">
        <v>0.214</v>
      </c>
      <c r="S746" s="1">
        <v>0.44600000000000001</v>
      </c>
      <c r="T746" s="1">
        <v>0.11700000000000001</v>
      </c>
      <c r="U746" s="1">
        <v>0.26400000000000001</v>
      </c>
      <c r="V746" s="1">
        <v>147.96299999999999</v>
      </c>
      <c r="W746">
        <v>4</v>
      </c>
    </row>
    <row r="747" spans="1:23" x14ac:dyDescent="0.25">
      <c r="A747" s="1" t="s">
        <v>15023</v>
      </c>
      <c r="B747" s="1" t="s">
        <v>15022</v>
      </c>
      <c r="C747" s="1" t="s">
        <v>3289</v>
      </c>
      <c r="D747" s="1" t="s">
        <v>11507</v>
      </c>
      <c r="E747" s="1" t="s">
        <v>3287</v>
      </c>
      <c r="F747" s="1" t="s">
        <v>11445</v>
      </c>
      <c r="G747">
        <v>190215</v>
      </c>
      <c r="H747">
        <v>40</v>
      </c>
      <c r="I747" s="1" t="s">
        <v>11063</v>
      </c>
      <c r="J747" s="11">
        <v>44729.706458333334</v>
      </c>
      <c r="K747" s="1" t="s">
        <v>3288</v>
      </c>
      <c r="L747" s="1">
        <v>0.82799999999999996</v>
      </c>
      <c r="M747" s="1">
        <v>0.59199999999999997</v>
      </c>
      <c r="N747">
        <v>11</v>
      </c>
      <c r="O747" s="1">
        <v>-6.891</v>
      </c>
      <c r="P747">
        <v>0</v>
      </c>
      <c r="Q747" s="1">
        <v>0.44700000000000001</v>
      </c>
      <c r="R747" s="1">
        <v>0.14199999999999999</v>
      </c>
      <c r="S747" s="1">
        <v>0.80900000000000005</v>
      </c>
      <c r="T747" s="1">
        <v>0.81200000000000006</v>
      </c>
      <c r="U747" s="1">
        <v>0.54700000000000004</v>
      </c>
      <c r="V747" s="1">
        <v>116.02500000000001</v>
      </c>
      <c r="W747">
        <v>4</v>
      </c>
    </row>
    <row r="748" spans="1:23" x14ac:dyDescent="0.25">
      <c r="A748" s="1" t="s">
        <v>15024</v>
      </c>
      <c r="B748" s="1" t="s">
        <v>15025</v>
      </c>
      <c r="C748" s="1" t="s">
        <v>3290</v>
      </c>
      <c r="D748" s="1" t="s">
        <v>11507</v>
      </c>
      <c r="E748" s="1" t="s">
        <v>3291</v>
      </c>
      <c r="F748" s="1" t="s">
        <v>11445</v>
      </c>
      <c r="G748">
        <v>219000</v>
      </c>
      <c r="H748">
        <v>45</v>
      </c>
      <c r="I748" s="1" t="s">
        <v>11063</v>
      </c>
      <c r="J748" s="11">
        <v>44729.706458333334</v>
      </c>
      <c r="K748" s="1" t="s">
        <v>3292</v>
      </c>
      <c r="L748" s="1">
        <v>0.62</v>
      </c>
      <c r="M748" s="1">
        <v>0.65400000000000003</v>
      </c>
      <c r="N748">
        <v>6</v>
      </c>
      <c r="O748" s="1">
        <v>-7.4390000000000001</v>
      </c>
      <c r="P748">
        <v>0</v>
      </c>
      <c r="Q748" s="1">
        <v>0.30199999999999999</v>
      </c>
      <c r="R748" s="1">
        <v>0.10299999999999999</v>
      </c>
      <c r="S748" s="1">
        <v>0.41499999999999998</v>
      </c>
      <c r="T748" s="1">
        <v>0.28799999999999998</v>
      </c>
      <c r="U748" s="1">
        <v>0.16200000000000001</v>
      </c>
      <c r="V748" s="1">
        <v>115.004</v>
      </c>
      <c r="W748">
        <v>4</v>
      </c>
    </row>
    <row r="749" spans="1:23" x14ac:dyDescent="0.25">
      <c r="A749" s="1" t="s">
        <v>15026</v>
      </c>
      <c r="B749" s="1" t="s">
        <v>15027</v>
      </c>
      <c r="C749" s="1" t="s">
        <v>3293</v>
      </c>
      <c r="D749" s="1" t="s">
        <v>11507</v>
      </c>
      <c r="E749" s="1" t="s">
        <v>3294</v>
      </c>
      <c r="F749" s="1" t="s">
        <v>11445</v>
      </c>
      <c r="G749">
        <v>191328</v>
      </c>
      <c r="H749">
        <v>40</v>
      </c>
      <c r="I749" s="1" t="s">
        <v>11063</v>
      </c>
      <c r="J749" s="11">
        <v>44729.706458333334</v>
      </c>
      <c r="K749" s="1" t="s">
        <v>3295</v>
      </c>
      <c r="L749" s="1">
        <v>0.80900000000000005</v>
      </c>
      <c r="M749" s="1">
        <v>0.40600000000000003</v>
      </c>
      <c r="N749">
        <v>3</v>
      </c>
      <c r="O749" s="1">
        <v>-7.391</v>
      </c>
      <c r="P749">
        <v>1</v>
      </c>
      <c r="Q749" s="1">
        <v>0.41199999999999998</v>
      </c>
      <c r="R749" s="1">
        <v>0.38400000000000001</v>
      </c>
      <c r="S749" s="1">
        <v>0</v>
      </c>
      <c r="T749" s="1">
        <v>0.89700000000000002</v>
      </c>
      <c r="U749" s="1">
        <v>0.27700000000000002</v>
      </c>
      <c r="V749" s="1">
        <v>96.01</v>
      </c>
      <c r="W749">
        <v>4</v>
      </c>
    </row>
    <row r="750" spans="1:23" x14ac:dyDescent="0.25">
      <c r="A750" s="1" t="s">
        <v>15028</v>
      </c>
      <c r="B750" s="1" t="s">
        <v>11506</v>
      </c>
      <c r="C750" s="1" t="s">
        <v>3296</v>
      </c>
      <c r="D750" s="1" t="s">
        <v>11507</v>
      </c>
      <c r="E750" s="1" t="s">
        <v>255</v>
      </c>
      <c r="F750" s="1" t="s">
        <v>11445</v>
      </c>
      <c r="G750">
        <v>166802</v>
      </c>
      <c r="H750">
        <v>39</v>
      </c>
      <c r="I750" s="1" t="s">
        <v>11063</v>
      </c>
      <c r="J750" s="11">
        <v>44729.706458333334</v>
      </c>
      <c r="K750" s="1" t="s">
        <v>256</v>
      </c>
      <c r="L750" s="1">
        <v>0.26600000000000001</v>
      </c>
      <c r="M750" s="1">
        <v>0.26400000000000001</v>
      </c>
      <c r="N750">
        <v>11</v>
      </c>
      <c r="O750" s="1">
        <v>-10.552</v>
      </c>
      <c r="P750">
        <v>0</v>
      </c>
      <c r="Q750" s="1">
        <v>0.34799999999999998</v>
      </c>
      <c r="R750" s="1">
        <v>0.87</v>
      </c>
      <c r="S750" s="1">
        <v>0</v>
      </c>
      <c r="T750" s="1">
        <v>0.27200000000000002</v>
      </c>
      <c r="U750" s="1">
        <v>0.32300000000000001</v>
      </c>
      <c r="V750" s="1">
        <v>207.905</v>
      </c>
      <c r="W750">
        <v>4</v>
      </c>
    </row>
    <row r="751" spans="1:23" x14ac:dyDescent="0.25">
      <c r="A751" s="1" t="s">
        <v>11486</v>
      </c>
      <c r="B751" s="1" t="s">
        <v>11487</v>
      </c>
      <c r="C751" s="1" t="s">
        <v>3297</v>
      </c>
      <c r="D751" s="1" t="s">
        <v>11488</v>
      </c>
      <c r="E751" s="1" t="s">
        <v>240</v>
      </c>
      <c r="F751" s="1" t="s">
        <v>11489</v>
      </c>
      <c r="G751">
        <v>137704</v>
      </c>
      <c r="H751">
        <v>84</v>
      </c>
      <c r="I751" s="1" t="s">
        <v>11063</v>
      </c>
      <c r="J751" s="11">
        <v>44729.706458333334</v>
      </c>
      <c r="K751" s="1" t="s">
        <v>241</v>
      </c>
      <c r="L751" s="1">
        <v>0.59299999999999997</v>
      </c>
      <c r="M751" s="1">
        <v>0.503</v>
      </c>
      <c r="N751">
        <v>8</v>
      </c>
      <c r="O751" s="1">
        <v>-6.7249999999999996</v>
      </c>
      <c r="P751">
        <v>0</v>
      </c>
      <c r="Q751" s="1">
        <v>0.22</v>
      </c>
      <c r="R751" s="1">
        <v>0.29299999999999998</v>
      </c>
      <c r="S751" s="1">
        <v>0</v>
      </c>
      <c r="T751" s="1">
        <v>0.40500000000000003</v>
      </c>
      <c r="U751" s="1">
        <v>0.71</v>
      </c>
      <c r="V751" s="1">
        <v>178.78100000000001</v>
      </c>
      <c r="W751">
        <v>4</v>
      </c>
    </row>
    <row r="752" spans="1:23" x14ac:dyDescent="0.25">
      <c r="A752" s="1" t="s">
        <v>15029</v>
      </c>
      <c r="B752" s="1" t="s">
        <v>11638</v>
      </c>
      <c r="C752" s="1" t="s">
        <v>3298</v>
      </c>
      <c r="D752" s="1" t="s">
        <v>11488</v>
      </c>
      <c r="E752" s="1" t="s">
        <v>360</v>
      </c>
      <c r="F752" s="1" t="s">
        <v>11489</v>
      </c>
      <c r="G752">
        <v>212352</v>
      </c>
      <c r="H752">
        <v>85</v>
      </c>
      <c r="I752" s="1" t="s">
        <v>11063</v>
      </c>
      <c r="J752" s="11">
        <v>44729.706458333334</v>
      </c>
      <c r="K752" s="1" t="s">
        <v>361</v>
      </c>
      <c r="L752" s="1">
        <v>0.74099999999999999</v>
      </c>
      <c r="M752" s="1">
        <v>0.69099999999999995</v>
      </c>
      <c r="N752">
        <v>10</v>
      </c>
      <c r="O752" s="1">
        <v>-7.3949999999999996</v>
      </c>
      <c r="P752">
        <v>0</v>
      </c>
      <c r="Q752" s="1">
        <v>0.67200000000000004</v>
      </c>
      <c r="R752" s="1">
        <v>0.221</v>
      </c>
      <c r="S752" s="1">
        <v>0</v>
      </c>
      <c r="T752" s="1">
        <v>0.47599999999999998</v>
      </c>
      <c r="U752" s="1">
        <v>0.89200000000000002</v>
      </c>
      <c r="V752" s="1">
        <v>150.08699999999999</v>
      </c>
      <c r="W752">
        <v>4</v>
      </c>
    </row>
    <row r="753" spans="1:23" x14ac:dyDescent="0.25">
      <c r="A753" s="1" t="s">
        <v>15030</v>
      </c>
      <c r="B753" s="1" t="s">
        <v>15031</v>
      </c>
      <c r="C753" s="1" t="s">
        <v>3299</v>
      </c>
      <c r="D753" s="1" t="s">
        <v>15032</v>
      </c>
      <c r="E753" s="1" t="s">
        <v>3300</v>
      </c>
      <c r="F753" s="1" t="s">
        <v>11282</v>
      </c>
      <c r="G753">
        <v>197355</v>
      </c>
      <c r="H753">
        <v>42</v>
      </c>
      <c r="I753" s="1" t="s">
        <v>11063</v>
      </c>
      <c r="J753" s="11">
        <v>44729.706458333334</v>
      </c>
      <c r="K753" s="1" t="s">
        <v>3301</v>
      </c>
      <c r="L753" s="1">
        <v>0.63600000000000001</v>
      </c>
      <c r="M753" s="1">
        <v>0.70399999999999996</v>
      </c>
      <c r="N753">
        <v>0</v>
      </c>
      <c r="O753" s="1">
        <v>-6.827</v>
      </c>
      <c r="P753">
        <v>1</v>
      </c>
      <c r="Q753" s="1">
        <v>0.59699999999999998</v>
      </c>
      <c r="R753" s="1">
        <v>0.184</v>
      </c>
      <c r="S753" s="1">
        <v>0.52300000000000002</v>
      </c>
      <c r="T753" s="1">
        <v>0.13800000000000001</v>
      </c>
      <c r="U753" s="1">
        <v>0.47799999999999998</v>
      </c>
      <c r="V753" s="1">
        <v>121.078</v>
      </c>
      <c r="W753">
        <v>4</v>
      </c>
    </row>
    <row r="754" spans="1:23" x14ac:dyDescent="0.25">
      <c r="A754" s="1" t="s">
        <v>15033</v>
      </c>
      <c r="B754" s="1" t="s">
        <v>15034</v>
      </c>
      <c r="C754" s="1" t="s">
        <v>3302</v>
      </c>
      <c r="D754" s="1" t="s">
        <v>3302</v>
      </c>
      <c r="E754" s="1" t="s">
        <v>3303</v>
      </c>
      <c r="F754" s="1" t="s">
        <v>15035</v>
      </c>
      <c r="G754">
        <v>235000</v>
      </c>
      <c r="H754">
        <v>77</v>
      </c>
      <c r="I754" s="1" t="s">
        <v>11063</v>
      </c>
      <c r="J754" s="11">
        <v>44729.706458333334</v>
      </c>
      <c r="K754" s="1" t="s">
        <v>3304</v>
      </c>
      <c r="L754" s="1">
        <v>0.498</v>
      </c>
      <c r="M754" s="1">
        <v>0.59799999999999998</v>
      </c>
      <c r="N754">
        <v>4</v>
      </c>
      <c r="O754" s="1">
        <v>-6.6379999999999999</v>
      </c>
      <c r="P754">
        <v>0</v>
      </c>
      <c r="Q754" s="1">
        <v>0.377</v>
      </c>
      <c r="R754" s="1">
        <v>0.78600000000000003</v>
      </c>
      <c r="S754" s="1">
        <v>0</v>
      </c>
      <c r="T754" s="1">
        <v>0.111</v>
      </c>
      <c r="U754" s="1">
        <v>0.57299999999999995</v>
      </c>
      <c r="V754" s="1">
        <v>140.078</v>
      </c>
      <c r="W754">
        <v>4</v>
      </c>
    </row>
    <row r="755" spans="1:23" x14ac:dyDescent="0.25">
      <c r="A755" s="1" t="s">
        <v>15036</v>
      </c>
      <c r="B755" s="1" t="s">
        <v>15037</v>
      </c>
      <c r="C755" s="1" t="s">
        <v>3305</v>
      </c>
      <c r="D755" s="1" t="s">
        <v>15038</v>
      </c>
      <c r="E755" s="1" t="s">
        <v>3306</v>
      </c>
      <c r="F755" s="1" t="s">
        <v>15039</v>
      </c>
      <c r="G755">
        <v>173381</v>
      </c>
      <c r="H755">
        <v>90</v>
      </c>
      <c r="I755" s="1" t="s">
        <v>11063</v>
      </c>
      <c r="J755" s="11">
        <v>44729.706458333334</v>
      </c>
      <c r="K755" s="1" t="s">
        <v>3307</v>
      </c>
      <c r="L755" s="1">
        <v>0.72799999999999998</v>
      </c>
      <c r="M755" s="1">
        <v>0.78300000000000003</v>
      </c>
      <c r="N755">
        <v>11</v>
      </c>
      <c r="O755" s="1">
        <v>-4.4240000000000004</v>
      </c>
      <c r="P755">
        <v>0</v>
      </c>
      <c r="Q755" s="1">
        <v>0.26600000000000001</v>
      </c>
      <c r="R755" s="1">
        <v>0.23699999999999999</v>
      </c>
      <c r="S755" s="1">
        <v>0</v>
      </c>
      <c r="T755" s="1">
        <v>0.434</v>
      </c>
      <c r="U755" s="1">
        <v>0.55500000000000005</v>
      </c>
      <c r="V755" s="1">
        <v>77.010999999999996</v>
      </c>
      <c r="W755">
        <v>4</v>
      </c>
    </row>
    <row r="756" spans="1:23" x14ac:dyDescent="0.25">
      <c r="A756" s="1" t="s">
        <v>15040</v>
      </c>
      <c r="B756" s="1" t="s">
        <v>11184</v>
      </c>
      <c r="C756" s="1" t="s">
        <v>3308</v>
      </c>
      <c r="D756" s="1" t="s">
        <v>3308</v>
      </c>
      <c r="E756" s="1" t="s">
        <v>2057</v>
      </c>
      <c r="F756" s="1" t="s">
        <v>11460</v>
      </c>
      <c r="G756">
        <v>186857</v>
      </c>
      <c r="H756">
        <v>43</v>
      </c>
      <c r="I756" s="1" t="s">
        <v>11063</v>
      </c>
      <c r="J756" s="11">
        <v>44729.706458333334</v>
      </c>
      <c r="K756" s="1" t="s">
        <v>50</v>
      </c>
      <c r="L756" s="1">
        <v>0.69499999999999995</v>
      </c>
      <c r="M756" s="1">
        <v>0.622</v>
      </c>
      <c r="N756">
        <v>0</v>
      </c>
      <c r="O756" s="1">
        <v>-6.8129999999999997</v>
      </c>
      <c r="P756">
        <v>0</v>
      </c>
      <c r="Q756" s="1">
        <v>0.42099999999999999</v>
      </c>
      <c r="R756" s="1">
        <v>0.69</v>
      </c>
      <c r="S756" s="1">
        <v>0.33800000000000002</v>
      </c>
      <c r="T756" s="1">
        <v>0.90700000000000003</v>
      </c>
      <c r="U756" s="1">
        <v>0.20899999999999999</v>
      </c>
      <c r="V756" s="1">
        <v>139.98699999999999</v>
      </c>
      <c r="W756">
        <v>4</v>
      </c>
    </row>
    <row r="757" spans="1:23" x14ac:dyDescent="0.25">
      <c r="A757" s="1" t="s">
        <v>15041</v>
      </c>
      <c r="B757" s="1" t="s">
        <v>15042</v>
      </c>
      <c r="C757" s="1" t="s">
        <v>3309</v>
      </c>
      <c r="D757" s="1" t="s">
        <v>15043</v>
      </c>
      <c r="E757" s="1" t="s">
        <v>3310</v>
      </c>
      <c r="F757" s="1" t="s">
        <v>15044</v>
      </c>
      <c r="G757">
        <v>215640</v>
      </c>
      <c r="H757">
        <v>54</v>
      </c>
      <c r="I757" s="1" t="s">
        <v>11063</v>
      </c>
      <c r="J757" s="11">
        <v>44729.706458333334</v>
      </c>
      <c r="K757" s="1" t="s">
        <v>3311</v>
      </c>
      <c r="L757" s="1">
        <v>0.71399999999999997</v>
      </c>
      <c r="M757" s="1">
        <v>0.93799999999999994</v>
      </c>
      <c r="N757">
        <v>8</v>
      </c>
      <c r="O757" s="1">
        <v>-7.3049999999999997</v>
      </c>
      <c r="P757">
        <v>1</v>
      </c>
      <c r="Q757" s="1">
        <v>0.36899999999999999</v>
      </c>
      <c r="R757" s="1">
        <v>0.60199999999999998</v>
      </c>
      <c r="S757" s="1">
        <v>0.26500000000000001</v>
      </c>
      <c r="T757" s="1">
        <v>0.379</v>
      </c>
      <c r="U757" s="1">
        <v>0.53</v>
      </c>
      <c r="V757" s="1">
        <v>126.822</v>
      </c>
      <c r="W757">
        <v>4</v>
      </c>
    </row>
    <row r="758" spans="1:23" x14ac:dyDescent="0.25">
      <c r="A758" s="1" t="s">
        <v>15045</v>
      </c>
      <c r="B758" s="1" t="s">
        <v>15046</v>
      </c>
      <c r="C758" s="1" t="s">
        <v>3312</v>
      </c>
      <c r="D758" s="1" t="s">
        <v>3312</v>
      </c>
      <c r="E758" s="1" t="s">
        <v>3313</v>
      </c>
      <c r="F758" s="1" t="s">
        <v>14068</v>
      </c>
      <c r="G758">
        <v>265523</v>
      </c>
      <c r="H758">
        <v>29</v>
      </c>
      <c r="I758" s="1" t="s">
        <v>11063</v>
      </c>
      <c r="J758" s="11">
        <v>44729.706458333334</v>
      </c>
      <c r="K758" s="1" t="s">
        <v>3314</v>
      </c>
      <c r="L758" s="1">
        <v>0.46100000000000002</v>
      </c>
      <c r="M758" s="1">
        <v>0.35799999999999998</v>
      </c>
      <c r="N758">
        <v>0</v>
      </c>
      <c r="O758" s="1">
        <v>-12.002000000000001</v>
      </c>
      <c r="P758">
        <v>0</v>
      </c>
      <c r="Q758" s="1">
        <v>0.36299999999999999</v>
      </c>
      <c r="R758" s="1">
        <v>0.60899999999999999</v>
      </c>
      <c r="S758" s="1">
        <v>0.50900000000000001</v>
      </c>
      <c r="T758" s="1">
        <v>0.129</v>
      </c>
      <c r="U758" s="1">
        <v>0.17699999999999999</v>
      </c>
      <c r="V758" s="1">
        <v>80.010999999999996</v>
      </c>
      <c r="W758">
        <v>4</v>
      </c>
    </row>
    <row r="759" spans="1:23" x14ac:dyDescent="0.25">
      <c r="A759" s="1" t="s">
        <v>15047</v>
      </c>
      <c r="B759" s="1" t="s">
        <v>15048</v>
      </c>
      <c r="C759" s="1" t="s">
        <v>3315</v>
      </c>
      <c r="D759" s="1" t="s">
        <v>3315</v>
      </c>
      <c r="E759" s="1" t="s">
        <v>3316</v>
      </c>
      <c r="F759" s="1" t="s">
        <v>14992</v>
      </c>
      <c r="G759">
        <v>201600</v>
      </c>
      <c r="H759">
        <v>49</v>
      </c>
      <c r="I759" s="1" t="s">
        <v>11063</v>
      </c>
      <c r="J759" s="11">
        <v>44729.706458333334</v>
      </c>
      <c r="K759" s="1" t="s">
        <v>933</v>
      </c>
      <c r="L759" s="1">
        <v>0.42299999999999999</v>
      </c>
      <c r="M759" s="1">
        <v>0.51500000000000001</v>
      </c>
      <c r="N759">
        <v>4</v>
      </c>
      <c r="O759" s="1">
        <v>-9.2929999999999993</v>
      </c>
      <c r="P759">
        <v>1</v>
      </c>
      <c r="Q759" s="1">
        <v>0.49399999999999999</v>
      </c>
      <c r="R759" s="1">
        <v>0.71299999999999997</v>
      </c>
      <c r="S759" s="1">
        <v>0</v>
      </c>
      <c r="T759" s="1">
        <v>0.189</v>
      </c>
      <c r="U759" s="1">
        <v>0.34899999999999998</v>
      </c>
      <c r="V759" s="1">
        <v>200.23500000000001</v>
      </c>
      <c r="W759">
        <v>4</v>
      </c>
    </row>
    <row r="760" spans="1:23" x14ac:dyDescent="0.25">
      <c r="A760" s="1" t="s">
        <v>15049</v>
      </c>
      <c r="B760" s="1" t="s">
        <v>15050</v>
      </c>
      <c r="C760" s="1" t="s">
        <v>3317</v>
      </c>
      <c r="D760" s="1" t="s">
        <v>3317</v>
      </c>
      <c r="E760" s="1" t="s">
        <v>3318</v>
      </c>
      <c r="F760" s="1" t="s">
        <v>15051</v>
      </c>
      <c r="G760">
        <v>173552</v>
      </c>
      <c r="H760">
        <v>28</v>
      </c>
      <c r="I760" s="1" t="s">
        <v>11063</v>
      </c>
      <c r="J760" s="11">
        <v>44729.706458333334</v>
      </c>
      <c r="K760" s="1" t="s">
        <v>1053</v>
      </c>
      <c r="L760" s="1">
        <v>0.57099999999999995</v>
      </c>
      <c r="M760" s="1">
        <v>0.83099999999999996</v>
      </c>
      <c r="N760">
        <v>2</v>
      </c>
      <c r="O760" s="1">
        <v>-5.1849999999999996</v>
      </c>
      <c r="P760">
        <v>1</v>
      </c>
      <c r="Q760" s="1">
        <v>0.11799999999999999</v>
      </c>
      <c r="R760" s="1">
        <v>0.152</v>
      </c>
      <c r="S760" s="1">
        <v>0.86</v>
      </c>
      <c r="T760" s="1">
        <v>0.72099999999999997</v>
      </c>
      <c r="U760" s="1">
        <v>0.36099999999999999</v>
      </c>
      <c r="V760" s="1">
        <v>96.965999999999994</v>
      </c>
      <c r="W760">
        <v>4</v>
      </c>
    </row>
    <row r="761" spans="1:23" x14ac:dyDescent="0.25">
      <c r="A761" s="1" t="s">
        <v>15052</v>
      </c>
      <c r="B761" s="1" t="s">
        <v>15053</v>
      </c>
      <c r="C761" s="1" t="s">
        <v>3319</v>
      </c>
      <c r="D761" s="1" t="s">
        <v>3319</v>
      </c>
      <c r="E761" s="1" t="s">
        <v>3320</v>
      </c>
      <c r="F761" s="1" t="s">
        <v>13459</v>
      </c>
      <c r="G761">
        <v>138000</v>
      </c>
      <c r="H761">
        <v>28</v>
      </c>
      <c r="I761" s="1" t="s">
        <v>11063</v>
      </c>
      <c r="J761" s="11">
        <v>44729.706458333334</v>
      </c>
      <c r="K761" s="1" t="s">
        <v>922</v>
      </c>
      <c r="L761" s="1">
        <v>0.36299999999999999</v>
      </c>
      <c r="M761" s="1">
        <v>0.79500000000000004</v>
      </c>
      <c r="N761">
        <v>2</v>
      </c>
      <c r="O761" s="1">
        <v>-5.742</v>
      </c>
      <c r="P761">
        <v>1</v>
      </c>
      <c r="Q761" s="1">
        <v>0.255</v>
      </c>
      <c r="R761" s="1">
        <v>0.85799999999999998</v>
      </c>
      <c r="S761" s="1">
        <v>0.14299999999999999</v>
      </c>
      <c r="T761" s="1">
        <v>0.46100000000000002</v>
      </c>
      <c r="U761" s="1">
        <v>0.312</v>
      </c>
      <c r="V761" s="1">
        <v>89.552999999999997</v>
      </c>
      <c r="W761">
        <v>4</v>
      </c>
    </row>
    <row r="762" spans="1:23" x14ac:dyDescent="0.25">
      <c r="A762" s="1" t="s">
        <v>11490</v>
      </c>
      <c r="B762" s="1" t="s">
        <v>11491</v>
      </c>
      <c r="C762" s="1" t="s">
        <v>242</v>
      </c>
      <c r="D762" s="1" t="s">
        <v>242</v>
      </c>
      <c r="E762" s="1" t="s">
        <v>243</v>
      </c>
      <c r="F762" s="1" t="s">
        <v>11492</v>
      </c>
      <c r="G762">
        <v>205068</v>
      </c>
      <c r="H762">
        <v>31</v>
      </c>
      <c r="I762" s="1" t="s">
        <v>11063</v>
      </c>
      <c r="J762" s="11">
        <v>44729.706458333334</v>
      </c>
      <c r="K762" s="1" t="s">
        <v>244</v>
      </c>
      <c r="L762" s="1">
        <v>0.63400000000000001</v>
      </c>
      <c r="M762" s="1">
        <v>0.53700000000000003</v>
      </c>
      <c r="N762">
        <v>0</v>
      </c>
      <c r="O762" s="1">
        <v>-6.444</v>
      </c>
      <c r="P762">
        <v>0</v>
      </c>
      <c r="Q762" s="1">
        <v>0.35099999999999998</v>
      </c>
      <c r="R762" s="1">
        <v>0.23100000000000001</v>
      </c>
      <c r="S762" s="1">
        <v>0</v>
      </c>
      <c r="T762" s="1">
        <v>0.184</v>
      </c>
      <c r="U762" s="1">
        <v>0.23200000000000001</v>
      </c>
      <c r="V762" s="1">
        <v>110.015</v>
      </c>
      <c r="W762">
        <v>4</v>
      </c>
    </row>
    <row r="763" spans="1:23" x14ac:dyDescent="0.25">
      <c r="A763" s="1" t="s">
        <v>15054</v>
      </c>
      <c r="B763" s="1" t="s">
        <v>15055</v>
      </c>
      <c r="C763" s="1" t="s">
        <v>3321</v>
      </c>
      <c r="D763" s="1" t="s">
        <v>15056</v>
      </c>
      <c r="E763" s="1" t="s">
        <v>3322</v>
      </c>
      <c r="F763" s="1" t="s">
        <v>15057</v>
      </c>
      <c r="G763">
        <v>241333</v>
      </c>
      <c r="H763">
        <v>28</v>
      </c>
      <c r="I763" s="1" t="s">
        <v>11063</v>
      </c>
      <c r="J763" s="11">
        <v>44729.706458333334</v>
      </c>
      <c r="K763" s="1" t="s">
        <v>3323</v>
      </c>
      <c r="L763" s="1">
        <v>0.38600000000000001</v>
      </c>
      <c r="M763" s="1">
        <v>0.68500000000000005</v>
      </c>
      <c r="N763">
        <v>6</v>
      </c>
      <c r="O763" s="1">
        <v>-2.306</v>
      </c>
      <c r="P763">
        <v>1</v>
      </c>
      <c r="Q763" s="1">
        <v>0.35899999999999999</v>
      </c>
      <c r="R763" s="1">
        <v>0.83399999999999996</v>
      </c>
      <c r="S763" s="1">
        <v>0.10299999999999999</v>
      </c>
      <c r="T763" s="1">
        <v>0.34399999999999997</v>
      </c>
      <c r="U763" s="1">
        <v>0.17199999999999999</v>
      </c>
      <c r="V763" s="1">
        <v>90.569000000000003</v>
      </c>
      <c r="W763">
        <v>4</v>
      </c>
    </row>
    <row r="764" spans="1:23" x14ac:dyDescent="0.25">
      <c r="A764" s="1" t="s">
        <v>15058</v>
      </c>
      <c r="B764" s="1" t="s">
        <v>15059</v>
      </c>
      <c r="C764" s="1" t="s">
        <v>3324</v>
      </c>
      <c r="D764" s="1" t="s">
        <v>3324</v>
      </c>
      <c r="E764" s="1" t="s">
        <v>3325</v>
      </c>
      <c r="F764" s="1" t="s">
        <v>15060</v>
      </c>
      <c r="G764">
        <v>158400</v>
      </c>
      <c r="H764">
        <v>27</v>
      </c>
      <c r="I764" s="1" t="s">
        <v>11063</v>
      </c>
      <c r="J764" s="11">
        <v>44729.706458333334</v>
      </c>
      <c r="K764" s="1" t="s">
        <v>3326</v>
      </c>
      <c r="L764" s="1">
        <v>0.63800000000000001</v>
      </c>
      <c r="M764" s="1">
        <v>0.876</v>
      </c>
      <c r="N764">
        <v>7</v>
      </c>
      <c r="O764" s="1">
        <v>-4.7249999999999996</v>
      </c>
      <c r="P764">
        <v>1</v>
      </c>
      <c r="Q764" s="1">
        <v>0.36199999999999999</v>
      </c>
      <c r="R764" s="1">
        <v>0.191</v>
      </c>
      <c r="S764" s="1">
        <v>0.24099999999999999</v>
      </c>
      <c r="T764" s="1">
        <v>0.36399999999999999</v>
      </c>
      <c r="U764" s="1">
        <v>0.28199999999999997</v>
      </c>
      <c r="V764" s="1">
        <v>150.01300000000001</v>
      </c>
      <c r="W764">
        <v>4</v>
      </c>
    </row>
    <row r="765" spans="1:23" x14ac:dyDescent="0.25">
      <c r="A765" s="1" t="s">
        <v>15061</v>
      </c>
      <c r="B765" s="1" t="s">
        <v>15062</v>
      </c>
      <c r="C765" s="1" t="s">
        <v>3327</v>
      </c>
      <c r="D765" s="1" t="s">
        <v>15063</v>
      </c>
      <c r="E765" s="1" t="s">
        <v>3328</v>
      </c>
      <c r="F765" s="1" t="s">
        <v>11530</v>
      </c>
      <c r="G765">
        <v>221395</v>
      </c>
      <c r="H765">
        <v>35</v>
      </c>
      <c r="I765" s="1" t="s">
        <v>11063</v>
      </c>
      <c r="J765" s="11">
        <v>44729.706458333334</v>
      </c>
      <c r="K765" s="1" t="s">
        <v>3233</v>
      </c>
      <c r="L765" s="1">
        <v>0.47699999999999998</v>
      </c>
      <c r="M765" s="1">
        <v>0.64600000000000002</v>
      </c>
      <c r="N765">
        <v>1</v>
      </c>
      <c r="O765" s="1">
        <v>-5.3440000000000003</v>
      </c>
      <c r="P765">
        <v>0</v>
      </c>
      <c r="Q765" s="1">
        <v>0.39100000000000001</v>
      </c>
      <c r="R765" s="1">
        <v>0.42</v>
      </c>
      <c r="S765" s="1">
        <v>0.186</v>
      </c>
      <c r="T765" s="1">
        <v>0.255</v>
      </c>
      <c r="U765" s="1">
        <v>0.151</v>
      </c>
      <c r="V765" s="1">
        <v>129.071</v>
      </c>
      <c r="W765">
        <v>4</v>
      </c>
    </row>
    <row r="766" spans="1:23" x14ac:dyDescent="0.25">
      <c r="A766" s="1" t="s">
        <v>15064</v>
      </c>
      <c r="B766" s="1" t="s">
        <v>15065</v>
      </c>
      <c r="C766" s="1" t="s">
        <v>3329</v>
      </c>
      <c r="D766" s="1" t="s">
        <v>3329</v>
      </c>
      <c r="E766" s="1" t="s">
        <v>3330</v>
      </c>
      <c r="F766" s="1" t="s">
        <v>15066</v>
      </c>
      <c r="G766">
        <v>172137</v>
      </c>
      <c r="H766">
        <v>29</v>
      </c>
      <c r="I766" s="1" t="s">
        <v>11063</v>
      </c>
      <c r="J766" s="11">
        <v>44729.706458333334</v>
      </c>
      <c r="K766" s="1" t="s">
        <v>50</v>
      </c>
      <c r="L766" s="1">
        <v>0.45300000000000001</v>
      </c>
      <c r="M766" s="1">
        <v>0.72</v>
      </c>
      <c r="N766">
        <v>2</v>
      </c>
      <c r="O766" s="1">
        <v>-4.6280000000000001</v>
      </c>
      <c r="P766">
        <v>1</v>
      </c>
      <c r="Q766" s="1">
        <v>0.10199999999999999</v>
      </c>
      <c r="R766" s="1">
        <v>0.12</v>
      </c>
      <c r="S766" s="1">
        <v>0.20100000000000001</v>
      </c>
      <c r="T766" s="1">
        <v>0.125</v>
      </c>
      <c r="U766" s="1">
        <v>0.376</v>
      </c>
      <c r="V766" s="1">
        <v>144.97800000000001</v>
      </c>
      <c r="W766">
        <v>4</v>
      </c>
    </row>
    <row r="767" spans="1:23" x14ac:dyDescent="0.25">
      <c r="A767" s="1" t="s">
        <v>15067</v>
      </c>
      <c r="B767" s="1" t="s">
        <v>15068</v>
      </c>
      <c r="C767" s="1" t="s">
        <v>3331</v>
      </c>
      <c r="D767" s="1" t="s">
        <v>3331</v>
      </c>
      <c r="E767" s="1" t="s">
        <v>3332</v>
      </c>
      <c r="F767" s="1" t="s">
        <v>15069</v>
      </c>
      <c r="G767">
        <v>170142</v>
      </c>
      <c r="H767">
        <v>31</v>
      </c>
      <c r="I767" s="1" t="s">
        <v>11063</v>
      </c>
      <c r="J767" s="11">
        <v>44729.706458333334</v>
      </c>
      <c r="K767" s="1" t="s">
        <v>3333</v>
      </c>
      <c r="L767" s="1">
        <v>0.53</v>
      </c>
      <c r="M767" s="1">
        <v>0.72599999999999998</v>
      </c>
      <c r="N767">
        <v>4</v>
      </c>
      <c r="O767" s="1">
        <v>-8.3529999999999998</v>
      </c>
      <c r="P767">
        <v>0</v>
      </c>
      <c r="Q767" s="1">
        <v>0.79900000000000004</v>
      </c>
      <c r="R767" s="1">
        <v>0.41099999999999998</v>
      </c>
      <c r="S767" s="1">
        <v>0.44</v>
      </c>
      <c r="T767" s="1">
        <v>0.94399999999999995</v>
      </c>
      <c r="U767" s="1">
        <v>0.113</v>
      </c>
      <c r="V767" s="1">
        <v>139.91</v>
      </c>
      <c r="W767">
        <v>4</v>
      </c>
    </row>
    <row r="768" spans="1:23" x14ac:dyDescent="0.25">
      <c r="A768" s="1" t="s">
        <v>15070</v>
      </c>
      <c r="B768" s="1" t="s">
        <v>15071</v>
      </c>
      <c r="C768" s="1" t="s">
        <v>3334</v>
      </c>
      <c r="D768" s="1" t="s">
        <v>3334</v>
      </c>
      <c r="E768" s="1" t="s">
        <v>3335</v>
      </c>
      <c r="F768" s="1" t="s">
        <v>15072</v>
      </c>
      <c r="G768">
        <v>186976</v>
      </c>
      <c r="H768">
        <v>47</v>
      </c>
      <c r="I768" s="1" t="s">
        <v>11063</v>
      </c>
      <c r="J768" s="11">
        <v>44729.706458333334</v>
      </c>
      <c r="K768" s="1" t="s">
        <v>3336</v>
      </c>
      <c r="L768" s="1">
        <v>0.71</v>
      </c>
      <c r="M768" s="1">
        <v>0.77200000000000002</v>
      </c>
      <c r="N768">
        <v>5</v>
      </c>
      <c r="O768" s="1">
        <v>-5.3159999999999998</v>
      </c>
      <c r="P768">
        <v>1</v>
      </c>
      <c r="Q768" s="1">
        <v>0.56799999999999995</v>
      </c>
      <c r="R768" s="1">
        <v>0.13700000000000001</v>
      </c>
      <c r="S768" s="1">
        <v>0</v>
      </c>
      <c r="T768" s="1">
        <v>0.34100000000000003</v>
      </c>
      <c r="U768" s="1">
        <v>0.54700000000000004</v>
      </c>
      <c r="V768" s="1">
        <v>87.991</v>
      </c>
      <c r="W768">
        <v>4</v>
      </c>
    </row>
    <row r="769" spans="1:23" x14ac:dyDescent="0.25">
      <c r="A769" s="1" t="s">
        <v>15073</v>
      </c>
      <c r="B769" s="1" t="s">
        <v>15074</v>
      </c>
      <c r="C769" s="1" t="s">
        <v>3264</v>
      </c>
      <c r="D769" s="1" t="s">
        <v>3264</v>
      </c>
      <c r="E769" s="1" t="s">
        <v>3337</v>
      </c>
      <c r="F769" s="1" t="s">
        <v>15075</v>
      </c>
      <c r="G769">
        <v>190769</v>
      </c>
      <c r="H769">
        <v>30</v>
      </c>
      <c r="I769" s="1" t="s">
        <v>11063</v>
      </c>
      <c r="J769" s="11">
        <v>44729.706458333334</v>
      </c>
      <c r="K769" s="1" t="s">
        <v>3338</v>
      </c>
      <c r="L769" s="1">
        <v>0.61099999999999999</v>
      </c>
      <c r="M769" s="1">
        <v>0.78700000000000003</v>
      </c>
      <c r="N769">
        <v>8</v>
      </c>
      <c r="O769" s="1">
        <v>-2.6419999999999999</v>
      </c>
      <c r="P769">
        <v>1</v>
      </c>
      <c r="Q769" s="1">
        <v>0.39100000000000001</v>
      </c>
      <c r="R769" s="1">
        <v>0.14299999999999999</v>
      </c>
      <c r="S769" s="1">
        <v>0</v>
      </c>
      <c r="T769" s="1">
        <v>0.185</v>
      </c>
      <c r="U769" s="1">
        <v>0.218</v>
      </c>
      <c r="V769" s="1">
        <v>156.059</v>
      </c>
      <c r="W769">
        <v>4</v>
      </c>
    </row>
    <row r="770" spans="1:23" x14ac:dyDescent="0.25">
      <c r="A770" s="1" t="s">
        <v>15076</v>
      </c>
      <c r="B770" s="1" t="s">
        <v>15077</v>
      </c>
      <c r="C770" s="1" t="s">
        <v>3339</v>
      </c>
      <c r="D770" s="1" t="s">
        <v>3339</v>
      </c>
      <c r="E770" s="1" t="s">
        <v>3340</v>
      </c>
      <c r="F770" s="1" t="s">
        <v>15078</v>
      </c>
      <c r="G770">
        <v>222000</v>
      </c>
      <c r="H770">
        <v>35</v>
      </c>
      <c r="I770" s="1" t="s">
        <v>11063</v>
      </c>
      <c r="J770" s="11">
        <v>44729.706458333334</v>
      </c>
      <c r="K770" s="1" t="s">
        <v>3341</v>
      </c>
      <c r="L770" s="1">
        <v>0.53300000000000003</v>
      </c>
      <c r="M770" s="1">
        <v>0.95799999999999996</v>
      </c>
      <c r="N770">
        <v>8</v>
      </c>
      <c r="O770" s="1">
        <v>-3.9089999999999998</v>
      </c>
      <c r="P770">
        <v>1</v>
      </c>
      <c r="Q770" s="1">
        <v>0.56899999999999995</v>
      </c>
      <c r="R770" s="1">
        <v>0.70699999999999996</v>
      </c>
      <c r="S770" s="1">
        <v>0.61399999999999999</v>
      </c>
      <c r="T770" s="1">
        <v>0.11</v>
      </c>
      <c r="U770" s="1">
        <v>0.29499999999999998</v>
      </c>
      <c r="V770" s="1">
        <v>160.05099999999999</v>
      </c>
      <c r="W770">
        <v>4</v>
      </c>
    </row>
    <row r="771" spans="1:23" x14ac:dyDescent="0.25">
      <c r="A771" s="1" t="s">
        <v>15079</v>
      </c>
      <c r="B771" s="1" t="s">
        <v>15080</v>
      </c>
      <c r="C771" s="1" t="s">
        <v>3342</v>
      </c>
      <c r="D771" s="1" t="s">
        <v>15081</v>
      </c>
      <c r="E771" s="1" t="s">
        <v>3343</v>
      </c>
      <c r="F771" s="1" t="s">
        <v>15082</v>
      </c>
      <c r="G771">
        <v>221600</v>
      </c>
      <c r="H771">
        <v>46</v>
      </c>
      <c r="I771" s="1" t="s">
        <v>11063</v>
      </c>
      <c r="J771" s="11">
        <v>44729.706458333334</v>
      </c>
      <c r="K771" s="1" t="s">
        <v>3344</v>
      </c>
      <c r="L771" s="1">
        <v>0.59299999999999997</v>
      </c>
      <c r="M771" s="1">
        <v>0.57799999999999996</v>
      </c>
      <c r="N771">
        <v>8</v>
      </c>
      <c r="O771" s="1">
        <v>-7.8650000000000002</v>
      </c>
      <c r="P771">
        <v>0</v>
      </c>
      <c r="Q771" s="1">
        <v>0.82599999999999996</v>
      </c>
      <c r="R771" s="1">
        <v>0.503</v>
      </c>
      <c r="S771" s="1">
        <v>0</v>
      </c>
      <c r="T771" s="1">
        <v>0.27200000000000002</v>
      </c>
      <c r="U771" s="1">
        <v>0.38800000000000001</v>
      </c>
      <c r="V771" s="1">
        <v>149.72200000000001</v>
      </c>
      <c r="W771">
        <v>4</v>
      </c>
    </row>
    <row r="772" spans="1:23" x14ac:dyDescent="0.25">
      <c r="A772" s="1" t="s">
        <v>15083</v>
      </c>
      <c r="B772" s="1" t="s">
        <v>15084</v>
      </c>
      <c r="C772" s="1" t="s">
        <v>3345</v>
      </c>
      <c r="D772" s="1" t="s">
        <v>3345</v>
      </c>
      <c r="E772" s="1" t="s">
        <v>3346</v>
      </c>
      <c r="F772" s="1" t="s">
        <v>15085</v>
      </c>
      <c r="G772">
        <v>197052</v>
      </c>
      <c r="H772">
        <v>33</v>
      </c>
      <c r="I772" s="1" t="s">
        <v>11063</v>
      </c>
      <c r="J772" s="11">
        <v>44729.706458333334</v>
      </c>
      <c r="K772" s="1" t="s">
        <v>3347</v>
      </c>
      <c r="L772" s="1">
        <v>0.623</v>
      </c>
      <c r="M772" s="1">
        <v>0.61399999999999999</v>
      </c>
      <c r="N772">
        <v>6</v>
      </c>
      <c r="O772" s="1">
        <v>-9.2420000000000009</v>
      </c>
      <c r="P772">
        <v>0</v>
      </c>
      <c r="Q772" s="1">
        <v>0.61399999999999999</v>
      </c>
      <c r="R772" s="1">
        <v>0.18</v>
      </c>
      <c r="S772" s="1">
        <v>0.65700000000000003</v>
      </c>
      <c r="T772" s="1">
        <v>0.82</v>
      </c>
      <c r="U772" s="1">
        <v>0.19</v>
      </c>
      <c r="V772" s="1">
        <v>95.043000000000006</v>
      </c>
      <c r="W772">
        <v>4</v>
      </c>
    </row>
    <row r="773" spans="1:23" x14ac:dyDescent="0.25">
      <c r="A773" s="1" t="s">
        <v>15086</v>
      </c>
      <c r="B773" s="1" t="s">
        <v>15087</v>
      </c>
      <c r="C773" s="1" t="s">
        <v>3348</v>
      </c>
      <c r="D773" s="1" t="s">
        <v>3348</v>
      </c>
      <c r="E773" s="1" t="s">
        <v>3349</v>
      </c>
      <c r="F773" s="1" t="s">
        <v>15088</v>
      </c>
      <c r="G773">
        <v>251976</v>
      </c>
      <c r="H773">
        <v>35</v>
      </c>
      <c r="I773" s="1" t="s">
        <v>11063</v>
      </c>
      <c r="J773" s="11">
        <v>44729.706458333334</v>
      </c>
      <c r="K773" s="1" t="s">
        <v>3350</v>
      </c>
      <c r="L773" s="1">
        <v>0.27600000000000002</v>
      </c>
      <c r="M773" s="1">
        <v>0.61899999999999999</v>
      </c>
      <c r="N773">
        <v>10</v>
      </c>
      <c r="O773" s="1">
        <v>-6.1539999999999999</v>
      </c>
      <c r="P773">
        <v>0</v>
      </c>
      <c r="Q773" s="1">
        <v>0.42299999999999999</v>
      </c>
      <c r="R773" s="1">
        <v>0.32100000000000001</v>
      </c>
      <c r="S773" s="1">
        <v>0</v>
      </c>
      <c r="T773" s="1">
        <v>0.124</v>
      </c>
      <c r="U773" s="1">
        <v>0.43</v>
      </c>
      <c r="V773" s="1">
        <v>79.372</v>
      </c>
      <c r="W773">
        <v>4</v>
      </c>
    </row>
    <row r="774" spans="1:23" x14ac:dyDescent="0.25">
      <c r="A774" s="1" t="s">
        <v>15089</v>
      </c>
      <c r="B774" s="1" t="s">
        <v>15090</v>
      </c>
      <c r="C774" s="1" t="s">
        <v>3351</v>
      </c>
      <c r="D774" s="1" t="s">
        <v>15091</v>
      </c>
      <c r="E774" s="1" t="s">
        <v>3352</v>
      </c>
      <c r="F774" s="1" t="s">
        <v>15092</v>
      </c>
      <c r="G774">
        <v>209675</v>
      </c>
      <c r="H774">
        <v>34</v>
      </c>
      <c r="I774" s="1" t="s">
        <v>11063</v>
      </c>
      <c r="J774" s="11">
        <v>44729.706458333334</v>
      </c>
      <c r="K774" s="1" t="s">
        <v>3353</v>
      </c>
      <c r="L774" s="1">
        <v>0.57499999999999996</v>
      </c>
      <c r="M774" s="1">
        <v>0.63500000000000001</v>
      </c>
      <c r="N774">
        <v>8</v>
      </c>
      <c r="O774" s="1">
        <v>-3.1779999999999999</v>
      </c>
      <c r="P774">
        <v>0</v>
      </c>
      <c r="Q774" s="1">
        <v>0.47599999999999998</v>
      </c>
      <c r="R774" s="1">
        <v>0.255</v>
      </c>
      <c r="S774" s="1">
        <v>0</v>
      </c>
      <c r="T774" s="1">
        <v>0.86799999999999999</v>
      </c>
      <c r="U774" s="1">
        <v>0.32500000000000001</v>
      </c>
      <c r="V774" s="1">
        <v>93.98</v>
      </c>
      <c r="W774">
        <v>4</v>
      </c>
    </row>
    <row r="775" spans="1:23" x14ac:dyDescent="0.25">
      <c r="A775" s="1" t="s">
        <v>15093</v>
      </c>
      <c r="B775" s="1" t="s">
        <v>15094</v>
      </c>
      <c r="C775" s="1" t="s">
        <v>3354</v>
      </c>
      <c r="D775" s="1" t="s">
        <v>3354</v>
      </c>
      <c r="E775" s="1" t="s">
        <v>3355</v>
      </c>
      <c r="F775" s="1" t="s">
        <v>15095</v>
      </c>
      <c r="G775">
        <v>212800</v>
      </c>
      <c r="H775">
        <v>35</v>
      </c>
      <c r="I775" s="1" t="s">
        <v>11063</v>
      </c>
      <c r="J775" s="11">
        <v>44729.706458333334</v>
      </c>
      <c r="K775" s="1" t="s">
        <v>2713</v>
      </c>
      <c r="L775" s="1">
        <v>0.219</v>
      </c>
      <c r="M775" s="1">
        <v>0.55500000000000005</v>
      </c>
      <c r="N775">
        <v>6</v>
      </c>
      <c r="O775" s="1">
        <v>-3.84</v>
      </c>
      <c r="P775">
        <v>0</v>
      </c>
      <c r="Q775" s="1">
        <v>0.36599999999999999</v>
      </c>
      <c r="R775" s="1">
        <v>0.13500000000000001</v>
      </c>
      <c r="S775" s="1">
        <v>0.11600000000000001</v>
      </c>
      <c r="T775" s="1">
        <v>0.375</v>
      </c>
      <c r="U775" s="1">
        <v>0.17699999999999999</v>
      </c>
      <c r="V775" s="1">
        <v>74.942999999999998</v>
      </c>
      <c r="W775">
        <v>4</v>
      </c>
    </row>
    <row r="776" spans="1:23" x14ac:dyDescent="0.25">
      <c r="A776" s="1" t="s">
        <v>15096</v>
      </c>
      <c r="B776" s="1" t="s">
        <v>15097</v>
      </c>
      <c r="C776" s="1" t="s">
        <v>2688</v>
      </c>
      <c r="D776" s="1" t="s">
        <v>2688</v>
      </c>
      <c r="E776" s="1" t="s">
        <v>3356</v>
      </c>
      <c r="F776" s="1" t="s">
        <v>14759</v>
      </c>
      <c r="G776">
        <v>218666</v>
      </c>
      <c r="H776">
        <v>36</v>
      </c>
      <c r="I776" s="1" t="s">
        <v>11063</v>
      </c>
      <c r="J776" s="11">
        <v>44729.706458333334</v>
      </c>
      <c r="K776" s="1" t="s">
        <v>3357</v>
      </c>
      <c r="L776" s="1">
        <v>0.26900000000000002</v>
      </c>
      <c r="M776" s="1">
        <v>0.90800000000000003</v>
      </c>
      <c r="N776">
        <v>8</v>
      </c>
      <c r="O776" s="1">
        <v>-2.706</v>
      </c>
      <c r="P776">
        <v>0</v>
      </c>
      <c r="Q776" s="1">
        <v>0.47099999999999997</v>
      </c>
      <c r="R776" s="1">
        <v>0.214</v>
      </c>
      <c r="S776" s="1">
        <v>0.28699999999999998</v>
      </c>
      <c r="T776" s="1">
        <v>0.111</v>
      </c>
      <c r="U776" s="1">
        <v>0.16800000000000001</v>
      </c>
      <c r="V776" s="1">
        <v>179.75200000000001</v>
      </c>
      <c r="W776">
        <v>4</v>
      </c>
    </row>
    <row r="777" spans="1:23" x14ac:dyDescent="0.25">
      <c r="A777" s="1" t="s">
        <v>15098</v>
      </c>
      <c r="B777" s="1" t="s">
        <v>15099</v>
      </c>
      <c r="C777" s="1" t="s">
        <v>3358</v>
      </c>
      <c r="D777" s="1" t="s">
        <v>15100</v>
      </c>
      <c r="E777" s="1" t="s">
        <v>3359</v>
      </c>
      <c r="F777" s="1" t="s">
        <v>15101</v>
      </c>
      <c r="G777">
        <v>220909</v>
      </c>
      <c r="H777">
        <v>24</v>
      </c>
      <c r="I777" s="1" t="s">
        <v>11063</v>
      </c>
      <c r="J777" s="11">
        <v>44729.706458333334</v>
      </c>
      <c r="K777" s="1" t="s">
        <v>3360</v>
      </c>
      <c r="L777" s="1">
        <v>0.56399999999999995</v>
      </c>
      <c r="M777" s="1">
        <v>0.628</v>
      </c>
      <c r="N777">
        <v>8</v>
      </c>
      <c r="O777" s="1">
        <v>-5.351</v>
      </c>
      <c r="P777">
        <v>1</v>
      </c>
      <c r="Q777" s="1">
        <v>0.40200000000000002</v>
      </c>
      <c r="R777" s="1">
        <v>0.105</v>
      </c>
      <c r="S777" s="1">
        <v>0</v>
      </c>
      <c r="T777" s="1">
        <v>0.13300000000000001</v>
      </c>
      <c r="U777" s="1">
        <v>0.44900000000000001</v>
      </c>
      <c r="V777" s="1">
        <v>87.927000000000007</v>
      </c>
      <c r="W777">
        <v>4</v>
      </c>
    </row>
    <row r="778" spans="1:23" x14ac:dyDescent="0.25">
      <c r="A778" s="1" t="s">
        <v>15102</v>
      </c>
      <c r="B778" s="1" t="s">
        <v>15103</v>
      </c>
      <c r="C778" s="1" t="s">
        <v>3361</v>
      </c>
      <c r="D778" s="1" t="s">
        <v>3361</v>
      </c>
      <c r="E778" s="1" t="s">
        <v>3362</v>
      </c>
      <c r="F778" s="1" t="s">
        <v>15104</v>
      </c>
      <c r="G778">
        <v>234081</v>
      </c>
      <c r="H778">
        <v>35</v>
      </c>
      <c r="I778" s="1" t="s">
        <v>11063</v>
      </c>
      <c r="J778" s="11">
        <v>44729.706458333334</v>
      </c>
      <c r="K778" s="1" t="s">
        <v>3363</v>
      </c>
      <c r="L778" s="1">
        <v>0.3</v>
      </c>
      <c r="M778" s="1">
        <v>0.90300000000000002</v>
      </c>
      <c r="N778">
        <v>1</v>
      </c>
      <c r="O778" s="1">
        <v>-5.1020000000000003</v>
      </c>
      <c r="P778">
        <v>0</v>
      </c>
      <c r="Q778" s="1">
        <v>0.35399999999999998</v>
      </c>
      <c r="R778" s="1">
        <v>0.41199999999999998</v>
      </c>
      <c r="S778" s="1">
        <v>0</v>
      </c>
      <c r="T778" s="1">
        <v>0.98399999999999999</v>
      </c>
      <c r="U778" s="1">
        <v>0.39500000000000002</v>
      </c>
      <c r="V778" s="1">
        <v>159.46899999999999</v>
      </c>
      <c r="W778">
        <v>4</v>
      </c>
    </row>
    <row r="779" spans="1:23" x14ac:dyDescent="0.25">
      <c r="A779" s="1" t="s">
        <v>15105</v>
      </c>
      <c r="B779" s="1" t="s">
        <v>15106</v>
      </c>
      <c r="C779" s="1" t="s">
        <v>3364</v>
      </c>
      <c r="D779" s="1" t="s">
        <v>3364</v>
      </c>
      <c r="E779" s="1" t="s">
        <v>3365</v>
      </c>
      <c r="F779" s="1" t="s">
        <v>15107</v>
      </c>
      <c r="G779">
        <v>184500</v>
      </c>
      <c r="H779">
        <v>25</v>
      </c>
      <c r="I779" s="1" t="s">
        <v>11063</v>
      </c>
      <c r="J779" s="11">
        <v>44729.706458333334</v>
      </c>
      <c r="K779" s="1" t="s">
        <v>3366</v>
      </c>
      <c r="L779" s="1">
        <v>0.41399999999999998</v>
      </c>
      <c r="M779" s="1">
        <v>0.746</v>
      </c>
      <c r="N779">
        <v>0</v>
      </c>
      <c r="O779" s="1">
        <v>-5.1609999999999996</v>
      </c>
      <c r="P779">
        <v>1</v>
      </c>
      <c r="Q779" s="1">
        <v>0.31900000000000001</v>
      </c>
      <c r="R779" s="1">
        <v>0.29799999999999999</v>
      </c>
      <c r="S779" s="1">
        <v>0.26700000000000002</v>
      </c>
      <c r="T779" s="1">
        <v>0.10100000000000001</v>
      </c>
      <c r="U779" s="1">
        <v>0.24</v>
      </c>
      <c r="V779" s="1">
        <v>140.19200000000001</v>
      </c>
      <c r="W779">
        <v>4</v>
      </c>
    </row>
    <row r="780" spans="1:23" x14ac:dyDescent="0.25">
      <c r="A780" s="1" t="s">
        <v>15108</v>
      </c>
      <c r="B780" s="1" t="s">
        <v>15109</v>
      </c>
      <c r="C780" s="1" t="s">
        <v>3367</v>
      </c>
      <c r="D780" s="1" t="s">
        <v>15110</v>
      </c>
      <c r="E780" s="1" t="s">
        <v>3368</v>
      </c>
      <c r="F780" s="1" t="s">
        <v>11587</v>
      </c>
      <c r="G780">
        <v>408828</v>
      </c>
      <c r="H780">
        <v>50</v>
      </c>
      <c r="I780" s="1" t="s">
        <v>11063</v>
      </c>
      <c r="J780" s="11">
        <v>44729.706458333334</v>
      </c>
      <c r="K780" s="1" t="s">
        <v>3369</v>
      </c>
      <c r="L780" s="1">
        <v>0.63100000000000001</v>
      </c>
      <c r="M780" s="1">
        <v>0.871</v>
      </c>
      <c r="N780">
        <v>9</v>
      </c>
      <c r="O780" s="1">
        <v>-5.7030000000000003</v>
      </c>
      <c r="P780">
        <v>1</v>
      </c>
      <c r="Q780" s="1">
        <v>0.58499999999999996</v>
      </c>
      <c r="R780" s="1">
        <v>0.63500000000000001</v>
      </c>
      <c r="S780" s="1">
        <v>0.77500000000000002</v>
      </c>
      <c r="T780" s="1">
        <v>0.54500000000000004</v>
      </c>
      <c r="U780" s="1">
        <v>0.29299999999999998</v>
      </c>
      <c r="V780" s="1">
        <v>125.02200000000001</v>
      </c>
      <c r="W780">
        <v>4</v>
      </c>
    </row>
    <row r="781" spans="1:23" x14ac:dyDescent="0.25">
      <c r="A781" s="1" t="s">
        <v>15111</v>
      </c>
      <c r="B781" s="1" t="s">
        <v>15112</v>
      </c>
      <c r="C781" s="1" t="s">
        <v>3370</v>
      </c>
      <c r="D781" s="1" t="s">
        <v>15110</v>
      </c>
      <c r="E781" s="1" t="s">
        <v>3371</v>
      </c>
      <c r="F781" s="1" t="s">
        <v>11587</v>
      </c>
      <c r="G781">
        <v>351440</v>
      </c>
      <c r="H781">
        <v>50</v>
      </c>
      <c r="I781" s="1" t="s">
        <v>11063</v>
      </c>
      <c r="J781" s="11">
        <v>44729.706458333334</v>
      </c>
      <c r="K781" s="1" t="s">
        <v>3372</v>
      </c>
      <c r="L781" s="1">
        <v>0.84199999999999997</v>
      </c>
      <c r="M781" s="1">
        <v>0.65700000000000003</v>
      </c>
      <c r="N781">
        <v>2</v>
      </c>
      <c r="O781" s="1">
        <v>-6.7069999999999999</v>
      </c>
      <c r="P781">
        <v>1</v>
      </c>
      <c r="Q781" s="1">
        <v>0.81100000000000005</v>
      </c>
      <c r="R781" s="1">
        <v>0.76100000000000001</v>
      </c>
      <c r="S781" s="1">
        <v>0.10299999999999999</v>
      </c>
      <c r="T781" s="1">
        <v>0.57899999999999996</v>
      </c>
      <c r="U781" s="1">
        <v>0.21099999999999999</v>
      </c>
      <c r="V781" s="1">
        <v>125.023</v>
      </c>
      <c r="W781">
        <v>4</v>
      </c>
    </row>
    <row r="782" spans="1:23" x14ac:dyDescent="0.25">
      <c r="A782" s="1" t="s">
        <v>15113</v>
      </c>
      <c r="B782" s="1" t="s">
        <v>15114</v>
      </c>
      <c r="C782" s="1" t="s">
        <v>3373</v>
      </c>
      <c r="D782" s="1" t="s">
        <v>3376</v>
      </c>
      <c r="E782" s="1" t="s">
        <v>3374</v>
      </c>
      <c r="F782" s="1" t="s">
        <v>14255</v>
      </c>
      <c r="G782">
        <v>264093</v>
      </c>
      <c r="H782">
        <v>54</v>
      </c>
      <c r="I782" s="1" t="s">
        <v>11063</v>
      </c>
      <c r="J782" s="11">
        <v>44729.706458333334</v>
      </c>
      <c r="K782" s="1" t="s">
        <v>3375</v>
      </c>
      <c r="L782" s="1">
        <v>0.59699999999999998</v>
      </c>
      <c r="M782" s="1">
        <v>0.83899999999999997</v>
      </c>
      <c r="N782">
        <v>7</v>
      </c>
      <c r="O782" s="1">
        <v>-3.9460000000000002</v>
      </c>
      <c r="P782">
        <v>0</v>
      </c>
      <c r="Q782" s="1">
        <v>0.38900000000000001</v>
      </c>
      <c r="R782" s="1">
        <v>0.105</v>
      </c>
      <c r="S782" s="1">
        <v>0.11600000000000001</v>
      </c>
      <c r="T782" s="1">
        <v>0.61699999999999999</v>
      </c>
      <c r="U782" s="1">
        <v>0.41199999999999998</v>
      </c>
      <c r="V782" s="1">
        <v>129.94200000000001</v>
      </c>
      <c r="W782">
        <v>4</v>
      </c>
    </row>
    <row r="783" spans="1:23" x14ac:dyDescent="0.25">
      <c r="A783" s="1" t="s">
        <v>15115</v>
      </c>
      <c r="B783" s="1" t="s">
        <v>15116</v>
      </c>
      <c r="C783" s="1" t="s">
        <v>3376</v>
      </c>
      <c r="D783" s="1" t="s">
        <v>3376</v>
      </c>
      <c r="E783" s="1" t="s">
        <v>3377</v>
      </c>
      <c r="F783" s="1" t="s">
        <v>14255</v>
      </c>
      <c r="G783">
        <v>203973</v>
      </c>
      <c r="H783">
        <v>58</v>
      </c>
      <c r="I783" s="1" t="s">
        <v>11063</v>
      </c>
      <c r="J783" s="11">
        <v>44729.706458333334</v>
      </c>
      <c r="K783" s="1" t="s">
        <v>171</v>
      </c>
      <c r="L783" s="1">
        <v>0.6</v>
      </c>
      <c r="M783" s="1">
        <v>0.877</v>
      </c>
      <c r="N783">
        <v>5</v>
      </c>
      <c r="O783" s="1">
        <v>-4.351</v>
      </c>
      <c r="P783">
        <v>1</v>
      </c>
      <c r="Q783" s="1">
        <v>0.16500000000000001</v>
      </c>
      <c r="R783" s="1">
        <v>0.21299999999999999</v>
      </c>
      <c r="S783" s="1">
        <v>0</v>
      </c>
      <c r="T783" s="1">
        <v>0.41299999999999998</v>
      </c>
      <c r="U783" s="1">
        <v>0.55000000000000004</v>
      </c>
      <c r="V783" s="1">
        <v>133.99799999999999</v>
      </c>
      <c r="W783">
        <v>4</v>
      </c>
    </row>
    <row r="784" spans="1:23" x14ac:dyDescent="0.25">
      <c r="A784" s="1" t="s">
        <v>15117</v>
      </c>
      <c r="B784" s="1" t="s">
        <v>15116</v>
      </c>
      <c r="C784" s="1" t="s">
        <v>3378</v>
      </c>
      <c r="D784" s="1" t="s">
        <v>3376</v>
      </c>
      <c r="E784" s="1" t="s">
        <v>3377</v>
      </c>
      <c r="F784" s="1" t="s">
        <v>14255</v>
      </c>
      <c r="G784">
        <v>199480</v>
      </c>
      <c r="H784">
        <v>69</v>
      </c>
      <c r="I784" s="1" t="s">
        <v>11063</v>
      </c>
      <c r="J784" s="11">
        <v>44729.706458333334</v>
      </c>
      <c r="K784" s="1" t="s">
        <v>171</v>
      </c>
      <c r="L784" s="1">
        <v>0.70699999999999996</v>
      </c>
      <c r="M784" s="1">
        <v>0.86099999999999999</v>
      </c>
      <c r="N784">
        <v>7</v>
      </c>
      <c r="O784" s="1">
        <v>-4.2249999999999996</v>
      </c>
      <c r="P784">
        <v>1</v>
      </c>
      <c r="Q784" s="1">
        <v>0.316</v>
      </c>
      <c r="R784" s="1">
        <v>0.1</v>
      </c>
      <c r="S784" s="1">
        <v>0</v>
      </c>
      <c r="T784" s="1">
        <v>0.191</v>
      </c>
      <c r="U784" s="1">
        <v>0.79500000000000004</v>
      </c>
      <c r="V784" s="1">
        <v>130.02099999999999</v>
      </c>
      <c r="W784">
        <v>4</v>
      </c>
    </row>
    <row r="785" spans="1:23" x14ac:dyDescent="0.25">
      <c r="A785" s="1" t="s">
        <v>15118</v>
      </c>
      <c r="B785" s="1" t="s">
        <v>15119</v>
      </c>
      <c r="C785" s="1" t="s">
        <v>3379</v>
      </c>
      <c r="D785" s="1" t="s">
        <v>3376</v>
      </c>
      <c r="E785" s="1" t="s">
        <v>3380</v>
      </c>
      <c r="F785" s="1" t="s">
        <v>14255</v>
      </c>
      <c r="G785">
        <v>262146</v>
      </c>
      <c r="H785">
        <v>74</v>
      </c>
      <c r="I785" s="1" t="s">
        <v>11063</v>
      </c>
      <c r="J785" s="11">
        <v>44729.706458333334</v>
      </c>
      <c r="K785" s="1" t="s">
        <v>171</v>
      </c>
      <c r="L785" s="1">
        <v>0.751</v>
      </c>
      <c r="M785" s="1">
        <v>0.73599999999999999</v>
      </c>
      <c r="N785">
        <v>5</v>
      </c>
      <c r="O785" s="1">
        <v>-4.1680000000000001</v>
      </c>
      <c r="P785">
        <v>0</v>
      </c>
      <c r="Q785" s="1">
        <v>0.156</v>
      </c>
      <c r="R785" s="1">
        <v>0.20599999999999999</v>
      </c>
      <c r="S785" s="1">
        <v>0</v>
      </c>
      <c r="T785" s="1">
        <v>0.26500000000000001</v>
      </c>
      <c r="U785" s="1">
        <v>0.35199999999999998</v>
      </c>
      <c r="V785" s="1">
        <v>130.01400000000001</v>
      </c>
      <c r="W785">
        <v>4</v>
      </c>
    </row>
    <row r="786" spans="1:23" x14ac:dyDescent="0.25">
      <c r="A786" s="1" t="s">
        <v>15120</v>
      </c>
      <c r="B786" s="1" t="s">
        <v>11385</v>
      </c>
      <c r="C786" s="1" t="s">
        <v>3381</v>
      </c>
      <c r="D786" s="1" t="s">
        <v>15121</v>
      </c>
      <c r="E786" s="1" t="s">
        <v>170</v>
      </c>
      <c r="F786" s="1" t="s">
        <v>14014</v>
      </c>
      <c r="G786">
        <v>219426</v>
      </c>
      <c r="H786">
        <v>76</v>
      </c>
      <c r="I786" s="1" t="s">
        <v>11063</v>
      </c>
      <c r="J786" s="11">
        <v>44729.706458333334</v>
      </c>
      <c r="K786" s="1" t="s">
        <v>171</v>
      </c>
      <c r="L786" s="1">
        <v>0.65900000000000003</v>
      </c>
      <c r="M786" s="1">
        <v>0.628</v>
      </c>
      <c r="N786">
        <v>0</v>
      </c>
      <c r="O786" s="1">
        <v>-8.6850000000000005</v>
      </c>
      <c r="P786">
        <v>0</v>
      </c>
      <c r="Q786" s="1">
        <v>0.17899999999999999</v>
      </c>
      <c r="R786" s="1">
        <v>0.186</v>
      </c>
      <c r="S786" s="1">
        <v>0</v>
      </c>
      <c r="T786" s="1">
        <v>0.105</v>
      </c>
      <c r="U786" s="1">
        <v>0.26200000000000001</v>
      </c>
      <c r="V786" s="1">
        <v>94.05</v>
      </c>
      <c r="W786">
        <v>4</v>
      </c>
    </row>
    <row r="787" spans="1:23" x14ac:dyDescent="0.25">
      <c r="A787" s="1" t="s">
        <v>15122</v>
      </c>
      <c r="B787" s="1" t="s">
        <v>15123</v>
      </c>
      <c r="C787" s="1" t="s">
        <v>3382</v>
      </c>
      <c r="D787" s="1" t="s">
        <v>11466</v>
      </c>
      <c r="E787" s="1" t="s">
        <v>3383</v>
      </c>
      <c r="F787" s="1" t="s">
        <v>11467</v>
      </c>
      <c r="G787">
        <v>214934</v>
      </c>
      <c r="H787">
        <v>44</v>
      </c>
      <c r="I787" s="1" t="s">
        <v>11063</v>
      </c>
      <c r="J787" s="11">
        <v>44729.706458333334</v>
      </c>
      <c r="K787" s="1" t="s">
        <v>3384</v>
      </c>
      <c r="L787" s="1">
        <v>0.72299999999999998</v>
      </c>
      <c r="M787" s="1">
        <v>0.70399999999999996</v>
      </c>
      <c r="N787">
        <v>10</v>
      </c>
      <c r="O787" s="1">
        <v>-7.0880000000000001</v>
      </c>
      <c r="P787">
        <v>0</v>
      </c>
      <c r="Q787" s="1">
        <v>0.57099999999999995</v>
      </c>
      <c r="R787" s="1">
        <v>0.25900000000000001</v>
      </c>
      <c r="S787" s="1">
        <v>0.109</v>
      </c>
      <c r="T787" s="1">
        <v>0.79200000000000004</v>
      </c>
      <c r="U787" s="1">
        <v>0.68400000000000005</v>
      </c>
      <c r="V787" s="1">
        <v>105.095</v>
      </c>
      <c r="W787">
        <v>4</v>
      </c>
    </row>
    <row r="788" spans="1:23" x14ac:dyDescent="0.25">
      <c r="A788" s="1" t="s">
        <v>15124</v>
      </c>
      <c r="B788" s="1" t="s">
        <v>11385</v>
      </c>
      <c r="C788" s="1" t="s">
        <v>3385</v>
      </c>
      <c r="D788" s="1" t="s">
        <v>11386</v>
      </c>
      <c r="E788" s="1" t="s">
        <v>170</v>
      </c>
      <c r="F788" s="1" t="s">
        <v>11387</v>
      </c>
      <c r="G788">
        <v>289133</v>
      </c>
      <c r="H788">
        <v>81</v>
      </c>
      <c r="I788" s="1" t="s">
        <v>11063</v>
      </c>
      <c r="J788" s="11">
        <v>44729.706458333334</v>
      </c>
      <c r="K788" s="1" t="s">
        <v>171</v>
      </c>
      <c r="L788" s="1">
        <v>0.74299999999999999</v>
      </c>
      <c r="M788" s="1">
        <v>0.76600000000000001</v>
      </c>
      <c r="N788">
        <v>0</v>
      </c>
      <c r="O788" s="1">
        <v>-6.375</v>
      </c>
      <c r="P788">
        <v>1</v>
      </c>
      <c r="Q788" s="1">
        <v>0.26500000000000001</v>
      </c>
      <c r="R788" s="1">
        <v>0.873</v>
      </c>
      <c r="S788" s="1">
        <v>0</v>
      </c>
      <c r="T788" s="1">
        <v>0.50900000000000001</v>
      </c>
      <c r="U788" s="1">
        <v>0.61</v>
      </c>
      <c r="V788" s="1">
        <v>127.96</v>
      </c>
      <c r="W788">
        <v>4</v>
      </c>
    </row>
    <row r="789" spans="1:23" x14ac:dyDescent="0.25">
      <c r="A789" s="1" t="s">
        <v>15125</v>
      </c>
      <c r="B789" s="1" t="s">
        <v>15126</v>
      </c>
      <c r="C789" s="1" t="s">
        <v>3386</v>
      </c>
      <c r="D789" s="1" t="s">
        <v>15127</v>
      </c>
      <c r="E789" s="1" t="s">
        <v>3387</v>
      </c>
      <c r="F789" s="1" t="s">
        <v>14255</v>
      </c>
      <c r="G789">
        <v>244906</v>
      </c>
      <c r="H789">
        <v>74</v>
      </c>
      <c r="I789" s="1" t="s">
        <v>11063</v>
      </c>
      <c r="J789" s="11">
        <v>44729.706458333334</v>
      </c>
      <c r="K789" s="1" t="s">
        <v>3388</v>
      </c>
      <c r="L789" s="1">
        <v>0.60599999999999998</v>
      </c>
      <c r="M789" s="1">
        <v>0.88300000000000001</v>
      </c>
      <c r="N789">
        <v>3</v>
      </c>
      <c r="O789" s="1">
        <v>-3.2429999999999999</v>
      </c>
      <c r="P789">
        <v>1</v>
      </c>
      <c r="Q789" s="1">
        <v>0.42299999999999999</v>
      </c>
      <c r="R789" s="1">
        <v>0.872</v>
      </c>
      <c r="S789" s="1">
        <v>0</v>
      </c>
      <c r="T789" s="1">
        <v>0.69799999999999995</v>
      </c>
      <c r="U789" s="1">
        <v>0.60799999999999998</v>
      </c>
      <c r="V789" s="1">
        <v>128.053</v>
      </c>
      <c r="W789">
        <v>4</v>
      </c>
    </row>
    <row r="790" spans="1:23" x14ac:dyDescent="0.25">
      <c r="A790" s="1" t="s">
        <v>15128</v>
      </c>
      <c r="B790" s="1" t="s">
        <v>15129</v>
      </c>
      <c r="C790" s="1" t="s">
        <v>3389</v>
      </c>
      <c r="D790" s="1" t="s">
        <v>15130</v>
      </c>
      <c r="E790" s="1" t="s">
        <v>3390</v>
      </c>
      <c r="F790" s="1" t="s">
        <v>14014</v>
      </c>
      <c r="G790">
        <v>201546</v>
      </c>
      <c r="H790">
        <v>75</v>
      </c>
      <c r="I790" s="1" t="s">
        <v>11063</v>
      </c>
      <c r="J790" s="11">
        <v>44729.706458333334</v>
      </c>
      <c r="K790" s="1" t="s">
        <v>171</v>
      </c>
      <c r="L790" s="1">
        <v>0.60699999999999998</v>
      </c>
      <c r="M790" s="1">
        <v>0.93400000000000005</v>
      </c>
      <c r="N790">
        <v>3</v>
      </c>
      <c r="O790" s="1">
        <v>-4.2169999999999996</v>
      </c>
      <c r="P790">
        <v>1</v>
      </c>
      <c r="Q790" s="1">
        <v>0.314</v>
      </c>
      <c r="R790" s="1">
        <v>0.32700000000000001</v>
      </c>
      <c r="S790" s="1">
        <v>0</v>
      </c>
      <c r="T790" s="1">
        <v>0.90900000000000003</v>
      </c>
      <c r="U790" s="1">
        <v>0.56799999999999995</v>
      </c>
      <c r="V790" s="1">
        <v>122.01</v>
      </c>
      <c r="W790">
        <v>4</v>
      </c>
    </row>
    <row r="791" spans="1:23" x14ac:dyDescent="0.25">
      <c r="A791" s="1" t="s">
        <v>15131</v>
      </c>
      <c r="B791" s="1" t="s">
        <v>15129</v>
      </c>
      <c r="C791" s="1" t="s">
        <v>3391</v>
      </c>
      <c r="D791" s="1" t="s">
        <v>15130</v>
      </c>
      <c r="E791" s="1" t="s">
        <v>3390</v>
      </c>
      <c r="F791" s="1" t="s">
        <v>14014</v>
      </c>
      <c r="G791">
        <v>202613</v>
      </c>
      <c r="H791">
        <v>81</v>
      </c>
      <c r="I791" s="1" t="s">
        <v>11063</v>
      </c>
      <c r="J791" s="11">
        <v>44729.706458333334</v>
      </c>
      <c r="K791" s="1" t="s">
        <v>171</v>
      </c>
      <c r="L791" s="1">
        <v>0.751</v>
      </c>
      <c r="M791" s="1">
        <v>0.78300000000000003</v>
      </c>
      <c r="N791">
        <v>4</v>
      </c>
      <c r="O791" s="1">
        <v>-3.7240000000000002</v>
      </c>
      <c r="P791">
        <v>1</v>
      </c>
      <c r="Q791" s="1">
        <v>0.85899999999999999</v>
      </c>
      <c r="R791" s="1">
        <v>0.379</v>
      </c>
      <c r="S791" s="1">
        <v>0</v>
      </c>
      <c r="T791" s="1">
        <v>0.36</v>
      </c>
      <c r="U791" s="1">
        <v>0.81599999999999995</v>
      </c>
      <c r="V791" s="1">
        <v>119.97499999999999</v>
      </c>
      <c r="W791">
        <v>4</v>
      </c>
    </row>
    <row r="792" spans="1:23" x14ac:dyDescent="0.25">
      <c r="A792" s="1" t="s">
        <v>15132</v>
      </c>
      <c r="B792" s="1" t="s">
        <v>15133</v>
      </c>
      <c r="C792" s="1" t="s">
        <v>3392</v>
      </c>
      <c r="D792" s="1" t="s">
        <v>15134</v>
      </c>
      <c r="E792" s="1" t="s">
        <v>3393</v>
      </c>
      <c r="F792" s="1" t="s">
        <v>15135</v>
      </c>
      <c r="G792">
        <v>223092</v>
      </c>
      <c r="H792">
        <v>65</v>
      </c>
      <c r="I792" s="1" t="s">
        <v>11063</v>
      </c>
      <c r="J792" s="11">
        <v>44729.706458333334</v>
      </c>
      <c r="K792" s="1" t="s">
        <v>3394</v>
      </c>
      <c r="L792" s="1">
        <v>0.54300000000000004</v>
      </c>
      <c r="M792" s="1">
        <v>0.84</v>
      </c>
      <c r="N792">
        <v>2</v>
      </c>
      <c r="O792" s="1">
        <v>-5.1210000000000004</v>
      </c>
      <c r="P792">
        <v>1</v>
      </c>
      <c r="Q792" s="1">
        <v>0.499</v>
      </c>
      <c r="R792" s="1">
        <v>0.47099999999999997</v>
      </c>
      <c r="S792" s="1">
        <v>0</v>
      </c>
      <c r="T792" s="1">
        <v>0.17899999999999999</v>
      </c>
      <c r="U792" s="1">
        <v>0.39400000000000002</v>
      </c>
      <c r="V792" s="1">
        <v>124.03700000000001</v>
      </c>
      <c r="W792">
        <v>4</v>
      </c>
    </row>
    <row r="793" spans="1:23" x14ac:dyDescent="0.25">
      <c r="A793" s="1" t="s">
        <v>15136</v>
      </c>
      <c r="B793" s="1" t="s">
        <v>15137</v>
      </c>
      <c r="C793" s="1" t="s">
        <v>3395</v>
      </c>
      <c r="D793" s="1" t="s">
        <v>15138</v>
      </c>
      <c r="E793" s="1" t="s">
        <v>3396</v>
      </c>
      <c r="F793" s="1" t="s">
        <v>13310</v>
      </c>
      <c r="G793">
        <v>186874</v>
      </c>
      <c r="H793">
        <v>46</v>
      </c>
      <c r="I793" s="1" t="s">
        <v>11063</v>
      </c>
      <c r="J793" s="11">
        <v>44729.706458333334</v>
      </c>
      <c r="K793" s="1" t="s">
        <v>3397</v>
      </c>
      <c r="L793" s="1">
        <v>0.54400000000000004</v>
      </c>
      <c r="M793" s="1">
        <v>0.95099999999999996</v>
      </c>
      <c r="N793">
        <v>0</v>
      </c>
      <c r="O793" s="1">
        <v>-5.1829999999999998</v>
      </c>
      <c r="P793">
        <v>1</v>
      </c>
      <c r="Q793" s="1">
        <v>0.48299999999999998</v>
      </c>
      <c r="R793" s="1">
        <v>0.67600000000000005</v>
      </c>
      <c r="S793" s="1">
        <v>0.51500000000000001</v>
      </c>
      <c r="T793" s="1">
        <v>0.315</v>
      </c>
      <c r="U793" s="1">
        <v>0.747</v>
      </c>
      <c r="V793" s="1">
        <v>75.007000000000005</v>
      </c>
      <c r="W793">
        <v>4</v>
      </c>
    </row>
    <row r="794" spans="1:23" x14ac:dyDescent="0.25">
      <c r="A794" s="1" t="s">
        <v>15139</v>
      </c>
      <c r="B794" s="1" t="s">
        <v>15140</v>
      </c>
      <c r="C794" s="1" t="s">
        <v>3398</v>
      </c>
      <c r="D794" s="1" t="s">
        <v>3398</v>
      </c>
      <c r="E794" s="1" t="s">
        <v>3399</v>
      </c>
      <c r="F794" s="1" t="s">
        <v>15141</v>
      </c>
      <c r="G794">
        <v>130164</v>
      </c>
      <c r="H794">
        <v>53</v>
      </c>
      <c r="I794" s="1" t="s">
        <v>11063</v>
      </c>
      <c r="J794" s="11">
        <v>44729.706458333334</v>
      </c>
      <c r="K794" s="1" t="s">
        <v>3400</v>
      </c>
      <c r="L794" s="1">
        <v>0.70399999999999996</v>
      </c>
      <c r="M794" s="1">
        <v>0.997</v>
      </c>
      <c r="N794">
        <v>10</v>
      </c>
      <c r="O794" s="1">
        <v>-0.76100000000000001</v>
      </c>
      <c r="P794">
        <v>0</v>
      </c>
      <c r="Q794" s="1">
        <v>0.52</v>
      </c>
      <c r="R794" s="1">
        <v>0.17899999999999999</v>
      </c>
      <c r="S794" s="1">
        <v>0.26</v>
      </c>
      <c r="T794" s="1">
        <v>0.14000000000000001</v>
      </c>
      <c r="U794" s="1">
        <v>0.6</v>
      </c>
      <c r="V794" s="1">
        <v>159.06</v>
      </c>
      <c r="W794">
        <v>4</v>
      </c>
    </row>
    <row r="795" spans="1:23" x14ac:dyDescent="0.25">
      <c r="A795" s="1" t="s">
        <v>15142</v>
      </c>
      <c r="B795" s="1" t="s">
        <v>15143</v>
      </c>
      <c r="C795" s="1" t="s">
        <v>3401</v>
      </c>
      <c r="D795" s="1" t="s">
        <v>15144</v>
      </c>
      <c r="E795" s="1" t="s">
        <v>3402</v>
      </c>
      <c r="F795" s="1" t="s">
        <v>14014</v>
      </c>
      <c r="G795">
        <v>226533</v>
      </c>
      <c r="H795">
        <v>18</v>
      </c>
      <c r="I795" s="1" t="s">
        <v>11063</v>
      </c>
      <c r="J795" s="11">
        <v>44729.706458333334</v>
      </c>
      <c r="K795" s="1" t="s">
        <v>3403</v>
      </c>
      <c r="L795" s="1">
        <v>0.59899999999999998</v>
      </c>
      <c r="M795" s="1">
        <v>0.624</v>
      </c>
      <c r="N795">
        <v>8</v>
      </c>
      <c r="O795" s="1">
        <v>-3.6309999999999998</v>
      </c>
      <c r="P795">
        <v>1</v>
      </c>
      <c r="Q795" s="1">
        <v>0.34300000000000003</v>
      </c>
      <c r="R795" s="1">
        <v>0.38500000000000001</v>
      </c>
      <c r="S795" s="1">
        <v>0</v>
      </c>
      <c r="T795" s="1">
        <v>0.125</v>
      </c>
      <c r="U795" s="1">
        <v>0.53900000000000003</v>
      </c>
      <c r="V795" s="1">
        <v>90.034000000000006</v>
      </c>
      <c r="W795">
        <v>4</v>
      </c>
    </row>
    <row r="796" spans="1:23" x14ac:dyDescent="0.25">
      <c r="A796" s="1" t="s">
        <v>15145</v>
      </c>
      <c r="B796" s="1" t="s">
        <v>15146</v>
      </c>
      <c r="C796" s="1" t="s">
        <v>3391</v>
      </c>
      <c r="D796" s="1" t="s">
        <v>3391</v>
      </c>
      <c r="E796" s="1" t="s">
        <v>3404</v>
      </c>
      <c r="F796" s="1" t="s">
        <v>13768</v>
      </c>
      <c r="G796">
        <v>212668</v>
      </c>
      <c r="H796">
        <v>72</v>
      </c>
      <c r="I796" s="1" t="s">
        <v>11063</v>
      </c>
      <c r="J796" s="11">
        <v>44729.706458333334</v>
      </c>
      <c r="K796" s="1" t="s">
        <v>3405</v>
      </c>
      <c r="L796" s="1">
        <v>0.624</v>
      </c>
      <c r="M796" s="1">
        <v>0.86</v>
      </c>
      <c r="N796">
        <v>8</v>
      </c>
      <c r="O796" s="1">
        <v>-3.012</v>
      </c>
      <c r="P796">
        <v>1</v>
      </c>
      <c r="Q796" s="1">
        <v>0.124</v>
      </c>
      <c r="R796" s="1">
        <v>0.70399999999999996</v>
      </c>
      <c r="S796" s="1">
        <v>0</v>
      </c>
      <c r="T796" s="1">
        <v>0.81899999999999995</v>
      </c>
      <c r="U796" s="1">
        <v>0.81599999999999995</v>
      </c>
      <c r="V796" s="1">
        <v>100.89700000000001</v>
      </c>
      <c r="W796">
        <v>4</v>
      </c>
    </row>
    <row r="797" spans="1:23" x14ac:dyDescent="0.25">
      <c r="A797" s="1" t="s">
        <v>15147</v>
      </c>
      <c r="B797" s="1" t="s">
        <v>15148</v>
      </c>
      <c r="C797" s="1" t="s">
        <v>3406</v>
      </c>
      <c r="D797" s="1" t="s">
        <v>15149</v>
      </c>
      <c r="E797" s="1" t="s">
        <v>3407</v>
      </c>
      <c r="F797" s="1" t="s">
        <v>13768</v>
      </c>
      <c r="G797">
        <v>345436</v>
      </c>
      <c r="H797">
        <v>40</v>
      </c>
      <c r="I797" s="1" t="s">
        <v>11063</v>
      </c>
      <c r="J797" s="11">
        <v>44729.706458333334</v>
      </c>
      <c r="K797" s="1" t="s">
        <v>3408</v>
      </c>
      <c r="L797" s="1">
        <v>0.252</v>
      </c>
      <c r="M797" s="1">
        <v>0.441</v>
      </c>
      <c r="N797">
        <v>6</v>
      </c>
      <c r="O797" s="1">
        <v>-7.6059999999999999</v>
      </c>
      <c r="P797">
        <v>0</v>
      </c>
      <c r="Q797" s="1">
        <v>0.82699999999999996</v>
      </c>
      <c r="R797" s="1">
        <v>0.52800000000000002</v>
      </c>
      <c r="S797" s="1">
        <v>0.73499999999999999</v>
      </c>
      <c r="T797" s="1">
        <v>0.113</v>
      </c>
      <c r="U797" s="1">
        <v>0.51900000000000002</v>
      </c>
      <c r="V797" s="1">
        <v>205.90299999999999</v>
      </c>
      <c r="W797">
        <v>4</v>
      </c>
    </row>
    <row r="798" spans="1:23" x14ac:dyDescent="0.25">
      <c r="A798" s="1" t="s">
        <v>15150</v>
      </c>
      <c r="B798" s="1" t="s">
        <v>15151</v>
      </c>
      <c r="C798" s="1" t="s">
        <v>395</v>
      </c>
      <c r="D798" s="1" t="s">
        <v>15149</v>
      </c>
      <c r="E798" s="1" t="s">
        <v>3409</v>
      </c>
      <c r="F798" s="1" t="s">
        <v>13768</v>
      </c>
      <c r="G798">
        <v>227000</v>
      </c>
      <c r="H798">
        <v>43</v>
      </c>
      <c r="I798" s="1" t="s">
        <v>11063</v>
      </c>
      <c r="J798" s="11">
        <v>44729.706458333334</v>
      </c>
      <c r="K798" s="1" t="s">
        <v>3410</v>
      </c>
      <c r="L798" s="1">
        <v>0.60699999999999998</v>
      </c>
      <c r="M798" s="1">
        <v>0.86799999999999999</v>
      </c>
      <c r="N798">
        <v>8</v>
      </c>
      <c r="O798" s="1">
        <v>-4.3280000000000003</v>
      </c>
      <c r="P798">
        <v>0</v>
      </c>
      <c r="Q798" s="1">
        <v>0.111</v>
      </c>
      <c r="R798" s="1">
        <v>0.22600000000000001</v>
      </c>
      <c r="S798" s="1">
        <v>0.77100000000000002</v>
      </c>
      <c r="T798" s="1">
        <v>0.128</v>
      </c>
      <c r="U798" s="1">
        <v>0.52300000000000002</v>
      </c>
      <c r="V798" s="1">
        <v>171.934</v>
      </c>
      <c r="W798">
        <v>4</v>
      </c>
    </row>
    <row r="799" spans="1:23" x14ac:dyDescent="0.25">
      <c r="A799" s="1" t="s">
        <v>15152</v>
      </c>
      <c r="B799" s="1" t="s">
        <v>15153</v>
      </c>
      <c r="C799" s="1" t="s">
        <v>3411</v>
      </c>
      <c r="D799" s="1" t="s">
        <v>15149</v>
      </c>
      <c r="E799" s="1" t="s">
        <v>3412</v>
      </c>
      <c r="F799" s="1" t="s">
        <v>13768</v>
      </c>
      <c r="G799">
        <v>238095</v>
      </c>
      <c r="H799">
        <v>51</v>
      </c>
      <c r="I799" s="1" t="s">
        <v>11063</v>
      </c>
      <c r="J799" s="11">
        <v>44729.706458333334</v>
      </c>
      <c r="K799" s="1" t="s">
        <v>3413</v>
      </c>
      <c r="L799" s="1">
        <v>0.61699999999999999</v>
      </c>
      <c r="M799" s="1">
        <v>0.79500000000000004</v>
      </c>
      <c r="N799">
        <v>1</v>
      </c>
      <c r="O799" s="1">
        <v>-4.5670000000000002</v>
      </c>
      <c r="P799">
        <v>0</v>
      </c>
      <c r="Q799" s="1">
        <v>0.95499999999999996</v>
      </c>
      <c r="R799" s="1">
        <v>0.41099999999999998</v>
      </c>
      <c r="S799" s="1">
        <v>0</v>
      </c>
      <c r="T799" s="1">
        <v>0.89800000000000002</v>
      </c>
      <c r="U799" s="1">
        <v>0.41499999999999998</v>
      </c>
      <c r="V799" s="1">
        <v>126.06</v>
      </c>
      <c r="W799">
        <v>4</v>
      </c>
    </row>
    <row r="800" spans="1:23" x14ac:dyDescent="0.25">
      <c r="A800" s="1" t="s">
        <v>15154</v>
      </c>
      <c r="B800" s="1" t="s">
        <v>15155</v>
      </c>
      <c r="C800" s="1" t="s">
        <v>3414</v>
      </c>
      <c r="D800" s="1" t="s">
        <v>15149</v>
      </c>
      <c r="E800" s="1" t="s">
        <v>3415</v>
      </c>
      <c r="F800" s="1" t="s">
        <v>13768</v>
      </c>
      <c r="G800">
        <v>198857</v>
      </c>
      <c r="H800">
        <v>44</v>
      </c>
      <c r="I800" s="1" t="s">
        <v>11063</v>
      </c>
      <c r="J800" s="11">
        <v>44729.706458333334</v>
      </c>
      <c r="K800" s="1" t="s">
        <v>3416</v>
      </c>
      <c r="L800" s="1">
        <v>0.58299999999999996</v>
      </c>
      <c r="M800" s="1">
        <v>0.92200000000000004</v>
      </c>
      <c r="N800">
        <v>5</v>
      </c>
      <c r="O800" s="1">
        <v>-3.7040000000000002</v>
      </c>
      <c r="P800">
        <v>0</v>
      </c>
      <c r="Q800" s="1">
        <v>0.71599999999999997</v>
      </c>
      <c r="R800" s="1">
        <v>0.92800000000000005</v>
      </c>
      <c r="S800" s="1">
        <v>0.14099999999999999</v>
      </c>
      <c r="T800" s="1">
        <v>0.13</v>
      </c>
      <c r="U800" s="1">
        <v>0.317</v>
      </c>
      <c r="V800" s="1">
        <v>140.01</v>
      </c>
      <c r="W800">
        <v>4</v>
      </c>
    </row>
    <row r="801" spans="1:23" x14ac:dyDescent="0.25">
      <c r="A801" s="1" t="s">
        <v>15156</v>
      </c>
      <c r="B801" s="1" t="s">
        <v>15157</v>
      </c>
      <c r="C801" s="1" t="s">
        <v>488</v>
      </c>
      <c r="D801" s="1" t="s">
        <v>15158</v>
      </c>
      <c r="E801" s="1" t="s">
        <v>3417</v>
      </c>
      <c r="F801" s="1" t="s">
        <v>15159</v>
      </c>
      <c r="G801">
        <v>185586</v>
      </c>
      <c r="H801">
        <v>82</v>
      </c>
      <c r="I801" s="1" t="s">
        <v>11063</v>
      </c>
      <c r="J801" s="11">
        <v>44729.706458333334</v>
      </c>
      <c r="K801" s="1" t="s">
        <v>3418</v>
      </c>
      <c r="L801" s="1">
        <v>0.496</v>
      </c>
      <c r="M801" s="1">
        <v>0.86299999999999999</v>
      </c>
      <c r="N801">
        <v>9</v>
      </c>
      <c r="O801" s="1">
        <v>-4.1529999999999996</v>
      </c>
      <c r="P801">
        <v>1</v>
      </c>
      <c r="Q801" s="1">
        <v>0.38100000000000001</v>
      </c>
      <c r="R801" s="1">
        <v>0.46</v>
      </c>
      <c r="S801" s="1">
        <v>0</v>
      </c>
      <c r="T801" s="1">
        <v>0.63900000000000001</v>
      </c>
      <c r="U801" s="1">
        <v>0.24299999999999999</v>
      </c>
      <c r="V801" s="1">
        <v>110.018</v>
      </c>
      <c r="W801">
        <v>4</v>
      </c>
    </row>
    <row r="802" spans="1:23" x14ac:dyDescent="0.25">
      <c r="A802" s="1" t="s">
        <v>15160</v>
      </c>
      <c r="B802" s="1" t="s">
        <v>15157</v>
      </c>
      <c r="C802" s="1" t="s">
        <v>3419</v>
      </c>
      <c r="D802" s="1" t="s">
        <v>15161</v>
      </c>
      <c r="E802" s="1" t="s">
        <v>3417</v>
      </c>
      <c r="F802" s="1" t="s">
        <v>15162</v>
      </c>
      <c r="G802">
        <v>205613</v>
      </c>
      <c r="H802">
        <v>78</v>
      </c>
      <c r="I802" s="1" t="s">
        <v>11063</v>
      </c>
      <c r="J802" s="11">
        <v>44729.706458333334</v>
      </c>
      <c r="K802" s="1" t="s">
        <v>3418</v>
      </c>
      <c r="L802" s="1">
        <v>0.623</v>
      </c>
      <c r="M802" s="1">
        <v>0.93</v>
      </c>
      <c r="N802">
        <v>5</v>
      </c>
      <c r="O802" s="1">
        <v>-5.2850000000000001</v>
      </c>
      <c r="P802">
        <v>1</v>
      </c>
      <c r="Q802" s="1">
        <v>0.32400000000000001</v>
      </c>
      <c r="R802" s="1">
        <v>0.14099999999999999</v>
      </c>
      <c r="S802" s="1">
        <v>0.16400000000000001</v>
      </c>
      <c r="T802" s="1">
        <v>0.13800000000000001</v>
      </c>
      <c r="U802" s="1">
        <v>0.28699999999999998</v>
      </c>
      <c r="V802" s="1">
        <v>120.119</v>
      </c>
      <c r="W802">
        <v>4</v>
      </c>
    </row>
    <row r="803" spans="1:23" x14ac:dyDescent="0.25">
      <c r="A803" s="1" t="s">
        <v>15163</v>
      </c>
      <c r="B803" s="1" t="s">
        <v>15164</v>
      </c>
      <c r="C803" s="1" t="s">
        <v>3419</v>
      </c>
      <c r="D803" s="1" t="s">
        <v>3419</v>
      </c>
      <c r="E803" s="1" t="s">
        <v>3420</v>
      </c>
      <c r="F803" s="1" t="s">
        <v>15165</v>
      </c>
      <c r="G803">
        <v>141904</v>
      </c>
      <c r="H803">
        <v>50</v>
      </c>
      <c r="I803" s="1" t="s">
        <v>11063</v>
      </c>
      <c r="J803" s="11">
        <v>44729.706458333334</v>
      </c>
      <c r="K803" s="1" t="s">
        <v>3421</v>
      </c>
      <c r="L803" s="1">
        <v>0.66100000000000003</v>
      </c>
      <c r="M803" s="1">
        <v>0.73199999999999998</v>
      </c>
      <c r="N803">
        <v>7</v>
      </c>
      <c r="O803" s="1">
        <v>-5.2</v>
      </c>
      <c r="P803">
        <v>1</v>
      </c>
      <c r="Q803" s="1">
        <v>0.59099999999999997</v>
      </c>
      <c r="R803" s="1">
        <v>0.56200000000000006</v>
      </c>
      <c r="S803" s="1">
        <v>0</v>
      </c>
      <c r="T803" s="1">
        <v>0.21099999999999999</v>
      </c>
      <c r="U803" s="1">
        <v>0.31</v>
      </c>
      <c r="V803" s="1">
        <v>126.004</v>
      </c>
      <c r="W803">
        <v>4</v>
      </c>
    </row>
    <row r="804" spans="1:23" x14ac:dyDescent="0.25">
      <c r="A804" s="1" t="s">
        <v>15166</v>
      </c>
      <c r="B804" s="1" t="s">
        <v>15167</v>
      </c>
      <c r="C804" s="1" t="s">
        <v>3422</v>
      </c>
      <c r="D804" s="1" t="s">
        <v>3422</v>
      </c>
      <c r="E804" s="1" t="s">
        <v>3423</v>
      </c>
      <c r="F804" s="1" t="s">
        <v>15168</v>
      </c>
      <c r="G804">
        <v>138000</v>
      </c>
      <c r="H804">
        <v>55</v>
      </c>
      <c r="I804" s="1" t="s">
        <v>11063</v>
      </c>
      <c r="J804" s="11">
        <v>44729.706458333334</v>
      </c>
      <c r="K804" s="1" t="s">
        <v>2457</v>
      </c>
      <c r="L804" s="1">
        <v>0.505</v>
      </c>
      <c r="M804" s="1">
        <v>0.64200000000000002</v>
      </c>
      <c r="N804">
        <v>1</v>
      </c>
      <c r="O804" s="1">
        <v>-8.1769999999999996</v>
      </c>
      <c r="P804">
        <v>1</v>
      </c>
      <c r="Q804" s="1">
        <v>0.19600000000000001</v>
      </c>
      <c r="R804" s="1">
        <v>0.379</v>
      </c>
      <c r="S804" s="1">
        <v>0.19700000000000001</v>
      </c>
      <c r="T804" s="1">
        <v>0.113</v>
      </c>
      <c r="U804" s="1">
        <v>0.46100000000000002</v>
      </c>
      <c r="V804" s="1">
        <v>80.013000000000005</v>
      </c>
      <c r="W804">
        <v>4</v>
      </c>
    </row>
    <row r="805" spans="1:23" x14ac:dyDescent="0.25">
      <c r="A805" s="1" t="s">
        <v>15169</v>
      </c>
      <c r="B805" s="1" t="s">
        <v>15167</v>
      </c>
      <c r="C805" s="1" t="s">
        <v>3424</v>
      </c>
      <c r="D805" s="1" t="s">
        <v>3424</v>
      </c>
      <c r="E805" s="1" t="s">
        <v>3423</v>
      </c>
      <c r="F805" s="1" t="s">
        <v>13604</v>
      </c>
      <c r="G805">
        <v>182400</v>
      </c>
      <c r="H805">
        <v>53</v>
      </c>
      <c r="I805" s="1" t="s">
        <v>11063</v>
      </c>
      <c r="J805" s="11">
        <v>44729.706458333334</v>
      </c>
      <c r="K805" s="1" t="s">
        <v>2457</v>
      </c>
      <c r="L805" s="1">
        <v>0.56599999999999995</v>
      </c>
      <c r="M805" s="1">
        <v>0.55600000000000005</v>
      </c>
      <c r="N805">
        <v>1</v>
      </c>
      <c r="O805" s="1">
        <v>-9.5640000000000001</v>
      </c>
      <c r="P805">
        <v>1</v>
      </c>
      <c r="Q805" s="1">
        <v>0.48699999999999999</v>
      </c>
      <c r="R805" s="1">
        <v>0.17</v>
      </c>
      <c r="S805" s="1">
        <v>0</v>
      </c>
      <c r="T805" s="1">
        <v>0.187</v>
      </c>
      <c r="U805" s="1">
        <v>0.16</v>
      </c>
      <c r="V805" s="1">
        <v>99.953000000000003</v>
      </c>
      <c r="W805">
        <v>4</v>
      </c>
    </row>
    <row r="806" spans="1:23" x14ac:dyDescent="0.25">
      <c r="A806" s="1" t="s">
        <v>15170</v>
      </c>
      <c r="B806" s="1" t="s">
        <v>15171</v>
      </c>
      <c r="C806" s="1" t="s">
        <v>3425</v>
      </c>
      <c r="D806" s="1" t="s">
        <v>3425</v>
      </c>
      <c r="E806" s="1" t="s">
        <v>3426</v>
      </c>
      <c r="F806" s="1" t="s">
        <v>15172</v>
      </c>
      <c r="G806">
        <v>146601</v>
      </c>
      <c r="H806">
        <v>62</v>
      </c>
      <c r="I806" s="1" t="s">
        <v>11063</v>
      </c>
      <c r="J806" s="11">
        <v>44729.706458333334</v>
      </c>
      <c r="K806" s="1" t="s">
        <v>3154</v>
      </c>
      <c r="L806" s="1">
        <v>0.68100000000000005</v>
      </c>
      <c r="M806" s="1">
        <v>0.64300000000000002</v>
      </c>
      <c r="N806">
        <v>0</v>
      </c>
      <c r="O806" s="1">
        <v>-7.94</v>
      </c>
      <c r="P806">
        <v>0</v>
      </c>
      <c r="Q806" s="1">
        <v>0.90900000000000003</v>
      </c>
      <c r="R806" s="1">
        <v>0.19500000000000001</v>
      </c>
      <c r="S806" s="1">
        <v>0</v>
      </c>
      <c r="T806" s="1">
        <v>0.23499999999999999</v>
      </c>
      <c r="U806" s="1">
        <v>0.21199999999999999</v>
      </c>
      <c r="V806" s="1">
        <v>128.08799999999999</v>
      </c>
      <c r="W806">
        <v>4</v>
      </c>
    </row>
    <row r="807" spans="1:23" x14ac:dyDescent="0.25">
      <c r="A807" s="1" t="s">
        <v>15173</v>
      </c>
      <c r="B807" s="1" t="s">
        <v>15174</v>
      </c>
      <c r="C807" s="1" t="s">
        <v>3427</v>
      </c>
      <c r="D807" s="1" t="s">
        <v>3427</v>
      </c>
      <c r="E807" s="1" t="s">
        <v>3428</v>
      </c>
      <c r="F807" s="1" t="s">
        <v>11489</v>
      </c>
      <c r="G807">
        <v>127500</v>
      </c>
      <c r="H807">
        <v>54</v>
      </c>
      <c r="I807" s="1" t="s">
        <v>11063</v>
      </c>
      <c r="J807" s="11">
        <v>44729.706458333334</v>
      </c>
      <c r="K807" s="1" t="s">
        <v>50</v>
      </c>
      <c r="L807" s="1">
        <v>0.68200000000000005</v>
      </c>
      <c r="M807" s="1">
        <v>0.82699999999999996</v>
      </c>
      <c r="N807">
        <v>8</v>
      </c>
      <c r="O807" s="1">
        <v>-4.4569999999999999</v>
      </c>
      <c r="P807">
        <v>1</v>
      </c>
      <c r="Q807" s="1">
        <v>0.153</v>
      </c>
      <c r="R807" s="1">
        <v>0.47099999999999997</v>
      </c>
      <c r="S807" s="1">
        <v>0</v>
      </c>
      <c r="T807" s="1">
        <v>0.46899999999999997</v>
      </c>
      <c r="U807" s="1">
        <v>0.192</v>
      </c>
      <c r="V807" s="1">
        <v>128.09399999999999</v>
      </c>
      <c r="W807">
        <v>4</v>
      </c>
    </row>
    <row r="808" spans="1:23" x14ac:dyDescent="0.25">
      <c r="A808" s="1" t="s">
        <v>15175</v>
      </c>
      <c r="B808" s="1" t="s">
        <v>15176</v>
      </c>
      <c r="C808" s="1" t="s">
        <v>3429</v>
      </c>
      <c r="D808" s="1" t="s">
        <v>3429</v>
      </c>
      <c r="E808" s="1" t="s">
        <v>3430</v>
      </c>
      <c r="F808" s="1" t="s">
        <v>15177</v>
      </c>
      <c r="G808">
        <v>186463</v>
      </c>
      <c r="H808">
        <v>32</v>
      </c>
      <c r="I808" s="1" t="s">
        <v>11063</v>
      </c>
      <c r="J808" s="11">
        <v>44729.706458333334</v>
      </c>
      <c r="K808" s="1" t="s">
        <v>3431</v>
      </c>
      <c r="L808" s="1">
        <v>0.622</v>
      </c>
      <c r="M808" s="1">
        <v>0.71399999999999997</v>
      </c>
      <c r="N808">
        <v>8</v>
      </c>
      <c r="O808" s="1">
        <v>-9.67</v>
      </c>
      <c r="P808">
        <v>0</v>
      </c>
      <c r="Q808" s="1">
        <v>0.48399999999999999</v>
      </c>
      <c r="R808" s="1">
        <v>0.90200000000000002</v>
      </c>
      <c r="S808" s="1">
        <v>0.52400000000000002</v>
      </c>
      <c r="T808" s="1">
        <v>0.61099999999999999</v>
      </c>
      <c r="U808" s="1">
        <v>0.55500000000000005</v>
      </c>
      <c r="V808" s="1">
        <v>96.944000000000003</v>
      </c>
      <c r="W808">
        <v>4</v>
      </c>
    </row>
    <row r="809" spans="1:23" x14ac:dyDescent="0.25">
      <c r="A809" s="1" t="s">
        <v>15178</v>
      </c>
      <c r="B809" s="1" t="s">
        <v>15179</v>
      </c>
      <c r="C809" s="1" t="s">
        <v>488</v>
      </c>
      <c r="D809" s="1" t="s">
        <v>488</v>
      </c>
      <c r="E809" s="1" t="s">
        <v>3432</v>
      </c>
      <c r="F809" s="1" t="s">
        <v>15180</v>
      </c>
      <c r="G809">
        <v>216120</v>
      </c>
      <c r="H809">
        <v>34</v>
      </c>
      <c r="I809" s="1" t="s">
        <v>11063</v>
      </c>
      <c r="J809" s="11">
        <v>44729.706458333334</v>
      </c>
      <c r="K809" s="1" t="s">
        <v>3433</v>
      </c>
      <c r="L809" s="1">
        <v>0.66700000000000004</v>
      </c>
      <c r="M809" s="1">
        <v>0.82599999999999996</v>
      </c>
      <c r="N809">
        <v>4</v>
      </c>
      <c r="O809" s="1">
        <v>-5.6360000000000001</v>
      </c>
      <c r="P809">
        <v>0</v>
      </c>
      <c r="Q809" s="1">
        <v>0.106</v>
      </c>
      <c r="R809" s="1">
        <v>0.17100000000000001</v>
      </c>
      <c r="S809" s="1">
        <v>0.70199999999999996</v>
      </c>
      <c r="T809" s="1">
        <v>0.155</v>
      </c>
      <c r="U809" s="1">
        <v>0.48099999999999998</v>
      </c>
      <c r="V809" s="1">
        <v>94.98</v>
      </c>
      <c r="W809">
        <v>4</v>
      </c>
    </row>
    <row r="810" spans="1:23" x14ac:dyDescent="0.25">
      <c r="A810" s="1" t="s">
        <v>15181</v>
      </c>
      <c r="B810" s="1" t="s">
        <v>15182</v>
      </c>
      <c r="C810" s="1" t="s">
        <v>3434</v>
      </c>
      <c r="D810" s="1" t="s">
        <v>15183</v>
      </c>
      <c r="E810" s="1" t="s">
        <v>3435</v>
      </c>
      <c r="F810" s="1" t="s">
        <v>15184</v>
      </c>
      <c r="G810">
        <v>228000</v>
      </c>
      <c r="H810">
        <v>27</v>
      </c>
      <c r="I810" s="1" t="s">
        <v>11063</v>
      </c>
      <c r="J810" s="11">
        <v>44729.706458333334</v>
      </c>
      <c r="K810" s="1" t="s">
        <v>3436</v>
      </c>
      <c r="L810" s="1">
        <v>0.49299999999999999</v>
      </c>
      <c r="M810" s="1">
        <v>0.46800000000000003</v>
      </c>
      <c r="N810">
        <v>0</v>
      </c>
      <c r="O810" s="1">
        <v>-8.8219999999999992</v>
      </c>
      <c r="P810">
        <v>0</v>
      </c>
      <c r="Q810" s="1">
        <v>0.39600000000000002</v>
      </c>
      <c r="R810" s="1">
        <v>0.20699999999999999</v>
      </c>
      <c r="S810" s="1">
        <v>0.105</v>
      </c>
      <c r="T810" s="1">
        <v>0.94099999999999995</v>
      </c>
      <c r="U810" s="1">
        <v>0.39</v>
      </c>
      <c r="V810" s="1">
        <v>139.94200000000001</v>
      </c>
      <c r="W810">
        <v>4</v>
      </c>
    </row>
    <row r="811" spans="1:23" x14ac:dyDescent="0.25">
      <c r="A811" s="1" t="s">
        <v>11496</v>
      </c>
      <c r="B811" s="1" t="s">
        <v>11497</v>
      </c>
      <c r="C811" s="1" t="s">
        <v>246</v>
      </c>
      <c r="D811" s="1" t="s">
        <v>246</v>
      </c>
      <c r="E811" s="1" t="s">
        <v>247</v>
      </c>
      <c r="F811" s="1" t="s">
        <v>11498</v>
      </c>
      <c r="G811">
        <v>171355</v>
      </c>
      <c r="H811">
        <v>22</v>
      </c>
      <c r="I811" s="1" t="s">
        <v>11063</v>
      </c>
      <c r="J811" s="11">
        <v>44729.706458333334</v>
      </c>
      <c r="K811" s="1" t="s">
        <v>248</v>
      </c>
      <c r="L811" s="1">
        <v>0.61799999999999999</v>
      </c>
      <c r="M811" s="1">
        <v>0.71699999999999997</v>
      </c>
      <c r="N811">
        <v>7</v>
      </c>
      <c r="O811" s="1">
        <v>-3.7749999999999999</v>
      </c>
      <c r="P811">
        <v>0</v>
      </c>
      <c r="Q811" s="1">
        <v>0.28199999999999997</v>
      </c>
      <c r="R811" s="1">
        <v>0.22900000000000001</v>
      </c>
      <c r="S811" s="1">
        <v>0.40400000000000003</v>
      </c>
      <c r="T811" s="1">
        <v>0.2</v>
      </c>
      <c r="U811" s="1">
        <v>0.67800000000000005</v>
      </c>
      <c r="V811" s="1">
        <v>117.96299999999999</v>
      </c>
      <c r="W811">
        <v>4</v>
      </c>
    </row>
    <row r="812" spans="1:23" x14ac:dyDescent="0.25">
      <c r="A812" s="1" t="s">
        <v>15185</v>
      </c>
      <c r="B812" s="1" t="s">
        <v>15186</v>
      </c>
      <c r="C812" s="1" t="s">
        <v>3437</v>
      </c>
      <c r="D812" s="1" t="s">
        <v>3437</v>
      </c>
      <c r="E812" s="1" t="s">
        <v>3438</v>
      </c>
      <c r="F812" s="1" t="s">
        <v>11616</v>
      </c>
      <c r="G812">
        <v>169600</v>
      </c>
      <c r="H812">
        <v>36</v>
      </c>
      <c r="I812" s="1" t="s">
        <v>11063</v>
      </c>
      <c r="J812" s="11">
        <v>44729.706458333334</v>
      </c>
      <c r="K812" s="1" t="s">
        <v>3439</v>
      </c>
      <c r="L812" s="1">
        <v>0.41499999999999998</v>
      </c>
      <c r="M812" s="1">
        <v>0.89600000000000002</v>
      </c>
      <c r="N812">
        <v>1</v>
      </c>
      <c r="O812" s="1">
        <v>-3.548</v>
      </c>
      <c r="P812">
        <v>1</v>
      </c>
      <c r="Q812" s="1">
        <v>0.77900000000000003</v>
      </c>
      <c r="R812" s="1">
        <v>0.93799999999999994</v>
      </c>
      <c r="S812" s="1">
        <v>0.59899999999999998</v>
      </c>
      <c r="T812" s="1">
        <v>0.189</v>
      </c>
      <c r="U812" s="1">
        <v>0.372</v>
      </c>
      <c r="V812" s="1">
        <v>150.083</v>
      </c>
      <c r="W812">
        <v>4</v>
      </c>
    </row>
    <row r="813" spans="1:23" x14ac:dyDescent="0.25">
      <c r="A813" s="1" t="s">
        <v>15187</v>
      </c>
      <c r="B813" s="1" t="s">
        <v>15188</v>
      </c>
      <c r="C813" s="1" t="s">
        <v>3440</v>
      </c>
      <c r="D813" s="1" t="s">
        <v>3440</v>
      </c>
      <c r="E813" s="1" t="s">
        <v>3441</v>
      </c>
      <c r="F813" s="1" t="s">
        <v>11630</v>
      </c>
      <c r="G813">
        <v>194826</v>
      </c>
      <c r="H813">
        <v>33</v>
      </c>
      <c r="I813" s="1" t="s">
        <v>11063</v>
      </c>
      <c r="J813" s="11">
        <v>44729.706458333334</v>
      </c>
      <c r="K813" s="1" t="s">
        <v>1149</v>
      </c>
      <c r="L813" s="1">
        <v>0.56399999999999995</v>
      </c>
      <c r="M813" s="1">
        <v>0.75</v>
      </c>
      <c r="N813">
        <v>1</v>
      </c>
      <c r="O813" s="1">
        <v>-5.0579999999999998</v>
      </c>
      <c r="P813">
        <v>1</v>
      </c>
      <c r="Q813" s="1">
        <v>0.316</v>
      </c>
      <c r="R813" s="1">
        <v>0.46400000000000002</v>
      </c>
      <c r="S813" s="1">
        <v>0.23300000000000001</v>
      </c>
      <c r="T813" s="1">
        <v>0.57799999999999996</v>
      </c>
      <c r="U813" s="1">
        <v>0.86399999999999999</v>
      </c>
      <c r="V813" s="1">
        <v>169.98500000000001</v>
      </c>
      <c r="W813">
        <v>4</v>
      </c>
    </row>
    <row r="814" spans="1:23" x14ac:dyDescent="0.25">
      <c r="A814" s="1" t="s">
        <v>15189</v>
      </c>
      <c r="B814" s="1" t="s">
        <v>15190</v>
      </c>
      <c r="C814" s="1" t="s">
        <v>3442</v>
      </c>
      <c r="D814" s="1" t="s">
        <v>3442</v>
      </c>
      <c r="E814" s="1" t="s">
        <v>3443</v>
      </c>
      <c r="F814" s="1" t="s">
        <v>15191</v>
      </c>
      <c r="G814">
        <v>218680</v>
      </c>
      <c r="H814">
        <v>34</v>
      </c>
      <c r="I814" s="1" t="s">
        <v>11063</v>
      </c>
      <c r="J814" s="11">
        <v>44729.706458333334</v>
      </c>
      <c r="K814" s="1" t="s">
        <v>3444</v>
      </c>
      <c r="L814" s="1">
        <v>0.34100000000000003</v>
      </c>
      <c r="M814" s="1">
        <v>0.94099999999999995</v>
      </c>
      <c r="N814">
        <v>11</v>
      </c>
      <c r="O814" s="1">
        <v>-4.077</v>
      </c>
      <c r="P814">
        <v>0</v>
      </c>
      <c r="Q814" s="1">
        <v>0.72699999999999998</v>
      </c>
      <c r="R814" s="1">
        <v>0.219</v>
      </c>
      <c r="S814" s="1">
        <v>0.14699999999999999</v>
      </c>
      <c r="T814" s="1">
        <v>0.60599999999999998</v>
      </c>
      <c r="U814" s="1">
        <v>0.17899999999999999</v>
      </c>
      <c r="V814" s="1">
        <v>90.024000000000001</v>
      </c>
      <c r="W814">
        <v>4</v>
      </c>
    </row>
    <row r="815" spans="1:23" x14ac:dyDescent="0.25">
      <c r="A815" s="1" t="s">
        <v>15192</v>
      </c>
      <c r="B815" s="1" t="s">
        <v>15193</v>
      </c>
      <c r="C815" s="1" t="s">
        <v>3445</v>
      </c>
      <c r="D815" s="1" t="s">
        <v>2867</v>
      </c>
      <c r="E815" s="1" t="s">
        <v>3446</v>
      </c>
      <c r="F815" s="1" t="s">
        <v>15194</v>
      </c>
      <c r="G815">
        <v>247586</v>
      </c>
      <c r="H815">
        <v>32</v>
      </c>
      <c r="I815" s="1" t="s">
        <v>11063</v>
      </c>
      <c r="J815" s="11">
        <v>44729.706458333334</v>
      </c>
      <c r="K815" s="1" t="s">
        <v>3447</v>
      </c>
      <c r="L815" s="1">
        <v>0.46800000000000003</v>
      </c>
      <c r="M815" s="1">
        <v>0.75</v>
      </c>
      <c r="N815">
        <v>9</v>
      </c>
      <c r="O815" s="1">
        <v>-6.1520000000000001</v>
      </c>
      <c r="P815">
        <v>1</v>
      </c>
      <c r="Q815" s="1">
        <v>0.45200000000000001</v>
      </c>
      <c r="R815" s="1">
        <v>0.72399999999999998</v>
      </c>
      <c r="S815" s="1">
        <v>0.42799999999999999</v>
      </c>
      <c r="T815" s="1">
        <v>0.16400000000000001</v>
      </c>
      <c r="U815" s="1">
        <v>0.124</v>
      </c>
      <c r="V815" s="1">
        <v>173.9</v>
      </c>
      <c r="W815">
        <v>4</v>
      </c>
    </row>
    <row r="816" spans="1:23" x14ac:dyDescent="0.25">
      <c r="A816" s="1" t="s">
        <v>15195</v>
      </c>
      <c r="B816" s="1" t="s">
        <v>15196</v>
      </c>
      <c r="C816" s="1" t="s">
        <v>3448</v>
      </c>
      <c r="D816" s="1" t="s">
        <v>2867</v>
      </c>
      <c r="E816" s="1" t="s">
        <v>3449</v>
      </c>
      <c r="F816" s="1" t="s">
        <v>15194</v>
      </c>
      <c r="G816">
        <v>236896</v>
      </c>
      <c r="H816">
        <v>26</v>
      </c>
      <c r="I816" s="1" t="s">
        <v>11063</v>
      </c>
      <c r="J816" s="11">
        <v>44729.706458333334</v>
      </c>
      <c r="K816" s="1" t="s">
        <v>3447</v>
      </c>
      <c r="L816" s="1">
        <v>0.45400000000000001</v>
      </c>
      <c r="M816" s="1">
        <v>0.88700000000000001</v>
      </c>
      <c r="N816">
        <v>1</v>
      </c>
      <c r="O816" s="1">
        <v>-7.234</v>
      </c>
      <c r="P816">
        <v>1</v>
      </c>
      <c r="Q816" s="1">
        <v>0.57699999999999996</v>
      </c>
      <c r="R816" s="1">
        <v>0.57699999999999996</v>
      </c>
      <c r="S816" s="1">
        <v>0.40200000000000002</v>
      </c>
      <c r="T816" s="1">
        <v>0.16600000000000001</v>
      </c>
      <c r="U816" s="1">
        <v>0.13100000000000001</v>
      </c>
      <c r="V816" s="1">
        <v>174.07400000000001</v>
      </c>
      <c r="W816">
        <v>4</v>
      </c>
    </row>
    <row r="817" spans="1:23" x14ac:dyDescent="0.25">
      <c r="A817" s="1" t="s">
        <v>15197</v>
      </c>
      <c r="B817" s="1" t="s">
        <v>15198</v>
      </c>
      <c r="C817" s="1" t="s">
        <v>3450</v>
      </c>
      <c r="D817" s="1" t="s">
        <v>2867</v>
      </c>
      <c r="E817" s="1" t="s">
        <v>3451</v>
      </c>
      <c r="F817" s="1" t="s">
        <v>15194</v>
      </c>
      <c r="G817">
        <v>295172</v>
      </c>
      <c r="H817">
        <v>33</v>
      </c>
      <c r="I817" s="1" t="s">
        <v>11063</v>
      </c>
      <c r="J817" s="11">
        <v>44729.706458333334</v>
      </c>
      <c r="K817" s="1" t="s">
        <v>3452</v>
      </c>
      <c r="L817" s="1">
        <v>0.45600000000000002</v>
      </c>
      <c r="M817" s="1">
        <v>0.93899999999999995</v>
      </c>
      <c r="N817">
        <v>8</v>
      </c>
      <c r="O817" s="1">
        <v>-4.4020000000000001</v>
      </c>
      <c r="P817">
        <v>1</v>
      </c>
      <c r="Q817" s="1">
        <v>0.48699999999999999</v>
      </c>
      <c r="R817" s="1">
        <v>0.60299999999999998</v>
      </c>
      <c r="S817" s="1">
        <v>0.83699999999999997</v>
      </c>
      <c r="T817" s="1">
        <v>0.46300000000000002</v>
      </c>
      <c r="U817" s="1">
        <v>0.40400000000000003</v>
      </c>
      <c r="V817" s="1">
        <v>173.999</v>
      </c>
      <c r="W817">
        <v>4</v>
      </c>
    </row>
    <row r="818" spans="1:23" x14ac:dyDescent="0.25">
      <c r="A818" s="1" t="s">
        <v>15199</v>
      </c>
      <c r="B818" s="1" t="s">
        <v>15196</v>
      </c>
      <c r="C818" s="1" t="s">
        <v>2867</v>
      </c>
      <c r="D818" s="1" t="s">
        <v>2867</v>
      </c>
      <c r="E818" s="1" t="s">
        <v>3449</v>
      </c>
      <c r="F818" s="1" t="s">
        <v>15194</v>
      </c>
      <c r="G818">
        <v>245517</v>
      </c>
      <c r="H818">
        <v>30</v>
      </c>
      <c r="I818" s="1" t="s">
        <v>11063</v>
      </c>
      <c r="J818" s="11">
        <v>44729.706458333334</v>
      </c>
      <c r="K818" s="1" t="s">
        <v>3447</v>
      </c>
      <c r="L818" s="1">
        <v>0.52300000000000002</v>
      </c>
      <c r="M818" s="1">
        <v>0.86099999999999999</v>
      </c>
      <c r="N818">
        <v>0</v>
      </c>
      <c r="O818" s="1">
        <v>-5.7709999999999999</v>
      </c>
      <c r="P818">
        <v>1</v>
      </c>
      <c r="Q818" s="1">
        <v>0.38500000000000001</v>
      </c>
      <c r="R818" s="1">
        <v>0.20499999999999999</v>
      </c>
      <c r="S818" s="1">
        <v>0.126</v>
      </c>
      <c r="T818" s="1">
        <v>0.25900000000000001</v>
      </c>
      <c r="U818" s="1">
        <v>0.94599999999999995</v>
      </c>
      <c r="V818" s="1">
        <v>174.02099999999999</v>
      </c>
      <c r="W818">
        <v>4</v>
      </c>
    </row>
    <row r="819" spans="1:23" x14ac:dyDescent="0.25">
      <c r="A819" s="1" t="s">
        <v>15200</v>
      </c>
      <c r="B819" s="1" t="s">
        <v>15196</v>
      </c>
      <c r="C819" s="1" t="s">
        <v>3453</v>
      </c>
      <c r="D819" s="1" t="s">
        <v>2867</v>
      </c>
      <c r="E819" s="1" t="s">
        <v>3449</v>
      </c>
      <c r="F819" s="1" t="s">
        <v>15194</v>
      </c>
      <c r="G819">
        <v>246857</v>
      </c>
      <c r="H819">
        <v>28</v>
      </c>
      <c r="I819" s="1" t="s">
        <v>11063</v>
      </c>
      <c r="J819" s="11">
        <v>44729.706458333334</v>
      </c>
      <c r="K819" s="1" t="s">
        <v>3447</v>
      </c>
      <c r="L819" s="1">
        <v>0.48799999999999999</v>
      </c>
      <c r="M819" s="1">
        <v>0.88200000000000001</v>
      </c>
      <c r="N819">
        <v>11</v>
      </c>
      <c r="O819" s="1">
        <v>-5.9640000000000004</v>
      </c>
      <c r="P819">
        <v>1</v>
      </c>
      <c r="Q819" s="1">
        <v>0.36599999999999999</v>
      </c>
      <c r="R819" s="1">
        <v>0.11600000000000001</v>
      </c>
      <c r="S819" s="1">
        <v>0.3</v>
      </c>
      <c r="T819" s="1">
        <v>0.51800000000000002</v>
      </c>
      <c r="U819" s="1">
        <v>0.14099999999999999</v>
      </c>
      <c r="V819" s="1">
        <v>174.988</v>
      </c>
      <c r="W819">
        <v>4</v>
      </c>
    </row>
    <row r="820" spans="1:23" x14ac:dyDescent="0.25">
      <c r="A820" s="1" t="s">
        <v>15201</v>
      </c>
      <c r="B820" s="1" t="s">
        <v>15196</v>
      </c>
      <c r="C820" s="1" t="s">
        <v>3454</v>
      </c>
      <c r="D820" s="1" t="s">
        <v>3471</v>
      </c>
      <c r="E820" s="1" t="s">
        <v>3449</v>
      </c>
      <c r="F820" s="1" t="s">
        <v>11445</v>
      </c>
      <c r="G820">
        <v>252083</v>
      </c>
      <c r="H820">
        <v>32</v>
      </c>
      <c r="I820" s="1" t="s">
        <v>11063</v>
      </c>
      <c r="J820" s="11">
        <v>44729.706458333334</v>
      </c>
      <c r="K820" s="1" t="s">
        <v>3447</v>
      </c>
      <c r="L820" s="1">
        <v>0.42599999999999999</v>
      </c>
      <c r="M820" s="1">
        <v>0.96099999999999997</v>
      </c>
      <c r="N820">
        <v>7</v>
      </c>
      <c r="O820" s="1">
        <v>-4.3639999999999999</v>
      </c>
      <c r="P820">
        <v>0</v>
      </c>
      <c r="Q820" s="1">
        <v>0.40600000000000003</v>
      </c>
      <c r="R820" s="1">
        <v>0.189</v>
      </c>
      <c r="S820" s="1">
        <v>0.216</v>
      </c>
      <c r="T820" s="1">
        <v>0.97</v>
      </c>
      <c r="U820" s="1">
        <v>0.40200000000000002</v>
      </c>
      <c r="V820" s="1">
        <v>173.971</v>
      </c>
      <c r="W820">
        <v>4</v>
      </c>
    </row>
    <row r="821" spans="1:23" x14ac:dyDescent="0.25">
      <c r="A821" s="1" t="s">
        <v>15202</v>
      </c>
      <c r="B821" s="1" t="s">
        <v>15203</v>
      </c>
      <c r="C821" s="1" t="s">
        <v>3455</v>
      </c>
      <c r="D821" s="1" t="s">
        <v>3471</v>
      </c>
      <c r="E821" s="1" t="s">
        <v>3456</v>
      </c>
      <c r="F821" s="1" t="s">
        <v>11445</v>
      </c>
      <c r="G821">
        <v>223525</v>
      </c>
      <c r="H821">
        <v>32</v>
      </c>
      <c r="I821" s="1" t="s">
        <v>11063</v>
      </c>
      <c r="J821" s="11">
        <v>44729.706458333334</v>
      </c>
      <c r="K821" s="1" t="s">
        <v>3447</v>
      </c>
      <c r="L821" s="1">
        <v>0.57499999999999996</v>
      </c>
      <c r="M821" s="1">
        <v>0.67600000000000005</v>
      </c>
      <c r="N821">
        <v>9</v>
      </c>
      <c r="O821" s="1">
        <v>-4.9470000000000001</v>
      </c>
      <c r="P821">
        <v>0</v>
      </c>
      <c r="Q821" s="1">
        <v>0.38800000000000001</v>
      </c>
      <c r="R821" s="1">
        <v>0.26600000000000001</v>
      </c>
      <c r="S821" s="1">
        <v>0.877</v>
      </c>
      <c r="T821" s="1">
        <v>0.123</v>
      </c>
      <c r="U821" s="1">
        <v>0.19400000000000001</v>
      </c>
      <c r="V821" s="1">
        <v>175.97800000000001</v>
      </c>
      <c r="W821">
        <v>4</v>
      </c>
    </row>
    <row r="822" spans="1:23" x14ac:dyDescent="0.25">
      <c r="A822" s="1" t="s">
        <v>15204</v>
      </c>
      <c r="B822" s="1" t="s">
        <v>15205</v>
      </c>
      <c r="C822" s="1" t="s">
        <v>3457</v>
      </c>
      <c r="D822" s="1" t="s">
        <v>3471</v>
      </c>
      <c r="E822" s="1" t="s">
        <v>3458</v>
      </c>
      <c r="F822" s="1" t="s">
        <v>11445</v>
      </c>
      <c r="G822">
        <v>227613</v>
      </c>
      <c r="H822">
        <v>28</v>
      </c>
      <c r="I822" s="1" t="s">
        <v>11063</v>
      </c>
      <c r="J822" s="11">
        <v>44729.706458333334</v>
      </c>
      <c r="K822" s="1" t="s">
        <v>3447</v>
      </c>
      <c r="L822" s="1">
        <v>0.496</v>
      </c>
      <c r="M822" s="1">
        <v>0.89</v>
      </c>
      <c r="N822">
        <v>7</v>
      </c>
      <c r="O822" s="1">
        <v>-3.5139999999999998</v>
      </c>
      <c r="P822">
        <v>0</v>
      </c>
      <c r="Q822" s="1">
        <v>0.35699999999999998</v>
      </c>
      <c r="R822" s="1">
        <v>0.53200000000000003</v>
      </c>
      <c r="S822" s="1">
        <v>0.13600000000000001</v>
      </c>
      <c r="T822" s="1">
        <v>0.95099999999999996</v>
      </c>
      <c r="U822" s="1">
        <v>0.224</v>
      </c>
      <c r="V822" s="1">
        <v>174.96799999999999</v>
      </c>
      <c r="W822">
        <v>4</v>
      </c>
    </row>
    <row r="823" spans="1:23" x14ac:dyDescent="0.25">
      <c r="A823" s="1" t="s">
        <v>15206</v>
      </c>
      <c r="B823" s="1" t="s">
        <v>15196</v>
      </c>
      <c r="C823" s="1" t="s">
        <v>3459</v>
      </c>
      <c r="D823" s="1" t="s">
        <v>3471</v>
      </c>
      <c r="E823" s="1" t="s">
        <v>3449</v>
      </c>
      <c r="F823" s="1" t="s">
        <v>11445</v>
      </c>
      <c r="G823">
        <v>254364</v>
      </c>
      <c r="H823">
        <v>30</v>
      </c>
      <c r="I823" s="1" t="s">
        <v>11063</v>
      </c>
      <c r="J823" s="11">
        <v>44729.706458333334</v>
      </c>
      <c r="K823" s="1" t="s">
        <v>3447</v>
      </c>
      <c r="L823" s="1">
        <v>0.49199999999999999</v>
      </c>
      <c r="M823" s="1">
        <v>0.92400000000000004</v>
      </c>
      <c r="N823">
        <v>6</v>
      </c>
      <c r="O823" s="1">
        <v>-4.2549999999999999</v>
      </c>
      <c r="P823">
        <v>0</v>
      </c>
      <c r="Q823" s="1">
        <v>0.49399999999999999</v>
      </c>
      <c r="R823" s="1">
        <v>0.97099999999999997</v>
      </c>
      <c r="S823" s="1">
        <v>0.76700000000000002</v>
      </c>
      <c r="T823" s="1">
        <v>0.34200000000000003</v>
      </c>
      <c r="U823" s="1">
        <v>0.51900000000000002</v>
      </c>
      <c r="V823" s="1">
        <v>173.94300000000001</v>
      </c>
      <c r="W823">
        <v>4</v>
      </c>
    </row>
    <row r="824" spans="1:23" x14ac:dyDescent="0.25">
      <c r="A824" s="1" t="s">
        <v>15207</v>
      </c>
      <c r="B824" s="1" t="s">
        <v>15208</v>
      </c>
      <c r="C824" s="1" t="s">
        <v>3460</v>
      </c>
      <c r="D824" s="1" t="s">
        <v>3471</v>
      </c>
      <c r="E824" s="1" t="s">
        <v>3461</v>
      </c>
      <c r="F824" s="1" t="s">
        <v>11445</v>
      </c>
      <c r="G824">
        <v>254633</v>
      </c>
      <c r="H824">
        <v>38</v>
      </c>
      <c r="I824" s="1" t="s">
        <v>11063</v>
      </c>
      <c r="J824" s="11">
        <v>44729.706458333334</v>
      </c>
      <c r="K824" s="1" t="s">
        <v>3447</v>
      </c>
      <c r="L824" s="1">
        <v>0.46899999999999997</v>
      </c>
      <c r="M824" s="1">
        <v>0.90800000000000003</v>
      </c>
      <c r="N824">
        <v>6</v>
      </c>
      <c r="O824" s="1">
        <v>-3.17</v>
      </c>
      <c r="P824">
        <v>0</v>
      </c>
      <c r="Q824" s="1">
        <v>0.34499999999999997</v>
      </c>
      <c r="R824" s="1">
        <v>0.13400000000000001</v>
      </c>
      <c r="S824" s="1">
        <v>0.83499999999999996</v>
      </c>
      <c r="T824" s="1">
        <v>0.22</v>
      </c>
      <c r="U824" s="1">
        <v>0.35099999999999998</v>
      </c>
      <c r="V824" s="1">
        <v>174.09</v>
      </c>
      <c r="W824">
        <v>4</v>
      </c>
    </row>
    <row r="825" spans="1:23" x14ac:dyDescent="0.25">
      <c r="A825" s="1" t="s">
        <v>15209</v>
      </c>
      <c r="B825" s="1" t="s">
        <v>15196</v>
      </c>
      <c r="C825" s="1" t="s">
        <v>3462</v>
      </c>
      <c r="D825" s="1" t="s">
        <v>3471</v>
      </c>
      <c r="E825" s="1" t="s">
        <v>3449</v>
      </c>
      <c r="F825" s="1" t="s">
        <v>11445</v>
      </c>
      <c r="G825">
        <v>249529</v>
      </c>
      <c r="H825">
        <v>31</v>
      </c>
      <c r="I825" s="1" t="s">
        <v>11063</v>
      </c>
      <c r="J825" s="11">
        <v>44729.706458333334</v>
      </c>
      <c r="K825" s="1" t="s">
        <v>3447</v>
      </c>
      <c r="L825" s="1">
        <v>0.41899999999999998</v>
      </c>
      <c r="M825" s="1">
        <v>0.91100000000000003</v>
      </c>
      <c r="N825">
        <v>10</v>
      </c>
      <c r="O825" s="1">
        <v>-4.3780000000000001</v>
      </c>
      <c r="P825">
        <v>0</v>
      </c>
      <c r="Q825" s="1">
        <v>0.45800000000000002</v>
      </c>
      <c r="R825" s="1">
        <v>0.85199999999999998</v>
      </c>
      <c r="S825" s="1">
        <v>0.70199999999999996</v>
      </c>
      <c r="T825" s="1">
        <v>0.78400000000000003</v>
      </c>
      <c r="U825" s="1">
        <v>0.20599999999999999</v>
      </c>
      <c r="V825" s="1">
        <v>173.99299999999999</v>
      </c>
      <c r="W825">
        <v>4</v>
      </c>
    </row>
    <row r="826" spans="1:23" x14ac:dyDescent="0.25">
      <c r="A826" s="1" t="s">
        <v>15210</v>
      </c>
      <c r="B826" s="1" t="s">
        <v>15211</v>
      </c>
      <c r="C826" s="1" t="s">
        <v>3463</v>
      </c>
      <c r="D826" s="1" t="s">
        <v>3471</v>
      </c>
      <c r="E826" s="1" t="s">
        <v>3464</v>
      </c>
      <c r="F826" s="1" t="s">
        <v>11445</v>
      </c>
      <c r="G826">
        <v>272257</v>
      </c>
      <c r="H826">
        <v>39</v>
      </c>
      <c r="I826" s="1" t="s">
        <v>11063</v>
      </c>
      <c r="J826" s="11">
        <v>44729.706458333334</v>
      </c>
      <c r="K826" s="1" t="s">
        <v>3447</v>
      </c>
      <c r="L826" s="1">
        <v>0.33300000000000002</v>
      </c>
      <c r="M826" s="1">
        <v>0.95499999999999996</v>
      </c>
      <c r="N826">
        <v>6</v>
      </c>
      <c r="O826" s="1">
        <v>-4.0339999999999998</v>
      </c>
      <c r="P826">
        <v>0</v>
      </c>
      <c r="Q826" s="1">
        <v>0.43</v>
      </c>
      <c r="R826" s="1">
        <v>0.41699999999999998</v>
      </c>
      <c r="S826" s="1">
        <v>0.151</v>
      </c>
      <c r="T826" s="1">
        <v>0.92100000000000004</v>
      </c>
      <c r="U826" s="1">
        <v>0.16700000000000001</v>
      </c>
      <c r="V826" s="1">
        <v>173.96</v>
      </c>
      <c r="W826">
        <v>4</v>
      </c>
    </row>
    <row r="827" spans="1:23" x14ac:dyDescent="0.25">
      <c r="A827" s="1" t="s">
        <v>15212</v>
      </c>
      <c r="B827" s="1" t="s">
        <v>15213</v>
      </c>
      <c r="C827" s="1" t="s">
        <v>3465</v>
      </c>
      <c r="D827" s="1" t="s">
        <v>3471</v>
      </c>
      <c r="E827" s="1" t="s">
        <v>3466</v>
      </c>
      <c r="F827" s="1" t="s">
        <v>11445</v>
      </c>
      <c r="G827">
        <v>228699</v>
      </c>
      <c r="H827">
        <v>34</v>
      </c>
      <c r="I827" s="1" t="s">
        <v>11063</v>
      </c>
      <c r="J827" s="11">
        <v>44729.706458333334</v>
      </c>
      <c r="K827" s="1" t="s">
        <v>3447</v>
      </c>
      <c r="L827" s="1">
        <v>0.43</v>
      </c>
      <c r="M827" s="1">
        <v>0.93700000000000006</v>
      </c>
      <c r="N827">
        <v>4</v>
      </c>
      <c r="O827" s="1">
        <v>-4.2409999999999997</v>
      </c>
      <c r="P827">
        <v>0</v>
      </c>
      <c r="Q827" s="1">
        <v>0.434</v>
      </c>
      <c r="R827" s="1">
        <v>0.74</v>
      </c>
      <c r="S827" s="1">
        <v>0.88400000000000001</v>
      </c>
      <c r="T827" s="1">
        <v>0.104</v>
      </c>
      <c r="U827" s="1">
        <v>0.12</v>
      </c>
      <c r="V827" s="1">
        <v>174.042</v>
      </c>
      <c r="W827">
        <v>4</v>
      </c>
    </row>
    <row r="828" spans="1:23" x14ac:dyDescent="0.25">
      <c r="A828" s="1" t="s">
        <v>15214</v>
      </c>
      <c r="B828" s="1" t="s">
        <v>15215</v>
      </c>
      <c r="C828" s="1" t="s">
        <v>3467</v>
      </c>
      <c r="D828" s="1" t="s">
        <v>15216</v>
      </c>
      <c r="E828" s="1" t="s">
        <v>3468</v>
      </c>
      <c r="F828" s="1" t="s">
        <v>15217</v>
      </c>
      <c r="G828">
        <v>276061</v>
      </c>
      <c r="H828">
        <v>44</v>
      </c>
      <c r="I828" s="1" t="s">
        <v>11063</v>
      </c>
      <c r="J828" s="11">
        <v>44729.706458333334</v>
      </c>
      <c r="K828" s="1" t="s">
        <v>3447</v>
      </c>
      <c r="L828" s="1">
        <v>0.47399999999999998</v>
      </c>
      <c r="M828" s="1">
        <v>0.91</v>
      </c>
      <c r="N828">
        <v>5</v>
      </c>
      <c r="O828" s="1">
        <v>-3.3119999999999998</v>
      </c>
      <c r="P828">
        <v>0</v>
      </c>
      <c r="Q828" s="1">
        <v>0.312</v>
      </c>
      <c r="R828" s="1">
        <v>0.97899999999999998</v>
      </c>
      <c r="S828" s="1">
        <v>0.89700000000000002</v>
      </c>
      <c r="T828" s="1">
        <v>0.107</v>
      </c>
      <c r="U828" s="1">
        <v>0.32900000000000001</v>
      </c>
      <c r="V828" s="1">
        <v>169.93799999999999</v>
      </c>
      <c r="W828">
        <v>4</v>
      </c>
    </row>
    <row r="829" spans="1:23" x14ac:dyDescent="0.25">
      <c r="A829" s="1" t="s">
        <v>15218</v>
      </c>
      <c r="B829" s="1" t="s">
        <v>15219</v>
      </c>
      <c r="C829" s="1" t="s">
        <v>3469</v>
      </c>
      <c r="D829" s="1" t="s">
        <v>3471</v>
      </c>
      <c r="E829" s="1" t="s">
        <v>3470</v>
      </c>
      <c r="F829" s="1" t="s">
        <v>11445</v>
      </c>
      <c r="G829">
        <v>281516</v>
      </c>
      <c r="H829">
        <v>24</v>
      </c>
      <c r="I829" s="1" t="s">
        <v>11063</v>
      </c>
      <c r="J829" s="11">
        <v>44729.706458333334</v>
      </c>
      <c r="K829" s="1" t="s">
        <v>3447</v>
      </c>
      <c r="L829" s="1">
        <v>0.497</v>
      </c>
      <c r="M829" s="1">
        <v>0.93300000000000005</v>
      </c>
      <c r="N829">
        <v>11</v>
      </c>
      <c r="O829" s="1">
        <v>-3.661</v>
      </c>
      <c r="P829">
        <v>1</v>
      </c>
      <c r="Q829" s="1">
        <v>0.29799999999999999</v>
      </c>
      <c r="R829" s="1">
        <v>0.67800000000000005</v>
      </c>
      <c r="S829" s="1">
        <v>0.497</v>
      </c>
      <c r="T829" s="1">
        <v>0.82099999999999995</v>
      </c>
      <c r="U829" s="1">
        <v>0.34100000000000003</v>
      </c>
      <c r="V829" s="1">
        <v>140.01400000000001</v>
      </c>
      <c r="W829">
        <v>4</v>
      </c>
    </row>
    <row r="830" spans="1:23" x14ac:dyDescent="0.25">
      <c r="A830" s="1" t="s">
        <v>15220</v>
      </c>
      <c r="B830" s="1" t="s">
        <v>15221</v>
      </c>
      <c r="C830" s="1" t="s">
        <v>3471</v>
      </c>
      <c r="D830" s="1" t="s">
        <v>3471</v>
      </c>
      <c r="E830" s="1" t="s">
        <v>3472</v>
      </c>
      <c r="F830" s="1" t="s">
        <v>11445</v>
      </c>
      <c r="G830">
        <v>229780</v>
      </c>
      <c r="H830">
        <v>43</v>
      </c>
      <c r="I830" s="1" t="s">
        <v>11063</v>
      </c>
      <c r="J830" s="11">
        <v>44729.706458333334</v>
      </c>
      <c r="K830" s="1" t="s">
        <v>3447</v>
      </c>
      <c r="L830" s="1">
        <v>0.438</v>
      </c>
      <c r="M830" s="1">
        <v>0.91500000000000004</v>
      </c>
      <c r="N830">
        <v>11</v>
      </c>
      <c r="O830" s="1">
        <v>-3.831</v>
      </c>
      <c r="P830">
        <v>1</v>
      </c>
      <c r="Q830" s="1">
        <v>0.41099999999999998</v>
      </c>
      <c r="R830" s="1">
        <v>0.17100000000000001</v>
      </c>
      <c r="S830" s="1">
        <v>0.79300000000000004</v>
      </c>
      <c r="T830" s="1">
        <v>0.74</v>
      </c>
      <c r="U830" s="1">
        <v>0.433</v>
      </c>
      <c r="V830" s="1">
        <v>174.01599999999999</v>
      </c>
      <c r="W830">
        <v>4</v>
      </c>
    </row>
    <row r="831" spans="1:23" x14ac:dyDescent="0.25">
      <c r="A831" s="1" t="s">
        <v>15222</v>
      </c>
      <c r="B831" s="1" t="s">
        <v>15223</v>
      </c>
      <c r="C831" s="1" t="s">
        <v>3473</v>
      </c>
      <c r="D831" s="1" t="s">
        <v>3471</v>
      </c>
      <c r="E831" s="1" t="s">
        <v>3474</v>
      </c>
      <c r="F831" s="1" t="s">
        <v>11445</v>
      </c>
      <c r="G831">
        <v>273828</v>
      </c>
      <c r="H831">
        <v>45</v>
      </c>
      <c r="I831" s="1" t="s">
        <v>11063</v>
      </c>
      <c r="J831" s="11">
        <v>44729.706458333334</v>
      </c>
      <c r="K831" s="1" t="s">
        <v>3475</v>
      </c>
      <c r="L831" s="1">
        <v>0.36899999999999999</v>
      </c>
      <c r="M831" s="1">
        <v>0.92500000000000004</v>
      </c>
      <c r="N831">
        <v>7</v>
      </c>
      <c r="O831" s="1">
        <v>-3.9350000000000001</v>
      </c>
      <c r="P831">
        <v>0</v>
      </c>
      <c r="Q831" s="1">
        <v>0.436</v>
      </c>
      <c r="R831" s="1">
        <v>0.71599999999999997</v>
      </c>
      <c r="S831" s="1">
        <v>0.30199999999999999</v>
      </c>
      <c r="T831" s="1">
        <v>0.14199999999999999</v>
      </c>
      <c r="U831" s="1">
        <v>0.11899999999999999</v>
      </c>
      <c r="V831" s="1">
        <v>174.99299999999999</v>
      </c>
      <c r="W831">
        <v>4</v>
      </c>
    </row>
    <row r="832" spans="1:23" x14ac:dyDescent="0.25">
      <c r="A832" s="1" t="s">
        <v>15224</v>
      </c>
      <c r="B832" s="1" t="s">
        <v>15225</v>
      </c>
      <c r="C832" s="1" t="s">
        <v>3476</v>
      </c>
      <c r="D832" s="1" t="s">
        <v>3471</v>
      </c>
      <c r="E832" s="1" t="s">
        <v>3477</v>
      </c>
      <c r="F832" s="1" t="s">
        <v>11445</v>
      </c>
      <c r="G832">
        <v>249918</v>
      </c>
      <c r="H832">
        <v>39</v>
      </c>
      <c r="I832" s="1" t="s">
        <v>11063</v>
      </c>
      <c r="J832" s="11">
        <v>44729.706458333334</v>
      </c>
      <c r="K832" s="1" t="s">
        <v>3447</v>
      </c>
      <c r="L832" s="1">
        <v>0.41599999999999998</v>
      </c>
      <c r="M832" s="1">
        <v>0.91200000000000003</v>
      </c>
      <c r="N832">
        <v>11</v>
      </c>
      <c r="O832" s="1">
        <v>-5.2590000000000003</v>
      </c>
      <c r="P832">
        <v>0</v>
      </c>
      <c r="Q832" s="1">
        <v>0.42599999999999999</v>
      </c>
      <c r="R832" s="1">
        <v>0.27200000000000002</v>
      </c>
      <c r="S832" s="1">
        <v>0.28599999999999998</v>
      </c>
      <c r="T832" s="1">
        <v>0.19900000000000001</v>
      </c>
      <c r="U832" s="1">
        <v>0.82899999999999996</v>
      </c>
      <c r="V832" s="1">
        <v>173.99199999999999</v>
      </c>
      <c r="W832">
        <v>4</v>
      </c>
    </row>
    <row r="833" spans="1:23" x14ac:dyDescent="0.25">
      <c r="A833" s="1" t="s">
        <v>15226</v>
      </c>
      <c r="B833" s="1" t="s">
        <v>15227</v>
      </c>
      <c r="C833" s="1" t="s">
        <v>3478</v>
      </c>
      <c r="D833" s="1" t="s">
        <v>15228</v>
      </c>
      <c r="E833" s="1" t="s">
        <v>3479</v>
      </c>
      <c r="F833" s="1" t="s">
        <v>14617</v>
      </c>
      <c r="G833">
        <v>222774</v>
      </c>
      <c r="H833">
        <v>49</v>
      </c>
      <c r="I833" s="1" t="s">
        <v>11063</v>
      </c>
      <c r="J833" s="11">
        <v>44729.706458333334</v>
      </c>
      <c r="K833" s="1" t="s">
        <v>3480</v>
      </c>
      <c r="L833" s="1">
        <v>0.49099999999999999</v>
      </c>
      <c r="M833" s="1">
        <v>0.94099999999999995</v>
      </c>
      <c r="N833">
        <v>10</v>
      </c>
      <c r="O833" s="1">
        <v>-2.8929999999999998</v>
      </c>
      <c r="P833">
        <v>0</v>
      </c>
      <c r="Q833" s="1">
        <v>0.46899999999999997</v>
      </c>
      <c r="R833" s="1">
        <v>0.52</v>
      </c>
      <c r="S833" s="1">
        <v>0.59699999999999998</v>
      </c>
      <c r="T833" s="1">
        <v>0.28899999999999998</v>
      </c>
      <c r="U833" s="1">
        <v>0.20200000000000001</v>
      </c>
      <c r="V833" s="1">
        <v>174.94300000000001</v>
      </c>
      <c r="W833">
        <v>4</v>
      </c>
    </row>
    <row r="834" spans="1:23" x14ac:dyDescent="0.25">
      <c r="A834" s="1" t="s">
        <v>15229</v>
      </c>
      <c r="B834" s="1" t="s">
        <v>15230</v>
      </c>
      <c r="C834" s="1" t="s">
        <v>3481</v>
      </c>
      <c r="D834" s="1" t="s">
        <v>2867</v>
      </c>
      <c r="E834" s="1" t="s">
        <v>3482</v>
      </c>
      <c r="F834" s="1" t="s">
        <v>15194</v>
      </c>
      <c r="G834">
        <v>212914</v>
      </c>
      <c r="H834">
        <v>46</v>
      </c>
      <c r="I834" s="1" t="s">
        <v>11063</v>
      </c>
      <c r="J834" s="11">
        <v>44729.706458333334</v>
      </c>
      <c r="K834" s="1" t="s">
        <v>3447</v>
      </c>
      <c r="L834" s="1">
        <v>0.51</v>
      </c>
      <c r="M834" s="1">
        <v>0.89100000000000001</v>
      </c>
      <c r="N834">
        <v>8</v>
      </c>
      <c r="O834" s="1">
        <v>-4.96</v>
      </c>
      <c r="P834">
        <v>0</v>
      </c>
      <c r="Q834" s="1">
        <v>0.41099999999999998</v>
      </c>
      <c r="R834" s="1">
        <v>0.13800000000000001</v>
      </c>
      <c r="S834" s="1">
        <v>0.79300000000000004</v>
      </c>
      <c r="T834" s="1">
        <v>0.96599999999999997</v>
      </c>
      <c r="U834" s="1">
        <v>0.41</v>
      </c>
      <c r="V834" s="1">
        <v>174.994</v>
      </c>
      <c r="W834">
        <v>4</v>
      </c>
    </row>
    <row r="835" spans="1:23" x14ac:dyDescent="0.25">
      <c r="A835" s="1" t="s">
        <v>15231</v>
      </c>
      <c r="B835" s="1" t="s">
        <v>15232</v>
      </c>
      <c r="C835" s="1" t="s">
        <v>3483</v>
      </c>
      <c r="D835" s="1" t="s">
        <v>15233</v>
      </c>
      <c r="E835" s="1" t="s">
        <v>3484</v>
      </c>
      <c r="F835" s="1" t="s">
        <v>15234</v>
      </c>
      <c r="G835">
        <v>223821</v>
      </c>
      <c r="H835">
        <v>49</v>
      </c>
      <c r="I835" s="1" t="s">
        <v>11063</v>
      </c>
      <c r="J835" s="11">
        <v>44729.706458333334</v>
      </c>
      <c r="K835" s="1" t="s">
        <v>3485</v>
      </c>
      <c r="L835" s="1">
        <v>0.433</v>
      </c>
      <c r="M835" s="1">
        <v>0.95199999999999996</v>
      </c>
      <c r="N835">
        <v>6</v>
      </c>
      <c r="O835" s="1">
        <v>-3.2330000000000001</v>
      </c>
      <c r="P835">
        <v>0</v>
      </c>
      <c r="Q835" s="1">
        <v>0.52800000000000002</v>
      </c>
      <c r="R835" s="1">
        <v>0.41599999999999998</v>
      </c>
      <c r="S835" s="1">
        <v>0.995</v>
      </c>
      <c r="T835" s="1">
        <v>0.35099999999999998</v>
      </c>
      <c r="U835" s="1">
        <v>0.40899999999999997</v>
      </c>
      <c r="V835" s="1">
        <v>175.899</v>
      </c>
      <c r="W835">
        <v>4</v>
      </c>
    </row>
    <row r="836" spans="1:23" x14ac:dyDescent="0.25">
      <c r="A836" s="1" t="s">
        <v>15235</v>
      </c>
      <c r="B836" s="1" t="s">
        <v>15230</v>
      </c>
      <c r="C836" s="1" t="s">
        <v>3486</v>
      </c>
      <c r="D836" s="1" t="s">
        <v>15236</v>
      </c>
      <c r="E836" s="1" t="s">
        <v>3482</v>
      </c>
      <c r="F836" s="1" t="s">
        <v>15237</v>
      </c>
      <c r="G836">
        <v>221624</v>
      </c>
      <c r="H836">
        <v>51</v>
      </c>
      <c r="I836" s="1" t="s">
        <v>11063</v>
      </c>
      <c r="J836" s="11">
        <v>44729.706458333334</v>
      </c>
      <c r="K836" s="1" t="s">
        <v>3447</v>
      </c>
      <c r="L836" s="1">
        <v>0.48299999999999998</v>
      </c>
      <c r="M836" s="1">
        <v>0.92300000000000004</v>
      </c>
      <c r="N836">
        <v>7</v>
      </c>
      <c r="O836" s="1">
        <v>-4.4770000000000003</v>
      </c>
      <c r="P836">
        <v>1</v>
      </c>
      <c r="Q836" s="1">
        <v>0.47499999999999998</v>
      </c>
      <c r="R836" s="1">
        <v>0.80900000000000005</v>
      </c>
      <c r="S836" s="1">
        <v>0.40600000000000003</v>
      </c>
      <c r="T836" s="1">
        <v>0.92900000000000005</v>
      </c>
      <c r="U836" s="1">
        <v>0.79800000000000004</v>
      </c>
      <c r="V836" s="1">
        <v>176.001</v>
      </c>
      <c r="W836">
        <v>4</v>
      </c>
    </row>
    <row r="837" spans="1:23" x14ac:dyDescent="0.25">
      <c r="A837" s="1" t="s">
        <v>15238</v>
      </c>
      <c r="B837" s="1" t="s">
        <v>15239</v>
      </c>
      <c r="C837" s="1" t="s">
        <v>3487</v>
      </c>
      <c r="D837" s="1" t="s">
        <v>15240</v>
      </c>
      <c r="E837" s="1" t="s">
        <v>3488</v>
      </c>
      <c r="F837" s="1" t="s">
        <v>15241</v>
      </c>
      <c r="G837">
        <v>298920</v>
      </c>
      <c r="H837">
        <v>23</v>
      </c>
      <c r="I837" s="1" t="s">
        <v>11063</v>
      </c>
      <c r="J837" s="11">
        <v>44729.706458333334</v>
      </c>
      <c r="K837" s="1" t="s">
        <v>3489</v>
      </c>
      <c r="L837" s="1">
        <v>0.54900000000000004</v>
      </c>
      <c r="M837" s="1">
        <v>0.78400000000000003</v>
      </c>
      <c r="N837">
        <v>0</v>
      </c>
      <c r="O837" s="1">
        <v>-5.5869999999999997</v>
      </c>
      <c r="P837">
        <v>0</v>
      </c>
      <c r="Q837" s="1">
        <v>0.47199999999999998</v>
      </c>
      <c r="R837" s="1">
        <v>0.42099999999999999</v>
      </c>
      <c r="S837" s="1">
        <v>0.50900000000000001</v>
      </c>
      <c r="T837" s="1">
        <v>0.1</v>
      </c>
      <c r="U837" s="1">
        <v>0.14000000000000001</v>
      </c>
      <c r="V837" s="1">
        <v>175.03800000000001</v>
      </c>
      <c r="W837">
        <v>4</v>
      </c>
    </row>
    <row r="838" spans="1:23" x14ac:dyDescent="0.25">
      <c r="A838" s="1" t="s">
        <v>15242</v>
      </c>
      <c r="B838" s="1" t="s">
        <v>15243</v>
      </c>
      <c r="C838" s="1" t="s">
        <v>3490</v>
      </c>
      <c r="D838" s="1" t="s">
        <v>1221</v>
      </c>
      <c r="E838" s="1" t="s">
        <v>3491</v>
      </c>
      <c r="F838" s="1" t="s">
        <v>13918</v>
      </c>
      <c r="G838">
        <v>185649</v>
      </c>
      <c r="H838">
        <v>40</v>
      </c>
      <c r="I838" s="1" t="s">
        <v>11063</v>
      </c>
      <c r="J838" s="11">
        <v>44729.706458333334</v>
      </c>
      <c r="K838" s="1" t="s">
        <v>3492</v>
      </c>
      <c r="L838" s="1">
        <v>0.6</v>
      </c>
      <c r="M838" s="1">
        <v>0.46800000000000003</v>
      </c>
      <c r="N838">
        <v>0</v>
      </c>
      <c r="O838" s="1">
        <v>-6.8079999999999998</v>
      </c>
      <c r="P838">
        <v>0</v>
      </c>
      <c r="Q838" s="1">
        <v>0.29299999999999998</v>
      </c>
      <c r="R838" s="1">
        <v>0.191</v>
      </c>
      <c r="S838" s="1">
        <v>0</v>
      </c>
      <c r="T838" s="1">
        <v>0.20100000000000001</v>
      </c>
      <c r="U838" s="1">
        <v>0.47699999999999998</v>
      </c>
      <c r="V838" s="1">
        <v>148.898</v>
      </c>
      <c r="W838">
        <v>4</v>
      </c>
    </row>
    <row r="839" spans="1:23" x14ac:dyDescent="0.25">
      <c r="A839" s="1" t="s">
        <v>15244</v>
      </c>
      <c r="B839" s="1" t="s">
        <v>11367</v>
      </c>
      <c r="C839" s="1" t="s">
        <v>3493</v>
      </c>
      <c r="D839" s="1" t="s">
        <v>3493</v>
      </c>
      <c r="E839" s="1" t="s">
        <v>154</v>
      </c>
      <c r="F839" s="1" t="s">
        <v>11372</v>
      </c>
      <c r="G839">
        <v>193235</v>
      </c>
      <c r="H839">
        <v>50</v>
      </c>
      <c r="I839" s="1" t="s">
        <v>11063</v>
      </c>
      <c r="J839" s="11">
        <v>44729.706458333334</v>
      </c>
      <c r="K839" s="1" t="s">
        <v>2372</v>
      </c>
      <c r="L839" s="1">
        <v>0.55400000000000005</v>
      </c>
      <c r="M839" s="1">
        <v>0.46300000000000002</v>
      </c>
      <c r="N839">
        <v>10</v>
      </c>
      <c r="O839" s="1">
        <v>-9.0540000000000003</v>
      </c>
      <c r="P839">
        <v>0</v>
      </c>
      <c r="Q839" s="1">
        <v>0.30299999999999999</v>
      </c>
      <c r="R839" s="1">
        <v>0.14099999999999999</v>
      </c>
      <c r="S839" s="1">
        <v>0.92400000000000004</v>
      </c>
      <c r="T839" s="1">
        <v>0.126</v>
      </c>
      <c r="U839" s="1">
        <v>0.17100000000000001</v>
      </c>
      <c r="V839" s="1">
        <v>129.95400000000001</v>
      </c>
      <c r="W839">
        <v>3</v>
      </c>
    </row>
    <row r="840" spans="1:23" x14ac:dyDescent="0.25">
      <c r="A840" s="1" t="s">
        <v>15245</v>
      </c>
      <c r="B840" s="1" t="s">
        <v>14312</v>
      </c>
      <c r="C840" s="1" t="s">
        <v>3494</v>
      </c>
      <c r="D840" s="1" t="s">
        <v>15246</v>
      </c>
      <c r="E840" s="1" t="s">
        <v>2667</v>
      </c>
      <c r="F840" s="1" t="s">
        <v>11372</v>
      </c>
      <c r="G840">
        <v>169453</v>
      </c>
      <c r="H840">
        <v>39</v>
      </c>
      <c r="I840" s="1" t="s">
        <v>11063</v>
      </c>
      <c r="J840" s="11">
        <v>44729.706458333334</v>
      </c>
      <c r="K840" s="1" t="s">
        <v>2668</v>
      </c>
      <c r="L840" s="1">
        <v>0.749</v>
      </c>
      <c r="M840" s="1">
        <v>0.41399999999999998</v>
      </c>
      <c r="N840">
        <v>5</v>
      </c>
      <c r="O840" s="1">
        <v>-9.6940000000000008</v>
      </c>
      <c r="P840">
        <v>1</v>
      </c>
      <c r="Q840" s="1">
        <v>0.34899999999999998</v>
      </c>
      <c r="R840" s="1">
        <v>0.503</v>
      </c>
      <c r="S840" s="1">
        <v>0.24</v>
      </c>
      <c r="T840" s="1">
        <v>0.32700000000000001</v>
      </c>
      <c r="U840" s="1">
        <v>0.32900000000000001</v>
      </c>
      <c r="V840" s="1">
        <v>109.026</v>
      </c>
      <c r="W840">
        <v>4</v>
      </c>
    </row>
    <row r="841" spans="1:23" x14ac:dyDescent="0.25">
      <c r="A841" s="1" t="s">
        <v>15247</v>
      </c>
      <c r="B841" s="1" t="s">
        <v>15248</v>
      </c>
      <c r="C841" s="1" t="s">
        <v>3495</v>
      </c>
      <c r="D841" s="1" t="s">
        <v>15249</v>
      </c>
      <c r="E841" s="1" t="s">
        <v>3496</v>
      </c>
      <c r="F841" s="1" t="s">
        <v>15250</v>
      </c>
      <c r="G841">
        <v>221820</v>
      </c>
      <c r="H841">
        <v>60</v>
      </c>
      <c r="I841" s="1" t="s">
        <v>11063</v>
      </c>
      <c r="J841" s="11">
        <v>44729.706458333334</v>
      </c>
      <c r="K841" s="1" t="s">
        <v>1922</v>
      </c>
      <c r="L841" s="1">
        <v>0.73</v>
      </c>
      <c r="M841" s="1">
        <v>0.72899999999999998</v>
      </c>
      <c r="N841">
        <v>4</v>
      </c>
      <c r="O841" s="1">
        <v>-3.4340000000000002</v>
      </c>
      <c r="P841">
        <v>0</v>
      </c>
      <c r="Q841" s="1">
        <v>0.88400000000000001</v>
      </c>
      <c r="R841" s="1">
        <v>0.16700000000000001</v>
      </c>
      <c r="S841" s="1">
        <v>0.13900000000000001</v>
      </c>
      <c r="T841" s="1">
        <v>0.34899999999999998</v>
      </c>
      <c r="U841" s="1">
        <v>0.46700000000000003</v>
      </c>
      <c r="V841" s="1">
        <v>113.011</v>
      </c>
      <c r="W841">
        <v>4</v>
      </c>
    </row>
    <row r="842" spans="1:23" x14ac:dyDescent="0.25">
      <c r="A842" s="1" t="s">
        <v>15251</v>
      </c>
      <c r="B842" s="1" t="s">
        <v>15248</v>
      </c>
      <c r="C842" s="1" t="s">
        <v>2397</v>
      </c>
      <c r="D842" s="1" t="s">
        <v>15249</v>
      </c>
      <c r="E842" s="1" t="s">
        <v>3496</v>
      </c>
      <c r="F842" s="1" t="s">
        <v>15250</v>
      </c>
      <c r="G842">
        <v>258004</v>
      </c>
      <c r="H842">
        <v>69</v>
      </c>
      <c r="I842" s="1" t="s">
        <v>11063</v>
      </c>
      <c r="J842" s="11">
        <v>44729.706458333334</v>
      </c>
      <c r="K842" s="1" t="s">
        <v>1922</v>
      </c>
      <c r="L842" s="1">
        <v>0.65900000000000003</v>
      </c>
      <c r="M842" s="1">
        <v>0.66700000000000004</v>
      </c>
      <c r="N842">
        <v>11</v>
      </c>
      <c r="O842" s="1">
        <v>-4.6680000000000001</v>
      </c>
      <c r="P842">
        <v>0</v>
      </c>
      <c r="Q842" s="1">
        <v>0.33900000000000002</v>
      </c>
      <c r="R842" s="1">
        <v>0.17299999999999999</v>
      </c>
      <c r="S842" s="1">
        <v>0.28499999999999998</v>
      </c>
      <c r="T842" s="1">
        <v>0.1</v>
      </c>
      <c r="U842" s="1">
        <v>0.46800000000000003</v>
      </c>
      <c r="V842" s="1">
        <v>115.982</v>
      </c>
      <c r="W842">
        <v>4</v>
      </c>
    </row>
    <row r="843" spans="1:23" x14ac:dyDescent="0.25">
      <c r="A843" s="1" t="s">
        <v>15252</v>
      </c>
      <c r="B843" s="1" t="s">
        <v>15248</v>
      </c>
      <c r="C843" s="1" t="s">
        <v>3497</v>
      </c>
      <c r="D843" s="1" t="s">
        <v>15253</v>
      </c>
      <c r="E843" s="1" t="s">
        <v>3496</v>
      </c>
      <c r="F843" s="1" t="s">
        <v>11356</v>
      </c>
      <c r="G843">
        <v>178583</v>
      </c>
      <c r="H843">
        <v>64</v>
      </c>
      <c r="I843" s="1" t="s">
        <v>11063</v>
      </c>
      <c r="J843" s="11">
        <v>44729.706458333334</v>
      </c>
      <c r="K843" s="1" t="s">
        <v>1922</v>
      </c>
      <c r="L843" s="1">
        <v>0.65400000000000003</v>
      </c>
      <c r="M843" s="1">
        <v>0.79600000000000004</v>
      </c>
      <c r="N843">
        <v>2</v>
      </c>
      <c r="O843" s="1">
        <v>-4.7610000000000001</v>
      </c>
      <c r="P843">
        <v>0</v>
      </c>
      <c r="Q843" s="1">
        <v>0.122</v>
      </c>
      <c r="R843" s="1">
        <v>0.188</v>
      </c>
      <c r="S843" s="1">
        <v>0</v>
      </c>
      <c r="T843" s="1">
        <v>0.94799999999999995</v>
      </c>
      <c r="U843" s="1">
        <v>0.49099999999999999</v>
      </c>
      <c r="V843" s="1">
        <v>108.854</v>
      </c>
      <c r="W843">
        <v>4</v>
      </c>
    </row>
    <row r="844" spans="1:23" x14ac:dyDescent="0.25">
      <c r="A844" s="1" t="s">
        <v>11499</v>
      </c>
      <c r="B844" s="1" t="s">
        <v>11500</v>
      </c>
      <c r="C844" s="1" t="s">
        <v>72</v>
      </c>
      <c r="D844" s="1" t="s">
        <v>72</v>
      </c>
      <c r="E844" s="1" t="s">
        <v>249</v>
      </c>
      <c r="F844" s="1" t="s">
        <v>11372</v>
      </c>
      <c r="G844">
        <v>200975</v>
      </c>
      <c r="H844">
        <v>26</v>
      </c>
      <c r="I844" s="1" t="s">
        <v>11063</v>
      </c>
      <c r="J844" s="11">
        <v>44729.706458333334</v>
      </c>
      <c r="K844" s="1" t="s">
        <v>250</v>
      </c>
      <c r="L844" s="1">
        <v>0.65600000000000003</v>
      </c>
      <c r="M844" s="1">
        <v>0.65300000000000002</v>
      </c>
      <c r="N844">
        <v>7</v>
      </c>
      <c r="O844" s="1">
        <v>-5.4509999999999996</v>
      </c>
      <c r="P844">
        <v>0</v>
      </c>
      <c r="Q844" s="1">
        <v>0.309</v>
      </c>
      <c r="R844" s="1">
        <v>0.52500000000000002</v>
      </c>
      <c r="S844" s="1">
        <v>0.47699999999999998</v>
      </c>
      <c r="T844" s="1">
        <v>0.32300000000000001</v>
      </c>
      <c r="U844" s="1">
        <v>0.441</v>
      </c>
      <c r="V844" s="1" t="s">
        <v>251</v>
      </c>
      <c r="W844">
        <v>4</v>
      </c>
    </row>
    <row r="845" spans="1:23" x14ac:dyDescent="0.25">
      <c r="A845" s="1" t="s">
        <v>15254</v>
      </c>
      <c r="B845" s="1" t="s">
        <v>15255</v>
      </c>
      <c r="C845" s="1" t="s">
        <v>3498</v>
      </c>
      <c r="D845" s="1" t="s">
        <v>3498</v>
      </c>
      <c r="E845" s="1" t="s">
        <v>3499</v>
      </c>
      <c r="F845" s="1" t="s">
        <v>15256</v>
      </c>
      <c r="G845">
        <v>158369</v>
      </c>
      <c r="H845">
        <v>47</v>
      </c>
      <c r="I845" s="1" t="s">
        <v>11063</v>
      </c>
      <c r="J845" s="11">
        <v>44729.706458333334</v>
      </c>
      <c r="K845" s="1" t="s">
        <v>3500</v>
      </c>
      <c r="L845" s="1">
        <v>0.68400000000000005</v>
      </c>
      <c r="M845" s="1">
        <v>0.73899999999999999</v>
      </c>
      <c r="N845">
        <v>7</v>
      </c>
      <c r="O845" s="1">
        <v>-5.9429999999999996</v>
      </c>
      <c r="P845">
        <v>1</v>
      </c>
      <c r="Q845" s="1">
        <v>0.36299999999999999</v>
      </c>
      <c r="R845" s="1">
        <v>0.14499999999999999</v>
      </c>
      <c r="S845" s="1">
        <v>0.21299999999999999</v>
      </c>
      <c r="T845" s="1">
        <v>0.11899999999999999</v>
      </c>
      <c r="U845" s="1">
        <v>0.82599999999999996</v>
      </c>
      <c r="V845" s="1">
        <v>114.996</v>
      </c>
      <c r="W845">
        <v>4</v>
      </c>
    </row>
    <row r="846" spans="1:23" x14ac:dyDescent="0.25">
      <c r="A846" s="1" t="s">
        <v>15257</v>
      </c>
      <c r="B846" s="1" t="s">
        <v>14879</v>
      </c>
      <c r="C846" s="1" t="s">
        <v>3501</v>
      </c>
      <c r="D846" s="1" t="s">
        <v>3501</v>
      </c>
      <c r="E846" s="1" t="s">
        <v>3156</v>
      </c>
      <c r="F846" s="1" t="s">
        <v>11372</v>
      </c>
      <c r="G846">
        <v>167225</v>
      </c>
      <c r="H846">
        <v>6</v>
      </c>
      <c r="I846" s="1" t="s">
        <v>11063</v>
      </c>
      <c r="J846" s="11">
        <v>44729.706458333334</v>
      </c>
      <c r="K846" s="1" t="s">
        <v>2939</v>
      </c>
      <c r="L846" s="1">
        <v>0.63200000000000001</v>
      </c>
      <c r="M846" s="1">
        <v>0.51100000000000001</v>
      </c>
      <c r="N846">
        <v>10</v>
      </c>
      <c r="O846" s="1">
        <v>-6.0129999999999999</v>
      </c>
      <c r="P846">
        <v>0</v>
      </c>
      <c r="Q846" s="1">
        <v>0.34499999999999997</v>
      </c>
      <c r="R846" s="1">
        <v>0.36399999999999999</v>
      </c>
      <c r="S846" s="1">
        <v>0.159</v>
      </c>
      <c r="T846" s="1">
        <v>0.12</v>
      </c>
      <c r="U846" s="1">
        <v>0.59099999999999997</v>
      </c>
      <c r="V846" s="1">
        <v>77.498999999999995</v>
      </c>
      <c r="W846">
        <v>4</v>
      </c>
    </row>
    <row r="847" spans="1:23" x14ac:dyDescent="0.25">
      <c r="A847" s="1" t="s">
        <v>15258</v>
      </c>
      <c r="B847" s="1" t="s">
        <v>15259</v>
      </c>
      <c r="C847" s="1" t="s">
        <v>3502</v>
      </c>
      <c r="D847" s="1" t="s">
        <v>3502</v>
      </c>
      <c r="E847" s="1" t="s">
        <v>3503</v>
      </c>
      <c r="F847" s="1" t="s">
        <v>11372</v>
      </c>
      <c r="G847">
        <v>192150</v>
      </c>
      <c r="H847">
        <v>25</v>
      </c>
      <c r="I847" s="1" t="s">
        <v>11063</v>
      </c>
      <c r="J847" s="11">
        <v>44729.706458333334</v>
      </c>
      <c r="K847" s="1" t="s">
        <v>3033</v>
      </c>
      <c r="L847" s="1">
        <v>0.55900000000000005</v>
      </c>
      <c r="M847" s="1">
        <v>0.68300000000000005</v>
      </c>
      <c r="N847">
        <v>1</v>
      </c>
      <c r="O847" s="1">
        <v>-6.8819999999999997</v>
      </c>
      <c r="P847">
        <v>1</v>
      </c>
      <c r="Q847" s="1">
        <v>0.47799999999999998</v>
      </c>
      <c r="R847" s="1">
        <v>0.26700000000000002</v>
      </c>
      <c r="S847" s="1">
        <v>0.59099999999999997</v>
      </c>
      <c r="T847" s="1">
        <v>0.113</v>
      </c>
      <c r="U847" s="1">
        <v>0.27700000000000002</v>
      </c>
      <c r="V847" s="1">
        <v>144.05699999999999</v>
      </c>
      <c r="W847">
        <v>4</v>
      </c>
    </row>
    <row r="848" spans="1:23" x14ac:dyDescent="0.25">
      <c r="A848" s="1" t="s">
        <v>15260</v>
      </c>
      <c r="B848" s="1" t="s">
        <v>15261</v>
      </c>
      <c r="C848" s="1" t="s">
        <v>3504</v>
      </c>
      <c r="D848" s="1" t="s">
        <v>3504</v>
      </c>
      <c r="E848" s="1" t="s">
        <v>3505</v>
      </c>
      <c r="F848" s="1" t="s">
        <v>15262</v>
      </c>
      <c r="G848">
        <v>241595</v>
      </c>
      <c r="H848">
        <v>55</v>
      </c>
      <c r="I848" s="1" t="s">
        <v>11063</v>
      </c>
      <c r="J848" s="11">
        <v>44729.706458333334</v>
      </c>
      <c r="K848" s="1" t="s">
        <v>3506</v>
      </c>
      <c r="L848" s="1">
        <v>0.59199999999999997</v>
      </c>
      <c r="M848" s="1">
        <v>0.34200000000000003</v>
      </c>
      <c r="N848">
        <v>0</v>
      </c>
      <c r="O848" s="1">
        <v>-8.93</v>
      </c>
      <c r="P848">
        <v>1</v>
      </c>
      <c r="Q848" s="1">
        <v>0.33900000000000002</v>
      </c>
      <c r="R848" s="1">
        <v>0.193</v>
      </c>
      <c r="S848" s="1">
        <v>0.245</v>
      </c>
      <c r="T848" s="1">
        <v>0.11</v>
      </c>
      <c r="U848" s="1">
        <v>0.155</v>
      </c>
      <c r="V848" s="1">
        <v>130.953</v>
      </c>
      <c r="W848">
        <v>4</v>
      </c>
    </row>
    <row r="849" spans="1:23" x14ac:dyDescent="0.25">
      <c r="A849" s="1" t="s">
        <v>15263</v>
      </c>
      <c r="B849" s="1" t="s">
        <v>13503</v>
      </c>
      <c r="C849" s="1" t="s">
        <v>3507</v>
      </c>
      <c r="D849" s="1" t="s">
        <v>3507</v>
      </c>
      <c r="E849" s="1" t="s">
        <v>1972</v>
      </c>
      <c r="F849" s="1" t="s">
        <v>11372</v>
      </c>
      <c r="G849">
        <v>135000</v>
      </c>
      <c r="H849">
        <v>30</v>
      </c>
      <c r="I849" s="1" t="s">
        <v>11063</v>
      </c>
      <c r="J849" s="11">
        <v>44729.706458333334</v>
      </c>
      <c r="K849" s="1" t="s">
        <v>1973</v>
      </c>
      <c r="L849" s="1">
        <v>0.51100000000000001</v>
      </c>
      <c r="M849" s="1">
        <v>0.57899999999999996</v>
      </c>
      <c r="N849">
        <v>9</v>
      </c>
      <c r="O849" s="1">
        <v>-8.8290000000000006</v>
      </c>
      <c r="P849">
        <v>1</v>
      </c>
      <c r="Q849" s="1">
        <v>0.32300000000000001</v>
      </c>
      <c r="R849" s="1">
        <v>0.24399999999999999</v>
      </c>
      <c r="S849" s="1">
        <v>0.13800000000000001</v>
      </c>
      <c r="T849" s="1">
        <v>0.18</v>
      </c>
      <c r="U849" s="1">
        <v>0.14199999999999999</v>
      </c>
      <c r="V849" s="1">
        <v>117.00700000000001</v>
      </c>
      <c r="W849">
        <v>4</v>
      </c>
    </row>
    <row r="850" spans="1:23" x14ac:dyDescent="0.25">
      <c r="A850" s="1" t="s">
        <v>15264</v>
      </c>
      <c r="B850" s="1" t="s">
        <v>15265</v>
      </c>
      <c r="C850" s="1" t="s">
        <v>3508</v>
      </c>
      <c r="D850" s="1" t="s">
        <v>3508</v>
      </c>
      <c r="E850" s="1" t="s">
        <v>3509</v>
      </c>
      <c r="F850" s="1" t="s">
        <v>11372</v>
      </c>
      <c r="G850">
        <v>180596</v>
      </c>
      <c r="H850">
        <v>72</v>
      </c>
      <c r="I850" s="1" t="s">
        <v>11063</v>
      </c>
      <c r="J850" s="11">
        <v>44729.706458333334</v>
      </c>
      <c r="K850" s="1" t="s">
        <v>3510</v>
      </c>
      <c r="L850" s="1">
        <v>0.68400000000000005</v>
      </c>
      <c r="M850" s="1">
        <v>0.50600000000000001</v>
      </c>
      <c r="N850">
        <v>6</v>
      </c>
      <c r="O850" s="1">
        <v>-6.7430000000000003</v>
      </c>
      <c r="P850">
        <v>1</v>
      </c>
      <c r="Q850" s="1">
        <v>0.33800000000000002</v>
      </c>
      <c r="R850" s="1">
        <v>0.159</v>
      </c>
      <c r="S850" s="1">
        <v>0</v>
      </c>
      <c r="T850" s="1">
        <v>0.26</v>
      </c>
      <c r="U850" s="1">
        <v>0.35199999999999998</v>
      </c>
      <c r="V850" s="1">
        <v>108.036</v>
      </c>
      <c r="W850">
        <v>4</v>
      </c>
    </row>
    <row r="851" spans="1:23" x14ac:dyDescent="0.25">
      <c r="A851" s="1" t="s">
        <v>15266</v>
      </c>
      <c r="B851" s="1" t="s">
        <v>15267</v>
      </c>
      <c r="C851" s="1" t="s">
        <v>3511</v>
      </c>
      <c r="D851" s="1" t="s">
        <v>15268</v>
      </c>
      <c r="E851" s="1" t="s">
        <v>3512</v>
      </c>
      <c r="F851" s="1" t="s">
        <v>11372</v>
      </c>
      <c r="G851">
        <v>243027</v>
      </c>
      <c r="H851">
        <v>51</v>
      </c>
      <c r="I851" s="1" t="s">
        <v>11063</v>
      </c>
      <c r="J851" s="11">
        <v>44729.706458333334</v>
      </c>
      <c r="K851" s="1" t="s">
        <v>3513</v>
      </c>
      <c r="L851" s="1">
        <v>0.45800000000000002</v>
      </c>
      <c r="M851" s="1">
        <v>0.67</v>
      </c>
      <c r="N851">
        <v>10</v>
      </c>
      <c r="O851" s="1">
        <v>-4.9930000000000003</v>
      </c>
      <c r="P851">
        <v>1</v>
      </c>
      <c r="Q851" s="1">
        <v>0.39700000000000002</v>
      </c>
      <c r="R851" s="1">
        <v>0.25</v>
      </c>
      <c r="S851" s="1">
        <v>0.378</v>
      </c>
      <c r="T851" s="1">
        <v>0.35799999999999998</v>
      </c>
      <c r="U851" s="1">
        <v>0.107</v>
      </c>
      <c r="V851" s="1">
        <v>160.05000000000001</v>
      </c>
      <c r="W851">
        <v>4</v>
      </c>
    </row>
    <row r="852" spans="1:23" x14ac:dyDescent="0.25">
      <c r="A852" s="1" t="s">
        <v>15269</v>
      </c>
      <c r="B852" s="1" t="s">
        <v>11184</v>
      </c>
      <c r="C852" s="1" t="s">
        <v>3514</v>
      </c>
      <c r="D852" s="1" t="s">
        <v>3514</v>
      </c>
      <c r="E852" s="1" t="s">
        <v>2057</v>
      </c>
      <c r="F852" s="1" t="s">
        <v>15256</v>
      </c>
      <c r="G852">
        <v>185739</v>
      </c>
      <c r="H852">
        <v>44</v>
      </c>
      <c r="I852" s="1" t="s">
        <v>11063</v>
      </c>
      <c r="J852" s="11">
        <v>44729.706458333334</v>
      </c>
      <c r="K852" s="1" t="s">
        <v>50</v>
      </c>
      <c r="L852" s="1">
        <v>0.69399999999999995</v>
      </c>
      <c r="M852" s="1">
        <v>0.56699999999999995</v>
      </c>
      <c r="N852">
        <v>9</v>
      </c>
      <c r="O852" s="1">
        <v>-6.8929999999999998</v>
      </c>
      <c r="P852">
        <v>0</v>
      </c>
      <c r="Q852" s="1">
        <v>0.34699999999999998</v>
      </c>
      <c r="R852" s="1">
        <v>0.41599999999999998</v>
      </c>
      <c r="S852" s="1">
        <v>0</v>
      </c>
      <c r="T852" s="1">
        <v>0.13800000000000001</v>
      </c>
      <c r="U852" s="1">
        <v>0.34599999999999997</v>
      </c>
      <c r="V852" s="1">
        <v>114.94499999999999</v>
      </c>
      <c r="W852">
        <v>4</v>
      </c>
    </row>
    <row r="853" spans="1:23" x14ac:dyDescent="0.25">
      <c r="A853" s="1" t="s">
        <v>15270</v>
      </c>
      <c r="B853" s="1" t="s">
        <v>15271</v>
      </c>
      <c r="C853" s="1" t="s">
        <v>3515</v>
      </c>
      <c r="D853" s="1" t="s">
        <v>3515</v>
      </c>
      <c r="E853" s="1" t="s">
        <v>3516</v>
      </c>
      <c r="F853" s="1" t="s">
        <v>11372</v>
      </c>
      <c r="G853">
        <v>187000</v>
      </c>
      <c r="H853">
        <v>55</v>
      </c>
      <c r="I853" s="1" t="s">
        <v>11063</v>
      </c>
      <c r="J853" s="11">
        <v>44729.706458333334</v>
      </c>
      <c r="K853" s="1" t="s">
        <v>3517</v>
      </c>
      <c r="L853" s="1">
        <v>0.48699999999999999</v>
      </c>
      <c r="M853" s="1">
        <v>0.85199999999999998</v>
      </c>
      <c r="N853">
        <v>0</v>
      </c>
      <c r="O853" s="1">
        <v>-4.0019999999999998</v>
      </c>
      <c r="P853">
        <v>1</v>
      </c>
      <c r="Q853" s="1">
        <v>0.59599999999999997</v>
      </c>
      <c r="R853" s="1">
        <v>0.54</v>
      </c>
      <c r="S853" s="1">
        <v>0</v>
      </c>
      <c r="T853" s="1">
        <v>0.111</v>
      </c>
      <c r="U853" s="1">
        <v>0.191</v>
      </c>
      <c r="V853" s="1">
        <v>157.934</v>
      </c>
      <c r="W853">
        <v>4</v>
      </c>
    </row>
    <row r="854" spans="1:23" x14ac:dyDescent="0.25">
      <c r="A854" s="1" t="s">
        <v>15272</v>
      </c>
      <c r="B854" s="1" t="s">
        <v>14079</v>
      </c>
      <c r="C854" s="1" t="s">
        <v>3518</v>
      </c>
      <c r="D854" s="1" t="s">
        <v>3518</v>
      </c>
      <c r="E854" s="1" t="s">
        <v>2468</v>
      </c>
      <c r="F854" s="1" t="s">
        <v>15273</v>
      </c>
      <c r="G854">
        <v>242265</v>
      </c>
      <c r="H854">
        <v>77</v>
      </c>
      <c r="I854" s="1" t="s">
        <v>11063</v>
      </c>
      <c r="J854" s="11">
        <v>44729.706458333334</v>
      </c>
      <c r="K854" s="1" t="s">
        <v>2469</v>
      </c>
      <c r="L854" s="1">
        <v>0.38</v>
      </c>
      <c r="M854" s="1">
        <v>0.219</v>
      </c>
      <c r="N854">
        <v>4</v>
      </c>
      <c r="O854" s="1">
        <v>-13.273</v>
      </c>
      <c r="P854">
        <v>0</v>
      </c>
      <c r="Q854" s="1">
        <v>0.35799999999999998</v>
      </c>
      <c r="R854" s="1">
        <v>0.91700000000000004</v>
      </c>
      <c r="S854" s="1">
        <v>0.104</v>
      </c>
      <c r="T854" s="1">
        <v>0.82699999999999996</v>
      </c>
      <c r="U854" s="1">
        <v>0.51700000000000002</v>
      </c>
      <c r="V854" s="1">
        <v>73.537000000000006</v>
      </c>
      <c r="W854">
        <v>4</v>
      </c>
    </row>
    <row r="855" spans="1:23" x14ac:dyDescent="0.25">
      <c r="A855" s="1" t="s">
        <v>15274</v>
      </c>
      <c r="B855" s="1" t="s">
        <v>15275</v>
      </c>
      <c r="C855" s="1" t="s">
        <v>3519</v>
      </c>
      <c r="D855" s="1" t="s">
        <v>3519</v>
      </c>
      <c r="E855" s="1" t="s">
        <v>3520</v>
      </c>
      <c r="F855" s="1" t="s">
        <v>15276</v>
      </c>
      <c r="G855">
        <v>240000</v>
      </c>
      <c r="H855">
        <v>36</v>
      </c>
      <c r="I855" s="1" t="s">
        <v>11063</v>
      </c>
      <c r="J855" s="11">
        <v>44729.706458333334</v>
      </c>
      <c r="K855" s="1" t="s">
        <v>50</v>
      </c>
      <c r="L855" s="1">
        <v>0.53400000000000003</v>
      </c>
      <c r="M855" s="1">
        <v>0.95</v>
      </c>
      <c r="N855">
        <v>6</v>
      </c>
      <c r="O855" s="1">
        <v>-1.7170000000000001</v>
      </c>
      <c r="P855">
        <v>1</v>
      </c>
      <c r="Q855" s="1">
        <v>0.29199999999999998</v>
      </c>
      <c r="R855" s="1">
        <v>0.35399999999999998</v>
      </c>
      <c r="S855" s="1">
        <v>0.82</v>
      </c>
      <c r="T855" s="1">
        <v>0.313</v>
      </c>
      <c r="U855" s="1">
        <v>0.25700000000000001</v>
      </c>
      <c r="V855" s="1">
        <v>179.899</v>
      </c>
      <c r="W855">
        <v>4</v>
      </c>
    </row>
    <row r="856" spans="1:23" x14ac:dyDescent="0.25">
      <c r="A856" s="1" t="s">
        <v>15277</v>
      </c>
      <c r="B856" s="1" t="s">
        <v>15278</v>
      </c>
      <c r="C856" s="1" t="s">
        <v>3521</v>
      </c>
      <c r="D856" s="1" t="s">
        <v>15279</v>
      </c>
      <c r="E856" s="1" t="s">
        <v>3522</v>
      </c>
      <c r="F856" s="1" t="s">
        <v>14745</v>
      </c>
      <c r="G856">
        <v>184719</v>
      </c>
      <c r="H856">
        <v>26</v>
      </c>
      <c r="I856" s="1" t="s">
        <v>11063</v>
      </c>
      <c r="J856" s="11">
        <v>44729.706458333334</v>
      </c>
      <c r="K856" s="1" t="s">
        <v>3523</v>
      </c>
      <c r="L856" s="1">
        <v>0.58399999999999996</v>
      </c>
      <c r="M856" s="1">
        <v>0.90800000000000003</v>
      </c>
      <c r="N856">
        <v>10</v>
      </c>
      <c r="O856" s="1">
        <v>-4.8159999999999998</v>
      </c>
      <c r="P856">
        <v>0</v>
      </c>
      <c r="Q856" s="1">
        <v>0.17599999999999999</v>
      </c>
      <c r="R856" s="1">
        <v>0.64600000000000002</v>
      </c>
      <c r="S856" s="1">
        <v>0.96</v>
      </c>
      <c r="T856" s="1">
        <v>0.22</v>
      </c>
      <c r="U856" s="1">
        <v>0.36699999999999999</v>
      </c>
      <c r="V856" s="1">
        <v>88.917000000000002</v>
      </c>
      <c r="W856">
        <v>4</v>
      </c>
    </row>
    <row r="857" spans="1:23" x14ac:dyDescent="0.25">
      <c r="A857" s="1" t="s">
        <v>15280</v>
      </c>
      <c r="B857" s="1" t="s">
        <v>15281</v>
      </c>
      <c r="C857" s="1" t="s">
        <v>3524</v>
      </c>
      <c r="D857" s="1" t="s">
        <v>3524</v>
      </c>
      <c r="E857" s="1" t="s">
        <v>3525</v>
      </c>
      <c r="F857" s="1" t="s">
        <v>15282</v>
      </c>
      <c r="G857">
        <v>220591</v>
      </c>
      <c r="H857">
        <v>0</v>
      </c>
      <c r="I857" s="1" t="s">
        <v>11063</v>
      </c>
      <c r="J857" s="11">
        <v>44729.706458333334</v>
      </c>
      <c r="K857" s="1" t="s">
        <v>50</v>
      </c>
      <c r="L857" s="1">
        <v>0.46100000000000002</v>
      </c>
      <c r="M857" s="1">
        <v>0.64900000000000002</v>
      </c>
      <c r="N857">
        <v>1</v>
      </c>
      <c r="O857" s="1">
        <v>-7.6689999999999996</v>
      </c>
      <c r="P857">
        <v>0</v>
      </c>
      <c r="Q857" s="1">
        <v>0.47399999999999998</v>
      </c>
      <c r="R857" s="1">
        <v>0.32500000000000001</v>
      </c>
      <c r="S857" s="1">
        <v>0</v>
      </c>
      <c r="T857" s="1">
        <v>0.92</v>
      </c>
      <c r="U857" s="1">
        <v>0.28199999999999997</v>
      </c>
      <c r="V857" s="1">
        <v>79.906000000000006</v>
      </c>
      <c r="W857">
        <v>4</v>
      </c>
    </row>
    <row r="858" spans="1:23" x14ac:dyDescent="0.25">
      <c r="A858" s="1" t="s">
        <v>15283</v>
      </c>
      <c r="B858" s="1" t="s">
        <v>15284</v>
      </c>
      <c r="C858" s="1" t="s">
        <v>3526</v>
      </c>
      <c r="D858" s="1" t="s">
        <v>3526</v>
      </c>
      <c r="E858" s="1" t="s">
        <v>3527</v>
      </c>
      <c r="F858" s="1" t="s">
        <v>15285</v>
      </c>
      <c r="G858">
        <v>286525</v>
      </c>
      <c r="H858">
        <v>32</v>
      </c>
      <c r="I858" s="1" t="s">
        <v>11063</v>
      </c>
      <c r="J858" s="11">
        <v>44729.706458333334</v>
      </c>
      <c r="K858" s="1" t="s">
        <v>3528</v>
      </c>
      <c r="L858" s="1">
        <v>0.495</v>
      </c>
      <c r="M858" s="1">
        <v>0.73099999999999998</v>
      </c>
      <c r="N858">
        <v>2</v>
      </c>
      <c r="O858" s="1">
        <v>-5.9560000000000004</v>
      </c>
      <c r="P858">
        <v>0</v>
      </c>
      <c r="Q858" s="1">
        <v>0.65600000000000003</v>
      </c>
      <c r="R858" s="1">
        <v>0.26300000000000001</v>
      </c>
      <c r="S858" s="1">
        <v>0.123</v>
      </c>
      <c r="T858" s="1">
        <v>0.95599999999999996</v>
      </c>
      <c r="U858" s="1">
        <v>0.318</v>
      </c>
      <c r="V858" s="1">
        <v>145.071</v>
      </c>
      <c r="W858">
        <v>4</v>
      </c>
    </row>
    <row r="859" spans="1:23" x14ac:dyDescent="0.25">
      <c r="A859" s="1" t="s">
        <v>15286</v>
      </c>
      <c r="B859" s="1" t="s">
        <v>15287</v>
      </c>
      <c r="C859" s="1" t="s">
        <v>3529</v>
      </c>
      <c r="D859" s="1" t="s">
        <v>3529</v>
      </c>
      <c r="E859" s="1" t="s">
        <v>3530</v>
      </c>
      <c r="F859" s="1" t="s">
        <v>15288</v>
      </c>
      <c r="G859">
        <v>162857</v>
      </c>
      <c r="H859">
        <v>28</v>
      </c>
      <c r="I859" s="1" t="s">
        <v>11063</v>
      </c>
      <c r="J859" s="11">
        <v>44729.706458333334</v>
      </c>
      <c r="K859" s="1" t="s">
        <v>994</v>
      </c>
      <c r="L859" s="1">
        <v>0.64600000000000002</v>
      </c>
      <c r="M859" s="1">
        <v>0.874</v>
      </c>
      <c r="N859">
        <v>0</v>
      </c>
      <c r="O859" s="1">
        <v>-3.72</v>
      </c>
      <c r="P859">
        <v>0</v>
      </c>
      <c r="Q859" s="1">
        <v>0.217</v>
      </c>
      <c r="R859" s="1">
        <v>0.21099999999999999</v>
      </c>
      <c r="S859" s="1">
        <v>0.20399999999999999</v>
      </c>
      <c r="T859" s="1">
        <v>0.77800000000000002</v>
      </c>
      <c r="U859" s="1">
        <v>0.46600000000000003</v>
      </c>
      <c r="V859" s="1">
        <v>168.03700000000001</v>
      </c>
      <c r="W859">
        <v>4</v>
      </c>
    </row>
    <row r="860" spans="1:23" x14ac:dyDescent="0.25">
      <c r="A860" s="1" t="s">
        <v>15289</v>
      </c>
      <c r="B860" s="1" t="s">
        <v>15290</v>
      </c>
      <c r="C860" s="1" t="s">
        <v>3531</v>
      </c>
      <c r="D860" s="1" t="s">
        <v>3531</v>
      </c>
      <c r="E860" s="1" t="s">
        <v>3532</v>
      </c>
      <c r="F860" s="1" t="s">
        <v>15291</v>
      </c>
      <c r="G860">
        <v>219078</v>
      </c>
      <c r="H860">
        <v>18</v>
      </c>
      <c r="I860" s="1" t="s">
        <v>11063</v>
      </c>
      <c r="J860" s="11">
        <v>44729.706458333334</v>
      </c>
      <c r="K860" s="1" t="s">
        <v>992</v>
      </c>
      <c r="L860" s="1">
        <v>0.58299999999999996</v>
      </c>
      <c r="M860" s="1">
        <v>0.65100000000000002</v>
      </c>
      <c r="N860">
        <v>2</v>
      </c>
      <c r="O860" s="1">
        <v>-4.8339999999999996</v>
      </c>
      <c r="P860">
        <v>0</v>
      </c>
      <c r="Q860" s="1">
        <v>0.379</v>
      </c>
      <c r="R860" s="1">
        <v>0.45800000000000002</v>
      </c>
      <c r="S860" s="1">
        <v>0.34300000000000003</v>
      </c>
      <c r="T860" s="1">
        <v>0.997</v>
      </c>
      <c r="U860" s="1">
        <v>0.108</v>
      </c>
      <c r="V860" s="1">
        <v>152.11799999999999</v>
      </c>
      <c r="W860">
        <v>4</v>
      </c>
    </row>
    <row r="861" spans="1:23" x14ac:dyDescent="0.25">
      <c r="A861" s="1" t="s">
        <v>15292</v>
      </c>
      <c r="B861" s="1" t="s">
        <v>15293</v>
      </c>
      <c r="C861" s="1" t="s">
        <v>3533</v>
      </c>
      <c r="D861" s="1" t="s">
        <v>3533</v>
      </c>
      <c r="E861" s="1" t="s">
        <v>3534</v>
      </c>
      <c r="F861" s="1" t="s">
        <v>15294</v>
      </c>
      <c r="G861">
        <v>224000</v>
      </c>
      <c r="H861">
        <v>30</v>
      </c>
      <c r="I861" s="1" t="s">
        <v>11063</v>
      </c>
      <c r="J861" s="11">
        <v>44729.706458333334</v>
      </c>
      <c r="K861" s="1" t="s">
        <v>3535</v>
      </c>
      <c r="L861" s="1">
        <v>0.45700000000000002</v>
      </c>
      <c r="M861" s="1">
        <v>0.80600000000000005</v>
      </c>
      <c r="N861">
        <v>8</v>
      </c>
      <c r="O861" s="1">
        <v>-5.2439999999999998</v>
      </c>
      <c r="P861">
        <v>1</v>
      </c>
      <c r="Q861" s="1">
        <v>0.10100000000000001</v>
      </c>
      <c r="R861" s="1">
        <v>0.626</v>
      </c>
      <c r="S861" s="1">
        <v>0.21</v>
      </c>
      <c r="T861" s="1">
        <v>0.122</v>
      </c>
      <c r="U861" s="1">
        <v>0.216</v>
      </c>
      <c r="V861" s="1">
        <v>150.01599999999999</v>
      </c>
      <c r="W861">
        <v>4</v>
      </c>
    </row>
    <row r="862" spans="1:23" x14ac:dyDescent="0.25">
      <c r="A862" s="1" t="s">
        <v>15295</v>
      </c>
      <c r="B862" s="1" t="s">
        <v>15296</v>
      </c>
      <c r="C862" s="1" t="s">
        <v>3536</v>
      </c>
      <c r="D862" s="1" t="s">
        <v>3536</v>
      </c>
      <c r="E862" s="1" t="s">
        <v>3537</v>
      </c>
      <c r="F862" s="1" t="s">
        <v>15297</v>
      </c>
      <c r="G862">
        <v>274285</v>
      </c>
      <c r="H862">
        <v>32</v>
      </c>
      <c r="I862" s="1" t="s">
        <v>11063</v>
      </c>
      <c r="J862" s="11">
        <v>44729.706458333334</v>
      </c>
      <c r="K862" s="1" t="s">
        <v>973</v>
      </c>
      <c r="L862" s="1">
        <v>0.61099999999999999</v>
      </c>
      <c r="M862" s="1">
        <v>0.73299999999999998</v>
      </c>
      <c r="N862">
        <v>0</v>
      </c>
      <c r="O862" s="1">
        <v>-5.4560000000000004</v>
      </c>
      <c r="P862">
        <v>0</v>
      </c>
      <c r="Q862" s="1">
        <v>0.91400000000000003</v>
      </c>
      <c r="R862" s="1">
        <v>0.14199999999999999</v>
      </c>
      <c r="S862" s="1">
        <v>0.84699999999999998</v>
      </c>
      <c r="T862" s="1">
        <v>0.104</v>
      </c>
      <c r="U862" s="1">
        <v>0.151</v>
      </c>
      <c r="V862" s="1">
        <v>112.001</v>
      </c>
      <c r="W862">
        <v>4</v>
      </c>
    </row>
    <row r="863" spans="1:23" x14ac:dyDescent="0.25">
      <c r="A863" s="1" t="s">
        <v>15298</v>
      </c>
      <c r="B863" s="1" t="s">
        <v>15299</v>
      </c>
      <c r="C863" s="1" t="s">
        <v>3538</v>
      </c>
      <c r="D863" s="1" t="s">
        <v>15300</v>
      </c>
      <c r="E863" s="1" t="s">
        <v>3539</v>
      </c>
      <c r="F863" s="1" t="s">
        <v>15301</v>
      </c>
      <c r="G863">
        <v>307500</v>
      </c>
      <c r="H863">
        <v>34</v>
      </c>
      <c r="I863" s="1" t="s">
        <v>11063</v>
      </c>
      <c r="J863" s="11">
        <v>44729.706458333334</v>
      </c>
      <c r="K863" s="1" t="s">
        <v>3540</v>
      </c>
      <c r="L863" s="1">
        <v>0.42199999999999999</v>
      </c>
      <c r="M863" s="1">
        <v>0.90900000000000003</v>
      </c>
      <c r="N863">
        <v>11</v>
      </c>
      <c r="O863" s="1">
        <v>-4.1539999999999999</v>
      </c>
      <c r="P863">
        <v>0</v>
      </c>
      <c r="Q863" s="1">
        <v>0.17499999999999999</v>
      </c>
      <c r="R863" s="1">
        <v>0.24199999999999999</v>
      </c>
      <c r="S863" s="1">
        <v>0.44600000000000001</v>
      </c>
      <c r="T863" s="1">
        <v>0.54300000000000004</v>
      </c>
      <c r="U863" s="1">
        <v>0.25600000000000001</v>
      </c>
      <c r="V863" s="1">
        <v>160.066</v>
      </c>
      <c r="W863">
        <v>4</v>
      </c>
    </row>
    <row r="864" spans="1:23" x14ac:dyDescent="0.25">
      <c r="A864" s="1" t="s">
        <v>15302</v>
      </c>
      <c r="B864" s="1" t="s">
        <v>15303</v>
      </c>
      <c r="C864" s="1" t="s">
        <v>3541</v>
      </c>
      <c r="D864" s="1" t="s">
        <v>3541</v>
      </c>
      <c r="E864" s="1" t="s">
        <v>3542</v>
      </c>
      <c r="F864" s="1" t="s">
        <v>15304</v>
      </c>
      <c r="G864">
        <v>177333</v>
      </c>
      <c r="H864">
        <v>40</v>
      </c>
      <c r="I864" s="1" t="s">
        <v>11063</v>
      </c>
      <c r="J864" s="11">
        <v>44729.706458333334</v>
      </c>
      <c r="K864" s="1" t="s">
        <v>3543</v>
      </c>
      <c r="L864" s="1">
        <v>0.46</v>
      </c>
      <c r="M864" s="1">
        <v>0.438</v>
      </c>
      <c r="N864">
        <v>2</v>
      </c>
      <c r="O864" s="1">
        <v>-9.7050000000000001</v>
      </c>
      <c r="P864">
        <v>1</v>
      </c>
      <c r="Q864" s="1">
        <v>0.50700000000000001</v>
      </c>
      <c r="R864" s="1">
        <v>0.55600000000000005</v>
      </c>
      <c r="S864" s="1">
        <v>0</v>
      </c>
      <c r="T864" s="1">
        <v>0.70399999999999996</v>
      </c>
      <c r="U864" s="1">
        <v>0.182</v>
      </c>
      <c r="V864" s="1">
        <v>90.221000000000004</v>
      </c>
      <c r="W864">
        <v>4</v>
      </c>
    </row>
    <row r="865" spans="1:23" x14ac:dyDescent="0.25">
      <c r="A865" s="1" t="s">
        <v>15305</v>
      </c>
      <c r="B865" s="1" t="s">
        <v>15306</v>
      </c>
      <c r="C865" s="1" t="s">
        <v>422</v>
      </c>
      <c r="D865" s="1" t="s">
        <v>422</v>
      </c>
      <c r="E865" s="1" t="s">
        <v>3544</v>
      </c>
      <c r="F865" s="1" t="s">
        <v>15307</v>
      </c>
      <c r="G865">
        <v>195489</v>
      </c>
      <c r="H865">
        <v>38</v>
      </c>
      <c r="I865" s="1" t="s">
        <v>11063</v>
      </c>
      <c r="J865" s="11">
        <v>44729.706458333334</v>
      </c>
      <c r="K865" s="1" t="s">
        <v>3545</v>
      </c>
      <c r="L865" s="1">
        <v>0.73799999999999999</v>
      </c>
      <c r="M865" s="1">
        <v>0.68300000000000005</v>
      </c>
      <c r="N865">
        <v>8</v>
      </c>
      <c r="O865" s="1">
        <v>-5.6260000000000003</v>
      </c>
      <c r="P865">
        <v>0</v>
      </c>
      <c r="Q865" s="1">
        <v>0.995</v>
      </c>
      <c r="R865" s="1">
        <v>0.93500000000000005</v>
      </c>
      <c r="S865" s="1">
        <v>0.53600000000000003</v>
      </c>
      <c r="T865" s="1">
        <v>0.95799999999999996</v>
      </c>
      <c r="U865" s="1">
        <v>0.45</v>
      </c>
      <c r="V865" s="1">
        <v>94.992999999999995</v>
      </c>
      <c r="W865">
        <v>4</v>
      </c>
    </row>
    <row r="866" spans="1:23" x14ac:dyDescent="0.25">
      <c r="A866" s="1" t="s">
        <v>15308</v>
      </c>
      <c r="B866" s="1" t="s">
        <v>13492</v>
      </c>
      <c r="C866" s="1" t="s">
        <v>3546</v>
      </c>
      <c r="D866" s="1" t="s">
        <v>15309</v>
      </c>
      <c r="E866" s="1" t="s">
        <v>1960</v>
      </c>
      <c r="F866" s="1" t="s">
        <v>13302</v>
      </c>
      <c r="G866">
        <v>201660</v>
      </c>
      <c r="H866">
        <v>78</v>
      </c>
      <c r="I866" s="1" t="s">
        <v>11063</v>
      </c>
      <c r="J866" s="11">
        <v>44729.706458333334</v>
      </c>
      <c r="K866" s="1" t="s">
        <v>1961</v>
      </c>
      <c r="L866" s="1">
        <v>0.752</v>
      </c>
      <c r="M866" s="1">
        <v>0.48799999999999999</v>
      </c>
      <c r="N866">
        <v>6</v>
      </c>
      <c r="O866" s="1">
        <v>-7.05</v>
      </c>
      <c r="P866">
        <v>1</v>
      </c>
      <c r="Q866" s="1">
        <v>0.70499999999999996</v>
      </c>
      <c r="R866" s="1">
        <v>0.29699999999999999</v>
      </c>
      <c r="S866" s="1">
        <v>0.91100000000000003</v>
      </c>
      <c r="T866" s="1">
        <v>0.93600000000000005</v>
      </c>
      <c r="U866" s="1">
        <v>0.53300000000000003</v>
      </c>
      <c r="V866" s="1">
        <v>136.041</v>
      </c>
      <c r="W866">
        <v>4</v>
      </c>
    </row>
    <row r="867" spans="1:23" x14ac:dyDescent="0.25">
      <c r="A867" s="1" t="s">
        <v>15310</v>
      </c>
      <c r="B867" s="1" t="s">
        <v>13492</v>
      </c>
      <c r="C867" s="1" t="s">
        <v>3547</v>
      </c>
      <c r="D867" s="1" t="s">
        <v>15311</v>
      </c>
      <c r="E867" s="1" t="s">
        <v>1960</v>
      </c>
      <c r="F867" s="1" t="s">
        <v>11243</v>
      </c>
      <c r="G867">
        <v>176413</v>
      </c>
      <c r="H867">
        <v>62</v>
      </c>
      <c r="I867" s="1" t="s">
        <v>11063</v>
      </c>
      <c r="J867" s="11">
        <v>44729.706458333334</v>
      </c>
      <c r="K867" s="1" t="s">
        <v>1961</v>
      </c>
      <c r="L867" s="1">
        <v>0.52300000000000002</v>
      </c>
      <c r="M867" s="1">
        <v>0.70199999999999996</v>
      </c>
      <c r="N867">
        <v>6</v>
      </c>
      <c r="O867" s="1">
        <v>-6.74</v>
      </c>
      <c r="P867">
        <v>0</v>
      </c>
      <c r="Q867" s="1">
        <v>0.46200000000000002</v>
      </c>
      <c r="R867" s="1">
        <v>0.39700000000000002</v>
      </c>
      <c r="S867" s="1">
        <v>0.32500000000000001</v>
      </c>
      <c r="T867" s="1">
        <v>0.63</v>
      </c>
      <c r="U867" s="1">
        <v>0.49399999999999999</v>
      </c>
      <c r="V867" s="1">
        <v>179.99199999999999</v>
      </c>
      <c r="W867">
        <v>4</v>
      </c>
    </row>
    <row r="868" spans="1:23" x14ac:dyDescent="0.25">
      <c r="A868" s="1" t="s">
        <v>15312</v>
      </c>
      <c r="B868" s="1" t="s">
        <v>15313</v>
      </c>
      <c r="C868" s="1" t="s">
        <v>3548</v>
      </c>
      <c r="D868" s="1" t="s">
        <v>15314</v>
      </c>
      <c r="E868" s="1" t="s">
        <v>3549</v>
      </c>
      <c r="F868" s="1" t="s">
        <v>13918</v>
      </c>
      <c r="G868">
        <v>219870</v>
      </c>
      <c r="H868">
        <v>24</v>
      </c>
      <c r="I868" s="1" t="s">
        <v>11063</v>
      </c>
      <c r="J868" s="11">
        <v>44729.706458333334</v>
      </c>
      <c r="K868" s="1" t="s">
        <v>3550</v>
      </c>
      <c r="L868" s="1">
        <v>0.57299999999999995</v>
      </c>
      <c r="M868" s="1">
        <v>0.83399999999999996</v>
      </c>
      <c r="N868">
        <v>8</v>
      </c>
      <c r="O868" s="1">
        <v>-4.1310000000000002</v>
      </c>
      <c r="P868">
        <v>1</v>
      </c>
      <c r="Q868" s="1">
        <v>0.6</v>
      </c>
      <c r="R868" s="1">
        <v>0.36899999999999999</v>
      </c>
      <c r="S868" s="1">
        <v>0</v>
      </c>
      <c r="T868" s="1">
        <v>0.33100000000000002</v>
      </c>
      <c r="U868" s="1">
        <v>0.378</v>
      </c>
      <c r="V868" s="1">
        <v>155.03299999999999</v>
      </c>
      <c r="W868">
        <v>5</v>
      </c>
    </row>
    <row r="869" spans="1:23" x14ac:dyDescent="0.25">
      <c r="A869" s="1" t="s">
        <v>15315</v>
      </c>
      <c r="B869" s="1" t="s">
        <v>15316</v>
      </c>
      <c r="C869" s="1" t="s">
        <v>3551</v>
      </c>
      <c r="D869" s="1" t="s">
        <v>15314</v>
      </c>
      <c r="E869" s="1" t="s">
        <v>3552</v>
      </c>
      <c r="F869" s="1" t="s">
        <v>13918</v>
      </c>
      <c r="G869">
        <v>240000</v>
      </c>
      <c r="H869">
        <v>25</v>
      </c>
      <c r="I869" s="1" t="s">
        <v>11063</v>
      </c>
      <c r="J869" s="11">
        <v>44729.706458333334</v>
      </c>
      <c r="K869" s="1" t="s">
        <v>3049</v>
      </c>
      <c r="L869" s="1">
        <v>0.39400000000000002</v>
      </c>
      <c r="M869" s="1">
        <v>0.80300000000000005</v>
      </c>
      <c r="N869">
        <v>4</v>
      </c>
      <c r="O869" s="1">
        <v>-4.484</v>
      </c>
      <c r="P869">
        <v>0</v>
      </c>
      <c r="Q869" s="1">
        <v>0.53600000000000003</v>
      </c>
      <c r="R869" s="1">
        <v>0.22500000000000001</v>
      </c>
      <c r="S869" s="1">
        <v>0</v>
      </c>
      <c r="T869" s="1">
        <v>0.20499999999999999</v>
      </c>
      <c r="U869" s="1">
        <v>0.77900000000000003</v>
      </c>
      <c r="V869" s="1">
        <v>124.717</v>
      </c>
      <c r="W869">
        <v>4</v>
      </c>
    </row>
    <row r="870" spans="1:23" x14ac:dyDescent="0.25">
      <c r="A870" s="1" t="s">
        <v>15317</v>
      </c>
      <c r="B870" s="1" t="s">
        <v>15318</v>
      </c>
      <c r="C870" s="1" t="s">
        <v>3553</v>
      </c>
      <c r="D870" s="1" t="s">
        <v>15314</v>
      </c>
      <c r="E870" s="1" t="s">
        <v>3554</v>
      </c>
      <c r="F870" s="1" t="s">
        <v>13918</v>
      </c>
      <c r="G870">
        <v>211200</v>
      </c>
      <c r="H870">
        <v>24</v>
      </c>
      <c r="I870" s="1" t="s">
        <v>11063</v>
      </c>
      <c r="J870" s="11">
        <v>44729.706458333334</v>
      </c>
      <c r="K870" s="1" t="s">
        <v>3555</v>
      </c>
      <c r="L870" s="1">
        <v>0.51300000000000001</v>
      </c>
      <c r="M870" s="1">
        <v>0.72899999999999998</v>
      </c>
      <c r="N870">
        <v>5</v>
      </c>
      <c r="O870" s="1">
        <v>-4.0830000000000002</v>
      </c>
      <c r="P870">
        <v>0</v>
      </c>
      <c r="Q870" s="1">
        <v>0.36399999999999999</v>
      </c>
      <c r="R870" s="1">
        <v>0.47799999999999998</v>
      </c>
      <c r="S870" s="1">
        <v>0</v>
      </c>
      <c r="T870" s="1">
        <v>0.372</v>
      </c>
      <c r="U870" s="1">
        <v>0.316</v>
      </c>
      <c r="V870" s="1">
        <v>100.021</v>
      </c>
      <c r="W870">
        <v>4</v>
      </c>
    </row>
    <row r="871" spans="1:23" x14ac:dyDescent="0.25">
      <c r="A871" s="1" t="s">
        <v>15319</v>
      </c>
      <c r="B871" s="1" t="s">
        <v>15320</v>
      </c>
      <c r="C871" s="1" t="s">
        <v>3556</v>
      </c>
      <c r="D871" s="1" t="s">
        <v>15321</v>
      </c>
      <c r="E871" s="1" t="s">
        <v>3557</v>
      </c>
      <c r="F871" s="1" t="s">
        <v>11222</v>
      </c>
      <c r="G871">
        <v>153000</v>
      </c>
      <c r="H871">
        <v>29</v>
      </c>
      <c r="I871" s="1" t="s">
        <v>11063</v>
      </c>
      <c r="J871" s="11">
        <v>44729.706458333334</v>
      </c>
      <c r="K871" s="1" t="s">
        <v>3558</v>
      </c>
      <c r="L871" s="1">
        <v>0.746</v>
      </c>
      <c r="M871" s="1">
        <v>0.79900000000000004</v>
      </c>
      <c r="N871">
        <v>5</v>
      </c>
      <c r="O871" s="1">
        <v>-4.6870000000000003</v>
      </c>
      <c r="P871">
        <v>0</v>
      </c>
      <c r="Q871" s="1">
        <v>0.91900000000000004</v>
      </c>
      <c r="R871" s="1">
        <v>0.52</v>
      </c>
      <c r="S871" s="1">
        <v>0</v>
      </c>
      <c r="T871" s="1">
        <v>0.39</v>
      </c>
      <c r="U871" s="1">
        <v>0.35499999999999998</v>
      </c>
      <c r="V871" s="1">
        <v>119.934</v>
      </c>
      <c r="W871">
        <v>4</v>
      </c>
    </row>
    <row r="872" spans="1:23" x14ac:dyDescent="0.25">
      <c r="A872" s="1" t="s">
        <v>15322</v>
      </c>
      <c r="B872" s="1" t="s">
        <v>15323</v>
      </c>
      <c r="C872" s="1" t="s">
        <v>3559</v>
      </c>
      <c r="D872" s="1" t="s">
        <v>3559</v>
      </c>
      <c r="E872" s="1" t="s">
        <v>3560</v>
      </c>
      <c r="F872" s="1" t="s">
        <v>11222</v>
      </c>
      <c r="G872">
        <v>205560</v>
      </c>
      <c r="H872">
        <v>56</v>
      </c>
      <c r="I872" s="1" t="s">
        <v>11063</v>
      </c>
      <c r="J872" s="11">
        <v>44729.706458333334</v>
      </c>
      <c r="K872" s="1" t="s">
        <v>3561</v>
      </c>
      <c r="L872" s="1">
        <v>0.73799999999999999</v>
      </c>
      <c r="M872" s="1">
        <v>0.92600000000000005</v>
      </c>
      <c r="N872">
        <v>8</v>
      </c>
      <c r="O872" s="1">
        <v>-6.0890000000000004</v>
      </c>
      <c r="P872">
        <v>1</v>
      </c>
      <c r="Q872" s="1">
        <v>0.99199999999999999</v>
      </c>
      <c r="R872" s="1">
        <v>0.124</v>
      </c>
      <c r="S872" s="1">
        <v>0.14399999999999999</v>
      </c>
      <c r="T872" s="1">
        <v>0.1</v>
      </c>
      <c r="U872" s="1">
        <v>0.41899999999999998</v>
      </c>
      <c r="V872" s="1">
        <v>125.033</v>
      </c>
      <c r="W872">
        <v>4</v>
      </c>
    </row>
    <row r="873" spans="1:23" x14ac:dyDescent="0.25">
      <c r="A873" s="1" t="s">
        <v>15324</v>
      </c>
      <c r="B873" s="1" t="s">
        <v>15325</v>
      </c>
      <c r="C873" s="1" t="s">
        <v>3562</v>
      </c>
      <c r="D873" s="1" t="s">
        <v>3562</v>
      </c>
      <c r="E873" s="1" t="s">
        <v>3563</v>
      </c>
      <c r="F873" s="1" t="s">
        <v>11222</v>
      </c>
      <c r="G873">
        <v>180000</v>
      </c>
      <c r="H873">
        <v>25</v>
      </c>
      <c r="I873" s="1" t="s">
        <v>11063</v>
      </c>
      <c r="J873" s="11">
        <v>44729.706458333334</v>
      </c>
      <c r="K873" s="1" t="s">
        <v>50</v>
      </c>
      <c r="L873" s="1">
        <v>0.623</v>
      </c>
      <c r="M873" s="1">
        <v>0.749</v>
      </c>
      <c r="N873">
        <v>4</v>
      </c>
      <c r="O873" s="1">
        <v>-5.29</v>
      </c>
      <c r="P873">
        <v>0</v>
      </c>
      <c r="Q873" s="1">
        <v>0.25600000000000001</v>
      </c>
      <c r="R873" s="1">
        <v>0.253</v>
      </c>
      <c r="S873" s="1">
        <v>0</v>
      </c>
      <c r="T873" s="1">
        <v>0.52200000000000002</v>
      </c>
      <c r="U873" s="1">
        <v>0.38200000000000001</v>
      </c>
      <c r="V873" s="1">
        <v>120.111</v>
      </c>
      <c r="W873">
        <v>4</v>
      </c>
    </row>
    <row r="874" spans="1:23" x14ac:dyDescent="0.25">
      <c r="A874" s="1" t="s">
        <v>15326</v>
      </c>
      <c r="B874" s="1" t="s">
        <v>15327</v>
      </c>
      <c r="C874" s="1" t="s">
        <v>3564</v>
      </c>
      <c r="D874" s="1" t="s">
        <v>3564</v>
      </c>
      <c r="E874" s="1" t="s">
        <v>3565</v>
      </c>
      <c r="F874" s="1" t="s">
        <v>11222</v>
      </c>
      <c r="G874">
        <v>168320</v>
      </c>
      <c r="H874">
        <v>22</v>
      </c>
      <c r="I874" s="1" t="s">
        <v>11063</v>
      </c>
      <c r="J874" s="11">
        <v>44729.706458333334</v>
      </c>
      <c r="K874" s="1" t="s">
        <v>1943</v>
      </c>
      <c r="L874" s="1">
        <v>0.54400000000000004</v>
      </c>
      <c r="M874" s="1">
        <v>0.47299999999999998</v>
      </c>
      <c r="N874">
        <v>4</v>
      </c>
      <c r="O874" s="1">
        <v>-5.7779999999999996</v>
      </c>
      <c r="P874">
        <v>1</v>
      </c>
      <c r="Q874" s="1">
        <v>0.34899999999999998</v>
      </c>
      <c r="R874" s="1">
        <v>0.312</v>
      </c>
      <c r="S874" s="1">
        <v>0</v>
      </c>
      <c r="T874" s="1">
        <v>0.11700000000000001</v>
      </c>
      <c r="U874" s="1">
        <v>0.11600000000000001</v>
      </c>
      <c r="V874" s="1">
        <v>124.89</v>
      </c>
      <c r="W874">
        <v>3</v>
      </c>
    </row>
    <row r="875" spans="1:23" x14ac:dyDescent="0.25">
      <c r="A875" s="1" t="s">
        <v>15328</v>
      </c>
      <c r="B875" s="1" t="s">
        <v>15329</v>
      </c>
      <c r="C875" s="1" t="s">
        <v>3566</v>
      </c>
      <c r="D875" s="1" t="s">
        <v>15330</v>
      </c>
      <c r="E875" s="1" t="s">
        <v>3567</v>
      </c>
      <c r="F875" s="1" t="s">
        <v>11222</v>
      </c>
      <c r="G875">
        <v>154615</v>
      </c>
      <c r="H875">
        <v>44</v>
      </c>
      <c r="I875" s="1" t="s">
        <v>11063</v>
      </c>
      <c r="J875" s="11">
        <v>44729.706458333334</v>
      </c>
      <c r="K875" s="1" t="s">
        <v>3568</v>
      </c>
      <c r="L875" s="1">
        <v>0.50600000000000001</v>
      </c>
      <c r="M875" s="1">
        <v>0.73699999999999999</v>
      </c>
      <c r="N875">
        <v>2</v>
      </c>
      <c r="O875" s="1">
        <v>-4.4000000000000004</v>
      </c>
      <c r="P875">
        <v>0</v>
      </c>
      <c r="Q875" s="1">
        <v>0.48399999999999999</v>
      </c>
      <c r="R875" s="1">
        <v>0.10100000000000001</v>
      </c>
      <c r="S875" s="1">
        <v>0</v>
      </c>
      <c r="T875" s="1">
        <v>0.19500000000000001</v>
      </c>
      <c r="U875" s="1">
        <v>0.41799999999999998</v>
      </c>
      <c r="V875" s="1">
        <v>129.83000000000001</v>
      </c>
      <c r="W875">
        <v>4</v>
      </c>
    </row>
    <row r="876" spans="1:23" x14ac:dyDescent="0.25">
      <c r="A876" s="1" t="s">
        <v>15331</v>
      </c>
      <c r="B876" s="1" t="s">
        <v>15332</v>
      </c>
      <c r="C876" s="1" t="s">
        <v>3569</v>
      </c>
      <c r="D876" s="1" t="s">
        <v>3569</v>
      </c>
      <c r="E876" s="1" t="s">
        <v>3570</v>
      </c>
      <c r="F876" s="1" t="s">
        <v>15333</v>
      </c>
      <c r="G876">
        <v>186951</v>
      </c>
      <c r="H876">
        <v>62</v>
      </c>
      <c r="I876" s="1" t="s">
        <v>11063</v>
      </c>
      <c r="J876" s="11">
        <v>44729.706458333334</v>
      </c>
      <c r="K876" s="1" t="s">
        <v>3571</v>
      </c>
      <c r="L876" s="1">
        <v>0.61499999999999999</v>
      </c>
      <c r="M876" s="1">
        <v>0.746</v>
      </c>
      <c r="N876">
        <v>10</v>
      </c>
      <c r="O876" s="1">
        <v>-5.1959999999999997</v>
      </c>
      <c r="P876">
        <v>0</v>
      </c>
      <c r="Q876" s="1">
        <v>0.68300000000000005</v>
      </c>
      <c r="R876" s="1">
        <v>0.186</v>
      </c>
      <c r="S876" s="1">
        <v>0</v>
      </c>
      <c r="T876" s="1">
        <v>0.23300000000000001</v>
      </c>
      <c r="U876" s="1">
        <v>0.36099999999999999</v>
      </c>
      <c r="V876" s="1">
        <v>89.872</v>
      </c>
      <c r="W876">
        <v>4</v>
      </c>
    </row>
    <row r="877" spans="1:23" x14ac:dyDescent="0.25">
      <c r="A877" s="1" t="s">
        <v>15334</v>
      </c>
      <c r="B877" s="1" t="s">
        <v>15335</v>
      </c>
      <c r="C877" s="1" t="s">
        <v>3572</v>
      </c>
      <c r="D877" s="1" t="s">
        <v>3572</v>
      </c>
      <c r="E877" s="1" t="s">
        <v>3573</v>
      </c>
      <c r="F877" s="1" t="s">
        <v>11222</v>
      </c>
      <c r="G877">
        <v>284425</v>
      </c>
      <c r="H877">
        <v>49</v>
      </c>
      <c r="I877" s="1" t="s">
        <v>11063</v>
      </c>
      <c r="J877" s="11">
        <v>44729.706458333334</v>
      </c>
      <c r="K877" s="1" t="s">
        <v>3574</v>
      </c>
      <c r="L877" s="1">
        <v>0.16500000000000001</v>
      </c>
      <c r="M877" s="1">
        <v>0.66400000000000003</v>
      </c>
      <c r="N877">
        <v>7</v>
      </c>
      <c r="O877" s="1">
        <v>-4.0640000000000001</v>
      </c>
      <c r="P877">
        <v>1</v>
      </c>
      <c r="Q877" s="1">
        <v>0.38</v>
      </c>
      <c r="R877" s="1">
        <v>0.104</v>
      </c>
      <c r="S877" s="1">
        <v>0.56499999999999995</v>
      </c>
      <c r="T877" s="1">
        <v>0.14699999999999999</v>
      </c>
      <c r="U877" s="1">
        <v>0.154</v>
      </c>
      <c r="V877" s="1">
        <v>150.06899999999999</v>
      </c>
      <c r="W877">
        <v>4</v>
      </c>
    </row>
    <row r="878" spans="1:23" x14ac:dyDescent="0.25">
      <c r="A878" s="1" t="s">
        <v>15336</v>
      </c>
      <c r="B878" s="1" t="s">
        <v>15337</v>
      </c>
      <c r="C878" s="1" t="s">
        <v>3575</v>
      </c>
      <c r="D878" s="1" t="s">
        <v>3575</v>
      </c>
      <c r="E878" s="1" t="s">
        <v>3576</v>
      </c>
      <c r="F878" s="1" t="s">
        <v>15338</v>
      </c>
      <c r="G878">
        <v>198529</v>
      </c>
      <c r="H878">
        <v>43</v>
      </c>
      <c r="I878" s="1" t="s">
        <v>11063</v>
      </c>
      <c r="J878" s="11">
        <v>44729.706458333334</v>
      </c>
      <c r="K878" s="1" t="s">
        <v>3577</v>
      </c>
      <c r="L878" s="1">
        <v>0.40200000000000002</v>
      </c>
      <c r="M878" s="1">
        <v>0.64600000000000002</v>
      </c>
      <c r="N878">
        <v>1</v>
      </c>
      <c r="O878" s="1">
        <v>-8.0869999999999997</v>
      </c>
      <c r="P878">
        <v>0</v>
      </c>
      <c r="Q878" s="1">
        <v>0.498</v>
      </c>
      <c r="R878" s="1">
        <v>0.51600000000000001</v>
      </c>
      <c r="S878" s="1">
        <v>0</v>
      </c>
      <c r="T878" s="1">
        <v>0.12</v>
      </c>
      <c r="U878" s="1">
        <v>0.95599999999999996</v>
      </c>
      <c r="V878" s="1">
        <v>144.93</v>
      </c>
      <c r="W878">
        <v>4</v>
      </c>
    </row>
    <row r="879" spans="1:23" x14ac:dyDescent="0.25">
      <c r="A879" s="1" t="s">
        <v>15339</v>
      </c>
      <c r="B879" s="1" t="s">
        <v>13503</v>
      </c>
      <c r="C879" s="1" t="s">
        <v>3578</v>
      </c>
      <c r="D879" s="1" t="s">
        <v>3578</v>
      </c>
      <c r="E879" s="1" t="s">
        <v>1972</v>
      </c>
      <c r="F879" s="1" t="s">
        <v>11222</v>
      </c>
      <c r="G879">
        <v>268500</v>
      </c>
      <c r="H879">
        <v>38</v>
      </c>
      <c r="I879" s="1" t="s">
        <v>11063</v>
      </c>
      <c r="J879" s="11">
        <v>44729.706458333334</v>
      </c>
      <c r="K879" s="1" t="s">
        <v>1973</v>
      </c>
      <c r="L879" s="1">
        <v>0.42199999999999999</v>
      </c>
      <c r="M879" s="1">
        <v>0.40899999999999997</v>
      </c>
      <c r="N879">
        <v>9</v>
      </c>
      <c r="O879" s="1">
        <v>-7.9109999999999996</v>
      </c>
      <c r="P879">
        <v>1</v>
      </c>
      <c r="Q879" s="1">
        <v>0.28000000000000003</v>
      </c>
      <c r="R879" s="1">
        <v>0.30299999999999999</v>
      </c>
      <c r="S879" s="1">
        <v>0.11899999999999999</v>
      </c>
      <c r="T879" s="1">
        <v>0.14099999999999999</v>
      </c>
      <c r="U879" s="1">
        <v>0.76800000000000002</v>
      </c>
      <c r="V879" s="1">
        <v>100.083</v>
      </c>
      <c r="W879">
        <v>4</v>
      </c>
    </row>
    <row r="880" spans="1:23" x14ac:dyDescent="0.25">
      <c r="A880" s="1" t="s">
        <v>15340</v>
      </c>
      <c r="B880" s="1" t="s">
        <v>15341</v>
      </c>
      <c r="C880" s="1" t="s">
        <v>3579</v>
      </c>
      <c r="D880" s="1" t="s">
        <v>15342</v>
      </c>
      <c r="E880" s="1" t="s">
        <v>3580</v>
      </c>
      <c r="F880" s="1" t="s">
        <v>13302</v>
      </c>
      <c r="G880">
        <v>210800</v>
      </c>
      <c r="H880">
        <v>84</v>
      </c>
      <c r="I880" s="1" t="s">
        <v>11063</v>
      </c>
      <c r="J880" s="11">
        <v>44729.706458333334</v>
      </c>
      <c r="K880" s="1" t="s">
        <v>3581</v>
      </c>
      <c r="L880" s="1">
        <v>0.80800000000000005</v>
      </c>
      <c r="M880" s="1">
        <v>0.745</v>
      </c>
      <c r="N880">
        <v>10</v>
      </c>
      <c r="O880" s="1">
        <v>-5.26</v>
      </c>
      <c r="P880">
        <v>0</v>
      </c>
      <c r="Q880" s="1">
        <v>0.34200000000000003</v>
      </c>
      <c r="R880" s="1">
        <v>0.14499999999999999</v>
      </c>
      <c r="S880" s="1">
        <v>0</v>
      </c>
      <c r="T880" s="1">
        <v>0.29199999999999998</v>
      </c>
      <c r="U880" s="1">
        <v>0.82899999999999996</v>
      </c>
      <c r="V880" s="1">
        <v>165.995</v>
      </c>
      <c r="W880">
        <v>4</v>
      </c>
    </row>
    <row r="881" spans="1:23" x14ac:dyDescent="0.25">
      <c r="A881" s="1" t="s">
        <v>15343</v>
      </c>
      <c r="B881" s="1" t="s">
        <v>13843</v>
      </c>
      <c r="C881" s="1" t="s">
        <v>3582</v>
      </c>
      <c r="D881" s="1" t="s">
        <v>13844</v>
      </c>
      <c r="E881" s="1" t="s">
        <v>2259</v>
      </c>
      <c r="F881" s="1" t="s">
        <v>13845</v>
      </c>
      <c r="G881">
        <v>363521</v>
      </c>
      <c r="H881">
        <v>78</v>
      </c>
      <c r="I881" s="1" t="s">
        <v>11063</v>
      </c>
      <c r="J881" s="11">
        <v>44729.706458333334</v>
      </c>
      <c r="K881" s="1" t="s">
        <v>2260</v>
      </c>
      <c r="L881" s="1">
        <v>0.70799999999999996</v>
      </c>
      <c r="M881" s="1">
        <v>0.84299999999999997</v>
      </c>
      <c r="N881">
        <v>7</v>
      </c>
      <c r="O881" s="1">
        <v>-2.66</v>
      </c>
      <c r="P881">
        <v>1</v>
      </c>
      <c r="Q881" s="1">
        <v>0.314</v>
      </c>
      <c r="R881" s="1">
        <v>0.39700000000000002</v>
      </c>
      <c r="S881" s="1">
        <v>0</v>
      </c>
      <c r="T881" s="1">
        <v>0.79900000000000004</v>
      </c>
      <c r="U881" s="1">
        <v>0.625</v>
      </c>
      <c r="V881" s="1">
        <v>148.13999999999999</v>
      </c>
      <c r="W881">
        <v>4</v>
      </c>
    </row>
    <row r="882" spans="1:23" x14ac:dyDescent="0.25">
      <c r="A882" s="1" t="s">
        <v>15344</v>
      </c>
      <c r="B882" s="1" t="s">
        <v>15345</v>
      </c>
      <c r="C882" s="1" t="s">
        <v>3583</v>
      </c>
      <c r="D882" s="1" t="s">
        <v>3583</v>
      </c>
      <c r="E882" s="1" t="s">
        <v>3584</v>
      </c>
      <c r="F882" s="1" t="s">
        <v>15346</v>
      </c>
      <c r="G882">
        <v>208139</v>
      </c>
      <c r="H882">
        <v>59</v>
      </c>
      <c r="I882" s="1" t="s">
        <v>11063</v>
      </c>
      <c r="J882" s="11">
        <v>44729.706458333334</v>
      </c>
      <c r="K882" s="1" t="s">
        <v>244</v>
      </c>
      <c r="L882" s="1">
        <v>0.53700000000000003</v>
      </c>
      <c r="M882" s="1">
        <v>0.78600000000000003</v>
      </c>
      <c r="N882">
        <v>8</v>
      </c>
      <c r="O882" s="1">
        <v>-4.3310000000000004</v>
      </c>
      <c r="P882">
        <v>1</v>
      </c>
      <c r="Q882" s="1">
        <v>0.317</v>
      </c>
      <c r="R882" s="1">
        <v>0.75</v>
      </c>
      <c r="S882" s="1">
        <v>0</v>
      </c>
      <c r="T882" s="1">
        <v>0.253</v>
      </c>
      <c r="U882" s="1">
        <v>0.17799999999999999</v>
      </c>
      <c r="V882" s="1">
        <v>127.994</v>
      </c>
      <c r="W882">
        <v>3</v>
      </c>
    </row>
    <row r="883" spans="1:23" x14ac:dyDescent="0.25">
      <c r="A883" s="1" t="s">
        <v>15347</v>
      </c>
      <c r="B883" s="1" t="s">
        <v>15348</v>
      </c>
      <c r="C883" s="1" t="s">
        <v>3585</v>
      </c>
      <c r="D883" s="1" t="s">
        <v>15349</v>
      </c>
      <c r="E883" s="1" t="s">
        <v>3586</v>
      </c>
      <c r="F883" s="1" t="s">
        <v>15350</v>
      </c>
      <c r="G883">
        <v>174586</v>
      </c>
      <c r="H883">
        <v>75</v>
      </c>
      <c r="I883" s="1" t="s">
        <v>11063</v>
      </c>
      <c r="J883" s="11">
        <v>44729.706458333334</v>
      </c>
      <c r="K883" s="1" t="s">
        <v>3587</v>
      </c>
      <c r="L883" s="1">
        <v>0.441</v>
      </c>
      <c r="M883" s="1">
        <v>0.20200000000000001</v>
      </c>
      <c r="N883">
        <v>7</v>
      </c>
      <c r="O883" s="1">
        <v>-12.499000000000001</v>
      </c>
      <c r="P883">
        <v>1</v>
      </c>
      <c r="Q883" s="1">
        <v>0.38100000000000001</v>
      </c>
      <c r="R883" s="1">
        <v>0.73199999999999998</v>
      </c>
      <c r="S883" s="1">
        <v>0.26</v>
      </c>
      <c r="T883" s="1">
        <v>0.126</v>
      </c>
      <c r="U883" s="1">
        <v>0.26900000000000002</v>
      </c>
      <c r="V883" s="1">
        <v>77.971000000000004</v>
      </c>
      <c r="W883">
        <v>4</v>
      </c>
    </row>
    <row r="884" spans="1:23" x14ac:dyDescent="0.25">
      <c r="A884" s="1" t="s">
        <v>15351</v>
      </c>
      <c r="B884" s="1" t="s">
        <v>15352</v>
      </c>
      <c r="C884" s="1" t="s">
        <v>3588</v>
      </c>
      <c r="D884" s="1" t="s">
        <v>3588</v>
      </c>
      <c r="E884" s="1" t="s">
        <v>3589</v>
      </c>
      <c r="F884" s="1" t="s">
        <v>15353</v>
      </c>
      <c r="G884">
        <v>172968</v>
      </c>
      <c r="H884">
        <v>52</v>
      </c>
      <c r="I884" s="1" t="s">
        <v>11063</v>
      </c>
      <c r="J884" s="11">
        <v>44729.706458333334</v>
      </c>
      <c r="K884" s="1" t="s">
        <v>50</v>
      </c>
      <c r="L884" s="1">
        <v>0.45200000000000001</v>
      </c>
      <c r="M884" s="1">
        <v>0.64300000000000002</v>
      </c>
      <c r="N884">
        <v>1</v>
      </c>
      <c r="O884" s="1">
        <v>-7.5570000000000004</v>
      </c>
      <c r="P884">
        <v>0</v>
      </c>
      <c r="Q884" s="1">
        <v>0.58699999999999997</v>
      </c>
      <c r="R884" s="1">
        <v>0.10100000000000001</v>
      </c>
      <c r="S884" s="1">
        <v>0</v>
      </c>
      <c r="T884" s="1">
        <v>0.82599999999999996</v>
      </c>
      <c r="U884" s="1">
        <v>0.14499999999999999</v>
      </c>
      <c r="V884" s="1">
        <v>127.941</v>
      </c>
      <c r="W884">
        <v>4</v>
      </c>
    </row>
    <row r="885" spans="1:23" x14ac:dyDescent="0.25">
      <c r="A885" s="1" t="s">
        <v>15354</v>
      </c>
      <c r="B885" s="1" t="s">
        <v>15355</v>
      </c>
      <c r="C885" s="1" t="s">
        <v>3590</v>
      </c>
      <c r="D885" s="1" t="s">
        <v>15356</v>
      </c>
      <c r="E885" s="1" t="s">
        <v>3591</v>
      </c>
      <c r="F885" s="1" t="s">
        <v>15357</v>
      </c>
      <c r="G885">
        <v>140533</v>
      </c>
      <c r="H885">
        <v>84</v>
      </c>
      <c r="I885" s="1" t="s">
        <v>11063</v>
      </c>
      <c r="J885" s="11">
        <v>44729.706458333334</v>
      </c>
      <c r="K885" s="1" t="s">
        <v>3592</v>
      </c>
      <c r="L885" s="1">
        <v>0.70099999999999996</v>
      </c>
      <c r="M885" s="1">
        <v>0.71599999999999997</v>
      </c>
      <c r="N885">
        <v>7</v>
      </c>
      <c r="O885" s="1">
        <v>-3.6709999999999998</v>
      </c>
      <c r="P885">
        <v>0</v>
      </c>
      <c r="Q885" s="1">
        <v>0.36099999999999999</v>
      </c>
      <c r="R885" s="1">
        <v>0.17399999999999999</v>
      </c>
      <c r="S885" s="1">
        <v>0</v>
      </c>
      <c r="T885" s="1">
        <v>0.32400000000000001</v>
      </c>
      <c r="U885" s="1">
        <v>0.73199999999999998</v>
      </c>
      <c r="V885" s="1">
        <v>91.007000000000005</v>
      </c>
      <c r="W885">
        <v>4</v>
      </c>
    </row>
    <row r="886" spans="1:23" x14ac:dyDescent="0.25">
      <c r="A886" s="1" t="s">
        <v>15358</v>
      </c>
      <c r="B886" s="1" t="s">
        <v>15359</v>
      </c>
      <c r="C886" s="1" t="s">
        <v>3593</v>
      </c>
      <c r="D886" s="1" t="s">
        <v>11466</v>
      </c>
      <c r="E886" s="1" t="s">
        <v>3594</v>
      </c>
      <c r="F886" s="1" t="s">
        <v>11467</v>
      </c>
      <c r="G886">
        <v>220659</v>
      </c>
      <c r="H886">
        <v>61</v>
      </c>
      <c r="I886" s="1" t="s">
        <v>11063</v>
      </c>
      <c r="J886" s="11">
        <v>44729.706458333334</v>
      </c>
      <c r="K886" s="1" t="s">
        <v>3595</v>
      </c>
      <c r="L886" s="1">
        <v>0.96399999999999997</v>
      </c>
      <c r="M886" s="1">
        <v>0.48599999999999999</v>
      </c>
      <c r="N886">
        <v>2</v>
      </c>
      <c r="O886" s="1">
        <v>-8.891</v>
      </c>
      <c r="P886">
        <v>1</v>
      </c>
      <c r="Q886" s="1">
        <v>0.188</v>
      </c>
      <c r="R886" s="1">
        <v>0.19400000000000001</v>
      </c>
      <c r="S886" s="1">
        <v>0.4</v>
      </c>
      <c r="T886" s="1">
        <v>0.69399999999999995</v>
      </c>
      <c r="U886" s="1">
        <v>0.318</v>
      </c>
      <c r="V886" s="1">
        <v>124.05800000000001</v>
      </c>
      <c r="W886">
        <v>4</v>
      </c>
    </row>
    <row r="887" spans="1:23" x14ac:dyDescent="0.25">
      <c r="A887" s="1" t="s">
        <v>15360</v>
      </c>
      <c r="B887" s="1" t="s">
        <v>15361</v>
      </c>
      <c r="C887" s="1" t="s">
        <v>3596</v>
      </c>
      <c r="D887" s="1" t="s">
        <v>15362</v>
      </c>
      <c r="E887" s="1" t="s">
        <v>3597</v>
      </c>
      <c r="F887" s="1" t="s">
        <v>15363</v>
      </c>
      <c r="G887">
        <v>210803</v>
      </c>
      <c r="H887">
        <v>27</v>
      </c>
      <c r="I887" s="1" t="s">
        <v>11063</v>
      </c>
      <c r="J887" s="11">
        <v>44729.706458333334</v>
      </c>
      <c r="K887" s="1" t="s">
        <v>3598</v>
      </c>
      <c r="L887" s="1">
        <v>0.68200000000000005</v>
      </c>
      <c r="M887" s="1">
        <v>0.63400000000000001</v>
      </c>
      <c r="N887">
        <v>5</v>
      </c>
      <c r="O887" s="1">
        <v>-5.8860000000000001</v>
      </c>
      <c r="P887">
        <v>1</v>
      </c>
      <c r="Q887" s="1">
        <v>0.45200000000000001</v>
      </c>
      <c r="R887" s="1">
        <v>0.36499999999999999</v>
      </c>
      <c r="S887" s="1">
        <v>0</v>
      </c>
      <c r="T887" s="1">
        <v>0.14000000000000001</v>
      </c>
      <c r="U887" s="1">
        <v>0.57899999999999996</v>
      </c>
      <c r="V887" s="1">
        <v>145.04900000000001</v>
      </c>
      <c r="W887">
        <v>4</v>
      </c>
    </row>
    <row r="888" spans="1:23" x14ac:dyDescent="0.25">
      <c r="A888" s="1" t="s">
        <v>15364</v>
      </c>
      <c r="B888" s="1" t="s">
        <v>15365</v>
      </c>
      <c r="C888" s="1" t="s">
        <v>3599</v>
      </c>
      <c r="D888" s="1" t="s">
        <v>3599</v>
      </c>
      <c r="E888" s="1" t="s">
        <v>3600</v>
      </c>
      <c r="F888" s="1" t="s">
        <v>15366</v>
      </c>
      <c r="G888">
        <v>158504</v>
      </c>
      <c r="H888">
        <v>30</v>
      </c>
      <c r="I888" s="1" t="s">
        <v>11063</v>
      </c>
      <c r="J888" s="11">
        <v>44729.706458333334</v>
      </c>
      <c r="K888" s="1" t="s">
        <v>50</v>
      </c>
      <c r="L888" s="1">
        <v>0.32</v>
      </c>
      <c r="M888" s="1">
        <v>0.69</v>
      </c>
      <c r="N888">
        <v>3</v>
      </c>
      <c r="O888" s="1">
        <v>-3.86</v>
      </c>
      <c r="P888">
        <v>0</v>
      </c>
      <c r="Q888" s="1">
        <v>0.60799999999999998</v>
      </c>
      <c r="R888" s="1">
        <v>0.47699999999999998</v>
      </c>
      <c r="S888" s="1">
        <v>0.29099999999999998</v>
      </c>
      <c r="T888" s="1">
        <v>0.35099999999999998</v>
      </c>
      <c r="U888" s="1">
        <v>0.11600000000000001</v>
      </c>
      <c r="V888" s="1">
        <v>78.212000000000003</v>
      </c>
      <c r="W888">
        <v>4</v>
      </c>
    </row>
    <row r="889" spans="1:23" x14ac:dyDescent="0.25">
      <c r="A889" s="1" t="s">
        <v>15367</v>
      </c>
      <c r="B889" s="1" t="s">
        <v>15368</v>
      </c>
      <c r="C889" s="1" t="s">
        <v>3601</v>
      </c>
      <c r="D889" s="1" t="s">
        <v>3601</v>
      </c>
      <c r="E889" s="1" t="s">
        <v>3602</v>
      </c>
      <c r="F889" s="1" t="s">
        <v>15369</v>
      </c>
      <c r="G889">
        <v>239438</v>
      </c>
      <c r="H889">
        <v>28</v>
      </c>
      <c r="I889" s="1" t="s">
        <v>11063</v>
      </c>
      <c r="J889" s="11">
        <v>44729.706458333334</v>
      </c>
      <c r="K889" s="1" t="s">
        <v>50</v>
      </c>
      <c r="L889" s="1">
        <v>0.47599999999999998</v>
      </c>
      <c r="M889" s="1">
        <v>0.752</v>
      </c>
      <c r="N889">
        <v>8</v>
      </c>
      <c r="O889" s="1">
        <v>-5.8239999999999998</v>
      </c>
      <c r="P889">
        <v>1</v>
      </c>
      <c r="Q889" s="1">
        <v>0.41699999999999998</v>
      </c>
      <c r="R889" s="1">
        <v>0.13400000000000001</v>
      </c>
      <c r="S889" s="1">
        <v>0.22800000000000001</v>
      </c>
      <c r="T889" s="1">
        <v>0.10199999999999999</v>
      </c>
      <c r="U889" s="1">
        <v>0.17399999999999999</v>
      </c>
      <c r="V889" s="1">
        <v>87.478999999999999</v>
      </c>
      <c r="W889">
        <v>4</v>
      </c>
    </row>
    <row r="890" spans="1:23" x14ac:dyDescent="0.25">
      <c r="A890" s="1" t="s">
        <v>15370</v>
      </c>
      <c r="B890" s="1" t="s">
        <v>15371</v>
      </c>
      <c r="C890" s="1" t="s">
        <v>3603</v>
      </c>
      <c r="D890" s="1" t="s">
        <v>15372</v>
      </c>
      <c r="E890" s="1" t="s">
        <v>3604</v>
      </c>
      <c r="F890" s="1" t="s">
        <v>15301</v>
      </c>
      <c r="G890">
        <v>212571</v>
      </c>
      <c r="H890">
        <v>36</v>
      </c>
      <c r="I890" s="1" t="s">
        <v>11063</v>
      </c>
      <c r="J890" s="11">
        <v>44729.706458333334</v>
      </c>
      <c r="K890" s="1" t="s">
        <v>3605</v>
      </c>
      <c r="L890" s="1">
        <v>0.57199999999999995</v>
      </c>
      <c r="M890" s="1">
        <v>0.93300000000000005</v>
      </c>
      <c r="N890">
        <v>10</v>
      </c>
      <c r="O890" s="1">
        <v>-5.5359999999999996</v>
      </c>
      <c r="P890">
        <v>1</v>
      </c>
      <c r="Q890" s="1">
        <v>0.14599999999999999</v>
      </c>
      <c r="R890" s="1">
        <v>0.60899999999999999</v>
      </c>
      <c r="S890" s="1">
        <v>0.16300000000000001</v>
      </c>
      <c r="T890" s="1">
        <v>0.45400000000000001</v>
      </c>
      <c r="U890" s="1">
        <v>0.38500000000000001</v>
      </c>
      <c r="V890" s="1">
        <v>175.02799999999999</v>
      </c>
      <c r="W890">
        <v>4</v>
      </c>
    </row>
    <row r="891" spans="1:23" x14ac:dyDescent="0.25">
      <c r="A891" s="1" t="s">
        <v>15373</v>
      </c>
      <c r="B891" s="1" t="s">
        <v>15374</v>
      </c>
      <c r="C891" s="1" t="s">
        <v>3606</v>
      </c>
      <c r="D891" s="1" t="s">
        <v>3606</v>
      </c>
      <c r="E891" s="1" t="s">
        <v>3607</v>
      </c>
      <c r="F891" s="1" t="s">
        <v>11527</v>
      </c>
      <c r="G891">
        <v>170706</v>
      </c>
      <c r="H891">
        <v>24</v>
      </c>
      <c r="I891" s="1" t="s">
        <v>11063</v>
      </c>
      <c r="J891" s="11">
        <v>44729.706458333334</v>
      </c>
      <c r="K891" s="1" t="s">
        <v>3608</v>
      </c>
      <c r="L891" s="1">
        <v>0.68400000000000005</v>
      </c>
      <c r="M891" s="1">
        <v>0.67400000000000004</v>
      </c>
      <c r="N891">
        <v>7</v>
      </c>
      <c r="O891" s="1">
        <v>-5.9859999999999998</v>
      </c>
      <c r="P891">
        <v>0</v>
      </c>
      <c r="Q891" s="1">
        <v>0.502</v>
      </c>
      <c r="R891" s="1">
        <v>0.20699999999999999</v>
      </c>
      <c r="S891" s="1">
        <v>0.254</v>
      </c>
      <c r="T891" s="1">
        <v>0.36899999999999999</v>
      </c>
      <c r="U891" s="1">
        <v>0.33600000000000002</v>
      </c>
      <c r="V891" s="1">
        <v>104.959</v>
      </c>
      <c r="W891">
        <v>4</v>
      </c>
    </row>
    <row r="892" spans="1:23" x14ac:dyDescent="0.25">
      <c r="A892" s="1" t="s">
        <v>15375</v>
      </c>
      <c r="B892" s="1" t="s">
        <v>15376</v>
      </c>
      <c r="C892" s="1" t="s">
        <v>3609</v>
      </c>
      <c r="D892" s="1" t="s">
        <v>3609</v>
      </c>
      <c r="E892" s="1" t="s">
        <v>3610</v>
      </c>
      <c r="F892" s="1" t="s">
        <v>14847</v>
      </c>
      <c r="G892">
        <v>204866</v>
      </c>
      <c r="H892">
        <v>22</v>
      </c>
      <c r="I892" s="1" t="s">
        <v>11063</v>
      </c>
      <c r="J892" s="11">
        <v>44729.706458333334</v>
      </c>
      <c r="K892" s="1" t="s">
        <v>3611</v>
      </c>
      <c r="L892" s="1">
        <v>0.56499999999999995</v>
      </c>
      <c r="M892" s="1">
        <v>0.80200000000000005</v>
      </c>
      <c r="N892">
        <v>7</v>
      </c>
      <c r="O892" s="1">
        <v>-6.5679999999999996</v>
      </c>
      <c r="P892">
        <v>0</v>
      </c>
      <c r="Q892" s="1">
        <v>0.76800000000000002</v>
      </c>
      <c r="R892" s="1">
        <v>0.29699999999999999</v>
      </c>
      <c r="S892" s="1">
        <v>0</v>
      </c>
      <c r="T892" s="1">
        <v>0.16300000000000001</v>
      </c>
      <c r="U892" s="1">
        <v>0.41099999999999998</v>
      </c>
      <c r="V892" s="1">
        <v>74.912999999999997</v>
      </c>
      <c r="W892">
        <v>4</v>
      </c>
    </row>
    <row r="893" spans="1:23" x14ac:dyDescent="0.25">
      <c r="A893" s="1" t="s">
        <v>15377</v>
      </c>
      <c r="B893" s="1" t="s">
        <v>15378</v>
      </c>
      <c r="C893" s="1" t="s">
        <v>1221</v>
      </c>
      <c r="D893" s="1" t="s">
        <v>1221</v>
      </c>
      <c r="E893" s="1" t="s">
        <v>3612</v>
      </c>
      <c r="F893" s="1" t="s">
        <v>15379</v>
      </c>
      <c r="G893">
        <v>187353</v>
      </c>
      <c r="H893">
        <v>41</v>
      </c>
      <c r="I893" s="1" t="s">
        <v>11063</v>
      </c>
      <c r="J893" s="11">
        <v>44729.706458333334</v>
      </c>
      <c r="K893" s="1" t="s">
        <v>3613</v>
      </c>
      <c r="L893" s="1">
        <v>0.53100000000000003</v>
      </c>
      <c r="M893" s="1">
        <v>0.59099999999999997</v>
      </c>
      <c r="N893">
        <v>8</v>
      </c>
      <c r="O893" s="1">
        <v>-9.1120000000000001</v>
      </c>
      <c r="P893">
        <v>0</v>
      </c>
      <c r="Q893" s="1">
        <v>0.27400000000000002</v>
      </c>
      <c r="R893" s="1">
        <v>0.46600000000000003</v>
      </c>
      <c r="S893" s="1">
        <v>0</v>
      </c>
      <c r="T893" s="1">
        <v>0.70399999999999996</v>
      </c>
      <c r="U893" s="1">
        <v>0.49099999999999999</v>
      </c>
      <c r="V893" s="1">
        <v>98.001000000000005</v>
      </c>
      <c r="W893">
        <v>4</v>
      </c>
    </row>
    <row r="894" spans="1:23" x14ac:dyDescent="0.25">
      <c r="A894" s="1" t="s">
        <v>15380</v>
      </c>
      <c r="B894" s="1" t="s">
        <v>15381</v>
      </c>
      <c r="C894" s="1" t="s">
        <v>3614</v>
      </c>
      <c r="D894" s="1" t="s">
        <v>3614</v>
      </c>
      <c r="E894" s="1" t="s">
        <v>3615</v>
      </c>
      <c r="F894" s="1" t="s">
        <v>15382</v>
      </c>
      <c r="G894">
        <v>225000</v>
      </c>
      <c r="H894">
        <v>37</v>
      </c>
      <c r="I894" s="1" t="s">
        <v>11063</v>
      </c>
      <c r="J894" s="11">
        <v>44729.706458333334</v>
      </c>
      <c r="K894" s="1" t="s">
        <v>2939</v>
      </c>
      <c r="L894" s="1">
        <v>0.66700000000000004</v>
      </c>
      <c r="M894" s="1">
        <v>0.41099999999999998</v>
      </c>
      <c r="N894">
        <v>6</v>
      </c>
      <c r="O894" s="1">
        <v>-12.624000000000001</v>
      </c>
      <c r="P894">
        <v>0</v>
      </c>
      <c r="Q894" s="1">
        <v>0.108</v>
      </c>
      <c r="R894" s="1">
        <v>0.85599999999999998</v>
      </c>
      <c r="S894" s="1">
        <v>0.19700000000000001</v>
      </c>
      <c r="T894" s="1">
        <v>0.91600000000000004</v>
      </c>
      <c r="U894" s="1">
        <v>0.1</v>
      </c>
      <c r="V894" s="1">
        <v>128.05000000000001</v>
      </c>
      <c r="W894">
        <v>4</v>
      </c>
    </row>
    <row r="895" spans="1:23" x14ac:dyDescent="0.25">
      <c r="A895" s="1" t="s">
        <v>15383</v>
      </c>
      <c r="B895" s="1" t="s">
        <v>15384</v>
      </c>
      <c r="C895" s="1" t="s">
        <v>3616</v>
      </c>
      <c r="D895" s="1" t="s">
        <v>3616</v>
      </c>
      <c r="E895" s="1" t="s">
        <v>3617</v>
      </c>
      <c r="F895" s="1" t="s">
        <v>15385</v>
      </c>
      <c r="G895">
        <v>193683</v>
      </c>
      <c r="H895">
        <v>54</v>
      </c>
      <c r="I895" s="1" t="s">
        <v>11063</v>
      </c>
      <c r="J895" s="11">
        <v>44729.706458333334</v>
      </c>
      <c r="K895" s="1" t="s">
        <v>3618</v>
      </c>
      <c r="L895" s="1">
        <v>0.50700000000000001</v>
      </c>
      <c r="M895" s="1">
        <v>0.86399999999999999</v>
      </c>
      <c r="N895">
        <v>7</v>
      </c>
      <c r="O895" s="1">
        <v>-3.9340000000000002</v>
      </c>
      <c r="P895">
        <v>0</v>
      </c>
      <c r="Q895" s="1">
        <v>0.16900000000000001</v>
      </c>
      <c r="R895" s="1">
        <v>0.185</v>
      </c>
      <c r="S895" s="1">
        <v>0</v>
      </c>
      <c r="T895" s="1">
        <v>0.161</v>
      </c>
      <c r="U895" s="1">
        <v>0.47599999999999998</v>
      </c>
      <c r="V895" s="1">
        <v>155.92400000000001</v>
      </c>
      <c r="W895">
        <v>4</v>
      </c>
    </row>
    <row r="896" spans="1:23" x14ac:dyDescent="0.25">
      <c r="A896" s="1" t="s">
        <v>15386</v>
      </c>
      <c r="B896" s="1" t="s">
        <v>15387</v>
      </c>
      <c r="C896" s="1" t="s">
        <v>3619</v>
      </c>
      <c r="D896" s="1" t="s">
        <v>15388</v>
      </c>
      <c r="E896" s="1" t="s">
        <v>3620</v>
      </c>
      <c r="F896" s="1" t="s">
        <v>15389</v>
      </c>
      <c r="G896">
        <v>242857</v>
      </c>
      <c r="H896">
        <v>31</v>
      </c>
      <c r="I896" s="1" t="s">
        <v>11063</v>
      </c>
      <c r="J896" s="11">
        <v>44729.706458333334</v>
      </c>
      <c r="K896" s="1" t="s">
        <v>50</v>
      </c>
      <c r="L896" s="1">
        <v>0.53900000000000003</v>
      </c>
      <c r="M896" s="1">
        <v>0.77400000000000002</v>
      </c>
      <c r="N896">
        <v>4</v>
      </c>
      <c r="O896" s="1">
        <v>-5.4340000000000002</v>
      </c>
      <c r="P896">
        <v>1</v>
      </c>
      <c r="Q896" s="1">
        <v>0.29499999999999998</v>
      </c>
      <c r="R896" s="1">
        <v>0.105</v>
      </c>
      <c r="S896" s="1">
        <v>0.33700000000000002</v>
      </c>
      <c r="T896" s="1">
        <v>0.20699999999999999</v>
      </c>
      <c r="U896" s="1">
        <v>0.26300000000000001</v>
      </c>
      <c r="V896" s="1">
        <v>83.988</v>
      </c>
      <c r="W896">
        <v>4</v>
      </c>
    </row>
    <row r="897" spans="1:23" x14ac:dyDescent="0.25">
      <c r="A897" s="1" t="s">
        <v>15390</v>
      </c>
      <c r="B897" s="1" t="s">
        <v>15391</v>
      </c>
      <c r="C897" s="1" t="s">
        <v>3621</v>
      </c>
      <c r="D897" s="1" t="s">
        <v>3621</v>
      </c>
      <c r="E897" s="1" t="s">
        <v>3622</v>
      </c>
      <c r="F897" s="1" t="s">
        <v>15392</v>
      </c>
      <c r="G897">
        <v>175500</v>
      </c>
      <c r="H897">
        <v>38</v>
      </c>
      <c r="I897" s="1" t="s">
        <v>11063</v>
      </c>
      <c r="J897" s="11">
        <v>44729.706458333334</v>
      </c>
      <c r="K897" s="1" t="s">
        <v>3623</v>
      </c>
      <c r="L897" s="1">
        <v>0.61699999999999999</v>
      </c>
      <c r="M897" s="1">
        <v>0.76200000000000001</v>
      </c>
      <c r="N897">
        <v>6</v>
      </c>
      <c r="O897" s="1">
        <v>-3.6160000000000001</v>
      </c>
      <c r="P897">
        <v>0</v>
      </c>
      <c r="Q897" s="1">
        <v>0.64100000000000001</v>
      </c>
      <c r="R897" s="1">
        <v>0.73899999999999999</v>
      </c>
      <c r="S897" s="1">
        <v>0</v>
      </c>
      <c r="T897" s="1">
        <v>0.91200000000000003</v>
      </c>
      <c r="U897" s="1">
        <v>0.58099999999999996</v>
      </c>
      <c r="V897" s="1">
        <v>159.858</v>
      </c>
      <c r="W897">
        <v>4</v>
      </c>
    </row>
    <row r="898" spans="1:23" x14ac:dyDescent="0.25">
      <c r="A898" s="1" t="s">
        <v>15393</v>
      </c>
      <c r="B898" s="1" t="s">
        <v>15394</v>
      </c>
      <c r="C898" s="1" t="s">
        <v>3624</v>
      </c>
      <c r="D898" s="1" t="s">
        <v>3624</v>
      </c>
      <c r="E898" s="1" t="s">
        <v>3625</v>
      </c>
      <c r="F898" s="1" t="s">
        <v>15395</v>
      </c>
      <c r="G898">
        <v>184503</v>
      </c>
      <c r="H898">
        <v>25</v>
      </c>
      <c r="I898" s="1" t="s">
        <v>11063</v>
      </c>
      <c r="J898" s="11">
        <v>44729.706458333334</v>
      </c>
      <c r="K898" s="1" t="s">
        <v>3626</v>
      </c>
      <c r="L898" s="1">
        <v>0.45200000000000001</v>
      </c>
      <c r="M898" s="1">
        <v>0.85199999999999998</v>
      </c>
      <c r="N898">
        <v>9</v>
      </c>
      <c r="O898" s="1">
        <v>-3.6720000000000002</v>
      </c>
      <c r="P898">
        <v>0</v>
      </c>
      <c r="Q898" s="1">
        <v>0.65900000000000003</v>
      </c>
      <c r="R898" s="1">
        <v>0.156</v>
      </c>
      <c r="S898" s="1">
        <v>0.245</v>
      </c>
      <c r="T898" s="1">
        <v>0.18099999999999999</v>
      </c>
      <c r="U898" s="1">
        <v>0.34599999999999997</v>
      </c>
      <c r="V898" s="1">
        <v>160.10300000000001</v>
      </c>
      <c r="W898">
        <v>4</v>
      </c>
    </row>
    <row r="899" spans="1:23" x14ac:dyDescent="0.25">
      <c r="A899" s="1" t="s">
        <v>15396</v>
      </c>
      <c r="B899" s="1" t="s">
        <v>15397</v>
      </c>
      <c r="C899" s="1" t="s">
        <v>3627</v>
      </c>
      <c r="D899" s="1" t="s">
        <v>15398</v>
      </c>
      <c r="E899" s="1" t="s">
        <v>3628</v>
      </c>
      <c r="F899" s="1" t="s">
        <v>13986</v>
      </c>
      <c r="G899">
        <v>206378</v>
      </c>
      <c r="H899">
        <v>38</v>
      </c>
      <c r="I899" s="1" t="s">
        <v>11063</v>
      </c>
      <c r="J899" s="11">
        <v>44729.706458333334</v>
      </c>
      <c r="K899" s="1" t="s">
        <v>933</v>
      </c>
      <c r="L899" s="1">
        <v>0.53600000000000003</v>
      </c>
      <c r="M899" s="1">
        <v>0.61199999999999999</v>
      </c>
      <c r="N899">
        <v>1</v>
      </c>
      <c r="O899" s="1">
        <v>-7.7359999999999998</v>
      </c>
      <c r="P899">
        <v>0</v>
      </c>
      <c r="Q899" s="1">
        <v>0.38300000000000001</v>
      </c>
      <c r="R899" s="1">
        <v>0.154</v>
      </c>
      <c r="S899" s="1">
        <v>0</v>
      </c>
      <c r="T899" s="1">
        <v>0.752</v>
      </c>
      <c r="U899" s="1">
        <v>0.26300000000000001</v>
      </c>
      <c r="V899" s="1">
        <v>142.07400000000001</v>
      </c>
      <c r="W899">
        <v>4</v>
      </c>
    </row>
    <row r="900" spans="1:23" x14ac:dyDescent="0.25">
      <c r="A900" s="1" t="s">
        <v>15399</v>
      </c>
      <c r="B900" s="1" t="s">
        <v>15400</v>
      </c>
      <c r="C900" s="1" t="s">
        <v>3629</v>
      </c>
      <c r="D900" s="1" t="s">
        <v>3629</v>
      </c>
      <c r="E900" s="1" t="s">
        <v>3630</v>
      </c>
      <c r="F900" s="1" t="s">
        <v>15401</v>
      </c>
      <c r="G900">
        <v>247529</v>
      </c>
      <c r="H900">
        <v>44</v>
      </c>
      <c r="I900" s="1" t="s">
        <v>11063</v>
      </c>
      <c r="J900" s="11">
        <v>44729.706458333334</v>
      </c>
      <c r="K900" s="1" t="s">
        <v>933</v>
      </c>
      <c r="L900" s="1">
        <v>0.70299999999999996</v>
      </c>
      <c r="M900" s="1">
        <v>0.78300000000000003</v>
      </c>
      <c r="N900">
        <v>10</v>
      </c>
      <c r="O900" s="1">
        <v>-5.9260000000000002</v>
      </c>
      <c r="P900">
        <v>1</v>
      </c>
      <c r="Q900" s="1">
        <v>0.629</v>
      </c>
      <c r="R900" s="1">
        <v>0.48599999999999999</v>
      </c>
      <c r="S900" s="1">
        <v>0.20799999999999999</v>
      </c>
      <c r="T900" s="1">
        <v>0.14899999999999999</v>
      </c>
      <c r="U900" s="1">
        <v>0.39100000000000001</v>
      </c>
      <c r="V900" s="1">
        <v>127.95699999999999</v>
      </c>
      <c r="W900">
        <v>4</v>
      </c>
    </row>
    <row r="901" spans="1:23" x14ac:dyDescent="0.25">
      <c r="A901" s="1" t="s">
        <v>15402</v>
      </c>
      <c r="B901" s="1" t="s">
        <v>15403</v>
      </c>
      <c r="C901" s="1" t="s">
        <v>3631</v>
      </c>
      <c r="D901" s="1" t="s">
        <v>3631</v>
      </c>
      <c r="E901" s="1" t="s">
        <v>3632</v>
      </c>
      <c r="F901" s="1" t="s">
        <v>11754</v>
      </c>
      <c r="G901">
        <v>201802</v>
      </c>
      <c r="H901">
        <v>34</v>
      </c>
      <c r="I901" s="1" t="s">
        <v>11063</v>
      </c>
      <c r="J901" s="11">
        <v>44729.706458333334</v>
      </c>
      <c r="K901" s="1" t="s">
        <v>3633</v>
      </c>
      <c r="L901" s="1">
        <v>0.73499999999999999</v>
      </c>
      <c r="M901" s="1">
        <v>0.89900000000000002</v>
      </c>
      <c r="N901">
        <v>1</v>
      </c>
      <c r="O901" s="1">
        <v>-5.4569999999999999</v>
      </c>
      <c r="P901">
        <v>0</v>
      </c>
      <c r="Q901" s="1">
        <v>0.106</v>
      </c>
      <c r="R901" s="1">
        <v>0.309</v>
      </c>
      <c r="S901" s="1">
        <v>0.31</v>
      </c>
      <c r="T901" s="1">
        <v>0.91100000000000003</v>
      </c>
      <c r="U901" s="1">
        <v>0.69899999999999995</v>
      </c>
      <c r="V901" s="1">
        <v>100.039</v>
      </c>
      <c r="W901">
        <v>4</v>
      </c>
    </row>
    <row r="902" spans="1:23" x14ac:dyDescent="0.25">
      <c r="A902" s="1" t="s">
        <v>15404</v>
      </c>
      <c r="B902" s="1" t="s">
        <v>15405</v>
      </c>
      <c r="C902" s="1" t="s">
        <v>3634</v>
      </c>
      <c r="D902" s="1" t="s">
        <v>3634</v>
      </c>
      <c r="E902" s="1" t="s">
        <v>3635</v>
      </c>
      <c r="F902" s="1" t="s">
        <v>15406</v>
      </c>
      <c r="G902">
        <v>211053</v>
      </c>
      <c r="H902">
        <v>28</v>
      </c>
      <c r="I902" s="1" t="s">
        <v>11063</v>
      </c>
      <c r="J902" s="11">
        <v>44729.706458333334</v>
      </c>
      <c r="K902" s="1" t="s">
        <v>2222</v>
      </c>
      <c r="L902" s="1">
        <v>0.46100000000000002</v>
      </c>
      <c r="M902" s="1">
        <v>0.50600000000000001</v>
      </c>
      <c r="N902">
        <v>8</v>
      </c>
      <c r="O902" s="1">
        <v>-6.0579999999999998</v>
      </c>
      <c r="P902">
        <v>0</v>
      </c>
      <c r="Q902" s="1">
        <v>0.36</v>
      </c>
      <c r="R902" s="1">
        <v>0.38600000000000001</v>
      </c>
      <c r="S902" s="1">
        <v>0</v>
      </c>
      <c r="T902" s="1">
        <v>0.111</v>
      </c>
      <c r="U902" s="1">
        <v>0.22700000000000001</v>
      </c>
      <c r="V902" s="1">
        <v>76.739999999999995</v>
      </c>
      <c r="W902">
        <v>4</v>
      </c>
    </row>
    <row r="903" spans="1:23" x14ac:dyDescent="0.25">
      <c r="A903" s="1" t="s">
        <v>15407</v>
      </c>
      <c r="B903" s="1" t="s">
        <v>15408</v>
      </c>
      <c r="C903" s="1" t="s">
        <v>3636</v>
      </c>
      <c r="D903" s="1" t="s">
        <v>15409</v>
      </c>
      <c r="E903" s="1" t="s">
        <v>3637</v>
      </c>
      <c r="F903" s="1" t="s">
        <v>15410</v>
      </c>
      <c r="G903">
        <v>185333</v>
      </c>
      <c r="H903">
        <v>18</v>
      </c>
      <c r="I903" s="1" t="s">
        <v>11063</v>
      </c>
      <c r="J903" s="11">
        <v>44729.706458333334</v>
      </c>
      <c r="K903" s="1" t="s">
        <v>3638</v>
      </c>
      <c r="L903" s="1">
        <v>0.78</v>
      </c>
      <c r="M903" s="1">
        <v>0.79200000000000004</v>
      </c>
      <c r="N903">
        <v>10</v>
      </c>
      <c r="O903" s="1">
        <v>-2.5449999999999999</v>
      </c>
      <c r="P903">
        <v>0</v>
      </c>
      <c r="Q903" s="1">
        <v>0.20499999999999999</v>
      </c>
      <c r="R903" s="1">
        <v>0.16500000000000001</v>
      </c>
      <c r="S903" s="1">
        <v>0</v>
      </c>
      <c r="T903" s="1">
        <v>0.55600000000000005</v>
      </c>
      <c r="U903" s="1">
        <v>0.57299999999999995</v>
      </c>
      <c r="V903" s="1">
        <v>90.052000000000007</v>
      </c>
      <c r="W903">
        <v>4</v>
      </c>
    </row>
    <row r="904" spans="1:23" x14ac:dyDescent="0.25">
      <c r="A904" s="1" t="s">
        <v>15411</v>
      </c>
      <c r="B904" s="1" t="s">
        <v>11367</v>
      </c>
      <c r="C904" s="1" t="s">
        <v>3639</v>
      </c>
      <c r="D904" s="1" t="s">
        <v>3639</v>
      </c>
      <c r="E904" s="1" t="s">
        <v>154</v>
      </c>
      <c r="F904" s="1" t="s">
        <v>15410</v>
      </c>
      <c r="G904">
        <v>244676</v>
      </c>
      <c r="H904">
        <v>43</v>
      </c>
      <c r="I904" s="1" t="s">
        <v>11063</v>
      </c>
      <c r="J904" s="11">
        <v>44729.706458333334</v>
      </c>
      <c r="K904" s="1" t="s">
        <v>2372</v>
      </c>
      <c r="L904" s="1">
        <v>0.60499999999999998</v>
      </c>
      <c r="M904" s="1">
        <v>0.81699999999999995</v>
      </c>
      <c r="N904">
        <v>11</v>
      </c>
      <c r="O904" s="1">
        <v>-4.5860000000000003</v>
      </c>
      <c r="P904">
        <v>0</v>
      </c>
      <c r="Q904" s="1">
        <v>0.312</v>
      </c>
      <c r="R904" s="1">
        <v>0.1</v>
      </c>
      <c r="S904" s="1">
        <v>0.69099999999999995</v>
      </c>
      <c r="T904" s="1">
        <v>0.95399999999999996</v>
      </c>
      <c r="U904" s="1">
        <v>0.128</v>
      </c>
      <c r="V904" s="1">
        <v>120.001</v>
      </c>
      <c r="W904">
        <v>4</v>
      </c>
    </row>
    <row r="905" spans="1:23" x14ac:dyDescent="0.25">
      <c r="A905" s="1" t="s">
        <v>15412</v>
      </c>
      <c r="B905" s="1" t="s">
        <v>15413</v>
      </c>
      <c r="C905" s="1" t="s">
        <v>3640</v>
      </c>
      <c r="D905" s="1" t="s">
        <v>3640</v>
      </c>
      <c r="E905" s="1" t="s">
        <v>3641</v>
      </c>
      <c r="F905" s="1" t="s">
        <v>15410</v>
      </c>
      <c r="G905">
        <v>251687</v>
      </c>
      <c r="H905">
        <v>39</v>
      </c>
      <c r="I905" s="1" t="s">
        <v>11063</v>
      </c>
      <c r="J905" s="11">
        <v>44729.706458333334</v>
      </c>
      <c r="K905" s="1" t="s">
        <v>381</v>
      </c>
      <c r="L905" s="1">
        <v>0.47799999999999998</v>
      </c>
      <c r="M905" s="1">
        <v>0.71199999999999997</v>
      </c>
      <c r="N905">
        <v>0</v>
      </c>
      <c r="O905" s="1">
        <v>-3.6160000000000001</v>
      </c>
      <c r="P905">
        <v>1</v>
      </c>
      <c r="Q905" s="1">
        <v>0.318</v>
      </c>
      <c r="R905" s="1">
        <v>0.59699999999999998</v>
      </c>
      <c r="S905" s="1">
        <v>0.74299999999999999</v>
      </c>
      <c r="T905" s="1">
        <v>0.13400000000000001</v>
      </c>
      <c r="U905" s="1">
        <v>0.372</v>
      </c>
      <c r="V905" s="1">
        <v>172.25200000000001</v>
      </c>
      <c r="W905">
        <v>4</v>
      </c>
    </row>
    <row r="906" spans="1:23" x14ac:dyDescent="0.25">
      <c r="A906" s="1" t="s">
        <v>15414</v>
      </c>
      <c r="B906" s="1" t="s">
        <v>14079</v>
      </c>
      <c r="C906" s="1" t="s">
        <v>2467</v>
      </c>
      <c r="D906" s="1" t="s">
        <v>14080</v>
      </c>
      <c r="E906" s="1" t="s">
        <v>2468</v>
      </c>
      <c r="F906" s="1" t="s">
        <v>14081</v>
      </c>
      <c r="G906">
        <v>151444</v>
      </c>
      <c r="H906">
        <v>50</v>
      </c>
      <c r="I906" s="1" t="s">
        <v>11063</v>
      </c>
      <c r="J906" s="11">
        <v>44729.706458333334</v>
      </c>
      <c r="K906" s="1" t="s">
        <v>2469</v>
      </c>
      <c r="L906" s="1">
        <v>0.38700000000000001</v>
      </c>
      <c r="M906" s="1">
        <v>0.59399999999999997</v>
      </c>
      <c r="N906">
        <v>0</v>
      </c>
      <c r="O906" s="1">
        <v>-5.8079999999999998</v>
      </c>
      <c r="P906">
        <v>1</v>
      </c>
      <c r="Q906" s="1">
        <v>0.39400000000000002</v>
      </c>
      <c r="R906" s="1">
        <v>0.41099999999999998</v>
      </c>
      <c r="S906" s="1">
        <v>0.71299999999999997</v>
      </c>
      <c r="T906" s="1">
        <v>0.20300000000000001</v>
      </c>
      <c r="U906" s="1">
        <v>0.13700000000000001</v>
      </c>
      <c r="V906" s="1">
        <v>161.97499999999999</v>
      </c>
      <c r="W906">
        <v>3</v>
      </c>
    </row>
    <row r="907" spans="1:23" x14ac:dyDescent="0.25">
      <c r="A907" s="1" t="s">
        <v>15415</v>
      </c>
      <c r="B907" s="1" t="s">
        <v>15022</v>
      </c>
      <c r="C907" s="1" t="s">
        <v>3289</v>
      </c>
      <c r="D907" s="1" t="s">
        <v>3289</v>
      </c>
      <c r="E907" s="1" t="s">
        <v>3287</v>
      </c>
      <c r="F907" s="1" t="s">
        <v>15410</v>
      </c>
      <c r="G907">
        <v>190215</v>
      </c>
      <c r="H907">
        <v>44</v>
      </c>
      <c r="I907" s="1" t="s">
        <v>11063</v>
      </c>
      <c r="J907" s="11">
        <v>44729.706458333334</v>
      </c>
      <c r="K907" s="1" t="s">
        <v>3288</v>
      </c>
      <c r="L907" s="1">
        <v>0.82799999999999996</v>
      </c>
      <c r="M907" s="1">
        <v>0.59199999999999997</v>
      </c>
      <c r="N907">
        <v>11</v>
      </c>
      <c r="O907" s="1">
        <v>-6.891</v>
      </c>
      <c r="P907">
        <v>0</v>
      </c>
      <c r="Q907" s="1">
        <v>0.44700000000000001</v>
      </c>
      <c r="R907" s="1">
        <v>0.14199999999999999</v>
      </c>
      <c r="S907" s="1">
        <v>0.80900000000000005</v>
      </c>
      <c r="T907" s="1">
        <v>0.81200000000000006</v>
      </c>
      <c r="U907" s="1">
        <v>0.54700000000000004</v>
      </c>
      <c r="V907" s="1">
        <v>116.02500000000001</v>
      </c>
      <c r="W907">
        <v>4</v>
      </c>
    </row>
    <row r="908" spans="1:23" x14ac:dyDescent="0.25">
      <c r="A908" s="1" t="s">
        <v>15416</v>
      </c>
      <c r="B908" s="1" t="s">
        <v>15417</v>
      </c>
      <c r="C908" s="1" t="s">
        <v>3642</v>
      </c>
      <c r="D908" s="1" t="s">
        <v>15418</v>
      </c>
      <c r="E908" s="1" t="s">
        <v>3643</v>
      </c>
      <c r="F908" s="1" t="s">
        <v>15410</v>
      </c>
      <c r="G908">
        <v>172816</v>
      </c>
      <c r="H908">
        <v>47</v>
      </c>
      <c r="I908" s="1" t="s">
        <v>11063</v>
      </c>
      <c r="J908" s="11">
        <v>44729.706458333334</v>
      </c>
      <c r="K908" s="1" t="s">
        <v>3644</v>
      </c>
      <c r="L908" s="1">
        <v>0.69399999999999995</v>
      </c>
      <c r="M908" s="1">
        <v>0.83899999999999997</v>
      </c>
      <c r="N908">
        <v>1</v>
      </c>
      <c r="O908" s="1">
        <v>-3.9049999999999998</v>
      </c>
      <c r="P908">
        <v>1</v>
      </c>
      <c r="Q908" s="1">
        <v>0.49399999999999999</v>
      </c>
      <c r="R908" s="1">
        <v>0.34200000000000003</v>
      </c>
      <c r="S908" s="1">
        <v>0</v>
      </c>
      <c r="T908" s="1">
        <v>0.308</v>
      </c>
      <c r="U908" s="1">
        <v>0.58299999999999996</v>
      </c>
      <c r="V908" s="1">
        <v>128.029</v>
      </c>
      <c r="W908">
        <v>4</v>
      </c>
    </row>
    <row r="909" spans="1:23" x14ac:dyDescent="0.25">
      <c r="A909" s="1" t="s">
        <v>15419</v>
      </c>
      <c r="B909" s="1" t="s">
        <v>15420</v>
      </c>
      <c r="C909" s="1" t="s">
        <v>3645</v>
      </c>
      <c r="D909" s="1" t="s">
        <v>3645</v>
      </c>
      <c r="E909" s="1" t="s">
        <v>3646</v>
      </c>
      <c r="F909" s="1" t="s">
        <v>11445</v>
      </c>
      <c r="G909">
        <v>262577</v>
      </c>
      <c r="H909">
        <v>0</v>
      </c>
      <c r="I909" s="1" t="s">
        <v>11063</v>
      </c>
      <c r="J909" s="11">
        <v>44729.706458333334</v>
      </c>
      <c r="K909" s="1" t="s">
        <v>3647</v>
      </c>
      <c r="L909" s="1">
        <v>0.622</v>
      </c>
      <c r="M909" s="1">
        <v>0.44800000000000001</v>
      </c>
      <c r="N909">
        <v>10</v>
      </c>
      <c r="O909" s="1">
        <v>-11.734</v>
      </c>
      <c r="P909">
        <v>0</v>
      </c>
      <c r="Q909" s="1">
        <v>0.68</v>
      </c>
      <c r="R909" s="1">
        <v>0.187</v>
      </c>
      <c r="S909" s="1">
        <v>0.29399999999999998</v>
      </c>
      <c r="T909" s="1">
        <v>0.87</v>
      </c>
      <c r="U909" s="1">
        <v>0.188</v>
      </c>
      <c r="V909" s="1">
        <v>159.976</v>
      </c>
      <c r="W909">
        <v>4</v>
      </c>
    </row>
    <row r="910" spans="1:23" x14ac:dyDescent="0.25">
      <c r="A910" s="1" t="s">
        <v>15421</v>
      </c>
      <c r="B910" s="1" t="s">
        <v>15422</v>
      </c>
      <c r="C910" s="1" t="s">
        <v>3648</v>
      </c>
      <c r="D910" s="1" t="s">
        <v>15423</v>
      </c>
      <c r="E910" s="1" t="s">
        <v>3649</v>
      </c>
      <c r="F910" s="1" t="s">
        <v>11365</v>
      </c>
      <c r="G910">
        <v>144000</v>
      </c>
      <c r="H910">
        <v>39</v>
      </c>
      <c r="I910" s="1" t="s">
        <v>11063</v>
      </c>
      <c r="J910" s="11">
        <v>44729.706458333334</v>
      </c>
      <c r="K910" s="1" t="s">
        <v>2356</v>
      </c>
      <c r="L910" s="1">
        <v>0.52700000000000002</v>
      </c>
      <c r="M910" s="1">
        <v>0.67300000000000004</v>
      </c>
      <c r="N910">
        <v>11</v>
      </c>
      <c r="O910" s="1">
        <v>-6.89</v>
      </c>
      <c r="P910">
        <v>0</v>
      </c>
      <c r="Q910" s="1">
        <v>0.10100000000000001</v>
      </c>
      <c r="R910" s="1">
        <v>0.122</v>
      </c>
      <c r="S910" s="1">
        <v>0.17799999999999999</v>
      </c>
      <c r="T910" s="1">
        <v>0.57699999999999996</v>
      </c>
      <c r="U910" s="1">
        <v>0.46400000000000002</v>
      </c>
      <c r="V910" s="1">
        <v>176.113</v>
      </c>
      <c r="W910">
        <v>4</v>
      </c>
    </row>
    <row r="911" spans="1:23" x14ac:dyDescent="0.25">
      <c r="A911" s="1" t="s">
        <v>15424</v>
      </c>
      <c r="B911" s="1" t="s">
        <v>15425</v>
      </c>
      <c r="C911" s="1" t="s">
        <v>3650</v>
      </c>
      <c r="D911" s="1" t="s">
        <v>3650</v>
      </c>
      <c r="E911" s="1" t="s">
        <v>3651</v>
      </c>
      <c r="F911" s="1" t="s">
        <v>11365</v>
      </c>
      <c r="G911">
        <v>171690</v>
      </c>
      <c r="H911">
        <v>56</v>
      </c>
      <c r="I911" s="1" t="s">
        <v>11063</v>
      </c>
      <c r="J911" s="11">
        <v>44729.706458333334</v>
      </c>
      <c r="K911" s="1" t="s">
        <v>3652</v>
      </c>
      <c r="L911" s="1">
        <v>0.79700000000000004</v>
      </c>
      <c r="M911" s="1">
        <v>0.83899999999999997</v>
      </c>
      <c r="N911">
        <v>10</v>
      </c>
      <c r="O911" s="1">
        <v>-5.1740000000000004</v>
      </c>
      <c r="P911">
        <v>0</v>
      </c>
      <c r="Q911" s="1">
        <v>0.14799999999999999</v>
      </c>
      <c r="R911" s="1">
        <v>0.14299999999999999</v>
      </c>
      <c r="S911" s="1">
        <v>0.24199999999999999</v>
      </c>
      <c r="T911" s="1">
        <v>0.11600000000000001</v>
      </c>
      <c r="U911" s="1">
        <v>0.67500000000000004</v>
      </c>
      <c r="V911" s="1">
        <v>160.047</v>
      </c>
      <c r="W911">
        <v>4</v>
      </c>
    </row>
    <row r="912" spans="1:23" x14ac:dyDescent="0.25">
      <c r="A912" s="1" t="s">
        <v>15426</v>
      </c>
      <c r="B912" s="1" t="s">
        <v>15427</v>
      </c>
      <c r="C912" s="1" t="s">
        <v>3653</v>
      </c>
      <c r="D912" s="1" t="s">
        <v>3653</v>
      </c>
      <c r="E912" s="1" t="s">
        <v>3654</v>
      </c>
      <c r="F912" s="1" t="s">
        <v>11504</v>
      </c>
      <c r="G912">
        <v>207519</v>
      </c>
      <c r="H912">
        <v>68</v>
      </c>
      <c r="I912" s="1" t="s">
        <v>11063</v>
      </c>
      <c r="J912" s="11">
        <v>44729.706458333334</v>
      </c>
      <c r="K912" s="1" t="s">
        <v>3655</v>
      </c>
      <c r="L912" s="1">
        <v>0.69299999999999995</v>
      </c>
      <c r="M912" s="1">
        <v>0.57599999999999996</v>
      </c>
      <c r="N912">
        <v>7</v>
      </c>
      <c r="O912" s="1">
        <v>-5.2050000000000001</v>
      </c>
      <c r="P912">
        <v>0</v>
      </c>
      <c r="Q912" s="1">
        <v>0.54800000000000004</v>
      </c>
      <c r="R912" s="1">
        <v>0.70899999999999996</v>
      </c>
      <c r="S912" s="1">
        <v>0</v>
      </c>
      <c r="T912" s="1">
        <v>0.23200000000000001</v>
      </c>
      <c r="U912" s="1">
        <v>0.68500000000000005</v>
      </c>
      <c r="V912" s="1">
        <v>135.09899999999999</v>
      </c>
      <c r="W912">
        <v>4</v>
      </c>
    </row>
    <row r="913" spans="1:23" x14ac:dyDescent="0.25">
      <c r="A913" s="1" t="s">
        <v>11501</v>
      </c>
      <c r="B913" s="1" t="s">
        <v>11502</v>
      </c>
      <c r="C913" s="1" t="s">
        <v>3656</v>
      </c>
      <c r="D913" s="1" t="s">
        <v>11503</v>
      </c>
      <c r="E913" s="1" t="s">
        <v>252</v>
      </c>
      <c r="F913" s="1" t="s">
        <v>11504</v>
      </c>
      <c r="G913">
        <v>287920</v>
      </c>
      <c r="H913">
        <v>46</v>
      </c>
      <c r="I913" s="1" t="s">
        <v>11063</v>
      </c>
      <c r="J913" s="11">
        <v>44729.706458333334</v>
      </c>
      <c r="K913" s="1" t="s">
        <v>253</v>
      </c>
      <c r="L913" s="1">
        <v>0.68600000000000005</v>
      </c>
      <c r="M913" s="1">
        <v>0.79800000000000004</v>
      </c>
      <c r="N913">
        <v>6</v>
      </c>
      <c r="O913" s="1">
        <v>-6.3520000000000003</v>
      </c>
      <c r="P913">
        <v>1</v>
      </c>
      <c r="Q913" s="1">
        <v>0.32800000000000001</v>
      </c>
      <c r="R913" s="1">
        <v>0.66900000000000004</v>
      </c>
      <c r="S913" s="1">
        <v>0.99099999999999999</v>
      </c>
      <c r="T913" s="1">
        <v>0.12</v>
      </c>
      <c r="U913" s="1">
        <v>0.80100000000000005</v>
      </c>
      <c r="V913" s="1">
        <v>105.011</v>
      </c>
      <c r="W913">
        <v>4</v>
      </c>
    </row>
    <row r="914" spans="1:23" x14ac:dyDescent="0.25">
      <c r="A914" s="1" t="s">
        <v>15428</v>
      </c>
      <c r="B914" s="1" t="s">
        <v>15429</v>
      </c>
      <c r="C914" s="1" t="s">
        <v>3657</v>
      </c>
      <c r="D914" s="1" t="s">
        <v>15430</v>
      </c>
      <c r="E914" s="1" t="s">
        <v>3658</v>
      </c>
      <c r="F914" s="1" t="s">
        <v>11504</v>
      </c>
      <c r="G914">
        <v>257368</v>
      </c>
      <c r="H914">
        <v>74</v>
      </c>
      <c r="I914" s="1" t="s">
        <v>11063</v>
      </c>
      <c r="J914" s="11">
        <v>44729.706458333334</v>
      </c>
      <c r="K914" s="1" t="s">
        <v>3659</v>
      </c>
      <c r="L914" s="1">
        <v>0.66400000000000003</v>
      </c>
      <c r="M914" s="1">
        <v>0.69199999999999995</v>
      </c>
      <c r="N914">
        <v>1</v>
      </c>
      <c r="O914" s="1">
        <v>-4.1280000000000001</v>
      </c>
      <c r="P914">
        <v>0</v>
      </c>
      <c r="Q914" s="1">
        <v>0.127</v>
      </c>
      <c r="R914" s="1">
        <v>0.23699999999999999</v>
      </c>
      <c r="S914" s="1">
        <v>0</v>
      </c>
      <c r="T914" s="1">
        <v>0.79800000000000004</v>
      </c>
      <c r="U914" s="1">
        <v>0.23300000000000001</v>
      </c>
      <c r="V914" s="1">
        <v>154.92400000000001</v>
      </c>
      <c r="W914">
        <v>4</v>
      </c>
    </row>
    <row r="915" spans="1:23" x14ac:dyDescent="0.25">
      <c r="A915" s="1" t="s">
        <v>15431</v>
      </c>
      <c r="B915" s="1" t="s">
        <v>15432</v>
      </c>
      <c r="C915" s="1" t="s">
        <v>3660</v>
      </c>
      <c r="D915" s="1" t="s">
        <v>15314</v>
      </c>
      <c r="E915" s="1" t="s">
        <v>3661</v>
      </c>
      <c r="F915" s="1" t="s">
        <v>13918</v>
      </c>
      <c r="G915">
        <v>215000</v>
      </c>
      <c r="H915">
        <v>37</v>
      </c>
      <c r="I915" s="1" t="s">
        <v>11063</v>
      </c>
      <c r="J915" s="11">
        <v>44729.706458333334</v>
      </c>
      <c r="K915" s="1" t="s">
        <v>3049</v>
      </c>
      <c r="L915" s="1">
        <v>0.503</v>
      </c>
      <c r="M915" s="1">
        <v>0.73399999999999999</v>
      </c>
      <c r="N915">
        <v>11</v>
      </c>
      <c r="O915" s="1">
        <v>-4.0949999999999998</v>
      </c>
      <c r="P915">
        <v>0</v>
      </c>
      <c r="Q915" s="1">
        <v>0.48299999999999998</v>
      </c>
      <c r="R915" s="1">
        <v>0.52700000000000002</v>
      </c>
      <c r="S915" s="1">
        <v>0</v>
      </c>
      <c r="T915" s="1">
        <v>0.13500000000000001</v>
      </c>
      <c r="U915" s="1">
        <v>0.187</v>
      </c>
      <c r="V915" s="1">
        <v>120.02800000000001</v>
      </c>
      <c r="W915">
        <v>4</v>
      </c>
    </row>
    <row r="916" spans="1:23" x14ac:dyDescent="0.25">
      <c r="A916" s="1" t="s">
        <v>15433</v>
      </c>
      <c r="B916" s="1" t="s">
        <v>14312</v>
      </c>
      <c r="C916" s="1" t="s">
        <v>3662</v>
      </c>
      <c r="D916" s="1" t="s">
        <v>3662</v>
      </c>
      <c r="E916" s="1" t="s">
        <v>2667</v>
      </c>
      <c r="F916" s="1" t="s">
        <v>13918</v>
      </c>
      <c r="G916">
        <v>212493</v>
      </c>
      <c r="H916">
        <v>52</v>
      </c>
      <c r="I916" s="1" t="s">
        <v>11063</v>
      </c>
      <c r="J916" s="11">
        <v>44729.706458333334</v>
      </c>
      <c r="K916" s="1" t="s">
        <v>2668</v>
      </c>
      <c r="L916" s="1">
        <v>0.66100000000000003</v>
      </c>
      <c r="M916" s="1">
        <v>0.32300000000000001</v>
      </c>
      <c r="N916">
        <v>7</v>
      </c>
      <c r="O916" s="1">
        <v>-9.5790000000000006</v>
      </c>
      <c r="P916">
        <v>1</v>
      </c>
      <c r="Q916" s="1">
        <v>0.41199999999999998</v>
      </c>
      <c r="R916" s="1">
        <v>0.64900000000000002</v>
      </c>
      <c r="S916" s="1">
        <v>0.182</v>
      </c>
      <c r="T916" s="1">
        <v>0.193</v>
      </c>
      <c r="U916" s="1">
        <v>0.372</v>
      </c>
      <c r="V916" s="1">
        <v>129.95500000000001</v>
      </c>
      <c r="W916">
        <v>4</v>
      </c>
    </row>
    <row r="917" spans="1:23" x14ac:dyDescent="0.25">
      <c r="A917" s="1" t="s">
        <v>15434</v>
      </c>
      <c r="B917" s="1" t="s">
        <v>15435</v>
      </c>
      <c r="C917" s="1" t="s">
        <v>3663</v>
      </c>
      <c r="D917" s="1" t="s">
        <v>3663</v>
      </c>
      <c r="E917" s="1" t="s">
        <v>3664</v>
      </c>
      <c r="F917" s="1" t="s">
        <v>13918</v>
      </c>
      <c r="G917">
        <v>301600</v>
      </c>
      <c r="H917">
        <v>40</v>
      </c>
      <c r="I917" s="1" t="s">
        <v>11063</v>
      </c>
      <c r="J917" s="11">
        <v>44729.706458333334</v>
      </c>
      <c r="K917" s="1" t="s">
        <v>3665</v>
      </c>
      <c r="L917" s="1">
        <v>0.55400000000000005</v>
      </c>
      <c r="M917" s="1">
        <v>0.96099999999999997</v>
      </c>
      <c r="N917">
        <v>7</v>
      </c>
      <c r="O917" s="1">
        <v>-3.04</v>
      </c>
      <c r="P917">
        <v>0</v>
      </c>
      <c r="Q917" s="1">
        <v>0.20699999999999999</v>
      </c>
      <c r="R917" s="1">
        <v>0.80800000000000005</v>
      </c>
      <c r="S917" s="1">
        <v>0.13300000000000001</v>
      </c>
      <c r="T917" s="1">
        <v>0.14599999999999999</v>
      </c>
      <c r="U917" s="1">
        <v>0.17499999999999999</v>
      </c>
      <c r="V917" s="1">
        <v>150.01</v>
      </c>
      <c r="W917">
        <v>4</v>
      </c>
    </row>
    <row r="918" spans="1:23" x14ac:dyDescent="0.25">
      <c r="A918" s="1" t="s">
        <v>15436</v>
      </c>
      <c r="B918" s="1" t="s">
        <v>15437</v>
      </c>
      <c r="C918" s="1" t="s">
        <v>3666</v>
      </c>
      <c r="D918" s="1" t="s">
        <v>3666</v>
      </c>
      <c r="E918" s="1" t="s">
        <v>3667</v>
      </c>
      <c r="F918" s="1" t="s">
        <v>15438</v>
      </c>
      <c r="G918">
        <v>256620</v>
      </c>
      <c r="H918">
        <v>46</v>
      </c>
      <c r="I918" s="1" t="s">
        <v>11063</v>
      </c>
      <c r="J918" s="11">
        <v>44729.706458333334</v>
      </c>
      <c r="K918" s="1" t="s">
        <v>1053</v>
      </c>
      <c r="L918" s="1">
        <v>0.48699999999999999</v>
      </c>
      <c r="M918" s="1">
        <v>0.88600000000000001</v>
      </c>
      <c r="N918">
        <v>8</v>
      </c>
      <c r="O918" s="1">
        <v>-6.1749999999999998</v>
      </c>
      <c r="P918">
        <v>0</v>
      </c>
      <c r="Q918" s="1">
        <v>0.53700000000000003</v>
      </c>
      <c r="R918" s="1">
        <v>0.48599999999999999</v>
      </c>
      <c r="S918" s="1">
        <v>0.21299999999999999</v>
      </c>
      <c r="T918" s="1">
        <v>0.104</v>
      </c>
      <c r="U918" s="1">
        <v>0.91400000000000003</v>
      </c>
      <c r="V918" s="1">
        <v>129.983</v>
      </c>
      <c r="W918">
        <v>4</v>
      </c>
    </row>
    <row r="919" spans="1:23" x14ac:dyDescent="0.25">
      <c r="A919" s="1" t="s">
        <v>15439</v>
      </c>
      <c r="B919" s="1" t="s">
        <v>15440</v>
      </c>
      <c r="C919" s="1" t="s">
        <v>3668</v>
      </c>
      <c r="D919" s="1" t="s">
        <v>3668</v>
      </c>
      <c r="E919" s="1" t="s">
        <v>3669</v>
      </c>
      <c r="F919" s="1" t="s">
        <v>15441</v>
      </c>
      <c r="G919">
        <v>197944</v>
      </c>
      <c r="H919">
        <v>57</v>
      </c>
      <c r="I919" s="1" t="s">
        <v>11063</v>
      </c>
      <c r="J919" s="11">
        <v>44729.706458333334</v>
      </c>
      <c r="K919" s="1" t="s">
        <v>1053</v>
      </c>
      <c r="L919" s="1">
        <v>0.65100000000000002</v>
      </c>
      <c r="M919" s="1">
        <v>0.66100000000000003</v>
      </c>
      <c r="N919">
        <v>10</v>
      </c>
      <c r="O919" s="1">
        <v>-5.0880000000000001</v>
      </c>
      <c r="P919">
        <v>0</v>
      </c>
      <c r="Q919" s="1">
        <v>0.32200000000000001</v>
      </c>
      <c r="R919" s="1">
        <v>0.57199999999999995</v>
      </c>
      <c r="S919" s="1">
        <v>0</v>
      </c>
      <c r="T919" s="1">
        <v>0.121</v>
      </c>
      <c r="U919" s="1">
        <v>0.38900000000000001</v>
      </c>
      <c r="V919" s="1">
        <v>97.055999999999997</v>
      </c>
      <c r="W919">
        <v>4</v>
      </c>
    </row>
    <row r="920" spans="1:23" x14ac:dyDescent="0.25">
      <c r="A920" s="1" t="s">
        <v>15442</v>
      </c>
      <c r="B920" s="1" t="s">
        <v>15440</v>
      </c>
      <c r="C920" s="1" t="s">
        <v>3670</v>
      </c>
      <c r="D920" s="1" t="s">
        <v>3670</v>
      </c>
      <c r="E920" s="1" t="s">
        <v>3669</v>
      </c>
      <c r="F920" s="1" t="s">
        <v>15443</v>
      </c>
      <c r="G920">
        <v>172503</v>
      </c>
      <c r="H920">
        <v>58</v>
      </c>
      <c r="I920" s="1" t="s">
        <v>11063</v>
      </c>
      <c r="J920" s="11">
        <v>44729.706458333334</v>
      </c>
      <c r="K920" s="1" t="s">
        <v>1053</v>
      </c>
      <c r="L920" s="1">
        <v>0.53200000000000003</v>
      </c>
      <c r="M920" s="1">
        <v>0.71299999999999997</v>
      </c>
      <c r="N920">
        <v>11</v>
      </c>
      <c r="O920" s="1">
        <v>-6.9569999999999999</v>
      </c>
      <c r="P920">
        <v>0</v>
      </c>
      <c r="Q920" s="1">
        <v>0.49399999999999999</v>
      </c>
      <c r="R920" s="1">
        <v>0.377</v>
      </c>
      <c r="S920" s="1">
        <v>0</v>
      </c>
      <c r="T920" s="1">
        <v>0.159</v>
      </c>
      <c r="U920" s="1">
        <v>0.29699999999999999</v>
      </c>
      <c r="V920" s="1">
        <v>79.977000000000004</v>
      </c>
      <c r="W920">
        <v>4</v>
      </c>
    </row>
    <row r="921" spans="1:23" x14ac:dyDescent="0.25">
      <c r="A921" s="1" t="s">
        <v>15444</v>
      </c>
      <c r="B921" s="1" t="s">
        <v>13843</v>
      </c>
      <c r="C921" s="1" t="s">
        <v>3671</v>
      </c>
      <c r="D921" s="1" t="s">
        <v>15445</v>
      </c>
      <c r="E921" s="1" t="s">
        <v>2259</v>
      </c>
      <c r="F921" s="1" t="s">
        <v>15446</v>
      </c>
      <c r="G921">
        <v>248133</v>
      </c>
      <c r="H921">
        <v>79</v>
      </c>
      <c r="I921" s="1" t="s">
        <v>11063</v>
      </c>
      <c r="J921" s="11">
        <v>44729.706458333334</v>
      </c>
      <c r="K921" s="1" t="s">
        <v>2260</v>
      </c>
      <c r="L921" s="1">
        <v>0.85499999999999998</v>
      </c>
      <c r="M921" s="1">
        <v>0.95399999999999996</v>
      </c>
      <c r="N921">
        <v>0</v>
      </c>
      <c r="O921" s="1">
        <v>-1.19</v>
      </c>
      <c r="P921">
        <v>0</v>
      </c>
      <c r="Q921" s="1">
        <v>0.26400000000000001</v>
      </c>
      <c r="R921" s="1">
        <v>0.52900000000000003</v>
      </c>
      <c r="S921" s="1">
        <v>0</v>
      </c>
      <c r="T921" s="1">
        <v>0.20499999999999999</v>
      </c>
      <c r="U921" s="1">
        <v>0.66800000000000004</v>
      </c>
      <c r="V921" s="1">
        <v>114.63500000000001</v>
      </c>
      <c r="W921">
        <v>5</v>
      </c>
    </row>
    <row r="922" spans="1:23" x14ac:dyDescent="0.25">
      <c r="A922" s="1" t="s">
        <v>11505</v>
      </c>
      <c r="B922" s="1" t="s">
        <v>11506</v>
      </c>
      <c r="C922" s="1" t="s">
        <v>254</v>
      </c>
      <c r="D922" s="1" t="s">
        <v>11507</v>
      </c>
      <c r="E922" s="1" t="s">
        <v>255</v>
      </c>
      <c r="F922" s="1" t="s">
        <v>11445</v>
      </c>
      <c r="G922">
        <v>221700</v>
      </c>
      <c r="H922">
        <v>51</v>
      </c>
      <c r="I922" s="1" t="s">
        <v>11063</v>
      </c>
      <c r="J922" s="11">
        <v>44729.706458333334</v>
      </c>
      <c r="K922" s="1" t="s">
        <v>256</v>
      </c>
      <c r="L922" s="1">
        <v>0.61799999999999999</v>
      </c>
      <c r="M922" s="1">
        <v>0.65400000000000003</v>
      </c>
      <c r="N922">
        <v>0</v>
      </c>
      <c r="O922" s="1">
        <v>-6.0659999999999998</v>
      </c>
      <c r="P922">
        <v>0</v>
      </c>
      <c r="Q922" s="1">
        <v>0.32100000000000001</v>
      </c>
      <c r="R922" s="1">
        <v>0.45300000000000001</v>
      </c>
      <c r="S922" s="1">
        <v>0.191</v>
      </c>
      <c r="T922" s="1">
        <v>0.11899999999999999</v>
      </c>
      <c r="U922" s="1">
        <v>0.45700000000000002</v>
      </c>
      <c r="V922" s="1">
        <v>75.052999999999997</v>
      </c>
      <c r="W922">
        <v>4</v>
      </c>
    </row>
    <row r="923" spans="1:23" x14ac:dyDescent="0.25">
      <c r="A923" s="1" t="s">
        <v>15447</v>
      </c>
      <c r="B923" s="1" t="s">
        <v>15448</v>
      </c>
      <c r="C923" s="1" t="s">
        <v>3672</v>
      </c>
      <c r="D923" s="1" t="s">
        <v>3672</v>
      </c>
      <c r="E923" s="1" t="s">
        <v>3673</v>
      </c>
      <c r="F923" s="1" t="s">
        <v>13520</v>
      </c>
      <c r="G923">
        <v>246204</v>
      </c>
      <c r="H923">
        <v>31</v>
      </c>
      <c r="I923" s="1" t="s">
        <v>11063</v>
      </c>
      <c r="J923" s="11">
        <v>44729.706458333334</v>
      </c>
      <c r="K923" s="1" t="s">
        <v>50</v>
      </c>
      <c r="L923" s="1">
        <v>0.39100000000000001</v>
      </c>
      <c r="M923" s="1">
        <v>0.76100000000000001</v>
      </c>
      <c r="N923">
        <v>8</v>
      </c>
      <c r="O923" s="1">
        <v>-2.6320000000000001</v>
      </c>
      <c r="P923">
        <v>0</v>
      </c>
      <c r="Q923" s="1">
        <v>0.54900000000000004</v>
      </c>
      <c r="R923" s="1">
        <v>0.64</v>
      </c>
      <c r="S923" s="1">
        <v>0</v>
      </c>
      <c r="T923" s="1">
        <v>0.10100000000000001</v>
      </c>
      <c r="U923" s="1">
        <v>0.34100000000000003</v>
      </c>
      <c r="V923" s="1">
        <v>155.71199999999999</v>
      </c>
      <c r="W923">
        <v>4</v>
      </c>
    </row>
    <row r="924" spans="1:23" x14ac:dyDescent="0.25">
      <c r="A924" s="1" t="s">
        <v>15449</v>
      </c>
      <c r="B924" s="1" t="s">
        <v>15450</v>
      </c>
      <c r="C924" s="1" t="s">
        <v>3674</v>
      </c>
      <c r="D924" s="1" t="s">
        <v>3674</v>
      </c>
      <c r="E924" s="1" t="s">
        <v>3675</v>
      </c>
      <c r="F924" s="1" t="s">
        <v>15451</v>
      </c>
      <c r="G924">
        <v>229773</v>
      </c>
      <c r="H924">
        <v>28</v>
      </c>
      <c r="I924" s="1" t="s">
        <v>11063</v>
      </c>
      <c r="J924" s="11">
        <v>44729.706458333334</v>
      </c>
      <c r="K924" s="1" t="s">
        <v>3676</v>
      </c>
      <c r="L924" s="1">
        <v>0.40899999999999997</v>
      </c>
      <c r="M924" s="1">
        <v>0.57099999999999995</v>
      </c>
      <c r="N924">
        <v>9</v>
      </c>
      <c r="O924" s="1">
        <v>-8.8239999999999998</v>
      </c>
      <c r="P924">
        <v>0</v>
      </c>
      <c r="Q924" s="1">
        <v>0.48199999999999998</v>
      </c>
      <c r="R924" s="1">
        <v>0.186</v>
      </c>
      <c r="S924" s="1">
        <v>0</v>
      </c>
      <c r="T924" s="1">
        <v>0.42899999999999999</v>
      </c>
      <c r="U924" s="1">
        <v>0.81899999999999995</v>
      </c>
      <c r="V924" s="1">
        <v>139.916</v>
      </c>
      <c r="W924">
        <v>4</v>
      </c>
    </row>
    <row r="925" spans="1:23" x14ac:dyDescent="0.25">
      <c r="A925" s="1" t="s">
        <v>15452</v>
      </c>
      <c r="B925" s="1" t="s">
        <v>15453</v>
      </c>
      <c r="C925" s="1" t="s">
        <v>3677</v>
      </c>
      <c r="D925" s="1" t="s">
        <v>3677</v>
      </c>
      <c r="E925" s="1" t="s">
        <v>3678</v>
      </c>
      <c r="F925" s="1" t="s">
        <v>13677</v>
      </c>
      <c r="G925">
        <v>168000</v>
      </c>
      <c r="H925">
        <v>33</v>
      </c>
      <c r="I925" s="1" t="s">
        <v>11063</v>
      </c>
      <c r="J925" s="11">
        <v>44729.706458333334</v>
      </c>
      <c r="K925" s="1" t="s">
        <v>3679</v>
      </c>
      <c r="L925" s="1">
        <v>0.78300000000000003</v>
      </c>
      <c r="M925" s="1">
        <v>0.73499999999999999</v>
      </c>
      <c r="N925">
        <v>11</v>
      </c>
      <c r="O925" s="1">
        <v>-5.57</v>
      </c>
      <c r="P925">
        <v>0</v>
      </c>
      <c r="Q925" s="1">
        <v>0.36099999999999999</v>
      </c>
      <c r="R925" s="1">
        <v>0.51700000000000002</v>
      </c>
      <c r="S925" s="1">
        <v>0</v>
      </c>
      <c r="T925" s="1">
        <v>0.13</v>
      </c>
      <c r="U925" s="1">
        <v>0.83099999999999996</v>
      </c>
      <c r="V925" s="1">
        <v>140.00299999999999</v>
      </c>
      <c r="W925">
        <v>4</v>
      </c>
    </row>
    <row r="926" spans="1:23" x14ac:dyDescent="0.25">
      <c r="A926" s="1" t="s">
        <v>15454</v>
      </c>
      <c r="B926" s="1" t="s">
        <v>12852</v>
      </c>
      <c r="C926" s="1" t="s">
        <v>3680</v>
      </c>
      <c r="D926" s="1" t="s">
        <v>3680</v>
      </c>
      <c r="E926" s="1" t="s">
        <v>1312</v>
      </c>
      <c r="F926" s="1" t="s">
        <v>15455</v>
      </c>
      <c r="G926">
        <v>193924</v>
      </c>
      <c r="H926">
        <v>33</v>
      </c>
      <c r="I926" s="1" t="s">
        <v>11063</v>
      </c>
      <c r="J926" s="11">
        <v>44729.706458333334</v>
      </c>
      <c r="K926" s="1" t="s">
        <v>1053</v>
      </c>
      <c r="L926" s="1">
        <v>0.64100000000000001</v>
      </c>
      <c r="M926" s="1">
        <v>0.79400000000000004</v>
      </c>
      <c r="N926">
        <v>8</v>
      </c>
      <c r="O926" s="1" t="s">
        <v>3681</v>
      </c>
      <c r="P926">
        <v>0</v>
      </c>
      <c r="Q926" s="1">
        <v>0.32100000000000001</v>
      </c>
      <c r="R926" s="1">
        <v>0.63300000000000001</v>
      </c>
      <c r="S926" s="1">
        <v>0</v>
      </c>
      <c r="T926" s="1">
        <v>0.91300000000000003</v>
      </c>
      <c r="U926" s="1">
        <v>0.27100000000000002</v>
      </c>
      <c r="V926" s="1">
        <v>124.983</v>
      </c>
      <c r="W926">
        <v>4</v>
      </c>
    </row>
    <row r="927" spans="1:23" x14ac:dyDescent="0.25">
      <c r="A927" s="1" t="s">
        <v>15456</v>
      </c>
      <c r="B927" s="1" t="s">
        <v>15457</v>
      </c>
      <c r="C927" s="1" t="s">
        <v>3682</v>
      </c>
      <c r="D927" s="1" t="s">
        <v>15458</v>
      </c>
      <c r="E927" s="1" t="s">
        <v>3683</v>
      </c>
      <c r="F927" s="1" t="s">
        <v>15459</v>
      </c>
      <c r="G927">
        <v>210461</v>
      </c>
      <c r="H927">
        <v>36</v>
      </c>
      <c r="I927" s="1" t="s">
        <v>11063</v>
      </c>
      <c r="J927" s="11">
        <v>44729.706458333334</v>
      </c>
      <c r="K927" s="1" t="s">
        <v>3684</v>
      </c>
      <c r="L927" s="1">
        <v>0.54200000000000004</v>
      </c>
      <c r="M927" s="1">
        <v>0.61499999999999999</v>
      </c>
      <c r="N927">
        <v>6</v>
      </c>
      <c r="O927" s="1">
        <v>-7.851</v>
      </c>
      <c r="P927">
        <v>1</v>
      </c>
      <c r="Q927" s="1">
        <v>0.64500000000000002</v>
      </c>
      <c r="R927" s="1">
        <v>0.83499999999999996</v>
      </c>
      <c r="S927" s="1">
        <v>0.86899999999999999</v>
      </c>
      <c r="T927" s="1">
        <v>0.14599999999999999</v>
      </c>
      <c r="U927" s="1">
        <v>0.16800000000000001</v>
      </c>
      <c r="V927" s="1">
        <v>130.03100000000001</v>
      </c>
      <c r="W927">
        <v>4</v>
      </c>
    </row>
    <row r="928" spans="1:23" x14ac:dyDescent="0.25">
      <c r="A928" s="1" t="s">
        <v>15460</v>
      </c>
      <c r="B928" s="1" t="s">
        <v>15461</v>
      </c>
      <c r="C928" s="1" t="s">
        <v>3685</v>
      </c>
      <c r="D928" s="1" t="s">
        <v>3685</v>
      </c>
      <c r="E928" s="1" t="s">
        <v>3686</v>
      </c>
      <c r="F928" s="1" t="s">
        <v>15462</v>
      </c>
      <c r="G928">
        <v>170675</v>
      </c>
      <c r="H928">
        <v>36</v>
      </c>
      <c r="I928" s="1" t="s">
        <v>11063</v>
      </c>
      <c r="J928" s="11">
        <v>44729.706458333334</v>
      </c>
      <c r="K928" s="1" t="s">
        <v>50</v>
      </c>
      <c r="L928" s="1">
        <v>0.55100000000000005</v>
      </c>
      <c r="M928" s="1">
        <v>0.76300000000000001</v>
      </c>
      <c r="N928">
        <v>10</v>
      </c>
      <c r="O928" s="1">
        <v>-5.7729999999999997</v>
      </c>
      <c r="P928">
        <v>0</v>
      </c>
      <c r="Q928" s="1">
        <v>0.33400000000000002</v>
      </c>
      <c r="R928" s="1">
        <v>0.45100000000000001</v>
      </c>
      <c r="S928" s="1">
        <v>0.45400000000000001</v>
      </c>
      <c r="T928" s="1">
        <v>0.83799999999999997</v>
      </c>
      <c r="U928" s="1">
        <v>0.50900000000000001</v>
      </c>
      <c r="V928" s="1">
        <v>134.94399999999999</v>
      </c>
      <c r="W928">
        <v>4</v>
      </c>
    </row>
    <row r="929" spans="1:23" x14ac:dyDescent="0.25">
      <c r="A929" s="1" t="s">
        <v>15463</v>
      </c>
      <c r="B929" s="1" t="s">
        <v>15464</v>
      </c>
      <c r="C929" s="1" t="s">
        <v>3687</v>
      </c>
      <c r="D929" s="1" t="s">
        <v>3687</v>
      </c>
      <c r="E929" s="1" t="s">
        <v>3688</v>
      </c>
      <c r="F929" s="1" t="s">
        <v>15465</v>
      </c>
      <c r="G929">
        <v>198875</v>
      </c>
      <c r="H929">
        <v>32</v>
      </c>
      <c r="I929" s="1" t="s">
        <v>11063</v>
      </c>
      <c r="J929" s="11">
        <v>44729.706458333334</v>
      </c>
      <c r="K929" s="1" t="s">
        <v>3689</v>
      </c>
      <c r="L929" s="1">
        <v>0.46300000000000002</v>
      </c>
      <c r="M929" s="1">
        <v>0.70199999999999996</v>
      </c>
      <c r="N929">
        <v>0</v>
      </c>
      <c r="O929" s="1">
        <v>-6.8620000000000001</v>
      </c>
      <c r="P929">
        <v>1</v>
      </c>
      <c r="Q929" s="1">
        <v>0.59199999999999997</v>
      </c>
      <c r="R929" s="1">
        <v>0.58399999999999996</v>
      </c>
      <c r="S929" s="1">
        <v>0.57599999999999996</v>
      </c>
      <c r="T929" s="1">
        <v>0.27200000000000002</v>
      </c>
      <c r="U929" s="1">
        <v>0.69799999999999995</v>
      </c>
      <c r="V929" s="1">
        <v>139.83099999999999</v>
      </c>
      <c r="W929">
        <v>4</v>
      </c>
    </row>
    <row r="930" spans="1:23" x14ac:dyDescent="0.25">
      <c r="A930" s="1" t="s">
        <v>15466</v>
      </c>
      <c r="B930" s="1" t="s">
        <v>15467</v>
      </c>
      <c r="C930" s="1" t="s">
        <v>3690</v>
      </c>
      <c r="D930" s="1" t="s">
        <v>3690</v>
      </c>
      <c r="E930" s="1" t="s">
        <v>3691</v>
      </c>
      <c r="F930" s="1" t="s">
        <v>15468</v>
      </c>
      <c r="G930">
        <v>211200</v>
      </c>
      <c r="H930">
        <v>37</v>
      </c>
      <c r="I930" s="1" t="s">
        <v>11063</v>
      </c>
      <c r="J930" s="11">
        <v>44729.706458333334</v>
      </c>
      <c r="K930" s="1" t="s">
        <v>50</v>
      </c>
      <c r="L930" s="1">
        <v>0.36599999999999999</v>
      </c>
      <c r="M930" s="1">
        <v>0.48299999999999998</v>
      </c>
      <c r="N930">
        <v>8</v>
      </c>
      <c r="O930" s="1">
        <v>-9.52</v>
      </c>
      <c r="P930">
        <v>1</v>
      </c>
      <c r="Q930" s="1">
        <v>0.33400000000000002</v>
      </c>
      <c r="R930" s="1">
        <v>0.24</v>
      </c>
      <c r="S930" s="1">
        <v>0.56399999999999995</v>
      </c>
      <c r="T930" s="1">
        <v>0.80100000000000005</v>
      </c>
      <c r="U930" s="1">
        <v>0.47</v>
      </c>
      <c r="V930" s="1">
        <v>75.106999999999999</v>
      </c>
      <c r="W930">
        <v>4</v>
      </c>
    </row>
    <row r="931" spans="1:23" x14ac:dyDescent="0.25">
      <c r="A931" s="1" t="s">
        <v>15469</v>
      </c>
      <c r="B931" s="1" t="s">
        <v>15470</v>
      </c>
      <c r="C931" s="1" t="s">
        <v>3692</v>
      </c>
      <c r="D931" s="1" t="s">
        <v>3692</v>
      </c>
      <c r="E931" s="1" t="s">
        <v>3693</v>
      </c>
      <c r="F931" s="1" t="s">
        <v>15471</v>
      </c>
      <c r="G931">
        <v>162782</v>
      </c>
      <c r="H931">
        <v>39</v>
      </c>
      <c r="I931" s="1" t="s">
        <v>11063</v>
      </c>
      <c r="J931" s="11">
        <v>44729.706458333334</v>
      </c>
      <c r="K931" s="1" t="s">
        <v>3694</v>
      </c>
      <c r="L931" s="1">
        <v>0.67500000000000004</v>
      </c>
      <c r="M931" s="1">
        <v>0.77200000000000002</v>
      </c>
      <c r="N931">
        <v>1</v>
      </c>
      <c r="O931" s="1">
        <v>-5.9880000000000004</v>
      </c>
      <c r="P931">
        <v>0</v>
      </c>
      <c r="Q931" s="1">
        <v>0.34100000000000003</v>
      </c>
      <c r="R931" s="1">
        <v>0.47</v>
      </c>
      <c r="S931" s="1">
        <v>0.13500000000000001</v>
      </c>
      <c r="T931" s="1">
        <v>0.25700000000000001</v>
      </c>
      <c r="U931" s="1">
        <v>0.38800000000000001</v>
      </c>
      <c r="V931" s="1">
        <v>114.974</v>
      </c>
      <c r="W931">
        <v>4</v>
      </c>
    </row>
    <row r="932" spans="1:23" x14ac:dyDescent="0.25">
      <c r="A932" s="1" t="s">
        <v>15472</v>
      </c>
      <c r="B932" s="1" t="s">
        <v>15473</v>
      </c>
      <c r="C932" s="1" t="s">
        <v>3695</v>
      </c>
      <c r="D932" s="1" t="s">
        <v>3695</v>
      </c>
      <c r="E932" s="1" t="s">
        <v>3696</v>
      </c>
      <c r="F932" s="1" t="s">
        <v>14583</v>
      </c>
      <c r="G932">
        <v>171386</v>
      </c>
      <c r="H932">
        <v>32</v>
      </c>
      <c r="I932" s="1" t="s">
        <v>11063</v>
      </c>
      <c r="J932" s="11">
        <v>44729.706458333334</v>
      </c>
      <c r="K932" s="1" t="s">
        <v>3697</v>
      </c>
      <c r="L932" s="1">
        <v>0.42</v>
      </c>
      <c r="M932" s="1">
        <v>0.73499999999999999</v>
      </c>
      <c r="N932">
        <v>3</v>
      </c>
      <c r="O932" s="1">
        <v>-5.3630000000000004</v>
      </c>
      <c r="P932">
        <v>1</v>
      </c>
      <c r="Q932" s="1">
        <v>0.96899999999999997</v>
      </c>
      <c r="R932" s="1">
        <v>0.183</v>
      </c>
      <c r="S932" s="1">
        <v>0.36899999999999999</v>
      </c>
      <c r="T932" s="1">
        <v>0.83399999999999996</v>
      </c>
      <c r="U932" s="1">
        <v>0.41799999999999998</v>
      </c>
      <c r="V932" s="1">
        <v>148.03100000000001</v>
      </c>
      <c r="W932">
        <v>4</v>
      </c>
    </row>
    <row r="933" spans="1:23" x14ac:dyDescent="0.25">
      <c r="A933" s="1" t="s">
        <v>15474</v>
      </c>
      <c r="B933" s="1" t="s">
        <v>15475</v>
      </c>
      <c r="C933" s="1" t="s">
        <v>3698</v>
      </c>
      <c r="D933" s="1" t="s">
        <v>3698</v>
      </c>
      <c r="E933" s="1" t="s">
        <v>3699</v>
      </c>
      <c r="F933" s="1" t="s">
        <v>15476</v>
      </c>
      <c r="G933">
        <v>185163</v>
      </c>
      <c r="H933">
        <v>44</v>
      </c>
      <c r="I933" s="1" t="s">
        <v>11063</v>
      </c>
      <c r="J933" s="11">
        <v>44729.706458333334</v>
      </c>
      <c r="K933" s="1" t="s">
        <v>3700</v>
      </c>
      <c r="L933" s="1">
        <v>0.63400000000000001</v>
      </c>
      <c r="M933" s="1">
        <v>0.68899999999999995</v>
      </c>
      <c r="N933">
        <v>0</v>
      </c>
      <c r="O933" s="1">
        <v>-4.9420000000000002</v>
      </c>
      <c r="P933">
        <v>1</v>
      </c>
      <c r="Q933" s="1">
        <v>0.26500000000000001</v>
      </c>
      <c r="R933" s="1">
        <v>0.52700000000000002</v>
      </c>
      <c r="S933" s="1">
        <v>0.19</v>
      </c>
      <c r="T933" s="1">
        <v>0.187</v>
      </c>
      <c r="U933" s="1">
        <v>0.36699999999999999</v>
      </c>
      <c r="V933" s="1">
        <v>121.986</v>
      </c>
      <c r="W933">
        <v>4</v>
      </c>
    </row>
    <row r="934" spans="1:23" x14ac:dyDescent="0.25">
      <c r="A934" s="1" t="s">
        <v>15477</v>
      </c>
      <c r="B934" s="1" t="s">
        <v>15478</v>
      </c>
      <c r="C934" s="1" t="s">
        <v>3701</v>
      </c>
      <c r="D934" s="1" t="s">
        <v>15479</v>
      </c>
      <c r="E934" s="1" t="s">
        <v>3702</v>
      </c>
      <c r="F934" s="1" t="s">
        <v>11395</v>
      </c>
      <c r="G934">
        <v>190893</v>
      </c>
      <c r="H934">
        <v>61</v>
      </c>
      <c r="I934" s="1" t="s">
        <v>11063</v>
      </c>
      <c r="J934" s="11">
        <v>44729.706458333334</v>
      </c>
      <c r="K934" s="1" t="s">
        <v>3703</v>
      </c>
      <c r="L934" s="1">
        <v>0.73</v>
      </c>
      <c r="M934" s="1">
        <v>0.63400000000000001</v>
      </c>
      <c r="N934">
        <v>10</v>
      </c>
      <c r="O934" s="1">
        <v>-5.0839999999999996</v>
      </c>
      <c r="P934">
        <v>0</v>
      </c>
      <c r="Q934" s="1">
        <v>0.50900000000000001</v>
      </c>
      <c r="R934" s="1">
        <v>0.18099999999999999</v>
      </c>
      <c r="S934" s="1">
        <v>0.224</v>
      </c>
      <c r="T934" s="1">
        <v>0.11799999999999999</v>
      </c>
      <c r="U934" s="1">
        <v>0.182</v>
      </c>
      <c r="V934" s="1">
        <v>126.02200000000001</v>
      </c>
      <c r="W934">
        <v>4</v>
      </c>
    </row>
    <row r="935" spans="1:23" x14ac:dyDescent="0.25">
      <c r="A935" s="1" t="s">
        <v>15480</v>
      </c>
      <c r="B935" s="1" t="s">
        <v>15481</v>
      </c>
      <c r="C935" s="1" t="s">
        <v>3704</v>
      </c>
      <c r="D935" s="1" t="s">
        <v>3704</v>
      </c>
      <c r="E935" s="1" t="s">
        <v>3705</v>
      </c>
      <c r="F935" s="1" t="s">
        <v>15482</v>
      </c>
      <c r="G935">
        <v>233601</v>
      </c>
      <c r="H935">
        <v>40</v>
      </c>
      <c r="I935" s="1" t="s">
        <v>11063</v>
      </c>
      <c r="J935" s="11">
        <v>44729.706458333334</v>
      </c>
      <c r="K935" s="1" t="s">
        <v>3706</v>
      </c>
      <c r="L935" s="1">
        <v>0.30599999999999999</v>
      </c>
      <c r="M935" s="1">
        <v>0.47199999999999998</v>
      </c>
      <c r="N935">
        <v>0</v>
      </c>
      <c r="O935" s="1">
        <v>-25.669</v>
      </c>
      <c r="P935">
        <v>1</v>
      </c>
      <c r="Q935" s="1">
        <v>0.54900000000000004</v>
      </c>
      <c r="R935" s="1">
        <v>0.99299999999999999</v>
      </c>
      <c r="S935" s="1">
        <v>0.91400000000000003</v>
      </c>
      <c r="T935" s="1">
        <v>0.79900000000000004</v>
      </c>
      <c r="U935" s="1">
        <v>0.106</v>
      </c>
      <c r="V935" s="1">
        <v>135.74299999999999</v>
      </c>
      <c r="W935">
        <v>3</v>
      </c>
    </row>
    <row r="936" spans="1:23" x14ac:dyDescent="0.25">
      <c r="A936" s="1" t="s">
        <v>15483</v>
      </c>
      <c r="B936" s="1" t="s">
        <v>15484</v>
      </c>
      <c r="C936" s="1" t="s">
        <v>3707</v>
      </c>
      <c r="D936" s="1" t="s">
        <v>15485</v>
      </c>
      <c r="E936" s="1" t="s">
        <v>3708</v>
      </c>
      <c r="F936" s="1" t="s">
        <v>15353</v>
      </c>
      <c r="G936">
        <v>279692</v>
      </c>
      <c r="H936">
        <v>47</v>
      </c>
      <c r="I936" s="1" t="s">
        <v>11063</v>
      </c>
      <c r="J936" s="11">
        <v>44729.706458333334</v>
      </c>
      <c r="K936" s="1" t="s">
        <v>3709</v>
      </c>
      <c r="L936" s="1">
        <v>0.49399999999999999</v>
      </c>
      <c r="M936" s="1">
        <v>0.53300000000000003</v>
      </c>
      <c r="N936">
        <v>6</v>
      </c>
      <c r="O936" s="1">
        <v>-8.1829999999999998</v>
      </c>
      <c r="P936">
        <v>1</v>
      </c>
      <c r="Q936" s="1">
        <v>0.36799999999999999</v>
      </c>
      <c r="R936" s="1">
        <v>0.34399999999999997</v>
      </c>
      <c r="S936" s="1">
        <v>0.29699999999999999</v>
      </c>
      <c r="T936" s="1">
        <v>0.11</v>
      </c>
      <c r="U936" s="1">
        <v>0.41</v>
      </c>
      <c r="V936" s="1">
        <v>108.00700000000001</v>
      </c>
      <c r="W936">
        <v>4</v>
      </c>
    </row>
    <row r="937" spans="1:23" x14ac:dyDescent="0.25">
      <c r="A937" s="1" t="s">
        <v>15486</v>
      </c>
      <c r="B937" s="1" t="s">
        <v>15484</v>
      </c>
      <c r="C937" s="1" t="s">
        <v>3710</v>
      </c>
      <c r="D937" s="1" t="s">
        <v>15485</v>
      </c>
      <c r="E937" s="1" t="s">
        <v>3708</v>
      </c>
      <c r="F937" s="1" t="s">
        <v>15353</v>
      </c>
      <c r="G937">
        <v>226217</v>
      </c>
      <c r="H937">
        <v>51</v>
      </c>
      <c r="I937" s="1" t="s">
        <v>11063</v>
      </c>
      <c r="J937" s="11">
        <v>44729.706458333334</v>
      </c>
      <c r="K937" s="1" t="s">
        <v>3709</v>
      </c>
      <c r="L937" s="1">
        <v>0.33900000000000002</v>
      </c>
      <c r="M937" s="1">
        <v>0.32100000000000001</v>
      </c>
      <c r="N937">
        <v>7</v>
      </c>
      <c r="O937" s="1">
        <v>-9.4440000000000008</v>
      </c>
      <c r="P937">
        <v>0</v>
      </c>
      <c r="Q937" s="1">
        <v>0.32200000000000001</v>
      </c>
      <c r="R937" s="1">
        <v>0.72399999999999998</v>
      </c>
      <c r="S937" s="1">
        <v>0.14299999999999999</v>
      </c>
      <c r="T937" s="1">
        <v>0.109</v>
      </c>
      <c r="U937" s="1">
        <v>0.186</v>
      </c>
      <c r="V937" s="1">
        <v>174.274</v>
      </c>
      <c r="W937">
        <v>4</v>
      </c>
    </row>
    <row r="938" spans="1:23" x14ac:dyDescent="0.25">
      <c r="A938" s="1" t="s">
        <v>15487</v>
      </c>
      <c r="B938" s="1" t="s">
        <v>15488</v>
      </c>
      <c r="C938" s="1" t="s">
        <v>3711</v>
      </c>
      <c r="D938" s="1" t="s">
        <v>15485</v>
      </c>
      <c r="E938" s="1" t="s">
        <v>3712</v>
      </c>
      <c r="F938" s="1" t="s">
        <v>15353</v>
      </c>
      <c r="G938">
        <v>285821</v>
      </c>
      <c r="H938">
        <v>52</v>
      </c>
      <c r="I938" s="1" t="s">
        <v>11063</v>
      </c>
      <c r="J938" s="11">
        <v>44729.706458333334</v>
      </c>
      <c r="K938" s="1" t="s">
        <v>3713</v>
      </c>
      <c r="L938" s="1">
        <v>0.17699999999999999</v>
      </c>
      <c r="M938" s="1">
        <v>0.53100000000000003</v>
      </c>
      <c r="N938">
        <v>10</v>
      </c>
      <c r="O938" s="1">
        <v>-6.8140000000000001</v>
      </c>
      <c r="P938">
        <v>1</v>
      </c>
      <c r="Q938" s="1">
        <v>0.38700000000000001</v>
      </c>
      <c r="R938" s="1">
        <v>0.20100000000000001</v>
      </c>
      <c r="S938" s="1">
        <v>0.499</v>
      </c>
      <c r="T938" s="1">
        <v>0.996</v>
      </c>
      <c r="U938" s="1">
        <v>0.97</v>
      </c>
      <c r="V938" s="1">
        <v>84.289000000000001</v>
      </c>
      <c r="W938">
        <v>5</v>
      </c>
    </row>
    <row r="939" spans="1:23" x14ac:dyDescent="0.25">
      <c r="A939" s="1" t="s">
        <v>15489</v>
      </c>
      <c r="B939" s="1" t="s">
        <v>15484</v>
      </c>
      <c r="C939" s="1" t="s">
        <v>3714</v>
      </c>
      <c r="D939" s="1" t="s">
        <v>15485</v>
      </c>
      <c r="E939" s="1" t="s">
        <v>3708</v>
      </c>
      <c r="F939" s="1" t="s">
        <v>15353</v>
      </c>
      <c r="G939">
        <v>281974</v>
      </c>
      <c r="H939">
        <v>56</v>
      </c>
      <c r="I939" s="1" t="s">
        <v>11063</v>
      </c>
      <c r="J939" s="11">
        <v>44729.706458333334</v>
      </c>
      <c r="K939" s="1" t="s">
        <v>3709</v>
      </c>
      <c r="L939" s="1">
        <v>0.47399999999999998</v>
      </c>
      <c r="M939" s="1">
        <v>0.55800000000000005</v>
      </c>
      <c r="N939">
        <v>8</v>
      </c>
      <c r="O939" s="1">
        <v>-9.6880000000000006</v>
      </c>
      <c r="P939">
        <v>1</v>
      </c>
      <c r="Q939" s="1">
        <v>0.29799999999999999</v>
      </c>
      <c r="R939" s="1">
        <v>0.44800000000000001</v>
      </c>
      <c r="S939" s="1">
        <v>0.379</v>
      </c>
      <c r="T939" s="1">
        <v>0.80600000000000005</v>
      </c>
      <c r="U939" s="1">
        <v>0.29099999999999998</v>
      </c>
      <c r="V939" s="1">
        <v>143.99199999999999</v>
      </c>
      <c r="W939">
        <v>4</v>
      </c>
    </row>
    <row r="940" spans="1:23" x14ac:dyDescent="0.25">
      <c r="A940" s="1" t="s">
        <v>15490</v>
      </c>
      <c r="B940" s="1" t="s">
        <v>15484</v>
      </c>
      <c r="C940" s="1" t="s">
        <v>3715</v>
      </c>
      <c r="D940" s="1" t="s">
        <v>15485</v>
      </c>
      <c r="E940" s="1" t="s">
        <v>3708</v>
      </c>
      <c r="F940" s="1" t="s">
        <v>15353</v>
      </c>
      <c r="G940">
        <v>306889</v>
      </c>
      <c r="H940">
        <v>50</v>
      </c>
      <c r="I940" s="1" t="s">
        <v>11063</v>
      </c>
      <c r="J940" s="11">
        <v>44729.706458333334</v>
      </c>
      <c r="K940" s="1" t="s">
        <v>3709</v>
      </c>
      <c r="L940" s="1">
        <v>0.53400000000000003</v>
      </c>
      <c r="M940" s="1">
        <v>0.66800000000000004</v>
      </c>
      <c r="N940">
        <v>3</v>
      </c>
      <c r="O940" s="1">
        <v>-7.7130000000000001</v>
      </c>
      <c r="P940">
        <v>1</v>
      </c>
      <c r="Q940" s="1">
        <v>0.53600000000000003</v>
      </c>
      <c r="R940" s="1">
        <v>0.36199999999999999</v>
      </c>
      <c r="S940" s="1">
        <v>0</v>
      </c>
      <c r="T940" s="1">
        <v>0.81499999999999995</v>
      </c>
      <c r="U940" s="1">
        <v>0.35</v>
      </c>
      <c r="V940" s="1">
        <v>111.922</v>
      </c>
      <c r="W940">
        <v>4</v>
      </c>
    </row>
    <row r="941" spans="1:23" x14ac:dyDescent="0.25">
      <c r="A941" s="1" t="s">
        <v>15491</v>
      </c>
      <c r="B941" s="1" t="s">
        <v>15484</v>
      </c>
      <c r="C941" s="1" t="s">
        <v>3716</v>
      </c>
      <c r="D941" s="1" t="s">
        <v>15485</v>
      </c>
      <c r="E941" s="1" t="s">
        <v>3708</v>
      </c>
      <c r="F941" s="1" t="s">
        <v>15353</v>
      </c>
      <c r="G941">
        <v>240158</v>
      </c>
      <c r="H941">
        <v>45</v>
      </c>
      <c r="I941" s="1" t="s">
        <v>11063</v>
      </c>
      <c r="J941" s="11">
        <v>44729.706458333334</v>
      </c>
      <c r="K941" s="1" t="s">
        <v>3709</v>
      </c>
      <c r="L941" s="1">
        <v>0.34599999999999997</v>
      </c>
      <c r="M941" s="1">
        <v>0.376</v>
      </c>
      <c r="N941">
        <v>7</v>
      </c>
      <c r="O941" s="1">
        <v>-11.196999999999999</v>
      </c>
      <c r="P941">
        <v>0</v>
      </c>
      <c r="Q941" s="1">
        <v>0.47599999999999998</v>
      </c>
      <c r="R941" s="1">
        <v>0.53200000000000003</v>
      </c>
      <c r="S941" s="1">
        <v>0.71199999999999997</v>
      </c>
      <c r="T941" s="1">
        <v>0.75700000000000001</v>
      </c>
      <c r="U941" s="1">
        <v>0.33</v>
      </c>
      <c r="V941" s="1">
        <v>81.17</v>
      </c>
      <c r="W941">
        <v>4</v>
      </c>
    </row>
    <row r="942" spans="1:23" x14ac:dyDescent="0.25">
      <c r="A942" s="1" t="s">
        <v>15492</v>
      </c>
      <c r="B942" s="1" t="s">
        <v>15484</v>
      </c>
      <c r="C942" s="1" t="s">
        <v>3717</v>
      </c>
      <c r="D942" s="1" t="s">
        <v>15485</v>
      </c>
      <c r="E942" s="1" t="s">
        <v>3708</v>
      </c>
      <c r="F942" s="1" t="s">
        <v>15353</v>
      </c>
      <c r="G942">
        <v>251509</v>
      </c>
      <c r="H942">
        <v>47</v>
      </c>
      <c r="I942" s="1" t="s">
        <v>11063</v>
      </c>
      <c r="J942" s="11">
        <v>44729.706458333334</v>
      </c>
      <c r="K942" s="1" t="s">
        <v>3709</v>
      </c>
      <c r="L942" s="1">
        <v>0.45700000000000002</v>
      </c>
      <c r="M942" s="1">
        <v>0.72799999999999998</v>
      </c>
      <c r="N942">
        <v>2</v>
      </c>
      <c r="O942" s="1">
        <v>-8.625</v>
      </c>
      <c r="P942">
        <v>1</v>
      </c>
      <c r="Q942" s="1">
        <v>0.497</v>
      </c>
      <c r="R942" s="1">
        <v>0.192</v>
      </c>
      <c r="S942" s="1">
        <v>0.29199999999999998</v>
      </c>
      <c r="T942" s="1">
        <v>0.94399999999999995</v>
      </c>
      <c r="U942" s="1">
        <v>0.439</v>
      </c>
      <c r="V942" s="1">
        <v>84.975999999999999</v>
      </c>
      <c r="W942">
        <v>4</v>
      </c>
    </row>
    <row r="943" spans="1:23" x14ac:dyDescent="0.25">
      <c r="A943" s="1" t="s">
        <v>15493</v>
      </c>
      <c r="B943" s="1" t="s">
        <v>15484</v>
      </c>
      <c r="C943" s="1" t="s">
        <v>3718</v>
      </c>
      <c r="D943" s="1" t="s">
        <v>15485</v>
      </c>
      <c r="E943" s="1" t="s">
        <v>3708</v>
      </c>
      <c r="F943" s="1" t="s">
        <v>15353</v>
      </c>
      <c r="G943">
        <v>226497</v>
      </c>
      <c r="H943">
        <v>49</v>
      </c>
      <c r="I943" s="1" t="s">
        <v>11063</v>
      </c>
      <c r="J943" s="11">
        <v>44729.706458333334</v>
      </c>
      <c r="K943" s="1" t="s">
        <v>3709</v>
      </c>
      <c r="L943" s="1">
        <v>0.52700000000000002</v>
      </c>
      <c r="M943" s="1">
        <v>0.85199999999999998</v>
      </c>
      <c r="N943">
        <v>4</v>
      </c>
      <c r="O943" s="1">
        <v>-4.2030000000000003</v>
      </c>
      <c r="P943">
        <v>1</v>
      </c>
      <c r="Q943" s="1">
        <v>0.34699999999999998</v>
      </c>
      <c r="R943" s="1">
        <v>0.75800000000000001</v>
      </c>
      <c r="S943" s="1">
        <v>0</v>
      </c>
      <c r="T943" s="1">
        <v>0.104</v>
      </c>
      <c r="U943" s="1">
        <v>0.432</v>
      </c>
      <c r="V943" s="1">
        <v>98.037999999999997</v>
      </c>
      <c r="W943">
        <v>4</v>
      </c>
    </row>
    <row r="944" spans="1:23" x14ac:dyDescent="0.25">
      <c r="A944" s="1" t="s">
        <v>15494</v>
      </c>
      <c r="B944" s="1" t="s">
        <v>15484</v>
      </c>
      <c r="C944" s="1" t="s">
        <v>3719</v>
      </c>
      <c r="D944" s="1" t="s">
        <v>15485</v>
      </c>
      <c r="E944" s="1" t="s">
        <v>3708</v>
      </c>
      <c r="F944" s="1" t="s">
        <v>15353</v>
      </c>
      <c r="G944">
        <v>214930</v>
      </c>
      <c r="H944">
        <v>48</v>
      </c>
      <c r="I944" s="1" t="s">
        <v>11063</v>
      </c>
      <c r="J944" s="11">
        <v>44729.706458333334</v>
      </c>
      <c r="K944" s="1" t="s">
        <v>3709</v>
      </c>
      <c r="L944" s="1">
        <v>0.56200000000000006</v>
      </c>
      <c r="M944" s="1">
        <v>0.60199999999999998</v>
      </c>
      <c r="N944">
        <v>5</v>
      </c>
      <c r="O944" s="1">
        <v>-10.032</v>
      </c>
      <c r="P944">
        <v>0</v>
      </c>
      <c r="Q944" s="1">
        <v>0.33400000000000002</v>
      </c>
      <c r="R944" s="1">
        <v>0.95799999999999996</v>
      </c>
      <c r="S944" s="1">
        <v>0.57899999999999996</v>
      </c>
      <c r="T944" s="1">
        <v>0.13600000000000001</v>
      </c>
      <c r="U944" s="1">
        <v>0.69499999999999995</v>
      </c>
      <c r="V944" s="1">
        <v>172.065</v>
      </c>
      <c r="W944">
        <v>4</v>
      </c>
    </row>
    <row r="945" spans="1:23" x14ac:dyDescent="0.25">
      <c r="A945" s="1" t="s">
        <v>15495</v>
      </c>
      <c r="B945" s="1" t="s">
        <v>15484</v>
      </c>
      <c r="C945" s="1" t="s">
        <v>3720</v>
      </c>
      <c r="D945" s="1" t="s">
        <v>15485</v>
      </c>
      <c r="E945" s="1" t="s">
        <v>3708</v>
      </c>
      <c r="F945" s="1" t="s">
        <v>15353</v>
      </c>
      <c r="G945">
        <v>238870</v>
      </c>
      <c r="H945">
        <v>54</v>
      </c>
      <c r="I945" s="1" t="s">
        <v>11063</v>
      </c>
      <c r="J945" s="11">
        <v>44729.706458333334</v>
      </c>
      <c r="K945" s="1" t="s">
        <v>3709</v>
      </c>
      <c r="L945" s="1">
        <v>0.61699999999999999</v>
      </c>
      <c r="M945" s="1">
        <v>0.73699999999999999</v>
      </c>
      <c r="N945">
        <v>1</v>
      </c>
      <c r="O945" s="1">
        <v>-5.2240000000000002</v>
      </c>
      <c r="P945">
        <v>1</v>
      </c>
      <c r="Q945" s="1">
        <v>0.32100000000000001</v>
      </c>
      <c r="R945" s="1">
        <v>0.11899999999999999</v>
      </c>
      <c r="S945" s="1">
        <v>0</v>
      </c>
      <c r="T945" s="1">
        <v>0.57099999999999995</v>
      </c>
      <c r="U945" s="1">
        <v>0.52200000000000002</v>
      </c>
      <c r="V945" s="1">
        <v>120.033</v>
      </c>
      <c r="W945">
        <v>4</v>
      </c>
    </row>
    <row r="946" spans="1:23" x14ac:dyDescent="0.25">
      <c r="A946" s="1" t="s">
        <v>15496</v>
      </c>
      <c r="B946" s="1" t="s">
        <v>15484</v>
      </c>
      <c r="C946" s="1" t="s">
        <v>3721</v>
      </c>
      <c r="D946" s="1" t="s">
        <v>15485</v>
      </c>
      <c r="E946" s="1" t="s">
        <v>3708</v>
      </c>
      <c r="F946" s="1" t="s">
        <v>15353</v>
      </c>
      <c r="G946">
        <v>364114</v>
      </c>
      <c r="H946">
        <v>50</v>
      </c>
      <c r="I946" s="1" t="s">
        <v>11063</v>
      </c>
      <c r="J946" s="11">
        <v>44729.706458333334</v>
      </c>
      <c r="K946" s="1" t="s">
        <v>3709</v>
      </c>
      <c r="L946" s="1">
        <v>0.27700000000000002</v>
      </c>
      <c r="M946" s="1">
        <v>0.32</v>
      </c>
      <c r="N946">
        <v>1</v>
      </c>
      <c r="O946" s="1">
        <v>-11.579000000000001</v>
      </c>
      <c r="P946">
        <v>1</v>
      </c>
      <c r="Q946" s="1">
        <v>0.35699999999999998</v>
      </c>
      <c r="R946" s="1">
        <v>0.94899999999999995</v>
      </c>
      <c r="S946" s="1">
        <v>0.32300000000000001</v>
      </c>
      <c r="T946" s="1">
        <v>0.1</v>
      </c>
      <c r="U946" s="1">
        <v>0.63600000000000001</v>
      </c>
      <c r="V946" s="1">
        <v>96.492999999999995</v>
      </c>
      <c r="W946">
        <v>3</v>
      </c>
    </row>
    <row r="947" spans="1:23" x14ac:dyDescent="0.25">
      <c r="A947" s="1" t="s">
        <v>15497</v>
      </c>
      <c r="B947" s="1" t="s">
        <v>15484</v>
      </c>
      <c r="C947" s="1" t="s">
        <v>3722</v>
      </c>
      <c r="D947" s="1" t="s">
        <v>15485</v>
      </c>
      <c r="E947" s="1" t="s">
        <v>3708</v>
      </c>
      <c r="F947" s="1" t="s">
        <v>15353</v>
      </c>
      <c r="G947">
        <v>218509</v>
      </c>
      <c r="H947">
        <v>54</v>
      </c>
      <c r="I947" s="1" t="s">
        <v>11063</v>
      </c>
      <c r="J947" s="11">
        <v>44729.706458333334</v>
      </c>
      <c r="K947" s="1" t="s">
        <v>3709</v>
      </c>
      <c r="L947" s="1">
        <v>0.54100000000000004</v>
      </c>
      <c r="M947" s="1">
        <v>0.68500000000000005</v>
      </c>
      <c r="N947">
        <v>11</v>
      </c>
      <c r="O947" s="1">
        <v>-5.8440000000000003</v>
      </c>
      <c r="P947">
        <v>1</v>
      </c>
      <c r="Q947" s="1">
        <v>0.51</v>
      </c>
      <c r="R947" s="1">
        <v>0.98299999999999998</v>
      </c>
      <c r="S947" s="1">
        <v>0</v>
      </c>
      <c r="T947" s="1">
        <v>0.124</v>
      </c>
      <c r="U947" s="1">
        <v>0.442</v>
      </c>
      <c r="V947" s="1">
        <v>95.007999999999996</v>
      </c>
      <c r="W947">
        <v>4</v>
      </c>
    </row>
    <row r="948" spans="1:23" x14ac:dyDescent="0.25">
      <c r="A948" s="1" t="s">
        <v>15498</v>
      </c>
      <c r="B948" s="1" t="s">
        <v>15484</v>
      </c>
      <c r="C948" s="1" t="s">
        <v>3723</v>
      </c>
      <c r="D948" s="1" t="s">
        <v>15485</v>
      </c>
      <c r="E948" s="1" t="s">
        <v>3708</v>
      </c>
      <c r="F948" s="1" t="s">
        <v>15353</v>
      </c>
      <c r="G948">
        <v>309985</v>
      </c>
      <c r="H948">
        <v>58</v>
      </c>
      <c r="I948" s="1" t="s">
        <v>11063</v>
      </c>
      <c r="J948" s="11">
        <v>44729.706458333334</v>
      </c>
      <c r="K948" s="1" t="s">
        <v>3709</v>
      </c>
      <c r="L948" s="1">
        <v>0.56799999999999995</v>
      </c>
      <c r="M948" s="1">
        <v>0.56399999999999995</v>
      </c>
      <c r="N948">
        <v>6</v>
      </c>
      <c r="O948" s="1">
        <v>-8.2309999999999999</v>
      </c>
      <c r="P948">
        <v>1</v>
      </c>
      <c r="Q948" s="1">
        <v>0.27300000000000002</v>
      </c>
      <c r="R948" s="1">
        <v>0.105</v>
      </c>
      <c r="S948" s="1">
        <v>0.127</v>
      </c>
      <c r="T948" s="1">
        <v>0.76600000000000001</v>
      </c>
      <c r="U948" s="1">
        <v>0.38500000000000001</v>
      </c>
      <c r="V948" s="1">
        <v>115.059</v>
      </c>
      <c r="W948">
        <v>4</v>
      </c>
    </row>
    <row r="949" spans="1:23" x14ac:dyDescent="0.25">
      <c r="A949" s="1" t="s">
        <v>15499</v>
      </c>
      <c r="B949" s="1" t="s">
        <v>15500</v>
      </c>
      <c r="C949" s="1" t="s">
        <v>3724</v>
      </c>
      <c r="D949" s="1" t="s">
        <v>3724</v>
      </c>
      <c r="E949" s="1" t="s">
        <v>3725</v>
      </c>
      <c r="F949" s="1" t="s">
        <v>11365</v>
      </c>
      <c r="G949">
        <v>220221</v>
      </c>
      <c r="H949">
        <v>39</v>
      </c>
      <c r="I949" s="1" t="s">
        <v>11063</v>
      </c>
      <c r="J949" s="11">
        <v>44729.706458333334</v>
      </c>
      <c r="K949" s="1" t="s">
        <v>3726</v>
      </c>
      <c r="L949" s="1">
        <v>0.61699999999999999</v>
      </c>
      <c r="M949" s="1">
        <v>0.69499999999999995</v>
      </c>
      <c r="N949">
        <v>1</v>
      </c>
      <c r="O949" s="1">
        <v>-5.8810000000000002</v>
      </c>
      <c r="P949">
        <v>1</v>
      </c>
      <c r="Q949" s="1">
        <v>0.621</v>
      </c>
      <c r="R949" s="1">
        <v>0.108</v>
      </c>
      <c r="S949" s="1">
        <v>0.65800000000000003</v>
      </c>
      <c r="T949" s="1">
        <v>0.13800000000000001</v>
      </c>
      <c r="U949" s="1">
        <v>0.24099999999999999</v>
      </c>
      <c r="V949" s="1">
        <v>120.048</v>
      </c>
      <c r="W949">
        <v>4</v>
      </c>
    </row>
    <row r="950" spans="1:23" x14ac:dyDescent="0.25">
      <c r="A950" s="1" t="s">
        <v>11508</v>
      </c>
      <c r="B950" s="1" t="s">
        <v>11509</v>
      </c>
      <c r="C950" s="1" t="s">
        <v>3727</v>
      </c>
      <c r="D950" s="1" t="s">
        <v>11510</v>
      </c>
      <c r="E950" s="1" t="s">
        <v>257</v>
      </c>
      <c r="F950" s="1" t="s">
        <v>11365</v>
      </c>
      <c r="G950">
        <v>181927</v>
      </c>
      <c r="H950">
        <v>0</v>
      </c>
      <c r="I950" s="1" t="s">
        <v>11063</v>
      </c>
      <c r="J950" s="11">
        <v>44729.706458333334</v>
      </c>
      <c r="K950" s="1" t="s">
        <v>258</v>
      </c>
      <c r="L950" s="1">
        <v>0.48</v>
      </c>
      <c r="M950" s="1">
        <v>0.88400000000000001</v>
      </c>
      <c r="N950">
        <v>0</v>
      </c>
      <c r="O950" s="1">
        <v>-4.6669999999999998</v>
      </c>
      <c r="P950">
        <v>1</v>
      </c>
      <c r="Q950" s="1">
        <v>0.89700000000000002</v>
      </c>
      <c r="R950" s="1">
        <v>0.19900000000000001</v>
      </c>
      <c r="S950" s="1">
        <v>0.54100000000000004</v>
      </c>
      <c r="T950" s="1">
        <v>0.94</v>
      </c>
      <c r="U950" s="1">
        <v>0.623</v>
      </c>
      <c r="V950" s="1">
        <v>117.708</v>
      </c>
      <c r="W950">
        <v>4</v>
      </c>
    </row>
    <row r="951" spans="1:23" x14ac:dyDescent="0.25">
      <c r="A951" s="1" t="s">
        <v>15501</v>
      </c>
      <c r="B951" s="1" t="s">
        <v>15502</v>
      </c>
      <c r="C951" s="1" t="s">
        <v>3728</v>
      </c>
      <c r="D951" s="1" t="s">
        <v>15503</v>
      </c>
      <c r="E951" s="1" t="s">
        <v>3729</v>
      </c>
      <c r="F951" s="1" t="s">
        <v>11365</v>
      </c>
      <c r="G951">
        <v>211837</v>
      </c>
      <c r="H951">
        <v>64</v>
      </c>
      <c r="I951" s="1" t="s">
        <v>11063</v>
      </c>
      <c r="J951" s="11">
        <v>44729.706458333334</v>
      </c>
      <c r="K951" s="1" t="s">
        <v>3730</v>
      </c>
      <c r="L951" s="1">
        <v>0.51800000000000002</v>
      </c>
      <c r="M951" s="1">
        <v>0.318</v>
      </c>
      <c r="N951">
        <v>6</v>
      </c>
      <c r="O951" s="1">
        <v>-11.727</v>
      </c>
      <c r="P951">
        <v>1</v>
      </c>
      <c r="Q951" s="1">
        <v>0.749</v>
      </c>
      <c r="R951" s="1">
        <v>0.875</v>
      </c>
      <c r="S951" s="1">
        <v>0.42099999999999999</v>
      </c>
      <c r="T951" s="1">
        <v>0.13</v>
      </c>
      <c r="U951" s="1">
        <v>0.22700000000000001</v>
      </c>
      <c r="V951" s="1">
        <v>77.593999999999994</v>
      </c>
      <c r="W951">
        <v>4</v>
      </c>
    </row>
    <row r="952" spans="1:23" x14ac:dyDescent="0.25">
      <c r="A952" s="1" t="s">
        <v>15504</v>
      </c>
      <c r="B952" s="1" t="s">
        <v>15505</v>
      </c>
      <c r="C952" s="1" t="s">
        <v>3731</v>
      </c>
      <c r="D952" s="1" t="s">
        <v>3731</v>
      </c>
      <c r="E952" s="1" t="s">
        <v>3732</v>
      </c>
      <c r="F952" s="1" t="s">
        <v>11365</v>
      </c>
      <c r="G952">
        <v>119361</v>
      </c>
      <c r="H952">
        <v>17</v>
      </c>
      <c r="I952" s="1" t="s">
        <v>11063</v>
      </c>
      <c r="J952" s="11">
        <v>44729.706458333334</v>
      </c>
      <c r="K952" s="1" t="s">
        <v>2577</v>
      </c>
      <c r="L952" s="1">
        <v>0.77500000000000002</v>
      </c>
      <c r="M952" s="1">
        <v>0.56299999999999994</v>
      </c>
      <c r="N952">
        <v>2</v>
      </c>
      <c r="O952" s="1">
        <v>-9.173</v>
      </c>
      <c r="P952">
        <v>0</v>
      </c>
      <c r="Q952" s="1">
        <v>0.36199999999999999</v>
      </c>
      <c r="R952" s="1">
        <v>0.56399999999999995</v>
      </c>
      <c r="S952" s="1">
        <v>0</v>
      </c>
      <c r="T952" s="1">
        <v>0.124</v>
      </c>
      <c r="U952" s="1">
        <v>0.63400000000000001</v>
      </c>
      <c r="V952" s="1">
        <v>144.13200000000001</v>
      </c>
      <c r="W952">
        <v>4</v>
      </c>
    </row>
    <row r="953" spans="1:23" x14ac:dyDescent="0.25">
      <c r="A953" s="1" t="s">
        <v>15506</v>
      </c>
      <c r="B953" s="1" t="s">
        <v>11184</v>
      </c>
      <c r="C953" s="1" t="s">
        <v>3733</v>
      </c>
      <c r="D953" s="1" t="s">
        <v>15507</v>
      </c>
      <c r="E953" s="1" t="s">
        <v>2057</v>
      </c>
      <c r="F953" s="1" t="s">
        <v>15508</v>
      </c>
      <c r="G953">
        <v>144545</v>
      </c>
      <c r="H953">
        <v>47</v>
      </c>
      <c r="I953" s="1" t="s">
        <v>11063</v>
      </c>
      <c r="J953" s="11">
        <v>44729.706458333334</v>
      </c>
      <c r="K953" s="1" t="s">
        <v>50</v>
      </c>
      <c r="L953" s="1">
        <v>0.70299999999999996</v>
      </c>
      <c r="M953" s="1">
        <v>0.53600000000000003</v>
      </c>
      <c r="N953">
        <v>10</v>
      </c>
      <c r="O953" s="1">
        <v>-8.7140000000000004</v>
      </c>
      <c r="P953">
        <v>0</v>
      </c>
      <c r="Q953" s="1">
        <v>0.16600000000000001</v>
      </c>
      <c r="R953" s="1">
        <v>0.33700000000000002</v>
      </c>
      <c r="S953" s="1">
        <v>0</v>
      </c>
      <c r="T953" s="1">
        <v>0.155</v>
      </c>
      <c r="U953" s="1">
        <v>0.35899999999999999</v>
      </c>
      <c r="V953" s="1">
        <v>87.929000000000002</v>
      </c>
      <c r="W953">
        <v>4</v>
      </c>
    </row>
    <row r="954" spans="1:23" x14ac:dyDescent="0.25">
      <c r="A954" s="1" t="s">
        <v>15509</v>
      </c>
      <c r="B954" s="1" t="s">
        <v>15510</v>
      </c>
      <c r="C954" s="1" t="s">
        <v>3734</v>
      </c>
      <c r="D954" s="1" t="s">
        <v>15511</v>
      </c>
      <c r="E954" s="1" t="s">
        <v>3735</v>
      </c>
      <c r="F954" s="1" t="s">
        <v>15512</v>
      </c>
      <c r="G954">
        <v>228969</v>
      </c>
      <c r="H954">
        <v>50</v>
      </c>
      <c r="I954" s="1" t="s">
        <v>11063</v>
      </c>
      <c r="J954" s="11">
        <v>44729.706458333334</v>
      </c>
      <c r="K954" s="1" t="s">
        <v>1052</v>
      </c>
      <c r="L954" s="1">
        <v>0.51100000000000001</v>
      </c>
      <c r="M954" s="1">
        <v>0.89700000000000002</v>
      </c>
      <c r="N954">
        <v>9</v>
      </c>
      <c r="O954" s="1">
        <v>-2.0870000000000002</v>
      </c>
      <c r="P954">
        <v>0</v>
      </c>
      <c r="Q954" s="1">
        <v>0.32400000000000001</v>
      </c>
      <c r="R954" s="1">
        <v>0.218</v>
      </c>
      <c r="S954" s="1">
        <v>0.14199999999999999</v>
      </c>
      <c r="T954" s="1">
        <v>0.57299999999999995</v>
      </c>
      <c r="U954" s="1">
        <v>0.36899999999999999</v>
      </c>
      <c r="V954" s="1">
        <v>86.994</v>
      </c>
      <c r="W954">
        <v>4</v>
      </c>
    </row>
    <row r="955" spans="1:23" x14ac:dyDescent="0.25">
      <c r="A955" s="1" t="s">
        <v>15513</v>
      </c>
      <c r="B955" s="1" t="s">
        <v>15248</v>
      </c>
      <c r="C955" s="1" t="s">
        <v>3736</v>
      </c>
      <c r="D955" s="1" t="s">
        <v>15249</v>
      </c>
      <c r="E955" s="1" t="s">
        <v>3496</v>
      </c>
      <c r="F955" s="1" t="s">
        <v>15250</v>
      </c>
      <c r="G955">
        <v>183290</v>
      </c>
      <c r="H955">
        <v>82</v>
      </c>
      <c r="I955" s="1" t="s">
        <v>11063</v>
      </c>
      <c r="J955" s="11">
        <v>44729.706458333334</v>
      </c>
      <c r="K955" s="1" t="s">
        <v>1922</v>
      </c>
      <c r="L955" s="1">
        <v>0.79300000000000004</v>
      </c>
      <c r="M955" s="1">
        <v>0.79300000000000004</v>
      </c>
      <c r="N955">
        <v>11</v>
      </c>
      <c r="O955" s="1">
        <v>-4.5209999999999999</v>
      </c>
      <c r="P955">
        <v>0</v>
      </c>
      <c r="Q955" s="1">
        <v>0.83</v>
      </c>
      <c r="R955" s="1">
        <v>0.123</v>
      </c>
      <c r="S955" s="1">
        <v>0</v>
      </c>
      <c r="T955" s="1">
        <v>0.95099999999999996</v>
      </c>
      <c r="U955" s="1">
        <v>0.67900000000000005</v>
      </c>
      <c r="V955" s="1">
        <v>123.95</v>
      </c>
      <c r="W955">
        <v>4</v>
      </c>
    </row>
    <row r="956" spans="1:23" x14ac:dyDescent="0.25">
      <c r="A956" s="1" t="s">
        <v>15514</v>
      </c>
      <c r="B956" s="1" t="s">
        <v>15515</v>
      </c>
      <c r="C956" s="1" t="s">
        <v>3737</v>
      </c>
      <c r="D956" s="1" t="s">
        <v>3737</v>
      </c>
      <c r="E956" s="1" t="s">
        <v>3738</v>
      </c>
      <c r="F956" s="1" t="s">
        <v>11219</v>
      </c>
      <c r="G956">
        <v>163389</v>
      </c>
      <c r="H956">
        <v>18</v>
      </c>
      <c r="I956" s="1" t="s">
        <v>11063</v>
      </c>
      <c r="J956" s="11">
        <v>44729.706458333334</v>
      </c>
      <c r="K956" s="1" t="s">
        <v>3739</v>
      </c>
      <c r="L956" s="1">
        <v>0.68799999999999994</v>
      </c>
      <c r="M956" s="1">
        <v>0.72499999999999998</v>
      </c>
      <c r="N956">
        <v>2</v>
      </c>
      <c r="O956" s="1">
        <v>-7.8310000000000004</v>
      </c>
      <c r="P956">
        <v>1</v>
      </c>
      <c r="Q956" s="1">
        <v>0.45600000000000002</v>
      </c>
      <c r="R956" s="1">
        <v>0.20599999999999999</v>
      </c>
      <c r="S956" s="1">
        <v>0.91800000000000004</v>
      </c>
      <c r="T956" s="1">
        <v>0.85899999999999999</v>
      </c>
      <c r="U956" s="1">
        <v>0.224</v>
      </c>
      <c r="V956" s="1">
        <v>104.018</v>
      </c>
      <c r="W956">
        <v>4</v>
      </c>
    </row>
    <row r="957" spans="1:23" x14ac:dyDescent="0.25">
      <c r="A957" s="1" t="s">
        <v>15516</v>
      </c>
      <c r="B957" s="1" t="s">
        <v>15517</v>
      </c>
      <c r="C957" s="1" t="s">
        <v>3740</v>
      </c>
      <c r="D957" s="1" t="s">
        <v>15518</v>
      </c>
      <c r="E957" s="1" t="s">
        <v>3741</v>
      </c>
      <c r="F957" s="1" t="s">
        <v>15519</v>
      </c>
      <c r="G957">
        <v>200300</v>
      </c>
      <c r="H957">
        <v>28</v>
      </c>
      <c r="I957" s="1" t="s">
        <v>11063</v>
      </c>
      <c r="J957" s="11">
        <v>44729.706458333334</v>
      </c>
      <c r="K957" s="1" t="s">
        <v>3742</v>
      </c>
      <c r="L957" s="1">
        <v>0.68799999999999994</v>
      </c>
      <c r="M957" s="1">
        <v>0.76500000000000001</v>
      </c>
      <c r="N957">
        <v>8</v>
      </c>
      <c r="O957" s="1">
        <v>-5.1440000000000001</v>
      </c>
      <c r="P957">
        <v>1</v>
      </c>
      <c r="Q957" s="1">
        <v>0.55800000000000005</v>
      </c>
      <c r="R957" s="1">
        <v>0.34399999999999997</v>
      </c>
      <c r="S957" s="1">
        <v>0.70499999999999996</v>
      </c>
      <c r="T957" s="1">
        <v>0.10199999999999999</v>
      </c>
      <c r="U957" s="1">
        <v>0.26100000000000001</v>
      </c>
      <c r="V957" s="1">
        <v>149.99799999999999</v>
      </c>
      <c r="W957">
        <v>4</v>
      </c>
    </row>
    <row r="958" spans="1:23" x14ac:dyDescent="0.25">
      <c r="A958" s="1" t="s">
        <v>15520</v>
      </c>
      <c r="B958" s="1" t="s">
        <v>15521</v>
      </c>
      <c r="C958" s="1" t="s">
        <v>3743</v>
      </c>
      <c r="D958" s="1" t="s">
        <v>7803</v>
      </c>
      <c r="E958" s="1" t="s">
        <v>3744</v>
      </c>
      <c r="F958" s="1" t="s">
        <v>15522</v>
      </c>
      <c r="G958">
        <v>198000</v>
      </c>
      <c r="H958">
        <v>26</v>
      </c>
      <c r="I958" s="1" t="s">
        <v>11063</v>
      </c>
      <c r="J958" s="11">
        <v>44729.706458333334</v>
      </c>
      <c r="K958" s="1" t="s">
        <v>933</v>
      </c>
      <c r="L958" s="1">
        <v>0.69899999999999995</v>
      </c>
      <c r="M958" s="1">
        <v>0.76800000000000002</v>
      </c>
      <c r="N958">
        <v>0</v>
      </c>
      <c r="O958" s="1">
        <v>-3.7080000000000002</v>
      </c>
      <c r="P958">
        <v>1</v>
      </c>
      <c r="Q958" s="1">
        <v>0.42099999999999999</v>
      </c>
      <c r="R958" s="1">
        <v>0.316</v>
      </c>
      <c r="S958" s="1">
        <v>0</v>
      </c>
      <c r="T958" s="1">
        <v>0.2</v>
      </c>
      <c r="U958" s="1">
        <v>0.41899999999999998</v>
      </c>
      <c r="V958" s="1">
        <v>113.97799999999999</v>
      </c>
      <c r="W958">
        <v>4</v>
      </c>
    </row>
    <row r="959" spans="1:23" x14ac:dyDescent="0.25">
      <c r="A959" s="1" t="s">
        <v>15523</v>
      </c>
      <c r="B959" s="1" t="s">
        <v>15524</v>
      </c>
      <c r="C959" s="1" t="s">
        <v>3745</v>
      </c>
      <c r="D959" s="1" t="s">
        <v>15525</v>
      </c>
      <c r="E959" s="1" t="s">
        <v>3746</v>
      </c>
      <c r="F959" s="1" t="s">
        <v>14894</v>
      </c>
      <c r="G959">
        <v>260354</v>
      </c>
      <c r="H959">
        <v>29</v>
      </c>
      <c r="I959" s="1" t="s">
        <v>11063</v>
      </c>
      <c r="J959" s="11">
        <v>44729.706458333334</v>
      </c>
      <c r="K959" s="1" t="s">
        <v>2787</v>
      </c>
      <c r="L959" s="1">
        <v>0.67200000000000004</v>
      </c>
      <c r="M959" s="1">
        <v>0.56699999999999995</v>
      </c>
      <c r="N959">
        <v>11</v>
      </c>
      <c r="O959" s="1">
        <v>-8.3650000000000002</v>
      </c>
      <c r="P959">
        <v>1</v>
      </c>
      <c r="Q959" s="1">
        <v>0.10199999999999999</v>
      </c>
      <c r="R959" s="1">
        <v>0.41</v>
      </c>
      <c r="S959" s="1">
        <v>0.63300000000000001</v>
      </c>
      <c r="T959" s="1">
        <v>0.69899999999999995</v>
      </c>
      <c r="U959" s="1">
        <v>0.159</v>
      </c>
      <c r="V959" s="1">
        <v>123.92100000000001</v>
      </c>
      <c r="W959">
        <v>4</v>
      </c>
    </row>
    <row r="960" spans="1:23" x14ac:dyDescent="0.25">
      <c r="A960" s="1" t="s">
        <v>15526</v>
      </c>
      <c r="B960" s="1" t="s">
        <v>15527</v>
      </c>
      <c r="C960" s="1" t="s">
        <v>3747</v>
      </c>
      <c r="D960" s="1" t="s">
        <v>3747</v>
      </c>
      <c r="E960" s="1" t="s">
        <v>3748</v>
      </c>
      <c r="F960" s="1" t="s">
        <v>15512</v>
      </c>
      <c r="G960">
        <v>208800</v>
      </c>
      <c r="H960">
        <v>24</v>
      </c>
      <c r="I960" s="1" t="s">
        <v>11063</v>
      </c>
      <c r="J960" s="11">
        <v>44729.706458333334</v>
      </c>
      <c r="K960" s="1" t="s">
        <v>3749</v>
      </c>
      <c r="L960" s="1">
        <v>0.622</v>
      </c>
      <c r="M960" s="1">
        <v>0.64700000000000002</v>
      </c>
      <c r="N960">
        <v>9</v>
      </c>
      <c r="O960" s="1">
        <v>-6.915</v>
      </c>
      <c r="P960">
        <v>0</v>
      </c>
      <c r="Q960" s="1">
        <v>0.47299999999999998</v>
      </c>
      <c r="R960" s="1">
        <v>0.39</v>
      </c>
      <c r="S960" s="1">
        <v>0.58399999999999996</v>
      </c>
      <c r="T960" s="1">
        <v>0.16200000000000001</v>
      </c>
      <c r="U960" s="1">
        <v>0.312</v>
      </c>
      <c r="V960" s="1">
        <v>149.999</v>
      </c>
      <c r="W960">
        <v>4</v>
      </c>
    </row>
    <row r="961" spans="1:23" x14ac:dyDescent="0.25">
      <c r="A961" s="1" t="s">
        <v>15528</v>
      </c>
      <c r="B961" s="1" t="s">
        <v>15529</v>
      </c>
      <c r="C961" s="1" t="s">
        <v>3750</v>
      </c>
      <c r="D961" s="1" t="s">
        <v>3750</v>
      </c>
      <c r="E961" s="1" t="s">
        <v>3751</v>
      </c>
      <c r="F961" s="1" t="s">
        <v>15530</v>
      </c>
      <c r="G961">
        <v>208399</v>
      </c>
      <c r="H961">
        <v>35</v>
      </c>
      <c r="I961" s="1" t="s">
        <v>11063</v>
      </c>
      <c r="J961" s="11">
        <v>44729.706458333334</v>
      </c>
      <c r="K961" s="1" t="s">
        <v>50</v>
      </c>
      <c r="L961" s="1">
        <v>0.58399999999999996</v>
      </c>
      <c r="M961" s="1">
        <v>0.59899999999999998</v>
      </c>
      <c r="N961">
        <v>5</v>
      </c>
      <c r="O961" s="1">
        <v>-7.8680000000000003</v>
      </c>
      <c r="P961">
        <v>0</v>
      </c>
      <c r="Q961" s="1">
        <v>0.47299999999999998</v>
      </c>
      <c r="R961" s="1">
        <v>0.54800000000000004</v>
      </c>
      <c r="S961" s="1">
        <v>0.23200000000000001</v>
      </c>
      <c r="T961" s="1">
        <v>0.249</v>
      </c>
      <c r="U961" s="1">
        <v>0.61799999999999999</v>
      </c>
      <c r="V961" s="1">
        <v>110.157</v>
      </c>
      <c r="W961">
        <v>4</v>
      </c>
    </row>
    <row r="962" spans="1:23" x14ac:dyDescent="0.25">
      <c r="A962" s="1" t="s">
        <v>15531</v>
      </c>
      <c r="B962" s="1" t="s">
        <v>14083</v>
      </c>
      <c r="C962" s="1" t="s">
        <v>3752</v>
      </c>
      <c r="D962" s="1" t="s">
        <v>15532</v>
      </c>
      <c r="E962" s="1" t="s">
        <v>2471</v>
      </c>
      <c r="F962" s="1" t="s">
        <v>15533</v>
      </c>
      <c r="G962">
        <v>240000</v>
      </c>
      <c r="H962">
        <v>31</v>
      </c>
      <c r="I962" s="1" t="s">
        <v>11063</v>
      </c>
      <c r="J962" s="11">
        <v>44729.706458333334</v>
      </c>
      <c r="K962" s="1" t="s">
        <v>2405</v>
      </c>
      <c r="L962" s="1">
        <v>0.66400000000000003</v>
      </c>
      <c r="M962" s="1">
        <v>0.83899999999999997</v>
      </c>
      <c r="N962">
        <v>10</v>
      </c>
      <c r="O962" s="1">
        <v>-5.4409999999999998</v>
      </c>
      <c r="P962">
        <v>0</v>
      </c>
      <c r="Q962" s="1">
        <v>0.55200000000000005</v>
      </c>
      <c r="R962" s="1">
        <v>0.83799999999999997</v>
      </c>
      <c r="S962" s="1">
        <v>0.48299999999999998</v>
      </c>
      <c r="T962" s="1">
        <v>0.878</v>
      </c>
      <c r="U962" s="1">
        <v>0.32700000000000001</v>
      </c>
      <c r="V962" s="1">
        <v>129.97</v>
      </c>
      <c r="W962">
        <v>4</v>
      </c>
    </row>
    <row r="963" spans="1:23" x14ac:dyDescent="0.25">
      <c r="A963" s="1" t="s">
        <v>15534</v>
      </c>
      <c r="B963" s="1" t="s">
        <v>15535</v>
      </c>
      <c r="C963" s="1" t="s">
        <v>3753</v>
      </c>
      <c r="D963" s="1" t="s">
        <v>3753</v>
      </c>
      <c r="E963" s="1" t="s">
        <v>3754</v>
      </c>
      <c r="F963" s="1" t="s">
        <v>15536</v>
      </c>
      <c r="G963">
        <v>204800</v>
      </c>
      <c r="H963">
        <v>27</v>
      </c>
      <c r="I963" s="1" t="s">
        <v>11063</v>
      </c>
      <c r="J963" s="11">
        <v>44729.706458333334</v>
      </c>
      <c r="K963" s="1" t="s">
        <v>933</v>
      </c>
      <c r="L963" s="1">
        <v>0.55700000000000005</v>
      </c>
      <c r="M963" s="1">
        <v>0.88200000000000001</v>
      </c>
      <c r="N963">
        <v>0</v>
      </c>
      <c r="O963" s="1">
        <v>-1.569</v>
      </c>
      <c r="P963">
        <v>1</v>
      </c>
      <c r="Q963" s="1">
        <v>0.56200000000000006</v>
      </c>
      <c r="R963" s="1">
        <v>0.57799999999999996</v>
      </c>
      <c r="S963" s="1">
        <v>0.873</v>
      </c>
      <c r="T963" s="1">
        <v>0.76800000000000002</v>
      </c>
      <c r="U963" s="1">
        <v>0.50700000000000001</v>
      </c>
      <c r="V963" s="1">
        <v>150.02099999999999</v>
      </c>
      <c r="W963">
        <v>4</v>
      </c>
    </row>
    <row r="964" spans="1:23" x14ac:dyDescent="0.25">
      <c r="A964" s="1" t="s">
        <v>15537</v>
      </c>
      <c r="B964" s="1" t="s">
        <v>15538</v>
      </c>
      <c r="C964" s="1" t="s">
        <v>3755</v>
      </c>
      <c r="D964" s="1" t="s">
        <v>15539</v>
      </c>
      <c r="E964" s="1" t="s">
        <v>3756</v>
      </c>
      <c r="F964" s="1" t="s">
        <v>11426</v>
      </c>
      <c r="G964">
        <v>305828</v>
      </c>
      <c r="H964">
        <v>39</v>
      </c>
      <c r="I964" s="1" t="s">
        <v>11063</v>
      </c>
      <c r="J964" s="11">
        <v>44729.706458333334</v>
      </c>
      <c r="K964" s="1" t="s">
        <v>50</v>
      </c>
      <c r="L964" s="1">
        <v>0.48799999999999999</v>
      </c>
      <c r="M964" s="1">
        <v>0.65700000000000003</v>
      </c>
      <c r="N964">
        <v>9</v>
      </c>
      <c r="O964" s="1">
        <v>-9.7469999999999999</v>
      </c>
      <c r="P964">
        <v>0</v>
      </c>
      <c r="Q964" s="1">
        <v>0.69699999999999995</v>
      </c>
      <c r="R964" s="1">
        <v>0.55600000000000005</v>
      </c>
      <c r="S964" s="1">
        <v>0.78300000000000003</v>
      </c>
      <c r="T964" s="1">
        <v>0.10299999999999999</v>
      </c>
      <c r="U964" s="1">
        <v>0.113</v>
      </c>
      <c r="V964" s="1">
        <v>175.041</v>
      </c>
      <c r="W964">
        <v>4</v>
      </c>
    </row>
    <row r="965" spans="1:23" x14ac:dyDescent="0.25">
      <c r="A965" s="1" t="s">
        <v>11511</v>
      </c>
      <c r="B965" s="1" t="s">
        <v>11512</v>
      </c>
      <c r="C965" s="1" t="s">
        <v>3757</v>
      </c>
      <c r="D965" s="1" t="s">
        <v>11513</v>
      </c>
      <c r="E965" s="1" t="s">
        <v>259</v>
      </c>
      <c r="F965" s="1" t="s">
        <v>11514</v>
      </c>
      <c r="G965">
        <v>216146</v>
      </c>
      <c r="H965">
        <v>71</v>
      </c>
      <c r="I965" s="1" t="s">
        <v>11063</v>
      </c>
      <c r="J965" s="11">
        <v>44729.706458333334</v>
      </c>
      <c r="K965" s="1" t="s">
        <v>260</v>
      </c>
      <c r="L965" s="1">
        <v>0.71499999999999997</v>
      </c>
      <c r="M965" s="1">
        <v>0.8</v>
      </c>
      <c r="N965">
        <v>4</v>
      </c>
      <c r="O965" s="1">
        <v>-5.1440000000000001</v>
      </c>
      <c r="P965">
        <v>0</v>
      </c>
      <c r="Q965" s="1">
        <v>0.56999999999999995</v>
      </c>
      <c r="R965" s="1">
        <v>0.27100000000000002</v>
      </c>
      <c r="S965" s="1">
        <v>0</v>
      </c>
      <c r="T965" s="1">
        <v>0.64800000000000002</v>
      </c>
      <c r="U965" s="1">
        <v>0.44500000000000001</v>
      </c>
      <c r="V965" s="1">
        <v>129.023</v>
      </c>
      <c r="W965">
        <v>4</v>
      </c>
    </row>
    <row r="966" spans="1:23" x14ac:dyDescent="0.25">
      <c r="A966" s="1" t="s">
        <v>12378</v>
      </c>
      <c r="B966" s="1" t="s">
        <v>12313</v>
      </c>
      <c r="C966" s="1" t="s">
        <v>889</v>
      </c>
      <c r="D966" s="1" t="s">
        <v>889</v>
      </c>
      <c r="E966" s="1" t="s">
        <v>828</v>
      </c>
      <c r="F966" s="1" t="s">
        <v>15540</v>
      </c>
      <c r="G966">
        <v>322387</v>
      </c>
      <c r="H966">
        <v>45</v>
      </c>
      <c r="I966" s="1" t="s">
        <v>11063</v>
      </c>
      <c r="J966" s="11">
        <v>44729.706458333334</v>
      </c>
      <c r="K966" s="1" t="s">
        <v>829</v>
      </c>
      <c r="L966" s="1">
        <v>0.53900000000000003</v>
      </c>
      <c r="M966" s="1">
        <v>0.79400000000000004</v>
      </c>
      <c r="N966">
        <v>0</v>
      </c>
      <c r="O966" s="1">
        <v>-9.0730000000000004</v>
      </c>
      <c r="P966">
        <v>0</v>
      </c>
      <c r="Q966" s="1">
        <v>0.54600000000000004</v>
      </c>
      <c r="R966" s="1">
        <v>0.60399999999999998</v>
      </c>
      <c r="S966" s="1">
        <v>0.27400000000000002</v>
      </c>
      <c r="T966" s="1">
        <v>0.18</v>
      </c>
      <c r="U966" s="1">
        <v>0.125</v>
      </c>
      <c r="V966" s="1">
        <v>99.945999999999998</v>
      </c>
      <c r="W966">
        <v>4</v>
      </c>
    </row>
    <row r="967" spans="1:23" x14ac:dyDescent="0.25">
      <c r="A967" s="1" t="s">
        <v>15541</v>
      </c>
      <c r="B967" s="1" t="s">
        <v>15542</v>
      </c>
      <c r="C967" s="1" t="s">
        <v>3758</v>
      </c>
      <c r="D967" s="1" t="s">
        <v>15543</v>
      </c>
      <c r="E967" s="1" t="s">
        <v>3759</v>
      </c>
      <c r="F967" s="1" t="s">
        <v>11445</v>
      </c>
      <c r="G967">
        <v>184946</v>
      </c>
      <c r="H967">
        <v>50</v>
      </c>
      <c r="I967" s="1" t="s">
        <v>11063</v>
      </c>
      <c r="J967" s="11">
        <v>44729.706458333334</v>
      </c>
      <c r="K967" s="1" t="s">
        <v>3760</v>
      </c>
      <c r="L967" s="1">
        <v>0.89100000000000001</v>
      </c>
      <c r="M967" s="1">
        <v>0.39</v>
      </c>
      <c r="N967">
        <v>7</v>
      </c>
      <c r="O967" s="1">
        <v>-9.0250000000000004</v>
      </c>
      <c r="P967">
        <v>1</v>
      </c>
      <c r="Q967" s="1">
        <v>0.51900000000000002</v>
      </c>
      <c r="R967" s="1">
        <v>0.23200000000000001</v>
      </c>
      <c r="S967" s="1">
        <v>0</v>
      </c>
      <c r="T967" s="1">
        <v>0.13800000000000001</v>
      </c>
      <c r="U967" s="1">
        <v>0.36699999999999999</v>
      </c>
      <c r="V967" s="1">
        <v>91.028000000000006</v>
      </c>
      <c r="W967">
        <v>4</v>
      </c>
    </row>
    <row r="968" spans="1:23" x14ac:dyDescent="0.25">
      <c r="A968" s="1" t="s">
        <v>15544</v>
      </c>
      <c r="B968" s="1" t="s">
        <v>14818</v>
      </c>
      <c r="C968" s="1" t="s">
        <v>3761</v>
      </c>
      <c r="D968" s="1" t="s">
        <v>3761</v>
      </c>
      <c r="E968" s="1" t="s">
        <v>3104</v>
      </c>
      <c r="F968" s="1" t="s">
        <v>11445</v>
      </c>
      <c r="G968">
        <v>190700</v>
      </c>
      <c r="H968">
        <v>55</v>
      </c>
      <c r="I968" s="1" t="s">
        <v>11063</v>
      </c>
      <c r="J968" s="11">
        <v>44729.706458333334</v>
      </c>
      <c r="K968" s="1" t="s">
        <v>3105</v>
      </c>
      <c r="L968" s="1">
        <v>0.35499999999999998</v>
      </c>
      <c r="M968" s="1">
        <v>0.41099999999999998</v>
      </c>
      <c r="N968">
        <v>6</v>
      </c>
      <c r="O968" s="1">
        <v>-7.117</v>
      </c>
      <c r="P968">
        <v>1</v>
      </c>
      <c r="Q968" s="1">
        <v>0.51600000000000001</v>
      </c>
      <c r="R968" s="1">
        <v>0.61299999999999999</v>
      </c>
      <c r="S968" s="1">
        <v>0.17399999999999999</v>
      </c>
      <c r="T968" s="1">
        <v>0.14899999999999999</v>
      </c>
      <c r="U968" s="1">
        <v>0.40100000000000002</v>
      </c>
      <c r="V968" s="1">
        <v>159.98099999999999</v>
      </c>
      <c r="W968">
        <v>3</v>
      </c>
    </row>
    <row r="969" spans="1:23" x14ac:dyDescent="0.25">
      <c r="A969" s="1" t="s">
        <v>15545</v>
      </c>
      <c r="B969" s="1" t="s">
        <v>11133</v>
      </c>
      <c r="C969" s="1" t="s">
        <v>3762</v>
      </c>
      <c r="D969" s="1" t="s">
        <v>3762</v>
      </c>
      <c r="E969" s="1" t="s">
        <v>2088</v>
      </c>
      <c r="F969" s="1" t="s">
        <v>11445</v>
      </c>
      <c r="G969">
        <v>162882</v>
      </c>
      <c r="H969">
        <v>47</v>
      </c>
      <c r="I969" s="1" t="s">
        <v>11063</v>
      </c>
      <c r="J969" s="11">
        <v>44729.706458333334</v>
      </c>
      <c r="K969" s="1" t="s">
        <v>2089</v>
      </c>
      <c r="L969" s="1">
        <v>0.56399999999999995</v>
      </c>
      <c r="M969" s="1">
        <v>0.76</v>
      </c>
      <c r="N969">
        <v>1</v>
      </c>
      <c r="O969" s="1">
        <v>-4.5640000000000001</v>
      </c>
      <c r="P969">
        <v>0</v>
      </c>
      <c r="Q969" s="1">
        <v>0.67500000000000004</v>
      </c>
      <c r="R969" s="1">
        <v>0.10199999999999999</v>
      </c>
      <c r="S969" s="1">
        <v>0</v>
      </c>
      <c r="T969" s="1">
        <v>0.219</v>
      </c>
      <c r="U969" s="1">
        <v>0.39500000000000002</v>
      </c>
      <c r="V969" s="1">
        <v>83.983999999999995</v>
      </c>
      <c r="W969">
        <v>4</v>
      </c>
    </row>
    <row r="970" spans="1:23" x14ac:dyDescent="0.25">
      <c r="A970" s="1" t="s">
        <v>15546</v>
      </c>
      <c r="B970" s="1" t="s">
        <v>15547</v>
      </c>
      <c r="C970" s="1" t="s">
        <v>3763</v>
      </c>
      <c r="D970" s="1" t="s">
        <v>3763</v>
      </c>
      <c r="E970" s="1" t="s">
        <v>3764</v>
      </c>
      <c r="F970" s="1" t="s">
        <v>11445</v>
      </c>
      <c r="G970">
        <v>206621</v>
      </c>
      <c r="H970">
        <v>40</v>
      </c>
      <c r="I970" s="1" t="s">
        <v>11063</v>
      </c>
      <c r="J970" s="11">
        <v>44729.706458333334</v>
      </c>
      <c r="K970" s="1" t="s">
        <v>3765</v>
      </c>
      <c r="L970" s="1">
        <v>0.60099999999999998</v>
      </c>
      <c r="M970" s="1">
        <v>0.51300000000000001</v>
      </c>
      <c r="N970">
        <v>0</v>
      </c>
      <c r="O970" s="1">
        <v>-8.4920000000000009</v>
      </c>
      <c r="P970">
        <v>0</v>
      </c>
      <c r="Q970" s="1">
        <v>0.378</v>
      </c>
      <c r="R970" s="1">
        <v>0.42099999999999999</v>
      </c>
      <c r="S970" s="1">
        <v>0.84199999999999997</v>
      </c>
      <c r="T970" s="1">
        <v>0.86799999999999999</v>
      </c>
      <c r="U970" s="1">
        <v>0.39100000000000001</v>
      </c>
      <c r="V970" s="1">
        <v>121.78</v>
      </c>
      <c r="W970">
        <v>4</v>
      </c>
    </row>
    <row r="971" spans="1:23" x14ac:dyDescent="0.25">
      <c r="A971" s="1" t="s">
        <v>15548</v>
      </c>
      <c r="B971" s="1" t="s">
        <v>15549</v>
      </c>
      <c r="C971" s="1" t="s">
        <v>3766</v>
      </c>
      <c r="D971" s="1" t="s">
        <v>3766</v>
      </c>
      <c r="E971" s="1" t="s">
        <v>3767</v>
      </c>
      <c r="F971" s="1" t="s">
        <v>11445</v>
      </c>
      <c r="G971">
        <v>262693</v>
      </c>
      <c r="H971">
        <v>45</v>
      </c>
      <c r="I971" s="1" t="s">
        <v>11063</v>
      </c>
      <c r="J971" s="11">
        <v>44729.706458333334</v>
      </c>
      <c r="K971" s="1" t="s">
        <v>3768</v>
      </c>
      <c r="L971" s="1">
        <v>0.54200000000000004</v>
      </c>
      <c r="M971" s="1">
        <v>0.67600000000000005</v>
      </c>
      <c r="N971">
        <v>4</v>
      </c>
      <c r="O971" s="1">
        <v>-8.0299999999999994</v>
      </c>
      <c r="P971">
        <v>0</v>
      </c>
      <c r="Q971" s="1">
        <v>0.28000000000000003</v>
      </c>
      <c r="R971" s="1">
        <v>0.19600000000000001</v>
      </c>
      <c r="S971" s="1">
        <v>0.40200000000000002</v>
      </c>
      <c r="T971" s="1">
        <v>0.15</v>
      </c>
      <c r="U971" s="1">
        <v>0.129</v>
      </c>
      <c r="V971" s="1">
        <v>131.01400000000001</v>
      </c>
      <c r="W971">
        <v>4</v>
      </c>
    </row>
    <row r="972" spans="1:23" x14ac:dyDescent="0.25">
      <c r="A972" s="1" t="s">
        <v>15550</v>
      </c>
      <c r="B972" s="1" t="s">
        <v>15551</v>
      </c>
      <c r="C972" s="1" t="s">
        <v>2987</v>
      </c>
      <c r="D972" s="1" t="s">
        <v>2987</v>
      </c>
      <c r="E972" s="1" t="s">
        <v>3769</v>
      </c>
      <c r="F972" s="1" t="s">
        <v>11445</v>
      </c>
      <c r="G972">
        <v>127619</v>
      </c>
      <c r="H972">
        <v>59</v>
      </c>
      <c r="I972" s="1" t="s">
        <v>11063</v>
      </c>
      <c r="J972" s="11">
        <v>44729.706458333334</v>
      </c>
      <c r="K972" s="1" t="s">
        <v>1001</v>
      </c>
      <c r="L972" s="1">
        <v>0.66500000000000004</v>
      </c>
      <c r="M972" s="1">
        <v>0.85399999999999998</v>
      </c>
      <c r="N972">
        <v>0</v>
      </c>
      <c r="O972" s="1">
        <v>-5.7450000000000001</v>
      </c>
      <c r="P972">
        <v>0</v>
      </c>
      <c r="Q972" s="1">
        <v>0.40400000000000003</v>
      </c>
      <c r="R972" s="1">
        <v>0.16200000000000001</v>
      </c>
      <c r="S972" s="1">
        <v>0.155</v>
      </c>
      <c r="T972" s="1">
        <v>0.19600000000000001</v>
      </c>
      <c r="U972" s="1">
        <v>0.32</v>
      </c>
      <c r="V972" s="1">
        <v>126.133</v>
      </c>
      <c r="W972">
        <v>4</v>
      </c>
    </row>
    <row r="973" spans="1:23" x14ac:dyDescent="0.25">
      <c r="A973" s="1" t="s">
        <v>15552</v>
      </c>
      <c r="B973" s="1" t="s">
        <v>15553</v>
      </c>
      <c r="C973" s="1" t="s">
        <v>3770</v>
      </c>
      <c r="D973" s="1" t="s">
        <v>3770</v>
      </c>
      <c r="E973" s="1" t="s">
        <v>3771</v>
      </c>
      <c r="F973" s="1" t="s">
        <v>11489</v>
      </c>
      <c r="G973">
        <v>164396</v>
      </c>
      <c r="H973">
        <v>66</v>
      </c>
      <c r="I973" s="1" t="s">
        <v>11063</v>
      </c>
      <c r="J973" s="11">
        <v>44729.706458333334</v>
      </c>
      <c r="K973" s="1" t="s">
        <v>3772</v>
      </c>
      <c r="L973" s="1">
        <v>0.53900000000000003</v>
      </c>
      <c r="M973" s="1">
        <v>0.48899999999999999</v>
      </c>
      <c r="N973">
        <v>2</v>
      </c>
      <c r="O973" s="1">
        <v>-8.4559999999999995</v>
      </c>
      <c r="P973">
        <v>1</v>
      </c>
      <c r="Q973" s="1">
        <v>0.63500000000000001</v>
      </c>
      <c r="R973" s="1">
        <v>0.59</v>
      </c>
      <c r="S973" s="1">
        <v>0</v>
      </c>
      <c r="T973" s="1">
        <v>0.19700000000000001</v>
      </c>
      <c r="U973" s="1">
        <v>0.51500000000000001</v>
      </c>
      <c r="V973" s="1">
        <v>84.210999999999999</v>
      </c>
      <c r="W973">
        <v>4</v>
      </c>
    </row>
    <row r="974" spans="1:23" x14ac:dyDescent="0.25">
      <c r="A974" s="1" t="s">
        <v>15554</v>
      </c>
      <c r="B974" s="1" t="s">
        <v>15555</v>
      </c>
      <c r="C974" s="1" t="s">
        <v>3773</v>
      </c>
      <c r="D974" s="1" t="s">
        <v>3773</v>
      </c>
      <c r="E974" s="1" t="s">
        <v>3774</v>
      </c>
      <c r="F974" s="1" t="s">
        <v>11489</v>
      </c>
      <c r="G974">
        <v>179062</v>
      </c>
      <c r="H974">
        <v>48</v>
      </c>
      <c r="I974" s="1" t="s">
        <v>11063</v>
      </c>
      <c r="J974" s="11">
        <v>44729.706458333334</v>
      </c>
      <c r="K974" s="1" t="s">
        <v>3775</v>
      </c>
      <c r="L974" s="1">
        <v>0.73199999999999998</v>
      </c>
      <c r="M974" s="1">
        <v>0.96</v>
      </c>
      <c r="N974">
        <v>7</v>
      </c>
      <c r="O974" s="1">
        <v>-7.6059999999999999</v>
      </c>
      <c r="P974">
        <v>1</v>
      </c>
      <c r="Q974" s="1">
        <v>0.48499999999999999</v>
      </c>
      <c r="R974" s="1">
        <v>0.39</v>
      </c>
      <c r="S974" s="1">
        <v>0.82599999999999996</v>
      </c>
      <c r="T974" s="1">
        <v>0.33300000000000002</v>
      </c>
      <c r="U974" s="1">
        <v>0.42399999999999999</v>
      </c>
      <c r="V974" s="1">
        <v>129.98400000000001</v>
      </c>
      <c r="W974">
        <v>4</v>
      </c>
    </row>
    <row r="975" spans="1:23" x14ac:dyDescent="0.25">
      <c r="A975" s="1" t="s">
        <v>15556</v>
      </c>
      <c r="B975" s="1" t="s">
        <v>15557</v>
      </c>
      <c r="C975" s="1" t="s">
        <v>3776</v>
      </c>
      <c r="D975" s="1" t="s">
        <v>3776</v>
      </c>
      <c r="E975" s="1" t="s">
        <v>3777</v>
      </c>
      <c r="F975" s="1" t="s">
        <v>11489</v>
      </c>
      <c r="G975">
        <v>113487</v>
      </c>
      <c r="H975">
        <v>45</v>
      </c>
      <c r="I975" s="1" t="s">
        <v>11063</v>
      </c>
      <c r="J975" s="11">
        <v>44729.706458333334</v>
      </c>
      <c r="K975" s="1" t="s">
        <v>3778</v>
      </c>
      <c r="L975" s="1">
        <v>0.58299999999999996</v>
      </c>
      <c r="M975" s="1">
        <v>0.69699999999999995</v>
      </c>
      <c r="N975">
        <v>0</v>
      </c>
      <c r="O975" s="1">
        <v>-6.0350000000000001</v>
      </c>
      <c r="P975">
        <v>1</v>
      </c>
      <c r="Q975" s="1">
        <v>0.36299999999999999</v>
      </c>
      <c r="R975" s="1">
        <v>0.875</v>
      </c>
      <c r="S975" s="1">
        <v>0</v>
      </c>
      <c r="T975" s="1">
        <v>0.14599999999999999</v>
      </c>
      <c r="U975" s="1">
        <v>0.37</v>
      </c>
      <c r="V975" s="1">
        <v>127.988</v>
      </c>
      <c r="W975">
        <v>4</v>
      </c>
    </row>
    <row r="976" spans="1:23" x14ac:dyDescent="0.25">
      <c r="A976" s="1" t="s">
        <v>15558</v>
      </c>
      <c r="B976" s="1" t="s">
        <v>13503</v>
      </c>
      <c r="C976" s="1" t="s">
        <v>3779</v>
      </c>
      <c r="D976" s="1" t="s">
        <v>3779</v>
      </c>
      <c r="E976" s="1" t="s">
        <v>1972</v>
      </c>
      <c r="F976" s="1" t="s">
        <v>11489</v>
      </c>
      <c r="G976">
        <v>193767</v>
      </c>
      <c r="H976">
        <v>31</v>
      </c>
      <c r="I976" s="1" t="s">
        <v>11063</v>
      </c>
      <c r="J976" s="11">
        <v>44729.706458333334</v>
      </c>
      <c r="K976" s="1" t="s">
        <v>1973</v>
      </c>
      <c r="L976" s="1">
        <v>0.51700000000000002</v>
      </c>
      <c r="M976" s="1">
        <v>0.57799999999999996</v>
      </c>
      <c r="N976">
        <v>4</v>
      </c>
      <c r="O976" s="1">
        <v>-8.6440000000000001</v>
      </c>
      <c r="P976">
        <v>0</v>
      </c>
      <c r="Q976" s="1">
        <v>0.36099999999999999</v>
      </c>
      <c r="R976" s="1">
        <v>0.75700000000000001</v>
      </c>
      <c r="S976" s="1">
        <v>0.40400000000000003</v>
      </c>
      <c r="T976" s="1">
        <v>0.108</v>
      </c>
      <c r="U976" s="1">
        <v>0.16500000000000001</v>
      </c>
      <c r="V976" s="1">
        <v>140.00399999999999</v>
      </c>
      <c r="W976">
        <v>4</v>
      </c>
    </row>
    <row r="977" spans="1:23" x14ac:dyDescent="0.25">
      <c r="A977" s="1" t="s">
        <v>15559</v>
      </c>
      <c r="B977" s="1" t="s">
        <v>15560</v>
      </c>
      <c r="C977" s="1" t="s">
        <v>3780</v>
      </c>
      <c r="D977" s="1" t="s">
        <v>15561</v>
      </c>
      <c r="E977" s="1" t="s">
        <v>3781</v>
      </c>
      <c r="F977" s="1" t="s">
        <v>15191</v>
      </c>
      <c r="G977">
        <v>236250</v>
      </c>
      <c r="H977">
        <v>33</v>
      </c>
      <c r="I977" s="1" t="s">
        <v>11063</v>
      </c>
      <c r="J977" s="11">
        <v>44729.706458333334</v>
      </c>
      <c r="K977" s="1" t="s">
        <v>3782</v>
      </c>
      <c r="L977" s="1">
        <v>0.53400000000000003</v>
      </c>
      <c r="M977" s="1">
        <v>0.85499999999999998</v>
      </c>
      <c r="N977">
        <v>11</v>
      </c>
      <c r="O977" s="1">
        <v>-4.9029999999999996</v>
      </c>
      <c r="P977">
        <v>1</v>
      </c>
      <c r="Q977" s="1">
        <v>0.11600000000000001</v>
      </c>
      <c r="R977" s="1">
        <v>0.13400000000000001</v>
      </c>
      <c r="S977" s="1">
        <v>0</v>
      </c>
      <c r="T977" s="1">
        <v>0.98099999999999998</v>
      </c>
      <c r="U977" s="1">
        <v>0.36499999999999999</v>
      </c>
      <c r="V977" s="1">
        <v>127.854</v>
      </c>
      <c r="W977">
        <v>4</v>
      </c>
    </row>
    <row r="978" spans="1:23" x14ac:dyDescent="0.25">
      <c r="A978" s="1" t="s">
        <v>15562</v>
      </c>
      <c r="B978" s="1" t="s">
        <v>15563</v>
      </c>
      <c r="C978" s="1" t="s">
        <v>3437</v>
      </c>
      <c r="D978" s="1" t="s">
        <v>3437</v>
      </c>
      <c r="E978" s="1" t="s">
        <v>3783</v>
      </c>
      <c r="F978" s="1" t="s">
        <v>15564</v>
      </c>
      <c r="G978">
        <v>233688</v>
      </c>
      <c r="H978">
        <v>31</v>
      </c>
      <c r="I978" s="1" t="s">
        <v>11063</v>
      </c>
      <c r="J978" s="11">
        <v>44729.706458333334</v>
      </c>
      <c r="K978" s="1" t="s">
        <v>3784</v>
      </c>
      <c r="L978" s="1">
        <v>0.48799999999999999</v>
      </c>
      <c r="M978" s="1">
        <v>0.78</v>
      </c>
      <c r="N978">
        <v>4</v>
      </c>
      <c r="O978" s="1">
        <v>-5.3049999999999997</v>
      </c>
      <c r="P978">
        <v>0</v>
      </c>
      <c r="Q978" s="1">
        <v>0.35</v>
      </c>
      <c r="R978" s="1">
        <v>0.188</v>
      </c>
      <c r="S978" s="1">
        <v>0.52</v>
      </c>
      <c r="T978" s="1">
        <v>0.318</v>
      </c>
      <c r="U978" s="1">
        <v>0.70599999999999996</v>
      </c>
      <c r="V978" s="1">
        <v>75.977999999999994</v>
      </c>
      <c r="W978">
        <v>4</v>
      </c>
    </row>
    <row r="979" spans="1:23" x14ac:dyDescent="0.25">
      <c r="A979" s="1" t="s">
        <v>15565</v>
      </c>
      <c r="B979" s="1" t="s">
        <v>15566</v>
      </c>
      <c r="C979" s="1" t="s">
        <v>3785</v>
      </c>
      <c r="D979" s="1" t="s">
        <v>3785</v>
      </c>
      <c r="E979" s="1" t="s">
        <v>3786</v>
      </c>
      <c r="F979" s="1" t="s">
        <v>13459</v>
      </c>
      <c r="G979">
        <v>225428</v>
      </c>
      <c r="H979">
        <v>42</v>
      </c>
      <c r="I979" s="1" t="s">
        <v>11063</v>
      </c>
      <c r="J979" s="11">
        <v>44729.706458333334</v>
      </c>
      <c r="K979" s="1" t="s">
        <v>3787</v>
      </c>
      <c r="L979" s="1">
        <v>0.56999999999999995</v>
      </c>
      <c r="M979" s="1">
        <v>0.85299999999999998</v>
      </c>
      <c r="N979">
        <v>9</v>
      </c>
      <c r="O979" s="1">
        <v>-4.2549999999999999</v>
      </c>
      <c r="P979">
        <v>1</v>
      </c>
      <c r="Q979" s="1">
        <v>0.313</v>
      </c>
      <c r="R979" s="1">
        <v>0.16900000000000001</v>
      </c>
      <c r="S979" s="1">
        <v>0</v>
      </c>
      <c r="T979" s="1">
        <v>0.373</v>
      </c>
      <c r="U979" s="1">
        <v>0.35199999999999998</v>
      </c>
      <c r="V979" s="1">
        <v>140.07</v>
      </c>
      <c r="W979">
        <v>4</v>
      </c>
    </row>
    <row r="980" spans="1:23" x14ac:dyDescent="0.25">
      <c r="A980" s="1" t="s">
        <v>15567</v>
      </c>
      <c r="B980" s="1" t="s">
        <v>15568</v>
      </c>
      <c r="C980" s="1" t="s">
        <v>3788</v>
      </c>
      <c r="D980" s="1" t="s">
        <v>15569</v>
      </c>
      <c r="E980" s="1" t="s">
        <v>3789</v>
      </c>
      <c r="F980" s="1" t="s">
        <v>14396</v>
      </c>
      <c r="G980">
        <v>277692</v>
      </c>
      <c r="H980">
        <v>48</v>
      </c>
      <c r="I980" s="1" t="s">
        <v>11063</v>
      </c>
      <c r="J980" s="11">
        <v>44729.706458333334</v>
      </c>
      <c r="K980" s="1" t="s">
        <v>3790</v>
      </c>
      <c r="L980" s="1">
        <v>0.46899999999999997</v>
      </c>
      <c r="M980" s="1">
        <v>0.38</v>
      </c>
      <c r="N980">
        <v>8</v>
      </c>
      <c r="O980" s="1">
        <v>-5.3940000000000001</v>
      </c>
      <c r="P980">
        <v>0</v>
      </c>
      <c r="Q980" s="1">
        <v>0.30599999999999999</v>
      </c>
      <c r="R980" s="1">
        <v>0.372</v>
      </c>
      <c r="S980" s="1">
        <v>0.21199999999999999</v>
      </c>
      <c r="T980" s="1">
        <v>0.317</v>
      </c>
      <c r="U980" s="1">
        <v>0.30199999999999999</v>
      </c>
      <c r="V980" s="1">
        <v>79.981999999999999</v>
      </c>
      <c r="W980">
        <v>4</v>
      </c>
    </row>
    <row r="981" spans="1:23" x14ac:dyDescent="0.25">
      <c r="A981" s="1" t="s">
        <v>15570</v>
      </c>
      <c r="B981" s="1" t="s">
        <v>15571</v>
      </c>
      <c r="C981" s="1" t="s">
        <v>3791</v>
      </c>
      <c r="D981" s="1" t="s">
        <v>15572</v>
      </c>
      <c r="E981" s="1" t="s">
        <v>3792</v>
      </c>
      <c r="F981" s="1" t="s">
        <v>15573</v>
      </c>
      <c r="G981">
        <v>213939</v>
      </c>
      <c r="H981">
        <v>37</v>
      </c>
      <c r="I981" s="1" t="s">
        <v>11063</v>
      </c>
      <c r="J981" s="11">
        <v>44729.706458333334</v>
      </c>
      <c r="K981" s="1" t="s">
        <v>3793</v>
      </c>
      <c r="L981" s="1">
        <v>0.32900000000000001</v>
      </c>
      <c r="M981" s="1">
        <v>0.84</v>
      </c>
      <c r="N981">
        <v>8</v>
      </c>
      <c r="O981" s="1">
        <v>-3.6619999999999999</v>
      </c>
      <c r="P981">
        <v>0</v>
      </c>
      <c r="Q981" s="1">
        <v>0.79400000000000004</v>
      </c>
      <c r="R981" s="1">
        <v>0.90500000000000003</v>
      </c>
      <c r="S981" s="1">
        <v>0.66500000000000004</v>
      </c>
      <c r="T981" s="1">
        <v>0.16300000000000001</v>
      </c>
      <c r="U981" s="1">
        <v>0.23400000000000001</v>
      </c>
      <c r="V981" s="1">
        <v>138.35599999999999</v>
      </c>
      <c r="W981">
        <v>4</v>
      </c>
    </row>
    <row r="982" spans="1:23" x14ac:dyDescent="0.25">
      <c r="A982" s="1" t="s">
        <v>15574</v>
      </c>
      <c r="B982" s="1" t="s">
        <v>15575</v>
      </c>
      <c r="C982" s="1" t="s">
        <v>3794</v>
      </c>
      <c r="D982" s="1" t="s">
        <v>3794</v>
      </c>
      <c r="E982" s="1" t="s">
        <v>3795</v>
      </c>
      <c r="F982" s="1" t="s">
        <v>15576</v>
      </c>
      <c r="G982">
        <v>224000</v>
      </c>
      <c r="H982">
        <v>34</v>
      </c>
      <c r="I982" s="1" t="s">
        <v>11063</v>
      </c>
      <c r="J982" s="11">
        <v>44729.706458333334</v>
      </c>
      <c r="K982" s="1" t="s">
        <v>996</v>
      </c>
      <c r="L982" s="1">
        <v>0.54500000000000004</v>
      </c>
      <c r="M982" s="1">
        <v>0.82</v>
      </c>
      <c r="N982">
        <v>10</v>
      </c>
      <c r="O982" s="1">
        <v>-5.73</v>
      </c>
      <c r="P982">
        <v>0</v>
      </c>
      <c r="Q982" s="1">
        <v>0.41399999999999998</v>
      </c>
      <c r="R982" s="1">
        <v>0.23300000000000001</v>
      </c>
      <c r="S982" s="1">
        <v>0.313</v>
      </c>
      <c r="T982" s="1">
        <v>0.19</v>
      </c>
      <c r="U982" s="1">
        <v>0.95499999999999996</v>
      </c>
      <c r="V982" s="1">
        <v>124.983</v>
      </c>
      <c r="W982">
        <v>4</v>
      </c>
    </row>
    <row r="983" spans="1:23" x14ac:dyDescent="0.25">
      <c r="A983" s="1" t="s">
        <v>15577</v>
      </c>
      <c r="B983" s="1" t="s">
        <v>11181</v>
      </c>
      <c r="C983" s="1" t="s">
        <v>3796</v>
      </c>
      <c r="D983" s="1" t="s">
        <v>15578</v>
      </c>
      <c r="E983" s="1" t="s">
        <v>3797</v>
      </c>
      <c r="F983" s="1" t="s">
        <v>15579</v>
      </c>
      <c r="G983">
        <v>207465</v>
      </c>
      <c r="H983">
        <v>30</v>
      </c>
      <c r="I983" s="1" t="s">
        <v>11063</v>
      </c>
      <c r="J983" s="11">
        <v>44729.706458333334</v>
      </c>
      <c r="K983" s="1" t="s">
        <v>3798</v>
      </c>
      <c r="L983" s="1">
        <v>0.58599999999999997</v>
      </c>
      <c r="M983" s="1">
        <v>0.80500000000000005</v>
      </c>
      <c r="N983">
        <v>6</v>
      </c>
      <c r="O983" s="1">
        <v>-5.609</v>
      </c>
      <c r="P983">
        <v>0</v>
      </c>
      <c r="Q983" s="1">
        <v>0.19400000000000001</v>
      </c>
      <c r="R983" s="1">
        <v>0.33600000000000002</v>
      </c>
      <c r="S983" s="1">
        <v>0.105</v>
      </c>
      <c r="T983" s="1">
        <v>0.14199999999999999</v>
      </c>
      <c r="U983" s="1">
        <v>0.749</v>
      </c>
      <c r="V983" s="1">
        <v>140.17099999999999</v>
      </c>
      <c r="W983">
        <v>4</v>
      </c>
    </row>
    <row r="984" spans="1:23" x14ac:dyDescent="0.25">
      <c r="A984" s="1" t="s">
        <v>15580</v>
      </c>
      <c r="B984" s="1" t="s">
        <v>15581</v>
      </c>
      <c r="C984" s="1" t="s">
        <v>3799</v>
      </c>
      <c r="D984" s="1" t="s">
        <v>3799</v>
      </c>
      <c r="E984" s="1" t="s">
        <v>3800</v>
      </c>
      <c r="F984" s="1" t="s">
        <v>11492</v>
      </c>
      <c r="G984">
        <v>246932</v>
      </c>
      <c r="H984">
        <v>35</v>
      </c>
      <c r="I984" s="1" t="s">
        <v>11063</v>
      </c>
      <c r="J984" s="11">
        <v>44729.706458333334</v>
      </c>
      <c r="K984" s="1" t="s">
        <v>50</v>
      </c>
      <c r="L984" s="1">
        <v>0.54400000000000004</v>
      </c>
      <c r="M984" s="1">
        <v>0.81299999999999994</v>
      </c>
      <c r="N984">
        <v>2</v>
      </c>
      <c r="O984" s="1">
        <v>-5.2880000000000003</v>
      </c>
      <c r="P984">
        <v>1</v>
      </c>
      <c r="Q984" s="1">
        <v>0.45300000000000001</v>
      </c>
      <c r="R984" s="1">
        <v>0.67900000000000005</v>
      </c>
      <c r="S984" s="1">
        <v>0.39</v>
      </c>
      <c r="T984" s="1">
        <v>0.111</v>
      </c>
      <c r="U984" s="1">
        <v>0.27</v>
      </c>
      <c r="V984" s="1">
        <v>139.94499999999999</v>
      </c>
      <c r="W984">
        <v>4</v>
      </c>
    </row>
    <row r="985" spans="1:23" x14ac:dyDescent="0.25">
      <c r="A985" s="1" t="s">
        <v>15582</v>
      </c>
      <c r="B985" s="1" t="s">
        <v>15583</v>
      </c>
      <c r="C985" s="1" t="s">
        <v>3801</v>
      </c>
      <c r="D985" s="1" t="s">
        <v>15584</v>
      </c>
      <c r="E985" s="1" t="s">
        <v>3802</v>
      </c>
      <c r="F985" s="1" t="s">
        <v>15585</v>
      </c>
      <c r="G985">
        <v>251131</v>
      </c>
      <c r="H985">
        <v>25</v>
      </c>
      <c r="I985" s="1" t="s">
        <v>11063</v>
      </c>
      <c r="J985" s="11">
        <v>44729.706458333334</v>
      </c>
      <c r="K985" s="1" t="s">
        <v>933</v>
      </c>
      <c r="L985" s="1">
        <v>0.50700000000000001</v>
      </c>
      <c r="M985" s="1">
        <v>0.92300000000000004</v>
      </c>
      <c r="N985">
        <v>7</v>
      </c>
      <c r="O985" s="1">
        <v>-2.6190000000000002</v>
      </c>
      <c r="P985">
        <v>1</v>
      </c>
      <c r="Q985" s="1">
        <v>0.48299999999999998</v>
      </c>
      <c r="R985" s="1">
        <v>0.35199999999999998</v>
      </c>
      <c r="S985" s="1">
        <v>0.93600000000000005</v>
      </c>
      <c r="T985" s="1">
        <v>0.22500000000000001</v>
      </c>
      <c r="U985" s="1">
        <v>0.29699999999999999</v>
      </c>
      <c r="V985" s="1">
        <v>175.00899999999999</v>
      </c>
      <c r="W985">
        <v>4</v>
      </c>
    </row>
    <row r="986" spans="1:23" x14ac:dyDescent="0.25">
      <c r="A986" s="1" t="s">
        <v>15586</v>
      </c>
      <c r="B986" s="1" t="s">
        <v>15587</v>
      </c>
      <c r="C986" s="1" t="s">
        <v>3803</v>
      </c>
      <c r="D986" s="1" t="s">
        <v>15588</v>
      </c>
      <c r="E986" s="1" t="s">
        <v>3804</v>
      </c>
      <c r="F986" s="1" t="s">
        <v>15589</v>
      </c>
      <c r="G986">
        <v>282026</v>
      </c>
      <c r="H986">
        <v>43</v>
      </c>
      <c r="I986" s="1" t="s">
        <v>11063</v>
      </c>
      <c r="J986" s="11">
        <v>44729.706458333334</v>
      </c>
      <c r="K986" s="1" t="s">
        <v>2228</v>
      </c>
      <c r="L986" s="1">
        <v>0.63400000000000001</v>
      </c>
      <c r="M986" s="1">
        <v>0.871</v>
      </c>
      <c r="N986">
        <v>10</v>
      </c>
      <c r="O986" s="1">
        <v>-4.8040000000000003</v>
      </c>
      <c r="P986">
        <v>0</v>
      </c>
      <c r="Q986" s="1">
        <v>0.48599999999999999</v>
      </c>
      <c r="R986" s="1">
        <v>0.73499999999999999</v>
      </c>
      <c r="S986" s="1">
        <v>0.56000000000000005</v>
      </c>
      <c r="T986" s="1">
        <v>0.68899999999999995</v>
      </c>
      <c r="U986" s="1">
        <v>0.69199999999999995</v>
      </c>
      <c r="V986" s="1">
        <v>120.01</v>
      </c>
      <c r="W986">
        <v>4</v>
      </c>
    </row>
    <row r="987" spans="1:23" x14ac:dyDescent="0.25">
      <c r="A987" s="1" t="s">
        <v>15590</v>
      </c>
      <c r="B987" s="1" t="s">
        <v>15591</v>
      </c>
      <c r="C987" s="1" t="s">
        <v>3805</v>
      </c>
      <c r="D987" s="1" t="s">
        <v>15592</v>
      </c>
      <c r="E987" s="1" t="s">
        <v>3806</v>
      </c>
      <c r="F987" s="1" t="s">
        <v>15593</v>
      </c>
      <c r="G987">
        <v>255988</v>
      </c>
      <c r="H987">
        <v>35</v>
      </c>
      <c r="I987" s="1" t="s">
        <v>11063</v>
      </c>
      <c r="J987" s="11">
        <v>44729.706458333334</v>
      </c>
      <c r="K987" s="1" t="s">
        <v>3807</v>
      </c>
      <c r="L987" s="1">
        <v>0.39300000000000002</v>
      </c>
      <c r="M987" s="1">
        <v>0.72599999999999998</v>
      </c>
      <c r="N987">
        <v>10</v>
      </c>
      <c r="O987" s="1">
        <v>-8.0139999999999993</v>
      </c>
      <c r="P987">
        <v>0</v>
      </c>
      <c r="Q987" s="1">
        <v>0.59599999999999997</v>
      </c>
      <c r="R987" s="1">
        <v>0.13800000000000001</v>
      </c>
      <c r="S987" s="1">
        <v>0.316</v>
      </c>
      <c r="T987" s="1">
        <v>0.113</v>
      </c>
      <c r="U987" s="1">
        <v>0.376</v>
      </c>
      <c r="V987" s="1">
        <v>137.82300000000001</v>
      </c>
      <c r="W987">
        <v>4</v>
      </c>
    </row>
    <row r="988" spans="1:23" x14ac:dyDescent="0.25">
      <c r="A988" s="1" t="s">
        <v>15594</v>
      </c>
      <c r="B988" s="1" t="s">
        <v>15595</v>
      </c>
      <c r="C988" s="1" t="s">
        <v>3808</v>
      </c>
      <c r="D988" s="1" t="s">
        <v>3808</v>
      </c>
      <c r="E988" s="1" t="s">
        <v>3809</v>
      </c>
      <c r="F988" s="1" t="s">
        <v>15596</v>
      </c>
      <c r="G988">
        <v>209898</v>
      </c>
      <c r="H988">
        <v>60</v>
      </c>
      <c r="I988" s="1" t="s">
        <v>11063</v>
      </c>
      <c r="J988" s="11">
        <v>44729.706458333334</v>
      </c>
      <c r="K988" s="1" t="s">
        <v>3810</v>
      </c>
      <c r="L988" s="1">
        <v>0.63300000000000001</v>
      </c>
      <c r="M988" s="1">
        <v>0.83899999999999997</v>
      </c>
      <c r="N988">
        <v>0</v>
      </c>
      <c r="O988" s="1">
        <v>-6.3019999999999996</v>
      </c>
      <c r="P988">
        <v>0</v>
      </c>
      <c r="Q988" s="1">
        <v>0.48799999999999999</v>
      </c>
      <c r="R988" s="1">
        <v>0.28100000000000003</v>
      </c>
      <c r="S988" s="1">
        <v>0.124</v>
      </c>
      <c r="T988" s="1">
        <v>0.82299999999999995</v>
      </c>
      <c r="U988" s="1">
        <v>0.371</v>
      </c>
      <c r="V988" s="1">
        <v>160.018</v>
      </c>
      <c r="W988">
        <v>4</v>
      </c>
    </row>
    <row r="989" spans="1:23" x14ac:dyDescent="0.25">
      <c r="A989" s="1" t="s">
        <v>15597</v>
      </c>
      <c r="B989" s="1" t="s">
        <v>15598</v>
      </c>
      <c r="C989" s="1" t="s">
        <v>3811</v>
      </c>
      <c r="D989" s="1" t="s">
        <v>3811</v>
      </c>
      <c r="E989" s="1" t="s">
        <v>3812</v>
      </c>
      <c r="F989" s="1" t="s">
        <v>15599</v>
      </c>
      <c r="G989">
        <v>211252</v>
      </c>
      <c r="H989">
        <v>49</v>
      </c>
      <c r="I989" s="1" t="s">
        <v>11063</v>
      </c>
      <c r="J989" s="11">
        <v>44729.706458333334</v>
      </c>
      <c r="K989" s="1" t="s">
        <v>1053</v>
      </c>
      <c r="L989" s="1">
        <v>0.94399999999999995</v>
      </c>
      <c r="M989" s="1">
        <v>0.73399999999999999</v>
      </c>
      <c r="N989">
        <v>11</v>
      </c>
      <c r="O989" s="1">
        <v>-8.5500000000000007</v>
      </c>
      <c r="P989">
        <v>1</v>
      </c>
      <c r="Q989" s="1">
        <v>0.19</v>
      </c>
      <c r="R989" s="1">
        <v>0.34</v>
      </c>
      <c r="S989" s="1">
        <v>0.71199999999999997</v>
      </c>
      <c r="T989" s="1">
        <v>0.106</v>
      </c>
      <c r="U989" s="1">
        <v>0.32800000000000001</v>
      </c>
      <c r="V989" s="1">
        <v>125.01300000000001</v>
      </c>
      <c r="W989">
        <v>4</v>
      </c>
    </row>
    <row r="990" spans="1:23" x14ac:dyDescent="0.25">
      <c r="A990" s="1" t="s">
        <v>15600</v>
      </c>
      <c r="B990" s="1" t="s">
        <v>14392</v>
      </c>
      <c r="C990" s="1" t="s">
        <v>3813</v>
      </c>
      <c r="D990" s="1" t="s">
        <v>11071</v>
      </c>
      <c r="E990" s="1" t="s">
        <v>2735</v>
      </c>
      <c r="F990" s="1" t="s">
        <v>11621</v>
      </c>
      <c r="G990">
        <v>275386</v>
      </c>
      <c r="H990">
        <v>62</v>
      </c>
      <c r="I990" s="1" t="s">
        <v>11063</v>
      </c>
      <c r="J990" s="11">
        <v>44729.706458333334</v>
      </c>
      <c r="K990" s="1" t="s">
        <v>2736</v>
      </c>
      <c r="L990" s="1">
        <v>0.78800000000000003</v>
      </c>
      <c r="M990" s="1">
        <v>0.61599999999999999</v>
      </c>
      <c r="N990">
        <v>9</v>
      </c>
      <c r="O990" s="1">
        <v>-10.670999999999999</v>
      </c>
      <c r="P990">
        <v>0</v>
      </c>
      <c r="Q990" s="1">
        <v>0.33700000000000002</v>
      </c>
      <c r="R990" s="1">
        <v>0.28599999999999998</v>
      </c>
      <c r="S990" s="1">
        <v>0.54900000000000004</v>
      </c>
      <c r="T990" s="1">
        <v>0.95199999999999996</v>
      </c>
      <c r="U990" s="1">
        <v>0.69599999999999995</v>
      </c>
      <c r="V990" s="1">
        <v>119.03700000000001</v>
      </c>
      <c r="W990">
        <v>4</v>
      </c>
    </row>
    <row r="991" spans="1:23" x14ac:dyDescent="0.25">
      <c r="A991" s="1" t="s">
        <v>15601</v>
      </c>
      <c r="B991" s="1" t="s">
        <v>14392</v>
      </c>
      <c r="C991" s="1" t="s">
        <v>3814</v>
      </c>
      <c r="D991" s="1" t="s">
        <v>11071</v>
      </c>
      <c r="E991" s="1" t="s">
        <v>2735</v>
      </c>
      <c r="F991" s="1" t="s">
        <v>11621</v>
      </c>
      <c r="G991">
        <v>228506</v>
      </c>
      <c r="H991">
        <v>59</v>
      </c>
      <c r="I991" s="1" t="s">
        <v>11063</v>
      </c>
      <c r="J991" s="11">
        <v>44729.706458333334</v>
      </c>
      <c r="K991" s="1" t="s">
        <v>2736</v>
      </c>
      <c r="L991" s="1">
        <v>0.70199999999999996</v>
      </c>
      <c r="M991" s="1">
        <v>0.29699999999999999</v>
      </c>
      <c r="N991">
        <v>10</v>
      </c>
      <c r="O991" s="1">
        <v>-14.116</v>
      </c>
      <c r="P991">
        <v>0</v>
      </c>
      <c r="Q991" s="1">
        <v>0.317</v>
      </c>
      <c r="R991" s="1">
        <v>0.89400000000000002</v>
      </c>
      <c r="S991" s="1">
        <v>0.48499999999999999</v>
      </c>
      <c r="T991" s="1">
        <v>0.10299999999999999</v>
      </c>
      <c r="U991" s="1">
        <v>0.67600000000000005</v>
      </c>
      <c r="V991" s="1">
        <v>110.116</v>
      </c>
      <c r="W991">
        <v>4</v>
      </c>
    </row>
    <row r="992" spans="1:23" x14ac:dyDescent="0.25">
      <c r="A992" s="1" t="s">
        <v>15602</v>
      </c>
      <c r="B992" s="1" t="s">
        <v>15603</v>
      </c>
      <c r="C992" s="1" t="s">
        <v>3815</v>
      </c>
      <c r="D992" s="1" t="s">
        <v>3815</v>
      </c>
      <c r="E992" s="1" t="s">
        <v>3816</v>
      </c>
      <c r="F992" s="1" t="s">
        <v>15604</v>
      </c>
      <c r="G992">
        <v>182106</v>
      </c>
      <c r="H992">
        <v>48</v>
      </c>
      <c r="I992" s="1" t="s">
        <v>11063</v>
      </c>
      <c r="J992" s="11">
        <v>44729.706458333334</v>
      </c>
      <c r="K992" s="1" t="s">
        <v>933</v>
      </c>
      <c r="L992" s="1">
        <v>0.46899999999999997</v>
      </c>
      <c r="M992" s="1">
        <v>0.74299999999999999</v>
      </c>
      <c r="N992">
        <v>8</v>
      </c>
      <c r="O992" s="1">
        <v>-4.2839999999999998</v>
      </c>
      <c r="P992">
        <v>1</v>
      </c>
      <c r="Q992" s="1">
        <v>0.628</v>
      </c>
      <c r="R992" s="1">
        <v>0.71499999999999997</v>
      </c>
      <c r="S992" s="1">
        <v>0.378</v>
      </c>
      <c r="T992" s="1">
        <v>0.245</v>
      </c>
      <c r="U992" s="1">
        <v>0.187</v>
      </c>
      <c r="V992" s="1">
        <v>143.04400000000001</v>
      </c>
      <c r="W992">
        <v>4</v>
      </c>
    </row>
    <row r="993" spans="1:23" x14ac:dyDescent="0.25">
      <c r="A993" s="1" t="s">
        <v>15605</v>
      </c>
      <c r="B993" s="1" t="s">
        <v>15606</v>
      </c>
      <c r="C993" s="1" t="s">
        <v>3817</v>
      </c>
      <c r="D993" s="1" t="s">
        <v>3817</v>
      </c>
      <c r="E993" s="1" t="s">
        <v>3818</v>
      </c>
      <c r="F993" s="1" t="s">
        <v>15607</v>
      </c>
      <c r="G993">
        <v>243461</v>
      </c>
      <c r="H993">
        <v>33</v>
      </c>
      <c r="I993" s="1" t="s">
        <v>11063</v>
      </c>
      <c r="J993" s="11">
        <v>44729.706458333334</v>
      </c>
      <c r="K993" s="1" t="s">
        <v>3819</v>
      </c>
      <c r="L993" s="1">
        <v>0.52</v>
      </c>
      <c r="M993" s="1">
        <v>0.66300000000000003</v>
      </c>
      <c r="N993">
        <v>5</v>
      </c>
      <c r="O993" s="1">
        <v>-4.0270000000000001</v>
      </c>
      <c r="P993">
        <v>0</v>
      </c>
      <c r="Q993" s="1">
        <v>0.85399999999999998</v>
      </c>
      <c r="R993" s="1">
        <v>0.4</v>
      </c>
      <c r="S993" s="1">
        <v>0</v>
      </c>
      <c r="T993" s="1">
        <v>0.98199999999999998</v>
      </c>
      <c r="U993" s="1">
        <v>0.114</v>
      </c>
      <c r="V993" s="1">
        <v>141.934</v>
      </c>
      <c r="W993">
        <v>4</v>
      </c>
    </row>
    <row r="994" spans="1:23" x14ac:dyDescent="0.25">
      <c r="A994" s="1" t="s">
        <v>15608</v>
      </c>
      <c r="B994" s="1" t="s">
        <v>15609</v>
      </c>
      <c r="C994" s="1" t="s">
        <v>3820</v>
      </c>
      <c r="D994" s="1" t="s">
        <v>3820</v>
      </c>
      <c r="E994" s="1" t="s">
        <v>3821</v>
      </c>
      <c r="F994" s="1" t="s">
        <v>15610</v>
      </c>
      <c r="G994">
        <v>188812</v>
      </c>
      <c r="H994">
        <v>41</v>
      </c>
      <c r="I994" s="1" t="s">
        <v>11063</v>
      </c>
      <c r="J994" s="11">
        <v>44729.706458333334</v>
      </c>
      <c r="K994" s="1" t="s">
        <v>3822</v>
      </c>
      <c r="L994" s="1">
        <v>0.57599999999999996</v>
      </c>
      <c r="M994" s="1">
        <v>0.91200000000000003</v>
      </c>
      <c r="N994">
        <v>7</v>
      </c>
      <c r="O994" s="1">
        <v>-3.9140000000000001</v>
      </c>
      <c r="P994">
        <v>0</v>
      </c>
      <c r="Q994" s="1">
        <v>0.87</v>
      </c>
      <c r="R994" s="1">
        <v>0.26600000000000001</v>
      </c>
      <c r="S994" s="1">
        <v>0</v>
      </c>
      <c r="T994" s="1">
        <v>0.34300000000000003</v>
      </c>
      <c r="U994" s="1">
        <v>0.39700000000000002</v>
      </c>
      <c r="V994" s="1">
        <v>129.005</v>
      </c>
      <c r="W994">
        <v>4</v>
      </c>
    </row>
    <row r="995" spans="1:23" x14ac:dyDescent="0.25">
      <c r="A995" s="1" t="s">
        <v>15611</v>
      </c>
      <c r="B995" s="1" t="s">
        <v>15612</v>
      </c>
      <c r="C995" s="1" t="s">
        <v>3823</v>
      </c>
      <c r="D995" s="1" t="s">
        <v>3823</v>
      </c>
      <c r="E995" s="1" t="s">
        <v>3824</v>
      </c>
      <c r="F995" s="1" t="s">
        <v>15613</v>
      </c>
      <c r="G995">
        <v>189473</v>
      </c>
      <c r="H995">
        <v>29</v>
      </c>
      <c r="I995" s="1" t="s">
        <v>11063</v>
      </c>
      <c r="J995" s="11">
        <v>44729.706458333334</v>
      </c>
      <c r="K995" s="1" t="s">
        <v>3825</v>
      </c>
      <c r="L995" s="1">
        <v>0.64100000000000001</v>
      </c>
      <c r="M995" s="1">
        <v>0.84499999999999997</v>
      </c>
      <c r="N995">
        <v>7</v>
      </c>
      <c r="O995" s="1">
        <v>-7.2969999999999997</v>
      </c>
      <c r="P995">
        <v>1</v>
      </c>
      <c r="Q995" s="1">
        <v>0.11600000000000001</v>
      </c>
      <c r="R995" s="1">
        <v>0.25700000000000001</v>
      </c>
      <c r="S995" s="1">
        <v>0</v>
      </c>
      <c r="T995" s="1">
        <v>0.104</v>
      </c>
      <c r="U995" s="1">
        <v>0.39600000000000002</v>
      </c>
      <c r="V995" s="1">
        <v>76.039000000000001</v>
      </c>
      <c r="W995">
        <v>4</v>
      </c>
    </row>
    <row r="996" spans="1:23" x14ac:dyDescent="0.25">
      <c r="A996" s="1" t="s">
        <v>15614</v>
      </c>
      <c r="B996" s="1" t="s">
        <v>15598</v>
      </c>
      <c r="C996" s="1" t="s">
        <v>3826</v>
      </c>
      <c r="D996" s="1" t="s">
        <v>15615</v>
      </c>
      <c r="E996" s="1" t="s">
        <v>3812</v>
      </c>
      <c r="F996" s="1" t="s">
        <v>15616</v>
      </c>
      <c r="G996">
        <v>194519</v>
      </c>
      <c r="H996">
        <v>30</v>
      </c>
      <c r="I996" s="1" t="s">
        <v>11063</v>
      </c>
      <c r="J996" s="11">
        <v>44729.706458333334</v>
      </c>
      <c r="K996" s="1" t="s">
        <v>1053</v>
      </c>
      <c r="L996" s="1">
        <v>0.56000000000000005</v>
      </c>
      <c r="M996" s="1">
        <v>0.76100000000000001</v>
      </c>
      <c r="N996">
        <v>5</v>
      </c>
      <c r="O996" s="1">
        <v>-8.8320000000000007</v>
      </c>
      <c r="P996">
        <v>0</v>
      </c>
      <c r="Q996" s="1">
        <v>0.32300000000000001</v>
      </c>
      <c r="R996" s="1">
        <v>0.441</v>
      </c>
      <c r="S996" s="1">
        <v>0.88600000000000001</v>
      </c>
      <c r="T996" s="1">
        <v>0.20200000000000001</v>
      </c>
      <c r="U996" s="1">
        <v>0.92500000000000004</v>
      </c>
      <c r="V996" s="1">
        <v>91.094999999999999</v>
      </c>
      <c r="W996">
        <v>4</v>
      </c>
    </row>
    <row r="997" spans="1:23" x14ac:dyDescent="0.25">
      <c r="A997" s="1" t="s">
        <v>15617</v>
      </c>
      <c r="B997" s="1" t="s">
        <v>15618</v>
      </c>
      <c r="C997" s="1" t="s">
        <v>3460</v>
      </c>
      <c r="D997" s="1" t="s">
        <v>3460</v>
      </c>
      <c r="E997" s="1" t="s">
        <v>3827</v>
      </c>
      <c r="F997" s="1" t="s">
        <v>15619</v>
      </c>
      <c r="G997">
        <v>209280</v>
      </c>
      <c r="H997">
        <v>31</v>
      </c>
      <c r="I997" s="1" t="s">
        <v>11063</v>
      </c>
      <c r="J997" s="11">
        <v>44729.706458333334</v>
      </c>
      <c r="K997" s="1" t="s">
        <v>50</v>
      </c>
      <c r="L997" s="1">
        <v>0.65800000000000003</v>
      </c>
      <c r="M997" s="1">
        <v>0.69299999999999995</v>
      </c>
      <c r="N997">
        <v>9</v>
      </c>
      <c r="O997" s="1">
        <v>-6.8029999999999999</v>
      </c>
      <c r="P997">
        <v>1</v>
      </c>
      <c r="Q997" s="1">
        <v>0.28699999999999998</v>
      </c>
      <c r="R997" s="1">
        <v>0.90600000000000003</v>
      </c>
      <c r="S997" s="1">
        <v>0.33100000000000002</v>
      </c>
      <c r="T997" s="1">
        <v>0.33600000000000002</v>
      </c>
      <c r="U997" s="1">
        <v>0.251</v>
      </c>
      <c r="V997" s="1">
        <v>97.063999999999993</v>
      </c>
      <c r="W997">
        <v>4</v>
      </c>
    </row>
    <row r="998" spans="1:23" x14ac:dyDescent="0.25">
      <c r="A998" s="1" t="s">
        <v>15620</v>
      </c>
      <c r="B998" s="1" t="s">
        <v>15621</v>
      </c>
      <c r="C998" s="1" t="s">
        <v>3828</v>
      </c>
      <c r="D998" s="1" t="s">
        <v>3828</v>
      </c>
      <c r="E998" s="1" t="s">
        <v>3829</v>
      </c>
      <c r="F998" s="1" t="s">
        <v>13855</v>
      </c>
      <c r="G998">
        <v>174857</v>
      </c>
      <c r="H998">
        <v>35</v>
      </c>
      <c r="I998" s="1" t="s">
        <v>11063</v>
      </c>
      <c r="J998" s="11">
        <v>44729.706458333334</v>
      </c>
      <c r="K998" s="1" t="s">
        <v>3830</v>
      </c>
      <c r="L998" s="1">
        <v>0.70599999999999996</v>
      </c>
      <c r="M998" s="1">
        <v>0.72899999999999998</v>
      </c>
      <c r="N998">
        <v>6</v>
      </c>
      <c r="O998" s="1">
        <v>-6.4669999999999996</v>
      </c>
      <c r="P998">
        <v>0</v>
      </c>
      <c r="Q998" s="1">
        <v>0.438</v>
      </c>
      <c r="R998" s="1">
        <v>0.121</v>
      </c>
      <c r="S998" s="1">
        <v>0</v>
      </c>
      <c r="T998" s="1">
        <v>0.11700000000000001</v>
      </c>
      <c r="U998" s="1">
        <v>0.48899999999999999</v>
      </c>
      <c r="V998" s="1">
        <v>140.00200000000001</v>
      </c>
      <c r="W998">
        <v>4</v>
      </c>
    </row>
    <row r="999" spans="1:23" x14ac:dyDescent="0.25">
      <c r="A999" s="1" t="s">
        <v>15622</v>
      </c>
      <c r="B999" s="1" t="s">
        <v>15623</v>
      </c>
      <c r="C999" s="1" t="s">
        <v>3831</v>
      </c>
      <c r="D999" s="1" t="s">
        <v>3831</v>
      </c>
      <c r="E999" s="1" t="s">
        <v>3832</v>
      </c>
      <c r="F999" s="1" t="s">
        <v>15624</v>
      </c>
      <c r="G999">
        <v>208256</v>
      </c>
      <c r="H999">
        <v>30</v>
      </c>
      <c r="I999" s="1" t="s">
        <v>11063</v>
      </c>
      <c r="J999" s="11">
        <v>44729.706458333334</v>
      </c>
      <c r="K999" s="1" t="s">
        <v>50</v>
      </c>
      <c r="L999" s="1">
        <v>0.59699999999999998</v>
      </c>
      <c r="M999" s="1">
        <v>0.80200000000000005</v>
      </c>
      <c r="N999">
        <v>8</v>
      </c>
      <c r="O999" s="1">
        <v>-6.5880000000000001</v>
      </c>
      <c r="P999">
        <v>0</v>
      </c>
      <c r="Q999" s="1">
        <v>0.10299999999999999</v>
      </c>
      <c r="R999" s="1">
        <v>0.16</v>
      </c>
      <c r="S999" s="1">
        <v>0</v>
      </c>
      <c r="T999" s="1">
        <v>0.123</v>
      </c>
      <c r="U999" s="1">
        <v>0.45100000000000001</v>
      </c>
      <c r="V999" s="1">
        <v>94.959000000000003</v>
      </c>
      <c r="W999">
        <v>4</v>
      </c>
    </row>
    <row r="1000" spans="1:23" x14ac:dyDescent="0.25">
      <c r="A1000" s="1" t="s">
        <v>15625</v>
      </c>
      <c r="B1000" s="1" t="s">
        <v>15626</v>
      </c>
      <c r="C1000" s="1" t="s">
        <v>3833</v>
      </c>
      <c r="D1000" s="1" t="s">
        <v>15627</v>
      </c>
      <c r="E1000" s="1" t="s">
        <v>3834</v>
      </c>
      <c r="F1000" s="1" t="s">
        <v>15628</v>
      </c>
      <c r="G1000">
        <v>188117</v>
      </c>
      <c r="H1000">
        <v>31</v>
      </c>
      <c r="I1000" s="1" t="s">
        <v>11063</v>
      </c>
      <c r="J1000" s="11">
        <v>44729.706458333334</v>
      </c>
      <c r="K1000" s="1" t="s">
        <v>1223</v>
      </c>
      <c r="L1000" s="1">
        <v>0.47699999999999998</v>
      </c>
      <c r="M1000" s="1">
        <v>0.74299999999999999</v>
      </c>
      <c r="N1000">
        <v>11</v>
      </c>
      <c r="O1000" s="1">
        <v>-6.57</v>
      </c>
      <c r="P1000">
        <v>0</v>
      </c>
      <c r="Q1000" s="1">
        <v>0.29199999999999998</v>
      </c>
      <c r="R1000" s="1">
        <v>0.22700000000000001</v>
      </c>
      <c r="S1000" s="1">
        <v>0.51400000000000001</v>
      </c>
      <c r="T1000" s="1">
        <v>0.38900000000000001</v>
      </c>
      <c r="U1000" s="1">
        <v>0.98299999999999998</v>
      </c>
      <c r="V1000" s="1">
        <v>149.94300000000001</v>
      </c>
      <c r="W1000">
        <v>4</v>
      </c>
    </row>
    <row r="1001" spans="1:23" x14ac:dyDescent="0.25">
      <c r="A1001" s="1" t="s">
        <v>15629</v>
      </c>
      <c r="B1001" s="1" t="s">
        <v>15630</v>
      </c>
      <c r="C1001" s="1" t="s">
        <v>3835</v>
      </c>
      <c r="D1001" s="1" t="s">
        <v>15631</v>
      </c>
      <c r="E1001" s="1" t="s">
        <v>3836</v>
      </c>
      <c r="F1001" s="1" t="s">
        <v>15632</v>
      </c>
      <c r="G1001">
        <v>191936</v>
      </c>
      <c r="H1001">
        <v>34</v>
      </c>
      <c r="I1001" s="1" t="s">
        <v>11063</v>
      </c>
      <c r="J1001" s="11">
        <v>44729.706458333334</v>
      </c>
      <c r="K1001" s="1" t="s">
        <v>933</v>
      </c>
      <c r="L1001" s="1">
        <v>0.72899999999999998</v>
      </c>
      <c r="M1001" s="1">
        <v>0.66200000000000003</v>
      </c>
      <c r="N1001">
        <v>1</v>
      </c>
      <c r="O1001" s="1">
        <v>-5.84</v>
      </c>
      <c r="P1001">
        <v>0</v>
      </c>
      <c r="Q1001" s="1">
        <v>0.66600000000000004</v>
      </c>
      <c r="R1001" s="1">
        <v>0.57299999999999995</v>
      </c>
      <c r="S1001" s="1">
        <v>0.17299999999999999</v>
      </c>
      <c r="T1001" s="1">
        <v>0.17799999999999999</v>
      </c>
      <c r="U1001" s="1">
        <v>0.871</v>
      </c>
      <c r="V1001" s="1">
        <v>92.01</v>
      </c>
      <c r="W1001">
        <v>4</v>
      </c>
    </row>
    <row r="1002" spans="1:23" x14ac:dyDescent="0.25">
      <c r="A1002" s="1" t="s">
        <v>15633</v>
      </c>
      <c r="B1002" s="1" t="s">
        <v>15634</v>
      </c>
      <c r="C1002" s="1" t="s">
        <v>3837</v>
      </c>
      <c r="D1002" s="1" t="s">
        <v>15635</v>
      </c>
      <c r="E1002" s="1" t="s">
        <v>3838</v>
      </c>
      <c r="F1002" s="1" t="s">
        <v>15573</v>
      </c>
      <c r="G1002">
        <v>201682</v>
      </c>
      <c r="H1002">
        <v>36</v>
      </c>
      <c r="I1002" s="1" t="s">
        <v>11063</v>
      </c>
      <c r="J1002" s="11">
        <v>44729.706458333334</v>
      </c>
      <c r="K1002" s="1" t="s">
        <v>3839</v>
      </c>
      <c r="L1002" s="1">
        <v>0.55100000000000005</v>
      </c>
      <c r="M1002" s="1">
        <v>0.624</v>
      </c>
      <c r="N1002">
        <v>4</v>
      </c>
      <c r="O1002" s="1">
        <v>-7.8369999999999997</v>
      </c>
      <c r="P1002">
        <v>0</v>
      </c>
      <c r="Q1002" s="1">
        <v>0.34699999999999998</v>
      </c>
      <c r="R1002" s="1">
        <v>0.22500000000000001</v>
      </c>
      <c r="S1002" s="1">
        <v>0</v>
      </c>
      <c r="T1002" s="1">
        <v>0.36499999999999999</v>
      </c>
      <c r="U1002" s="1">
        <v>0.32900000000000001</v>
      </c>
      <c r="V1002" s="1">
        <v>144.03100000000001</v>
      </c>
      <c r="W1002">
        <v>4</v>
      </c>
    </row>
    <row r="1003" spans="1:23" x14ac:dyDescent="0.25">
      <c r="A1003" s="1" t="s">
        <v>15636</v>
      </c>
      <c r="B1003" s="1" t="s">
        <v>15637</v>
      </c>
      <c r="C1003" s="1" t="s">
        <v>3840</v>
      </c>
      <c r="D1003" s="1" t="s">
        <v>3840</v>
      </c>
      <c r="E1003" s="1" t="s">
        <v>3841</v>
      </c>
      <c r="F1003" s="1" t="s">
        <v>15638</v>
      </c>
      <c r="G1003">
        <v>212000</v>
      </c>
      <c r="H1003">
        <v>36</v>
      </c>
      <c r="I1003" s="1" t="s">
        <v>11063</v>
      </c>
      <c r="J1003" s="11">
        <v>44729.706458333334</v>
      </c>
      <c r="K1003" s="1" t="s">
        <v>3842</v>
      </c>
      <c r="L1003" s="1">
        <v>0.51600000000000001</v>
      </c>
      <c r="M1003" s="1">
        <v>0.76500000000000001</v>
      </c>
      <c r="N1003">
        <v>0</v>
      </c>
      <c r="O1003" s="1">
        <v>-4.5270000000000001</v>
      </c>
      <c r="P1003">
        <v>1</v>
      </c>
      <c r="Q1003" s="1">
        <v>0.42799999999999999</v>
      </c>
      <c r="R1003" s="1">
        <v>0.95399999999999996</v>
      </c>
      <c r="S1003" s="1">
        <v>0</v>
      </c>
      <c r="T1003" s="1">
        <v>0.77</v>
      </c>
      <c r="U1003" s="1">
        <v>0.34699999999999998</v>
      </c>
      <c r="V1003" s="1">
        <v>149.982</v>
      </c>
      <c r="W1003">
        <v>4</v>
      </c>
    </row>
    <row r="1004" spans="1:23" x14ac:dyDescent="0.25">
      <c r="A1004" s="1" t="s">
        <v>15639</v>
      </c>
      <c r="B1004" s="1" t="s">
        <v>15640</v>
      </c>
      <c r="C1004" s="1" t="s">
        <v>3843</v>
      </c>
      <c r="D1004" s="1" t="s">
        <v>3843</v>
      </c>
      <c r="E1004" s="1" t="s">
        <v>3844</v>
      </c>
      <c r="F1004" s="1" t="s">
        <v>15641</v>
      </c>
      <c r="G1004">
        <v>215294</v>
      </c>
      <c r="H1004">
        <v>27</v>
      </c>
      <c r="I1004" s="1" t="s">
        <v>11063</v>
      </c>
      <c r="J1004" s="11">
        <v>44729.706458333334</v>
      </c>
      <c r="K1004" s="1" t="s">
        <v>1066</v>
      </c>
      <c r="L1004" s="1">
        <v>0.59699999999999998</v>
      </c>
      <c r="M1004" s="1">
        <v>0.44900000000000001</v>
      </c>
      <c r="N1004">
        <v>6</v>
      </c>
      <c r="O1004" s="1">
        <v>-8.36</v>
      </c>
      <c r="P1004">
        <v>1</v>
      </c>
      <c r="Q1004" s="1">
        <v>0.61099999999999999</v>
      </c>
      <c r="R1004" s="1">
        <v>0.20499999999999999</v>
      </c>
      <c r="S1004" s="1">
        <v>0</v>
      </c>
      <c r="T1004" s="1">
        <v>0.45</v>
      </c>
      <c r="U1004" s="1">
        <v>0.53900000000000003</v>
      </c>
      <c r="V1004" s="1">
        <v>135.893</v>
      </c>
      <c r="W1004">
        <v>4</v>
      </c>
    </row>
    <row r="1005" spans="1:23" x14ac:dyDescent="0.25">
      <c r="A1005" s="1" t="s">
        <v>11515</v>
      </c>
      <c r="B1005" s="1" t="s">
        <v>11516</v>
      </c>
      <c r="C1005" s="1" t="s">
        <v>3845</v>
      </c>
      <c r="D1005" s="1" t="s">
        <v>11517</v>
      </c>
      <c r="E1005" s="1" t="s">
        <v>261</v>
      </c>
      <c r="F1005" s="1" t="s">
        <v>11518</v>
      </c>
      <c r="G1005">
        <v>316212</v>
      </c>
      <c r="H1005">
        <v>24</v>
      </c>
      <c r="I1005" s="1" t="s">
        <v>11063</v>
      </c>
      <c r="J1005" s="11">
        <v>44729.706458333334</v>
      </c>
      <c r="K1005" s="1" t="s">
        <v>262</v>
      </c>
      <c r="L1005" s="1">
        <v>0.84499999999999997</v>
      </c>
      <c r="M1005" s="1">
        <v>0.501</v>
      </c>
      <c r="N1005">
        <v>11</v>
      </c>
      <c r="O1005" s="1">
        <v>-6.86</v>
      </c>
      <c r="P1005">
        <v>0</v>
      </c>
      <c r="Q1005" s="1">
        <v>0.52600000000000002</v>
      </c>
      <c r="R1005" s="1">
        <v>0.47399999999999998</v>
      </c>
      <c r="S1005" s="1">
        <v>0.20399999999999999</v>
      </c>
      <c r="T1005" s="1">
        <v>0.91300000000000003</v>
      </c>
      <c r="U1005" s="1">
        <v>0.48799999999999999</v>
      </c>
      <c r="V1005" s="1">
        <v>104.02800000000001</v>
      </c>
      <c r="W1005">
        <v>4</v>
      </c>
    </row>
    <row r="1006" spans="1:23" x14ac:dyDescent="0.25">
      <c r="A1006" s="1" t="s">
        <v>15642</v>
      </c>
      <c r="B1006" s="1" t="s">
        <v>15643</v>
      </c>
      <c r="C1006" s="1" t="s">
        <v>3846</v>
      </c>
      <c r="D1006" s="1" t="s">
        <v>3846</v>
      </c>
      <c r="E1006" s="1" t="s">
        <v>3847</v>
      </c>
      <c r="F1006" s="1" t="s">
        <v>11395</v>
      </c>
      <c r="G1006">
        <v>186909</v>
      </c>
      <c r="H1006">
        <v>38</v>
      </c>
      <c r="I1006" s="1" t="s">
        <v>11063</v>
      </c>
      <c r="J1006" s="11">
        <v>44729.706458333334</v>
      </c>
      <c r="K1006" s="1" t="s">
        <v>3848</v>
      </c>
      <c r="L1006" s="1">
        <v>0.56100000000000005</v>
      </c>
      <c r="M1006" s="1">
        <v>0.75800000000000001</v>
      </c>
      <c r="N1006">
        <v>10</v>
      </c>
      <c r="O1006" s="1">
        <v>-5.9119999999999999</v>
      </c>
      <c r="P1006">
        <v>0</v>
      </c>
      <c r="Q1006" s="1">
        <v>0.89</v>
      </c>
      <c r="R1006" s="1">
        <v>0.26900000000000002</v>
      </c>
      <c r="S1006" s="1">
        <v>0.123</v>
      </c>
      <c r="T1006" s="1">
        <v>0.33500000000000002</v>
      </c>
      <c r="U1006" s="1">
        <v>0.22500000000000001</v>
      </c>
      <c r="V1006" s="1">
        <v>165.02600000000001</v>
      </c>
      <c r="W1006">
        <v>4</v>
      </c>
    </row>
    <row r="1007" spans="1:23" x14ac:dyDescent="0.25">
      <c r="A1007" s="1" t="s">
        <v>15644</v>
      </c>
      <c r="B1007" s="1" t="s">
        <v>15645</v>
      </c>
      <c r="C1007" s="1" t="s">
        <v>3849</v>
      </c>
      <c r="D1007" s="1" t="s">
        <v>3849</v>
      </c>
      <c r="E1007" s="1" t="s">
        <v>3850</v>
      </c>
      <c r="F1007" s="1" t="s">
        <v>15646</v>
      </c>
      <c r="G1007">
        <v>219272</v>
      </c>
      <c r="H1007">
        <v>26</v>
      </c>
      <c r="I1007" s="1" t="s">
        <v>11063</v>
      </c>
      <c r="J1007" s="11">
        <v>44729.706458333334</v>
      </c>
      <c r="K1007" s="1" t="s">
        <v>933</v>
      </c>
      <c r="L1007" s="1">
        <v>0.63100000000000001</v>
      </c>
      <c r="M1007" s="1">
        <v>0.83399999999999996</v>
      </c>
      <c r="N1007">
        <v>0</v>
      </c>
      <c r="O1007" s="1">
        <v>-6.5419999999999998</v>
      </c>
      <c r="P1007">
        <v>1</v>
      </c>
      <c r="Q1007" s="1">
        <v>0.10199999999999999</v>
      </c>
      <c r="R1007" s="1">
        <v>0.108</v>
      </c>
      <c r="S1007" s="1">
        <v>0.17399999999999999</v>
      </c>
      <c r="T1007" s="1">
        <v>0.83099999999999996</v>
      </c>
      <c r="U1007" s="1">
        <v>0.14799999999999999</v>
      </c>
      <c r="V1007" s="1">
        <v>110.01600000000001</v>
      </c>
      <c r="W1007">
        <v>4</v>
      </c>
    </row>
    <row r="1008" spans="1:23" x14ac:dyDescent="0.25">
      <c r="A1008" s="1" t="s">
        <v>15647</v>
      </c>
      <c r="B1008" s="1" t="s">
        <v>15648</v>
      </c>
      <c r="C1008" s="1" t="s">
        <v>3851</v>
      </c>
      <c r="D1008" s="1" t="s">
        <v>3851</v>
      </c>
      <c r="E1008" s="1" t="s">
        <v>3852</v>
      </c>
      <c r="F1008" s="1" t="s">
        <v>11246</v>
      </c>
      <c r="G1008">
        <v>192621</v>
      </c>
      <c r="H1008">
        <v>5</v>
      </c>
      <c r="I1008" s="1" t="s">
        <v>11063</v>
      </c>
      <c r="J1008" s="11">
        <v>44729.706458333334</v>
      </c>
      <c r="K1008" s="1" t="s">
        <v>3853</v>
      </c>
      <c r="L1008" s="1">
        <v>0.73499999999999999</v>
      </c>
      <c r="M1008" s="1">
        <v>0.47</v>
      </c>
      <c r="N1008">
        <v>4</v>
      </c>
      <c r="O1008" s="1">
        <v>-9.4049999999999994</v>
      </c>
      <c r="P1008">
        <v>1</v>
      </c>
      <c r="Q1008" s="1">
        <v>0.1</v>
      </c>
      <c r="R1008" s="1">
        <v>0.26600000000000001</v>
      </c>
      <c r="S1008" s="1">
        <v>0.105</v>
      </c>
      <c r="T1008" s="1">
        <v>0.32</v>
      </c>
      <c r="U1008" s="1">
        <v>0.89700000000000002</v>
      </c>
      <c r="V1008" s="1">
        <v>87.971000000000004</v>
      </c>
      <c r="W1008">
        <v>4</v>
      </c>
    </row>
    <row r="1009" spans="1:23" x14ac:dyDescent="0.25">
      <c r="A1009" s="1" t="s">
        <v>15649</v>
      </c>
      <c r="B1009" s="1" t="s">
        <v>15650</v>
      </c>
      <c r="C1009" s="1" t="s">
        <v>3854</v>
      </c>
      <c r="D1009" s="1" t="s">
        <v>15651</v>
      </c>
      <c r="E1009" s="1" t="s">
        <v>3855</v>
      </c>
      <c r="F1009" s="1" t="s">
        <v>15353</v>
      </c>
      <c r="G1009">
        <v>191013</v>
      </c>
      <c r="H1009">
        <v>85</v>
      </c>
      <c r="I1009" s="1" t="s">
        <v>11063</v>
      </c>
      <c r="J1009" s="11">
        <v>44729.706458333334</v>
      </c>
      <c r="K1009" s="1" t="s">
        <v>3856</v>
      </c>
      <c r="L1009" s="1">
        <v>0.65</v>
      </c>
      <c r="M1009" s="1">
        <v>0.82499999999999996</v>
      </c>
      <c r="N1009">
        <v>0</v>
      </c>
      <c r="O1009" s="1">
        <v>-4.6449999999999996</v>
      </c>
      <c r="P1009">
        <v>1</v>
      </c>
      <c r="Q1009" s="1">
        <v>0.32500000000000001</v>
      </c>
      <c r="R1009" s="1">
        <v>0.215</v>
      </c>
      <c r="S1009" s="1">
        <v>0.24399999999999999</v>
      </c>
      <c r="T1009" s="1">
        <v>0.93600000000000005</v>
      </c>
      <c r="U1009" s="1">
        <v>0.59299999999999997</v>
      </c>
      <c r="V1009" s="1">
        <v>118.09099999999999</v>
      </c>
      <c r="W1009">
        <v>4</v>
      </c>
    </row>
    <row r="1010" spans="1:23" x14ac:dyDescent="0.25">
      <c r="A1010" s="1" t="s">
        <v>11519</v>
      </c>
      <c r="B1010" s="1" t="s">
        <v>11520</v>
      </c>
      <c r="C1010" s="1" t="s">
        <v>3857</v>
      </c>
      <c r="D1010" s="1" t="s">
        <v>2238</v>
      </c>
      <c r="E1010" s="1" t="s">
        <v>263</v>
      </c>
      <c r="F1010" s="1" t="s">
        <v>11521</v>
      </c>
      <c r="G1010">
        <v>198081</v>
      </c>
      <c r="H1010">
        <v>87</v>
      </c>
      <c r="I1010" s="1" t="s">
        <v>11063</v>
      </c>
      <c r="J1010" s="11">
        <v>44729.706458333334</v>
      </c>
      <c r="K1010" s="1" t="s">
        <v>264</v>
      </c>
      <c r="L1010" s="1">
        <v>0.67700000000000005</v>
      </c>
      <c r="M1010" s="1">
        <v>0.69599999999999995</v>
      </c>
      <c r="N1010">
        <v>0</v>
      </c>
      <c r="O1010" s="1">
        <v>-6.181</v>
      </c>
      <c r="P1010">
        <v>1</v>
      </c>
      <c r="Q1010" s="1">
        <v>0.11899999999999999</v>
      </c>
      <c r="R1010" s="1">
        <v>0.32100000000000001</v>
      </c>
      <c r="S1010" s="1">
        <v>0</v>
      </c>
      <c r="T1010" s="1">
        <v>0.42</v>
      </c>
      <c r="U1010" s="1">
        <v>0.46400000000000002</v>
      </c>
      <c r="V1010" s="1">
        <v>90.03</v>
      </c>
      <c r="W1010">
        <v>4</v>
      </c>
    </row>
    <row r="1011" spans="1:23" x14ac:dyDescent="0.25">
      <c r="A1011" s="1" t="s">
        <v>15652</v>
      </c>
      <c r="B1011" s="1" t="s">
        <v>11632</v>
      </c>
      <c r="C1011" s="1" t="s">
        <v>2101</v>
      </c>
      <c r="D1011" s="1" t="s">
        <v>2101</v>
      </c>
      <c r="E1011" s="1" t="s">
        <v>354</v>
      </c>
      <c r="F1011" s="1" t="s">
        <v>13647</v>
      </c>
      <c r="G1011">
        <v>141805</v>
      </c>
      <c r="H1011">
        <v>91</v>
      </c>
      <c r="I1011" s="1" t="s">
        <v>11063</v>
      </c>
      <c r="J1011" s="11">
        <v>44729.706458333334</v>
      </c>
      <c r="K1011" s="1" t="s">
        <v>355</v>
      </c>
      <c r="L1011" s="1">
        <v>0.59099999999999997</v>
      </c>
      <c r="M1011" s="1">
        <v>0.76400000000000001</v>
      </c>
      <c r="N1011">
        <v>1</v>
      </c>
      <c r="O1011" s="1">
        <v>-5.484</v>
      </c>
      <c r="P1011">
        <v>1</v>
      </c>
      <c r="Q1011" s="1">
        <v>0.48299999999999998</v>
      </c>
      <c r="R1011" s="1">
        <v>0.38300000000000001</v>
      </c>
      <c r="S1011" s="1">
        <v>0</v>
      </c>
      <c r="T1011" s="1">
        <v>0.10299999999999999</v>
      </c>
      <c r="U1011" s="1">
        <v>0.47799999999999998</v>
      </c>
      <c r="V1011" s="1">
        <v>169.928</v>
      </c>
      <c r="W1011">
        <v>4</v>
      </c>
    </row>
    <row r="1012" spans="1:23" x14ac:dyDescent="0.25">
      <c r="A1012" s="1" t="s">
        <v>11522</v>
      </c>
      <c r="B1012" s="1" t="s">
        <v>11523</v>
      </c>
      <c r="C1012" s="1" t="s">
        <v>265</v>
      </c>
      <c r="D1012" s="1" t="s">
        <v>265</v>
      </c>
      <c r="E1012" s="1" t="s">
        <v>266</v>
      </c>
      <c r="F1012" s="1" t="s">
        <v>11524</v>
      </c>
      <c r="G1012">
        <v>204043</v>
      </c>
      <c r="H1012">
        <v>72</v>
      </c>
      <c r="I1012" s="1" t="s">
        <v>11063</v>
      </c>
      <c r="J1012" s="11">
        <v>44729.706458333334</v>
      </c>
      <c r="K1012" s="1" t="s">
        <v>267</v>
      </c>
      <c r="L1012" s="1">
        <v>0.91600000000000004</v>
      </c>
      <c r="M1012" s="1">
        <v>0.55200000000000005</v>
      </c>
      <c r="N1012">
        <v>3</v>
      </c>
      <c r="O1012" s="1">
        <v>-5.0510000000000002</v>
      </c>
      <c r="P1012">
        <v>0</v>
      </c>
      <c r="Q1012" s="1">
        <v>0.54600000000000004</v>
      </c>
      <c r="R1012" s="1">
        <v>0.34399999999999997</v>
      </c>
      <c r="S1012" s="1">
        <v>0.72199999999999998</v>
      </c>
      <c r="T1012" s="1">
        <v>0.56599999999999995</v>
      </c>
      <c r="U1012" s="1">
        <v>0.34899999999999998</v>
      </c>
      <c r="V1012" s="1">
        <v>118.98099999999999</v>
      </c>
      <c r="W1012">
        <v>4</v>
      </c>
    </row>
    <row r="1013" spans="1:23" x14ac:dyDescent="0.25">
      <c r="A1013" s="1" t="s">
        <v>15653</v>
      </c>
      <c r="B1013" s="1" t="s">
        <v>15654</v>
      </c>
      <c r="C1013" s="1" t="s">
        <v>3858</v>
      </c>
      <c r="D1013" s="1" t="s">
        <v>15655</v>
      </c>
      <c r="E1013" s="1" t="s">
        <v>3859</v>
      </c>
      <c r="F1013" s="1" t="s">
        <v>14255</v>
      </c>
      <c r="G1013">
        <v>230906</v>
      </c>
      <c r="H1013">
        <v>73</v>
      </c>
      <c r="I1013" s="1" t="s">
        <v>11063</v>
      </c>
      <c r="J1013" s="11">
        <v>44729.706458333334</v>
      </c>
      <c r="K1013" s="1" t="s">
        <v>3860</v>
      </c>
      <c r="L1013" s="1">
        <v>0.75800000000000001</v>
      </c>
      <c r="M1013" s="1">
        <v>0.68600000000000005</v>
      </c>
      <c r="N1013">
        <v>11</v>
      </c>
      <c r="O1013" s="1">
        <v>-6.3460000000000001</v>
      </c>
      <c r="P1013">
        <v>1</v>
      </c>
      <c r="Q1013" s="1">
        <v>0.79200000000000004</v>
      </c>
      <c r="R1013" s="1">
        <v>0.84799999999999998</v>
      </c>
      <c r="S1013" s="1">
        <v>0.127</v>
      </c>
      <c r="T1013" s="1">
        <v>0.14199999999999999</v>
      </c>
      <c r="U1013" s="1">
        <v>0.44400000000000001</v>
      </c>
      <c r="V1013" s="1">
        <v>130.00700000000001</v>
      </c>
      <c r="W1013">
        <v>4</v>
      </c>
    </row>
    <row r="1014" spans="1:23" x14ac:dyDescent="0.25">
      <c r="A1014" s="1" t="s">
        <v>15656</v>
      </c>
      <c r="B1014" s="1" t="s">
        <v>15657</v>
      </c>
      <c r="C1014" s="1" t="s">
        <v>3861</v>
      </c>
      <c r="D1014" s="1" t="s">
        <v>15658</v>
      </c>
      <c r="E1014" s="1" t="s">
        <v>3862</v>
      </c>
      <c r="F1014" s="1" t="s">
        <v>15191</v>
      </c>
      <c r="G1014">
        <v>245106</v>
      </c>
      <c r="H1014">
        <v>27</v>
      </c>
      <c r="I1014" s="1" t="s">
        <v>11063</v>
      </c>
      <c r="J1014" s="11">
        <v>44729.706458333334</v>
      </c>
      <c r="K1014" s="1" t="s">
        <v>3863</v>
      </c>
      <c r="L1014" s="1">
        <v>0.54</v>
      </c>
      <c r="M1014" s="1">
        <v>0.91600000000000004</v>
      </c>
      <c r="N1014">
        <v>0</v>
      </c>
      <c r="O1014" s="1">
        <v>-2.4580000000000002</v>
      </c>
      <c r="P1014">
        <v>1</v>
      </c>
      <c r="Q1014" s="1">
        <v>0.41799999999999998</v>
      </c>
      <c r="R1014" s="1">
        <v>0.221</v>
      </c>
      <c r="S1014" s="1">
        <v>0.46600000000000003</v>
      </c>
      <c r="T1014" s="1">
        <v>0.18</v>
      </c>
      <c r="U1014" s="1">
        <v>0.71799999999999997</v>
      </c>
      <c r="V1014" s="1">
        <v>94.043999999999997</v>
      </c>
      <c r="W1014">
        <v>4</v>
      </c>
    </row>
    <row r="1015" spans="1:23" x14ac:dyDescent="0.25">
      <c r="A1015" s="1" t="s">
        <v>15659</v>
      </c>
      <c r="B1015" s="1" t="s">
        <v>15660</v>
      </c>
      <c r="C1015" s="1" t="s">
        <v>3864</v>
      </c>
      <c r="D1015" s="1" t="s">
        <v>3864</v>
      </c>
      <c r="E1015" s="1" t="s">
        <v>3865</v>
      </c>
      <c r="F1015" s="1" t="s">
        <v>15661</v>
      </c>
      <c r="G1015">
        <v>180000</v>
      </c>
      <c r="H1015">
        <v>29</v>
      </c>
      <c r="I1015" s="1" t="s">
        <v>11063</v>
      </c>
      <c r="J1015" s="11">
        <v>44729.706458333334</v>
      </c>
      <c r="K1015" s="1" t="s">
        <v>3866</v>
      </c>
      <c r="L1015" s="1">
        <v>0.60699999999999998</v>
      </c>
      <c r="M1015" s="1">
        <v>0.72399999999999998</v>
      </c>
      <c r="N1015">
        <v>9</v>
      </c>
      <c r="O1015" s="1">
        <v>-6.8159999999999998</v>
      </c>
      <c r="P1015">
        <v>0</v>
      </c>
      <c r="Q1015" s="1">
        <v>0.88300000000000001</v>
      </c>
      <c r="R1015" s="1">
        <v>0.19</v>
      </c>
      <c r="S1015" s="1">
        <v>0.77100000000000002</v>
      </c>
      <c r="T1015" s="1">
        <v>0.32200000000000001</v>
      </c>
      <c r="U1015" s="1">
        <v>0.61399999999999999</v>
      </c>
      <c r="V1015" s="1">
        <v>119.93</v>
      </c>
      <c r="W1015">
        <v>4</v>
      </c>
    </row>
    <row r="1016" spans="1:23" x14ac:dyDescent="0.25">
      <c r="A1016" s="1" t="s">
        <v>15662</v>
      </c>
      <c r="B1016" s="1" t="s">
        <v>15663</v>
      </c>
      <c r="C1016" s="1" t="s">
        <v>3867</v>
      </c>
      <c r="D1016" s="1" t="s">
        <v>3867</v>
      </c>
      <c r="E1016" s="1" t="s">
        <v>3868</v>
      </c>
      <c r="F1016" s="1" t="s">
        <v>15664</v>
      </c>
      <c r="G1016">
        <v>193445</v>
      </c>
      <c r="H1016">
        <v>27</v>
      </c>
      <c r="I1016" s="1" t="s">
        <v>11063</v>
      </c>
      <c r="J1016" s="11">
        <v>44729.706458333334</v>
      </c>
      <c r="K1016" s="1" t="s">
        <v>947</v>
      </c>
      <c r="L1016" s="1">
        <v>0.55800000000000005</v>
      </c>
      <c r="M1016" s="1">
        <v>0.68100000000000005</v>
      </c>
      <c r="N1016">
        <v>9</v>
      </c>
      <c r="O1016" s="1">
        <v>-4.8070000000000004</v>
      </c>
      <c r="P1016">
        <v>0</v>
      </c>
      <c r="Q1016" s="1">
        <v>0.36899999999999999</v>
      </c>
      <c r="R1016" s="1">
        <v>0.92900000000000005</v>
      </c>
      <c r="S1016" s="1">
        <v>0.124</v>
      </c>
      <c r="T1016" s="1">
        <v>0.89500000000000002</v>
      </c>
      <c r="U1016" s="1">
        <v>0.41599999999999998</v>
      </c>
      <c r="V1016" s="1">
        <v>170.059</v>
      </c>
      <c r="W1016">
        <v>4</v>
      </c>
    </row>
    <row r="1017" spans="1:23" x14ac:dyDescent="0.25">
      <c r="A1017" s="1" t="s">
        <v>15665</v>
      </c>
      <c r="B1017" s="1" t="s">
        <v>15666</v>
      </c>
      <c r="C1017" s="1" t="s">
        <v>3869</v>
      </c>
      <c r="D1017" s="1" t="s">
        <v>15667</v>
      </c>
      <c r="E1017" s="1" t="s">
        <v>3870</v>
      </c>
      <c r="F1017" s="1" t="s">
        <v>15668</v>
      </c>
      <c r="G1017">
        <v>210026</v>
      </c>
      <c r="H1017">
        <v>30</v>
      </c>
      <c r="I1017" s="1" t="s">
        <v>11063</v>
      </c>
      <c r="J1017" s="11">
        <v>44729.706458333334</v>
      </c>
      <c r="K1017" s="1" t="s">
        <v>328</v>
      </c>
      <c r="L1017" s="1">
        <v>0.52400000000000002</v>
      </c>
      <c r="M1017" s="1">
        <v>0.76200000000000001</v>
      </c>
      <c r="N1017">
        <v>8</v>
      </c>
      <c r="O1017" s="1">
        <v>-7.9829999999999997</v>
      </c>
      <c r="P1017">
        <v>0</v>
      </c>
      <c r="Q1017" s="1">
        <v>0.61799999999999999</v>
      </c>
      <c r="R1017" s="1">
        <v>0.24099999999999999</v>
      </c>
      <c r="S1017" s="1">
        <v>0.188</v>
      </c>
      <c r="T1017" s="1">
        <v>0.57899999999999996</v>
      </c>
      <c r="U1017" s="1">
        <v>0.434</v>
      </c>
      <c r="V1017" s="1">
        <v>120.023</v>
      </c>
      <c r="W1017">
        <v>4</v>
      </c>
    </row>
    <row r="1018" spans="1:23" x14ac:dyDescent="0.25">
      <c r="A1018" s="1" t="s">
        <v>15669</v>
      </c>
      <c r="B1018" s="1" t="s">
        <v>15670</v>
      </c>
      <c r="C1018" s="1" t="s">
        <v>3871</v>
      </c>
      <c r="D1018" s="1" t="s">
        <v>3871</v>
      </c>
      <c r="E1018" s="1" t="s">
        <v>3872</v>
      </c>
      <c r="F1018" s="1" t="s">
        <v>15671</v>
      </c>
      <c r="G1018">
        <v>210075</v>
      </c>
      <c r="H1018">
        <v>26</v>
      </c>
      <c r="I1018" s="1" t="s">
        <v>11063</v>
      </c>
      <c r="J1018" s="11">
        <v>44729.706458333334</v>
      </c>
      <c r="K1018" s="1" t="s">
        <v>3873</v>
      </c>
      <c r="L1018" s="1">
        <v>0.317</v>
      </c>
      <c r="M1018" s="1">
        <v>0.65900000000000003</v>
      </c>
      <c r="N1018">
        <v>9</v>
      </c>
      <c r="O1018" s="1">
        <v>-6.1980000000000004</v>
      </c>
      <c r="P1018">
        <v>1</v>
      </c>
      <c r="Q1018" s="1">
        <v>0.89200000000000002</v>
      </c>
      <c r="R1018" s="1">
        <v>0.65400000000000003</v>
      </c>
      <c r="S1018" s="1">
        <v>0.10199999999999999</v>
      </c>
      <c r="T1018" s="1">
        <v>0.186</v>
      </c>
      <c r="U1018" s="1">
        <v>0.18</v>
      </c>
      <c r="V1018" s="1">
        <v>123.889</v>
      </c>
      <c r="W1018">
        <v>4</v>
      </c>
    </row>
    <row r="1019" spans="1:23" x14ac:dyDescent="0.25">
      <c r="A1019" s="1" t="s">
        <v>15672</v>
      </c>
      <c r="B1019" s="1" t="s">
        <v>15673</v>
      </c>
      <c r="C1019" s="1" t="s">
        <v>3874</v>
      </c>
      <c r="D1019" s="1" t="s">
        <v>15674</v>
      </c>
      <c r="E1019" s="1" t="s">
        <v>3875</v>
      </c>
      <c r="F1019" s="1" t="s">
        <v>15675</v>
      </c>
      <c r="G1019">
        <v>180000</v>
      </c>
      <c r="H1019">
        <v>29</v>
      </c>
      <c r="I1019" s="1" t="s">
        <v>11063</v>
      </c>
      <c r="J1019" s="11">
        <v>44729.706458333334</v>
      </c>
      <c r="K1019" s="1" t="s">
        <v>998</v>
      </c>
      <c r="L1019" s="1">
        <v>0.77600000000000002</v>
      </c>
      <c r="M1019" s="1">
        <v>0.81699999999999995</v>
      </c>
      <c r="N1019">
        <v>7</v>
      </c>
      <c r="O1019" s="1">
        <v>-5.1050000000000004</v>
      </c>
      <c r="P1019">
        <v>1</v>
      </c>
      <c r="Q1019" s="1">
        <v>0.58199999999999996</v>
      </c>
      <c r="R1019" s="1">
        <v>0.107</v>
      </c>
      <c r="S1019" s="1">
        <v>0.93300000000000005</v>
      </c>
      <c r="T1019" s="1">
        <v>0.28799999999999998</v>
      </c>
      <c r="U1019" s="1">
        <v>0.65800000000000003</v>
      </c>
      <c r="V1019" s="1">
        <v>143.91900000000001</v>
      </c>
      <c r="W1019">
        <v>4</v>
      </c>
    </row>
    <row r="1020" spans="1:23" x14ac:dyDescent="0.25">
      <c r="A1020" s="1" t="s">
        <v>15676</v>
      </c>
      <c r="B1020" s="1" t="s">
        <v>15677</v>
      </c>
      <c r="C1020" s="1" t="s">
        <v>3876</v>
      </c>
      <c r="D1020" s="1" t="s">
        <v>15678</v>
      </c>
      <c r="E1020" s="1" t="s">
        <v>3877</v>
      </c>
      <c r="F1020" s="1" t="s">
        <v>14752</v>
      </c>
      <c r="G1020">
        <v>178560</v>
      </c>
      <c r="H1020">
        <v>24</v>
      </c>
      <c r="I1020" s="1" t="s">
        <v>11063</v>
      </c>
      <c r="J1020" s="11">
        <v>44729.706458333334</v>
      </c>
      <c r="K1020" s="1" t="s">
        <v>933</v>
      </c>
      <c r="L1020" s="1">
        <v>0.64</v>
      </c>
      <c r="M1020" s="1">
        <v>0.97</v>
      </c>
      <c r="N1020">
        <v>11</v>
      </c>
      <c r="O1020" s="1">
        <v>-2.681</v>
      </c>
      <c r="P1020">
        <v>1</v>
      </c>
      <c r="Q1020" s="1">
        <v>0.22500000000000001</v>
      </c>
      <c r="R1020" s="1">
        <v>0.11600000000000001</v>
      </c>
      <c r="S1020" s="1">
        <v>0.23799999999999999</v>
      </c>
      <c r="T1020" s="1">
        <v>0.36399999999999999</v>
      </c>
      <c r="U1020" s="1">
        <v>0.57599999999999996</v>
      </c>
      <c r="V1020" s="1">
        <v>124.923</v>
      </c>
      <c r="W1020">
        <v>4</v>
      </c>
    </row>
    <row r="1021" spans="1:23" x14ac:dyDescent="0.25">
      <c r="A1021" s="1" t="s">
        <v>15679</v>
      </c>
      <c r="B1021" s="1" t="s">
        <v>15680</v>
      </c>
      <c r="C1021" s="1" t="s">
        <v>3878</v>
      </c>
      <c r="D1021" s="1" t="s">
        <v>3878</v>
      </c>
      <c r="E1021" s="1" t="s">
        <v>3879</v>
      </c>
      <c r="F1021" s="1" t="s">
        <v>15681</v>
      </c>
      <c r="G1021">
        <v>184225</v>
      </c>
      <c r="H1021">
        <v>34</v>
      </c>
      <c r="I1021" s="1" t="s">
        <v>11063</v>
      </c>
      <c r="J1021" s="11">
        <v>44729.706458333334</v>
      </c>
      <c r="K1021" s="1" t="s">
        <v>3880</v>
      </c>
      <c r="L1021" s="1">
        <v>0.42599999999999999</v>
      </c>
      <c r="M1021" s="1">
        <v>0.64900000000000002</v>
      </c>
      <c r="N1021">
        <v>10</v>
      </c>
      <c r="O1021" s="1">
        <v>-6.1280000000000001</v>
      </c>
      <c r="P1021">
        <v>0</v>
      </c>
      <c r="Q1021" s="1">
        <v>0.56100000000000005</v>
      </c>
      <c r="R1021" s="1">
        <v>0.18</v>
      </c>
      <c r="S1021" s="1">
        <v>0.82299999999999995</v>
      </c>
      <c r="T1021" s="1">
        <v>0.13200000000000001</v>
      </c>
      <c r="U1021" s="1">
        <v>0.628</v>
      </c>
      <c r="V1021" s="1">
        <v>123.07599999999999</v>
      </c>
      <c r="W1021">
        <v>4</v>
      </c>
    </row>
    <row r="1022" spans="1:23" x14ac:dyDescent="0.25">
      <c r="A1022" s="1" t="s">
        <v>15682</v>
      </c>
      <c r="B1022" s="1" t="s">
        <v>15683</v>
      </c>
      <c r="C1022" s="1" t="s">
        <v>3881</v>
      </c>
      <c r="D1022" s="1" t="s">
        <v>3881</v>
      </c>
      <c r="E1022" s="1" t="s">
        <v>3882</v>
      </c>
      <c r="F1022" s="1" t="s">
        <v>15684</v>
      </c>
      <c r="G1022">
        <v>162253</v>
      </c>
      <c r="H1022">
        <v>30</v>
      </c>
      <c r="I1022" s="1" t="s">
        <v>11063</v>
      </c>
      <c r="J1022" s="11">
        <v>44729.706458333334</v>
      </c>
      <c r="K1022" s="1" t="s">
        <v>50</v>
      </c>
      <c r="L1022" s="1">
        <v>0.55800000000000005</v>
      </c>
      <c r="M1022" s="1">
        <v>0.90400000000000003</v>
      </c>
      <c r="N1022">
        <v>0</v>
      </c>
      <c r="O1022" s="1">
        <v>-6.8239999999999998</v>
      </c>
      <c r="P1022">
        <v>1</v>
      </c>
      <c r="Q1022" s="1">
        <v>0.105</v>
      </c>
      <c r="R1022" s="1">
        <v>0.28899999999999998</v>
      </c>
      <c r="S1022" s="1">
        <v>0.39</v>
      </c>
      <c r="T1022" s="1">
        <v>0.20599999999999999</v>
      </c>
      <c r="U1022" s="1">
        <v>0.33</v>
      </c>
      <c r="V1022" s="1">
        <v>142.06299999999999</v>
      </c>
      <c r="W1022">
        <v>4</v>
      </c>
    </row>
    <row r="1023" spans="1:23" x14ac:dyDescent="0.25">
      <c r="A1023" s="1" t="s">
        <v>15685</v>
      </c>
      <c r="B1023" s="1" t="s">
        <v>15686</v>
      </c>
      <c r="C1023" s="1" t="s">
        <v>3883</v>
      </c>
      <c r="D1023" s="1" t="s">
        <v>3883</v>
      </c>
      <c r="E1023" s="1" t="s">
        <v>3884</v>
      </c>
      <c r="F1023" s="1" t="s">
        <v>14755</v>
      </c>
      <c r="G1023">
        <v>223304</v>
      </c>
      <c r="H1023">
        <v>32</v>
      </c>
      <c r="I1023" s="1" t="s">
        <v>11063</v>
      </c>
      <c r="J1023" s="11">
        <v>44729.706458333334</v>
      </c>
      <c r="K1023" s="1" t="s">
        <v>3885</v>
      </c>
      <c r="L1023" s="1">
        <v>0.57999999999999996</v>
      </c>
      <c r="M1023" s="1">
        <v>0.79400000000000004</v>
      </c>
      <c r="N1023">
        <v>11</v>
      </c>
      <c r="O1023" s="1">
        <v>-2.927</v>
      </c>
      <c r="P1023">
        <v>0</v>
      </c>
      <c r="Q1023" s="1">
        <v>0.47399999999999998</v>
      </c>
      <c r="R1023" s="1">
        <v>0.31900000000000001</v>
      </c>
      <c r="S1023" s="1">
        <v>0.126</v>
      </c>
      <c r="T1023" s="1">
        <v>0.52200000000000002</v>
      </c>
      <c r="U1023" s="1">
        <v>0.41</v>
      </c>
      <c r="V1023" s="1">
        <v>115.072</v>
      </c>
      <c r="W1023">
        <v>4</v>
      </c>
    </row>
    <row r="1024" spans="1:23" x14ac:dyDescent="0.25">
      <c r="A1024" s="1" t="s">
        <v>15687</v>
      </c>
      <c r="B1024" s="1" t="s">
        <v>15688</v>
      </c>
      <c r="C1024" s="1" t="s">
        <v>1446</v>
      </c>
      <c r="D1024" s="1" t="s">
        <v>1446</v>
      </c>
      <c r="E1024" s="1" t="s">
        <v>3886</v>
      </c>
      <c r="F1024" s="1" t="s">
        <v>15689</v>
      </c>
      <c r="G1024">
        <v>179745</v>
      </c>
      <c r="H1024">
        <v>62</v>
      </c>
      <c r="I1024" s="1" t="s">
        <v>11063</v>
      </c>
      <c r="J1024" s="11">
        <v>44729.706458333334</v>
      </c>
      <c r="K1024" s="1" t="s">
        <v>3887</v>
      </c>
      <c r="L1024" s="1">
        <v>0.754</v>
      </c>
      <c r="M1024" s="1">
        <v>0.65300000000000002</v>
      </c>
      <c r="N1024">
        <v>7</v>
      </c>
      <c r="O1024" s="1">
        <v>-5.0949999999999998</v>
      </c>
      <c r="P1024">
        <v>1</v>
      </c>
      <c r="Q1024" s="1">
        <v>0.61099999999999999</v>
      </c>
      <c r="R1024" s="1">
        <v>0.94399999999999995</v>
      </c>
      <c r="S1024" s="1">
        <v>0</v>
      </c>
      <c r="T1024" s="1">
        <v>0.38300000000000001</v>
      </c>
      <c r="U1024" s="1">
        <v>0.379</v>
      </c>
      <c r="V1024" s="1">
        <v>123.084</v>
      </c>
      <c r="W1024">
        <v>4</v>
      </c>
    </row>
    <row r="1025" spans="1:23" x14ac:dyDescent="0.25">
      <c r="A1025" s="1" t="s">
        <v>15690</v>
      </c>
      <c r="B1025" s="1" t="s">
        <v>15691</v>
      </c>
      <c r="C1025" s="1" t="s">
        <v>3888</v>
      </c>
      <c r="D1025" s="1" t="s">
        <v>15692</v>
      </c>
      <c r="E1025" s="1" t="s">
        <v>3889</v>
      </c>
      <c r="F1025" s="1" t="s">
        <v>14755</v>
      </c>
      <c r="G1025">
        <v>204481</v>
      </c>
      <c r="H1025">
        <v>25</v>
      </c>
      <c r="I1025" s="1" t="s">
        <v>11063</v>
      </c>
      <c r="J1025" s="11">
        <v>44729.706458333334</v>
      </c>
      <c r="K1025" s="1" t="s">
        <v>50</v>
      </c>
      <c r="L1025" s="1">
        <v>0.626</v>
      </c>
      <c r="M1025" s="1">
        <v>0.86</v>
      </c>
      <c r="N1025">
        <v>11</v>
      </c>
      <c r="O1025" s="1">
        <v>-4.7960000000000003</v>
      </c>
      <c r="P1025">
        <v>0</v>
      </c>
      <c r="Q1025" s="1">
        <v>0.76</v>
      </c>
      <c r="R1025" s="1">
        <v>0.114</v>
      </c>
      <c r="S1025" s="1">
        <v>0.13900000000000001</v>
      </c>
      <c r="T1025" s="1">
        <v>0.33700000000000002</v>
      </c>
      <c r="U1025" s="1">
        <v>0.59599999999999997</v>
      </c>
      <c r="V1025" s="1">
        <v>152.22399999999999</v>
      </c>
      <c r="W1025">
        <v>4</v>
      </c>
    </row>
    <row r="1026" spans="1:23" x14ac:dyDescent="0.25">
      <c r="A1026" s="1" t="s">
        <v>15693</v>
      </c>
      <c r="B1026" s="1" t="s">
        <v>15694</v>
      </c>
      <c r="C1026" s="1" t="s">
        <v>3890</v>
      </c>
      <c r="D1026" s="1" t="s">
        <v>3891</v>
      </c>
      <c r="E1026" s="1" t="s">
        <v>3891</v>
      </c>
      <c r="F1026" s="1" t="s">
        <v>14129</v>
      </c>
      <c r="G1026">
        <v>190153</v>
      </c>
      <c r="H1026">
        <v>35</v>
      </c>
      <c r="I1026" s="1" t="s">
        <v>11063</v>
      </c>
      <c r="J1026" s="11">
        <v>44729.706458333334</v>
      </c>
      <c r="K1026" s="1" t="s">
        <v>3892</v>
      </c>
      <c r="L1026" s="1">
        <v>0.73199999999999998</v>
      </c>
      <c r="M1026" s="1">
        <v>0.93400000000000005</v>
      </c>
      <c r="N1026">
        <v>7</v>
      </c>
      <c r="O1026" s="1">
        <v>-2.7610000000000001</v>
      </c>
      <c r="P1026">
        <v>0</v>
      </c>
      <c r="Q1026" s="1">
        <v>0.44500000000000001</v>
      </c>
      <c r="R1026" s="1">
        <v>0.81799999999999995</v>
      </c>
      <c r="S1026" s="1">
        <v>0.27500000000000002</v>
      </c>
      <c r="T1026" s="1">
        <v>0.182</v>
      </c>
      <c r="U1026" s="1">
        <v>0.27800000000000002</v>
      </c>
      <c r="V1026" s="1">
        <v>122.012</v>
      </c>
      <c r="W1026">
        <v>4</v>
      </c>
    </row>
    <row r="1027" spans="1:23" x14ac:dyDescent="0.25">
      <c r="A1027" s="1" t="s">
        <v>15695</v>
      </c>
      <c r="B1027" s="1" t="s">
        <v>15696</v>
      </c>
      <c r="C1027" s="1" t="s">
        <v>3893</v>
      </c>
      <c r="D1027" s="1" t="s">
        <v>3893</v>
      </c>
      <c r="E1027" s="1" t="s">
        <v>3894</v>
      </c>
      <c r="F1027" s="1" t="s">
        <v>15697</v>
      </c>
      <c r="G1027">
        <v>204404</v>
      </c>
      <c r="H1027">
        <v>16</v>
      </c>
      <c r="I1027" s="1" t="s">
        <v>11063</v>
      </c>
      <c r="J1027" s="11">
        <v>44729.706458333334</v>
      </c>
      <c r="K1027" s="1" t="s">
        <v>3895</v>
      </c>
      <c r="L1027" s="1">
        <v>0.56200000000000006</v>
      </c>
      <c r="M1027" s="1">
        <v>0.73199999999999998</v>
      </c>
      <c r="N1027">
        <v>11</v>
      </c>
      <c r="O1027" s="1">
        <v>-6.43</v>
      </c>
      <c r="P1027">
        <v>1</v>
      </c>
      <c r="Q1027" s="1">
        <v>0.375</v>
      </c>
      <c r="R1027" s="1">
        <v>0.56100000000000005</v>
      </c>
      <c r="S1027" s="1">
        <v>0.124</v>
      </c>
      <c r="T1027" s="1">
        <v>0.2</v>
      </c>
      <c r="U1027" s="1">
        <v>0.752</v>
      </c>
      <c r="V1027" s="1">
        <v>141.95099999999999</v>
      </c>
      <c r="W1027">
        <v>4</v>
      </c>
    </row>
    <row r="1028" spans="1:23" x14ac:dyDescent="0.25">
      <c r="A1028" s="1" t="s">
        <v>15698</v>
      </c>
      <c r="B1028" s="1" t="s">
        <v>15699</v>
      </c>
      <c r="C1028" s="1" t="s">
        <v>3896</v>
      </c>
      <c r="D1028" s="1" t="s">
        <v>3896</v>
      </c>
      <c r="E1028" s="1" t="s">
        <v>3897</v>
      </c>
      <c r="F1028" s="1" t="s">
        <v>14599</v>
      </c>
      <c r="G1028">
        <v>219259</v>
      </c>
      <c r="H1028">
        <v>37</v>
      </c>
      <c r="I1028" s="1" t="s">
        <v>11063</v>
      </c>
      <c r="J1028" s="11">
        <v>44729.706458333334</v>
      </c>
      <c r="K1028" s="1" t="s">
        <v>3898</v>
      </c>
      <c r="L1028" s="1">
        <v>0.29299999999999998</v>
      </c>
      <c r="M1028" s="1">
        <v>0.79600000000000004</v>
      </c>
      <c r="N1028">
        <v>5</v>
      </c>
      <c r="O1028" s="1">
        <v>-4.9989999999999997</v>
      </c>
      <c r="P1028">
        <v>0</v>
      </c>
      <c r="Q1028" s="1">
        <v>0.69499999999999995</v>
      </c>
      <c r="R1028" s="1">
        <v>0.16900000000000001</v>
      </c>
      <c r="S1028" s="1">
        <v>0</v>
      </c>
      <c r="T1028" s="1">
        <v>0.123</v>
      </c>
      <c r="U1028" s="1">
        <v>0.25</v>
      </c>
      <c r="V1028" s="1">
        <v>161.755</v>
      </c>
      <c r="W1028">
        <v>4</v>
      </c>
    </row>
    <row r="1029" spans="1:23" x14ac:dyDescent="0.25">
      <c r="A1029" s="1" t="s">
        <v>15700</v>
      </c>
      <c r="B1029" s="1" t="s">
        <v>15701</v>
      </c>
      <c r="C1029" s="1" t="s">
        <v>3899</v>
      </c>
      <c r="D1029" s="1" t="s">
        <v>15702</v>
      </c>
      <c r="E1029" s="1" t="s">
        <v>3900</v>
      </c>
      <c r="F1029" s="1" t="s">
        <v>14633</v>
      </c>
      <c r="G1029">
        <v>234626</v>
      </c>
      <c r="H1029">
        <v>30</v>
      </c>
      <c r="I1029" s="1" t="s">
        <v>11063</v>
      </c>
      <c r="J1029" s="11">
        <v>44729.706458333334</v>
      </c>
      <c r="K1029" s="1" t="s">
        <v>50</v>
      </c>
      <c r="L1029" s="1">
        <v>0.67200000000000004</v>
      </c>
      <c r="M1029" s="1">
        <v>0.81100000000000005</v>
      </c>
      <c r="N1029">
        <v>0</v>
      </c>
      <c r="O1029" s="1">
        <v>-5.4260000000000002</v>
      </c>
      <c r="P1029">
        <v>1</v>
      </c>
      <c r="Q1029" s="1">
        <v>0.27800000000000002</v>
      </c>
      <c r="R1029" s="1">
        <v>0.19500000000000001</v>
      </c>
      <c r="S1029" s="1">
        <v>0.26500000000000001</v>
      </c>
      <c r="T1029" s="1">
        <v>0.23300000000000001</v>
      </c>
      <c r="U1029" s="1">
        <v>0.72699999999999998</v>
      </c>
      <c r="V1029" s="1">
        <v>128.04</v>
      </c>
      <c r="W1029">
        <v>4</v>
      </c>
    </row>
    <row r="1030" spans="1:23" x14ac:dyDescent="0.25">
      <c r="A1030" s="1" t="s">
        <v>15703</v>
      </c>
      <c r="B1030" s="1" t="s">
        <v>15704</v>
      </c>
      <c r="C1030" s="1" t="s">
        <v>3901</v>
      </c>
      <c r="D1030" s="1" t="s">
        <v>3901</v>
      </c>
      <c r="E1030" s="1" t="s">
        <v>3902</v>
      </c>
      <c r="F1030" s="1" t="s">
        <v>15705</v>
      </c>
      <c r="G1030">
        <v>169838</v>
      </c>
      <c r="H1030">
        <v>38</v>
      </c>
      <c r="I1030" s="1" t="s">
        <v>11063</v>
      </c>
      <c r="J1030" s="11">
        <v>44729.706458333334</v>
      </c>
      <c r="K1030" s="1" t="s">
        <v>50</v>
      </c>
      <c r="L1030" s="1">
        <v>0.70299999999999996</v>
      </c>
      <c r="M1030" s="1">
        <v>0.80500000000000005</v>
      </c>
      <c r="N1030">
        <v>11</v>
      </c>
      <c r="O1030" s="1">
        <v>-3.75</v>
      </c>
      <c r="P1030">
        <v>1</v>
      </c>
      <c r="Q1030" s="1">
        <v>0.49199999999999999</v>
      </c>
      <c r="R1030" s="1">
        <v>0.94599999999999995</v>
      </c>
      <c r="S1030" s="1">
        <v>0.35899999999999999</v>
      </c>
      <c r="T1030" s="1">
        <v>0.9</v>
      </c>
      <c r="U1030" s="1">
        <v>0.54700000000000004</v>
      </c>
      <c r="V1030" s="1">
        <v>123.96599999999999</v>
      </c>
      <c r="W1030">
        <v>4</v>
      </c>
    </row>
    <row r="1031" spans="1:23" x14ac:dyDescent="0.25">
      <c r="A1031" s="1" t="s">
        <v>15706</v>
      </c>
      <c r="B1031" s="1" t="s">
        <v>15707</v>
      </c>
      <c r="C1031" s="1" t="s">
        <v>3903</v>
      </c>
      <c r="D1031" s="1" t="s">
        <v>15708</v>
      </c>
      <c r="E1031" s="1" t="s">
        <v>3904</v>
      </c>
      <c r="F1031" s="1" t="s">
        <v>15709</v>
      </c>
      <c r="G1031">
        <v>134047</v>
      </c>
      <c r="H1031">
        <v>24</v>
      </c>
      <c r="I1031" s="1" t="s">
        <v>11063</v>
      </c>
      <c r="J1031" s="11">
        <v>44729.706458333334</v>
      </c>
      <c r="K1031" s="1" t="s">
        <v>3905</v>
      </c>
      <c r="L1031" s="1">
        <v>0.51300000000000001</v>
      </c>
      <c r="M1031" s="1">
        <v>0.91600000000000004</v>
      </c>
      <c r="N1031">
        <v>5</v>
      </c>
      <c r="O1031" s="1">
        <v>-1.61</v>
      </c>
      <c r="P1031">
        <v>0</v>
      </c>
      <c r="Q1031" s="1">
        <v>0.496</v>
      </c>
      <c r="R1031" s="1">
        <v>0.24399999999999999</v>
      </c>
      <c r="S1031" s="1">
        <v>0</v>
      </c>
      <c r="T1031" s="1">
        <v>0.83399999999999996</v>
      </c>
      <c r="U1031" s="1">
        <v>0.51800000000000002</v>
      </c>
      <c r="V1031" s="1">
        <v>126.001</v>
      </c>
      <c r="W1031">
        <v>4</v>
      </c>
    </row>
    <row r="1032" spans="1:23" x14ac:dyDescent="0.25">
      <c r="A1032" s="1" t="s">
        <v>15710</v>
      </c>
      <c r="B1032" s="1" t="s">
        <v>15711</v>
      </c>
      <c r="C1032" s="1" t="s">
        <v>3107</v>
      </c>
      <c r="D1032" s="1" t="s">
        <v>3107</v>
      </c>
      <c r="E1032" s="1" t="s">
        <v>3906</v>
      </c>
      <c r="F1032" s="1" t="s">
        <v>15712</v>
      </c>
      <c r="G1032">
        <v>228413</v>
      </c>
      <c r="H1032">
        <v>29</v>
      </c>
      <c r="I1032" s="1" t="s">
        <v>11063</v>
      </c>
      <c r="J1032" s="11">
        <v>44729.706458333334</v>
      </c>
      <c r="K1032" s="1" t="s">
        <v>998</v>
      </c>
      <c r="L1032" s="1">
        <v>0.48699999999999999</v>
      </c>
      <c r="M1032" s="1">
        <v>0.84499999999999997</v>
      </c>
      <c r="N1032">
        <v>11</v>
      </c>
      <c r="O1032" s="1">
        <v>-6.4009999999999998</v>
      </c>
      <c r="P1032">
        <v>0</v>
      </c>
      <c r="Q1032" s="1">
        <v>0.42599999999999999</v>
      </c>
      <c r="R1032" s="1">
        <v>0.224</v>
      </c>
      <c r="S1032" s="1">
        <v>0.15</v>
      </c>
      <c r="T1032" s="1">
        <v>0.36499999999999999</v>
      </c>
      <c r="U1032" s="1">
        <v>0.17899999999999999</v>
      </c>
      <c r="V1032" s="1">
        <v>144.93600000000001</v>
      </c>
      <c r="W1032">
        <v>4</v>
      </c>
    </row>
    <row r="1033" spans="1:23" x14ac:dyDescent="0.25">
      <c r="A1033" s="1" t="s">
        <v>15713</v>
      </c>
      <c r="B1033" s="1" t="s">
        <v>15714</v>
      </c>
      <c r="C1033" s="1" t="s">
        <v>3907</v>
      </c>
      <c r="D1033" s="1" t="s">
        <v>3907</v>
      </c>
      <c r="E1033" s="1" t="s">
        <v>3908</v>
      </c>
      <c r="F1033" s="1" t="s">
        <v>15715</v>
      </c>
      <c r="G1033">
        <v>298840</v>
      </c>
      <c r="H1033">
        <v>31</v>
      </c>
      <c r="I1033" s="1" t="s">
        <v>11063</v>
      </c>
      <c r="J1033" s="11">
        <v>44729.706458333334</v>
      </c>
      <c r="K1033" s="1" t="s">
        <v>50</v>
      </c>
      <c r="L1033" s="1">
        <v>0.42699999999999999</v>
      </c>
      <c r="M1033" s="1">
        <v>0.47399999999999998</v>
      </c>
      <c r="N1033">
        <v>7</v>
      </c>
      <c r="O1033" s="1">
        <v>-11.648</v>
      </c>
      <c r="P1033">
        <v>1</v>
      </c>
      <c r="Q1033" s="1">
        <v>0.30399999999999999</v>
      </c>
      <c r="R1033" s="1">
        <v>0.22500000000000001</v>
      </c>
      <c r="S1033" s="1">
        <v>0.21</v>
      </c>
      <c r="T1033" s="1">
        <v>0.127</v>
      </c>
      <c r="U1033" s="1">
        <v>0.122</v>
      </c>
      <c r="V1033" s="1">
        <v>144.93600000000001</v>
      </c>
      <c r="W1033">
        <v>4</v>
      </c>
    </row>
    <row r="1034" spans="1:23" x14ac:dyDescent="0.25">
      <c r="A1034" s="1" t="s">
        <v>15716</v>
      </c>
      <c r="B1034" s="1" t="s">
        <v>15717</v>
      </c>
      <c r="C1034" s="1" t="s">
        <v>3909</v>
      </c>
      <c r="D1034" s="1" t="s">
        <v>3909</v>
      </c>
      <c r="E1034" s="1" t="s">
        <v>3910</v>
      </c>
      <c r="F1034" s="1" t="s">
        <v>15718</v>
      </c>
      <c r="G1034">
        <v>262112</v>
      </c>
      <c r="H1034">
        <v>35</v>
      </c>
      <c r="I1034" s="1" t="s">
        <v>11063</v>
      </c>
      <c r="J1034" s="11">
        <v>44729.706458333334</v>
      </c>
      <c r="K1034" s="1" t="s">
        <v>3911</v>
      </c>
      <c r="L1034" s="1">
        <v>0.70699999999999996</v>
      </c>
      <c r="M1034" s="1">
        <v>0.77800000000000002</v>
      </c>
      <c r="N1034">
        <v>1</v>
      </c>
      <c r="O1034" s="1">
        <v>-1.5669999999999999</v>
      </c>
      <c r="P1034">
        <v>1</v>
      </c>
      <c r="Q1034" s="1">
        <v>0.17699999999999999</v>
      </c>
      <c r="R1034" s="1">
        <v>0.12</v>
      </c>
      <c r="S1034" s="1">
        <v>0</v>
      </c>
      <c r="T1034" s="1">
        <v>0.10100000000000001</v>
      </c>
      <c r="U1034" s="1">
        <v>0.46300000000000002</v>
      </c>
      <c r="V1034" s="1">
        <v>110.039</v>
      </c>
      <c r="W1034">
        <v>4</v>
      </c>
    </row>
    <row r="1035" spans="1:23" x14ac:dyDescent="0.25">
      <c r="A1035" s="1" t="s">
        <v>15719</v>
      </c>
      <c r="B1035" s="1" t="s">
        <v>15720</v>
      </c>
      <c r="C1035" s="1" t="s">
        <v>3912</v>
      </c>
      <c r="D1035" s="1" t="s">
        <v>15721</v>
      </c>
      <c r="E1035" s="1" t="s">
        <v>3913</v>
      </c>
      <c r="F1035" s="1" t="s">
        <v>14620</v>
      </c>
      <c r="G1035">
        <v>230666</v>
      </c>
      <c r="H1035">
        <v>49</v>
      </c>
      <c r="I1035" s="1" t="s">
        <v>11063</v>
      </c>
      <c r="J1035" s="11">
        <v>44729.706458333334</v>
      </c>
      <c r="K1035" s="1" t="s">
        <v>50</v>
      </c>
      <c r="L1035" s="1">
        <v>0.63600000000000001</v>
      </c>
      <c r="M1035" s="1">
        <v>0.65900000000000003</v>
      </c>
      <c r="N1035">
        <v>1</v>
      </c>
      <c r="O1035" s="1">
        <v>-5.8120000000000003</v>
      </c>
      <c r="P1035">
        <v>0</v>
      </c>
      <c r="Q1035" s="1">
        <v>0.28999999999999998</v>
      </c>
      <c r="R1035" s="1">
        <v>0.53200000000000003</v>
      </c>
      <c r="S1035" s="1">
        <v>0.52600000000000002</v>
      </c>
      <c r="T1035" s="1">
        <v>0.79500000000000004</v>
      </c>
      <c r="U1035" s="1">
        <v>0.33700000000000002</v>
      </c>
      <c r="V1035" s="1">
        <v>90.01</v>
      </c>
      <c r="W1035">
        <v>4</v>
      </c>
    </row>
    <row r="1036" spans="1:23" x14ac:dyDescent="0.25">
      <c r="A1036" s="1" t="s">
        <v>11525</v>
      </c>
      <c r="B1036" s="1" t="s">
        <v>11526</v>
      </c>
      <c r="C1036" s="1" t="s">
        <v>268</v>
      </c>
      <c r="D1036" s="1" t="s">
        <v>4791</v>
      </c>
      <c r="E1036" s="1" t="s">
        <v>269</v>
      </c>
      <c r="F1036" s="1" t="s">
        <v>11527</v>
      </c>
      <c r="G1036">
        <v>248146</v>
      </c>
      <c r="H1036">
        <v>49</v>
      </c>
      <c r="I1036" s="1" t="s">
        <v>11063</v>
      </c>
      <c r="J1036" s="11">
        <v>44729.706458333334</v>
      </c>
      <c r="K1036" s="1" t="s">
        <v>270</v>
      </c>
      <c r="L1036" s="1">
        <v>0.745</v>
      </c>
      <c r="M1036" s="1">
        <v>0.36</v>
      </c>
      <c r="N1036">
        <v>5</v>
      </c>
      <c r="O1036" s="1">
        <v>-7.3140000000000001</v>
      </c>
      <c r="P1036">
        <v>0</v>
      </c>
      <c r="Q1036" s="1">
        <v>0.71199999999999997</v>
      </c>
      <c r="R1036" s="1">
        <v>0.439</v>
      </c>
      <c r="S1036" s="1">
        <v>0</v>
      </c>
      <c r="T1036" s="1">
        <v>0.14899999999999999</v>
      </c>
      <c r="U1036" s="1">
        <v>0.36899999999999999</v>
      </c>
      <c r="V1036" s="1">
        <v>124.996</v>
      </c>
      <c r="W1036">
        <v>4</v>
      </c>
    </row>
    <row r="1037" spans="1:23" x14ac:dyDescent="0.25">
      <c r="A1037" s="1" t="s">
        <v>11528</v>
      </c>
      <c r="B1037" s="1" t="s">
        <v>11529</v>
      </c>
      <c r="C1037" s="1" t="s">
        <v>271</v>
      </c>
      <c r="D1037" s="1" t="s">
        <v>6600</v>
      </c>
      <c r="E1037" s="1" t="s">
        <v>272</v>
      </c>
      <c r="F1037" s="1" t="s">
        <v>11530</v>
      </c>
      <c r="G1037">
        <v>249080</v>
      </c>
      <c r="H1037">
        <v>43</v>
      </c>
      <c r="I1037" s="1" t="s">
        <v>11063</v>
      </c>
      <c r="J1037" s="11">
        <v>44729.706458333334</v>
      </c>
      <c r="K1037" s="1" t="s">
        <v>270</v>
      </c>
      <c r="L1037" s="1">
        <v>0.61399999999999999</v>
      </c>
      <c r="M1037" s="1">
        <v>0.55500000000000005</v>
      </c>
      <c r="N1037">
        <v>1</v>
      </c>
      <c r="O1037" s="1">
        <v>-7.7679999999999998</v>
      </c>
      <c r="P1037">
        <v>1</v>
      </c>
      <c r="Q1037" s="1">
        <v>0.64600000000000002</v>
      </c>
      <c r="R1037" s="1">
        <v>0.61399999999999999</v>
      </c>
      <c r="S1037" s="1">
        <v>0</v>
      </c>
      <c r="T1037" s="1">
        <v>0.11</v>
      </c>
      <c r="U1037" s="1">
        <v>0.28399999999999997</v>
      </c>
      <c r="V1037" s="1">
        <v>90.111000000000004</v>
      </c>
      <c r="W1037">
        <v>4</v>
      </c>
    </row>
    <row r="1038" spans="1:23" x14ac:dyDescent="0.25">
      <c r="A1038" s="1" t="s">
        <v>15722</v>
      </c>
      <c r="B1038" s="1" t="s">
        <v>15723</v>
      </c>
      <c r="C1038" s="1" t="s">
        <v>3914</v>
      </c>
      <c r="D1038" s="1" t="s">
        <v>15249</v>
      </c>
      <c r="E1038" s="1" t="s">
        <v>3915</v>
      </c>
      <c r="F1038" s="1" t="s">
        <v>15250</v>
      </c>
      <c r="G1038">
        <v>203064</v>
      </c>
      <c r="H1038">
        <v>86</v>
      </c>
      <c r="I1038" s="1" t="s">
        <v>11063</v>
      </c>
      <c r="J1038" s="11">
        <v>44729.706458333334</v>
      </c>
      <c r="K1038" s="1" t="s">
        <v>3916</v>
      </c>
      <c r="L1038" s="1">
        <v>0.70199999999999996</v>
      </c>
      <c r="M1038" s="1">
        <v>0.82499999999999996</v>
      </c>
      <c r="N1038">
        <v>6</v>
      </c>
      <c r="O1038" s="1">
        <v>-3.7869999999999999</v>
      </c>
      <c r="P1038">
        <v>0</v>
      </c>
      <c r="Q1038" s="1">
        <v>0.60099999999999998</v>
      </c>
      <c r="R1038" s="1">
        <v>0.88300000000000001</v>
      </c>
      <c r="S1038" s="1">
        <v>0</v>
      </c>
      <c r="T1038" s="1">
        <v>0.67400000000000004</v>
      </c>
      <c r="U1038" s="1">
        <v>0.91500000000000004</v>
      </c>
      <c r="V1038" s="1">
        <v>102.977</v>
      </c>
      <c r="W1038">
        <v>4</v>
      </c>
    </row>
    <row r="1039" spans="1:23" x14ac:dyDescent="0.25">
      <c r="A1039" s="1" t="s">
        <v>15724</v>
      </c>
      <c r="B1039" s="1" t="s">
        <v>15725</v>
      </c>
      <c r="C1039" s="1" t="s">
        <v>3917</v>
      </c>
      <c r="D1039" s="1" t="s">
        <v>15726</v>
      </c>
      <c r="E1039" s="1" t="s">
        <v>3918</v>
      </c>
      <c r="F1039" s="1" t="s">
        <v>15727</v>
      </c>
      <c r="G1039">
        <v>176799</v>
      </c>
      <c r="H1039">
        <v>46</v>
      </c>
      <c r="I1039" s="1" t="s">
        <v>11063</v>
      </c>
      <c r="J1039" s="11">
        <v>44729.706458333334</v>
      </c>
      <c r="K1039" s="1" t="s">
        <v>3919</v>
      </c>
      <c r="L1039" s="1">
        <v>0.52700000000000002</v>
      </c>
      <c r="M1039" s="1">
        <v>0.86399999999999999</v>
      </c>
      <c r="N1039">
        <v>0</v>
      </c>
      <c r="O1039" s="1">
        <v>-3.1150000000000002</v>
      </c>
      <c r="P1039">
        <v>1</v>
      </c>
      <c r="Q1039" s="1">
        <v>0.499</v>
      </c>
      <c r="R1039" s="1">
        <v>0.94699999999999995</v>
      </c>
      <c r="S1039" s="1">
        <v>0.59899999999999998</v>
      </c>
      <c r="T1039" s="1">
        <v>0.20699999999999999</v>
      </c>
      <c r="U1039" s="1">
        <v>0.42199999999999999</v>
      </c>
      <c r="V1039" s="1">
        <v>129.19999999999999</v>
      </c>
      <c r="W1039">
        <v>4</v>
      </c>
    </row>
    <row r="1040" spans="1:23" x14ac:dyDescent="0.25">
      <c r="A1040" s="1" t="s">
        <v>15728</v>
      </c>
      <c r="B1040" s="1" t="s">
        <v>15729</v>
      </c>
      <c r="C1040" s="1" t="s">
        <v>3920</v>
      </c>
      <c r="D1040" s="1" t="s">
        <v>3920</v>
      </c>
      <c r="E1040" s="1" t="s">
        <v>3921</v>
      </c>
      <c r="F1040" s="1" t="s">
        <v>11722</v>
      </c>
      <c r="G1040">
        <v>252800</v>
      </c>
      <c r="H1040">
        <v>28</v>
      </c>
      <c r="I1040" s="1" t="s">
        <v>11063</v>
      </c>
      <c r="J1040" s="11">
        <v>44729.706458333334</v>
      </c>
      <c r="K1040" s="1" t="s">
        <v>50</v>
      </c>
      <c r="L1040" s="1">
        <v>0.248</v>
      </c>
      <c r="M1040" s="1">
        <v>0.65700000000000003</v>
      </c>
      <c r="N1040">
        <v>0</v>
      </c>
      <c r="O1040" s="1">
        <v>-3.4089999999999998</v>
      </c>
      <c r="P1040">
        <v>1</v>
      </c>
      <c r="Q1040" s="1">
        <v>0.38600000000000001</v>
      </c>
      <c r="R1040" s="1">
        <v>0.63500000000000001</v>
      </c>
      <c r="S1040" s="1">
        <v>0.41099999999999998</v>
      </c>
      <c r="T1040" s="1">
        <v>0.375</v>
      </c>
      <c r="U1040" s="1">
        <v>0.77900000000000003</v>
      </c>
      <c r="V1040" s="1">
        <v>76.247</v>
      </c>
      <c r="W1040">
        <v>4</v>
      </c>
    </row>
    <row r="1041" spans="1:23" x14ac:dyDescent="0.25">
      <c r="A1041" s="1" t="s">
        <v>15730</v>
      </c>
      <c r="B1041" s="1" t="s">
        <v>15731</v>
      </c>
      <c r="C1041" s="1" t="s">
        <v>3922</v>
      </c>
      <c r="D1041" s="1" t="s">
        <v>15732</v>
      </c>
      <c r="E1041" s="1" t="s">
        <v>3923</v>
      </c>
      <c r="F1041" s="1" t="s">
        <v>15082</v>
      </c>
      <c r="G1041">
        <v>188773</v>
      </c>
      <c r="H1041">
        <v>48</v>
      </c>
      <c r="I1041" s="1" t="s">
        <v>11063</v>
      </c>
      <c r="J1041" s="11">
        <v>44729.706458333334</v>
      </c>
      <c r="K1041" s="1" t="s">
        <v>3924</v>
      </c>
      <c r="L1041" s="1">
        <v>0.63700000000000001</v>
      </c>
      <c r="M1041" s="1">
        <v>0.77</v>
      </c>
      <c r="N1041">
        <v>2</v>
      </c>
      <c r="O1041" s="1">
        <v>-5.6369999999999996</v>
      </c>
      <c r="P1041">
        <v>1</v>
      </c>
      <c r="Q1041" s="1">
        <v>0.29699999999999999</v>
      </c>
      <c r="R1041" s="1">
        <v>0.16200000000000001</v>
      </c>
      <c r="S1041" s="1">
        <v>0.49199999999999999</v>
      </c>
      <c r="T1041" s="1">
        <v>0.29299999999999998</v>
      </c>
      <c r="U1041" s="1">
        <v>0.64300000000000002</v>
      </c>
      <c r="V1041" s="1">
        <v>94.97</v>
      </c>
      <c r="W1041">
        <v>4</v>
      </c>
    </row>
    <row r="1042" spans="1:23" x14ac:dyDescent="0.25">
      <c r="A1042" s="1" t="s">
        <v>15733</v>
      </c>
      <c r="B1042" s="1" t="s">
        <v>15734</v>
      </c>
      <c r="C1042" s="1" t="s">
        <v>3925</v>
      </c>
      <c r="D1042" s="1" t="s">
        <v>15735</v>
      </c>
      <c r="E1042" s="1" t="s">
        <v>3926</v>
      </c>
      <c r="F1042" s="1" t="s">
        <v>15736</v>
      </c>
      <c r="G1042">
        <v>195000</v>
      </c>
      <c r="H1042">
        <v>29</v>
      </c>
      <c r="I1042" s="1" t="s">
        <v>11063</v>
      </c>
      <c r="J1042" s="11">
        <v>44729.706458333334</v>
      </c>
      <c r="K1042" s="1" t="s">
        <v>3076</v>
      </c>
      <c r="L1042" s="1">
        <v>0.17199999999999999</v>
      </c>
      <c r="M1042" s="1">
        <v>0.65900000000000003</v>
      </c>
      <c r="N1042">
        <v>4</v>
      </c>
      <c r="O1042" s="1">
        <v>-4.0529999999999999</v>
      </c>
      <c r="P1042">
        <v>0</v>
      </c>
      <c r="Q1042" s="1">
        <v>0.748</v>
      </c>
      <c r="R1042" s="1">
        <v>0.35099999999999998</v>
      </c>
      <c r="S1042" s="1">
        <v>0.52100000000000002</v>
      </c>
      <c r="T1042" s="1">
        <v>0.127</v>
      </c>
      <c r="U1042" s="1">
        <v>0.38400000000000001</v>
      </c>
      <c r="V1042" s="1">
        <v>191.06899999999999</v>
      </c>
      <c r="W1042">
        <v>4</v>
      </c>
    </row>
    <row r="1043" spans="1:23" x14ac:dyDescent="0.25">
      <c r="A1043" s="1" t="s">
        <v>15737</v>
      </c>
      <c r="B1043" s="1" t="s">
        <v>15738</v>
      </c>
      <c r="C1043" s="1" t="s">
        <v>3927</v>
      </c>
      <c r="D1043" s="1" t="s">
        <v>3927</v>
      </c>
      <c r="E1043" s="1" t="s">
        <v>3928</v>
      </c>
      <c r="F1043" s="1" t="s">
        <v>14291</v>
      </c>
      <c r="G1043">
        <v>210967</v>
      </c>
      <c r="H1043">
        <v>1</v>
      </c>
      <c r="I1043" s="1" t="s">
        <v>11063</v>
      </c>
      <c r="J1043" s="11">
        <v>44729.706458333334</v>
      </c>
      <c r="K1043" s="1" t="s">
        <v>3929</v>
      </c>
      <c r="L1043" s="1">
        <v>0.63800000000000001</v>
      </c>
      <c r="M1043" s="1">
        <v>0.81599999999999995</v>
      </c>
      <c r="N1043">
        <v>9</v>
      </c>
      <c r="O1043" s="1">
        <v>-4.7060000000000004</v>
      </c>
      <c r="P1043">
        <v>0</v>
      </c>
      <c r="Q1043" s="1">
        <v>0.14799999999999999</v>
      </c>
      <c r="R1043" s="1">
        <v>0.76300000000000001</v>
      </c>
      <c r="S1043" s="1">
        <v>0</v>
      </c>
      <c r="T1043" s="1">
        <v>0.878</v>
      </c>
      <c r="U1043" s="1">
        <v>0.121</v>
      </c>
      <c r="V1043" s="1">
        <v>124.14400000000001</v>
      </c>
      <c r="W1043">
        <v>4</v>
      </c>
    </row>
    <row r="1044" spans="1:23" x14ac:dyDescent="0.25">
      <c r="A1044" s="1" t="s">
        <v>15739</v>
      </c>
      <c r="B1044" s="1" t="s">
        <v>15740</v>
      </c>
      <c r="C1044" s="1" t="s">
        <v>3930</v>
      </c>
      <c r="D1044" s="1" t="s">
        <v>15741</v>
      </c>
      <c r="E1044" s="1" t="s">
        <v>3931</v>
      </c>
      <c r="F1044" s="1" t="s">
        <v>15406</v>
      </c>
      <c r="G1044">
        <v>289837</v>
      </c>
      <c r="H1044">
        <v>37</v>
      </c>
      <c r="I1044" s="1" t="s">
        <v>11063</v>
      </c>
      <c r="J1044" s="11">
        <v>44729.706458333334</v>
      </c>
      <c r="K1044" s="1" t="s">
        <v>3932</v>
      </c>
      <c r="L1044" s="1">
        <v>0.47799999999999998</v>
      </c>
      <c r="M1044" s="1">
        <v>0.73</v>
      </c>
      <c r="N1044">
        <v>1</v>
      </c>
      <c r="O1044" s="1">
        <v>-6.3890000000000002</v>
      </c>
      <c r="P1044">
        <v>1</v>
      </c>
      <c r="Q1044" s="1">
        <v>0.39700000000000002</v>
      </c>
      <c r="R1044" s="1">
        <v>0.315</v>
      </c>
      <c r="S1044" s="1">
        <v>0.35199999999999998</v>
      </c>
      <c r="T1044" s="1">
        <v>0.111</v>
      </c>
      <c r="U1044" s="1">
        <v>0.30299999999999999</v>
      </c>
      <c r="V1044" s="1">
        <v>153.99299999999999</v>
      </c>
      <c r="W1044">
        <v>4</v>
      </c>
    </row>
    <row r="1045" spans="1:23" x14ac:dyDescent="0.25">
      <c r="A1045" s="1" t="s">
        <v>15742</v>
      </c>
      <c r="B1045" s="1" t="s">
        <v>15743</v>
      </c>
      <c r="C1045" s="1" t="s">
        <v>3933</v>
      </c>
      <c r="D1045" s="1" t="s">
        <v>3933</v>
      </c>
      <c r="E1045" s="1" t="s">
        <v>3934</v>
      </c>
      <c r="F1045" s="1" t="s">
        <v>15476</v>
      </c>
      <c r="G1045">
        <v>224000</v>
      </c>
      <c r="H1045">
        <v>29</v>
      </c>
      <c r="I1045" s="1" t="s">
        <v>11063</v>
      </c>
      <c r="J1045" s="11">
        <v>44729.706458333334</v>
      </c>
      <c r="K1045" s="1" t="s">
        <v>50</v>
      </c>
      <c r="L1045" s="1">
        <v>0.57999999999999996</v>
      </c>
      <c r="M1045" s="1">
        <v>0.66900000000000004</v>
      </c>
      <c r="N1045">
        <v>5</v>
      </c>
      <c r="O1045" s="1">
        <v>-8.2970000000000006</v>
      </c>
      <c r="P1045">
        <v>0</v>
      </c>
      <c r="Q1045" s="1">
        <v>0.57199999999999995</v>
      </c>
      <c r="R1045" s="1">
        <v>0.42299999999999999</v>
      </c>
      <c r="S1045" s="1">
        <v>0.55100000000000005</v>
      </c>
      <c r="T1045" s="1">
        <v>0.84399999999999997</v>
      </c>
      <c r="U1045" s="1">
        <v>0.21299999999999999</v>
      </c>
      <c r="V1045" s="1">
        <v>135.11600000000001</v>
      </c>
      <c r="W1045">
        <v>4</v>
      </c>
    </row>
    <row r="1046" spans="1:23" x14ac:dyDescent="0.25">
      <c r="A1046" s="1" t="s">
        <v>15744</v>
      </c>
      <c r="B1046" s="1" t="s">
        <v>15745</v>
      </c>
      <c r="C1046" s="1" t="s">
        <v>3794</v>
      </c>
      <c r="D1046" s="1" t="s">
        <v>3794</v>
      </c>
      <c r="E1046" s="1" t="s">
        <v>3935</v>
      </c>
      <c r="F1046" s="1" t="s">
        <v>15746</v>
      </c>
      <c r="G1046">
        <v>224400</v>
      </c>
      <c r="H1046">
        <v>32</v>
      </c>
      <c r="I1046" s="1" t="s">
        <v>11063</v>
      </c>
      <c r="J1046" s="11">
        <v>44729.706458333334</v>
      </c>
      <c r="K1046" s="1" t="s">
        <v>50</v>
      </c>
      <c r="L1046" s="1">
        <v>0.61299999999999999</v>
      </c>
      <c r="M1046" s="1">
        <v>0.57499999999999996</v>
      </c>
      <c r="N1046">
        <v>4</v>
      </c>
      <c r="O1046" s="1">
        <v>-7.8220000000000001</v>
      </c>
      <c r="P1046">
        <v>0</v>
      </c>
      <c r="Q1046" s="1">
        <v>0.39100000000000001</v>
      </c>
      <c r="R1046" s="1">
        <v>0.27</v>
      </c>
      <c r="S1046" s="1">
        <v>0.24399999999999999</v>
      </c>
      <c r="T1046" s="1">
        <v>0.23599999999999999</v>
      </c>
      <c r="U1046" s="1">
        <v>0.19800000000000001</v>
      </c>
      <c r="V1046" s="1">
        <v>74.997</v>
      </c>
      <c r="W1046">
        <v>4</v>
      </c>
    </row>
    <row r="1047" spans="1:23" x14ac:dyDescent="0.25">
      <c r="A1047" s="1" t="s">
        <v>15747</v>
      </c>
      <c r="B1047" s="1" t="s">
        <v>15748</v>
      </c>
      <c r="C1047" s="1" t="s">
        <v>3936</v>
      </c>
      <c r="D1047" s="1" t="s">
        <v>3936</v>
      </c>
      <c r="E1047" s="1" t="s">
        <v>3937</v>
      </c>
      <c r="F1047" s="1" t="s">
        <v>15749</v>
      </c>
      <c r="G1047">
        <v>222535</v>
      </c>
      <c r="H1047">
        <v>33</v>
      </c>
      <c r="I1047" s="1" t="s">
        <v>11063</v>
      </c>
      <c r="J1047" s="11">
        <v>44729.706458333334</v>
      </c>
      <c r="K1047" s="1" t="s">
        <v>50</v>
      </c>
      <c r="L1047" s="1">
        <v>0.316</v>
      </c>
      <c r="M1047" s="1">
        <v>0.32</v>
      </c>
      <c r="N1047">
        <v>0</v>
      </c>
      <c r="O1047" s="1">
        <v>-8.7799999999999994</v>
      </c>
      <c r="P1047">
        <v>1</v>
      </c>
      <c r="Q1047" s="1">
        <v>0.315</v>
      </c>
      <c r="R1047" s="1">
        <v>0.34300000000000003</v>
      </c>
      <c r="S1047" s="1">
        <v>0.20200000000000001</v>
      </c>
      <c r="T1047" s="1">
        <v>0.112</v>
      </c>
      <c r="U1047" s="1">
        <v>0.65</v>
      </c>
      <c r="V1047" s="1">
        <v>89.759</v>
      </c>
      <c r="W1047">
        <v>4</v>
      </c>
    </row>
    <row r="1048" spans="1:23" x14ac:dyDescent="0.25">
      <c r="A1048" s="1" t="s">
        <v>15750</v>
      </c>
      <c r="B1048" s="1" t="s">
        <v>15751</v>
      </c>
      <c r="C1048" s="1" t="s">
        <v>3794</v>
      </c>
      <c r="D1048" s="1" t="s">
        <v>3794</v>
      </c>
      <c r="E1048" s="1" t="s">
        <v>3938</v>
      </c>
      <c r="F1048" s="1" t="s">
        <v>14847</v>
      </c>
      <c r="G1048">
        <v>170814</v>
      </c>
      <c r="H1048">
        <v>32</v>
      </c>
      <c r="I1048" s="1" t="s">
        <v>11063</v>
      </c>
      <c r="J1048" s="11">
        <v>44729.706458333334</v>
      </c>
      <c r="K1048" s="1" t="s">
        <v>2541</v>
      </c>
      <c r="L1048" s="1">
        <v>0.72799999999999998</v>
      </c>
      <c r="M1048" s="1">
        <v>0.55700000000000005</v>
      </c>
      <c r="N1048">
        <v>8</v>
      </c>
      <c r="O1048" s="1">
        <v>-4.2039999999999997</v>
      </c>
      <c r="P1048">
        <v>0</v>
      </c>
      <c r="Q1048" s="1">
        <v>0.40200000000000002</v>
      </c>
      <c r="R1048" s="1">
        <v>0.318</v>
      </c>
      <c r="S1048" s="1">
        <v>0.6</v>
      </c>
      <c r="T1048" s="1">
        <v>0.97599999999999998</v>
      </c>
      <c r="U1048" s="1">
        <v>0.252</v>
      </c>
      <c r="V1048" s="1">
        <v>81.509</v>
      </c>
      <c r="W1048">
        <v>4</v>
      </c>
    </row>
    <row r="1049" spans="1:23" x14ac:dyDescent="0.25">
      <c r="A1049" s="1" t="s">
        <v>15752</v>
      </c>
      <c r="B1049" s="1" t="s">
        <v>15753</v>
      </c>
      <c r="C1049" s="1" t="s">
        <v>3939</v>
      </c>
      <c r="D1049" s="1" t="s">
        <v>3939</v>
      </c>
      <c r="E1049" s="1" t="s">
        <v>3940</v>
      </c>
      <c r="F1049" s="1" t="s">
        <v>11391</v>
      </c>
      <c r="G1049">
        <v>143052</v>
      </c>
      <c r="H1049">
        <v>1</v>
      </c>
      <c r="I1049" s="1" t="s">
        <v>11063</v>
      </c>
      <c r="J1049" s="11">
        <v>44729.706458333334</v>
      </c>
      <c r="K1049" s="1" t="s">
        <v>50</v>
      </c>
      <c r="L1049" s="1">
        <v>0.753</v>
      </c>
      <c r="M1049" s="1">
        <v>0.71199999999999997</v>
      </c>
      <c r="N1049">
        <v>11</v>
      </c>
      <c r="O1049" s="1">
        <v>-4.3369999999999997</v>
      </c>
      <c r="P1049">
        <v>0</v>
      </c>
      <c r="Q1049" s="1">
        <v>0.59899999999999998</v>
      </c>
      <c r="R1049" s="1">
        <v>0.77200000000000002</v>
      </c>
      <c r="S1049" s="1">
        <v>0</v>
      </c>
      <c r="T1049" s="1">
        <v>0.32700000000000001</v>
      </c>
      <c r="U1049" s="1">
        <v>0.38800000000000001</v>
      </c>
      <c r="V1049" s="1">
        <v>94.971000000000004</v>
      </c>
      <c r="W1049">
        <v>4</v>
      </c>
    </row>
    <row r="1050" spans="1:23" x14ac:dyDescent="0.25">
      <c r="A1050" s="1" t="s">
        <v>15754</v>
      </c>
      <c r="B1050" s="1" t="s">
        <v>15755</v>
      </c>
      <c r="C1050" s="1" t="s">
        <v>3941</v>
      </c>
      <c r="D1050" s="1" t="s">
        <v>3941</v>
      </c>
      <c r="E1050" s="1" t="s">
        <v>3942</v>
      </c>
      <c r="F1050" s="1" t="s">
        <v>15756</v>
      </c>
      <c r="G1050">
        <v>164842</v>
      </c>
      <c r="H1050">
        <v>27</v>
      </c>
      <c r="I1050" s="1" t="s">
        <v>11063</v>
      </c>
      <c r="J1050" s="11">
        <v>44729.706458333334</v>
      </c>
      <c r="K1050" s="1" t="s">
        <v>933</v>
      </c>
      <c r="L1050" s="1">
        <v>0.65900000000000003</v>
      </c>
      <c r="M1050" s="1">
        <v>0.57799999999999996</v>
      </c>
      <c r="N1050">
        <v>1</v>
      </c>
      <c r="O1050" s="1">
        <v>-5.25</v>
      </c>
      <c r="P1050">
        <v>0</v>
      </c>
      <c r="Q1050" s="1">
        <v>0.53100000000000003</v>
      </c>
      <c r="R1050" s="1">
        <v>0.498</v>
      </c>
      <c r="S1050" s="1">
        <v>0</v>
      </c>
      <c r="T1050" s="1">
        <v>0.13200000000000001</v>
      </c>
      <c r="U1050" s="1">
        <v>0.311</v>
      </c>
      <c r="V1050" s="1">
        <v>94.891999999999996</v>
      </c>
      <c r="W1050">
        <v>4</v>
      </c>
    </row>
    <row r="1051" spans="1:23" x14ac:dyDescent="0.25">
      <c r="A1051" s="1" t="s">
        <v>15757</v>
      </c>
      <c r="B1051" s="1" t="s">
        <v>15758</v>
      </c>
      <c r="C1051" s="1" t="s">
        <v>3943</v>
      </c>
      <c r="D1051" s="1" t="s">
        <v>3943</v>
      </c>
      <c r="E1051" s="1" t="s">
        <v>3944</v>
      </c>
      <c r="F1051" s="1" t="s">
        <v>14479</v>
      </c>
      <c r="G1051">
        <v>261021</v>
      </c>
      <c r="H1051">
        <v>38</v>
      </c>
      <c r="I1051" s="1" t="s">
        <v>11063</v>
      </c>
      <c r="J1051" s="11">
        <v>44729.706458333334</v>
      </c>
      <c r="K1051" s="1" t="s">
        <v>3945</v>
      </c>
      <c r="L1051" s="1">
        <v>0.53600000000000003</v>
      </c>
      <c r="M1051" s="1">
        <v>0.49399999999999999</v>
      </c>
      <c r="N1051">
        <v>11</v>
      </c>
      <c r="O1051" s="1">
        <v>-7.7110000000000003</v>
      </c>
      <c r="P1051">
        <v>0</v>
      </c>
      <c r="Q1051" s="1">
        <v>0.93700000000000006</v>
      </c>
      <c r="R1051" s="1">
        <v>0.71899999999999997</v>
      </c>
      <c r="S1051" s="1">
        <v>0.24199999999999999</v>
      </c>
      <c r="T1051" s="1">
        <v>0.20899999999999999</v>
      </c>
      <c r="U1051" s="1">
        <v>0.30299999999999999</v>
      </c>
      <c r="V1051" s="1">
        <v>137.06200000000001</v>
      </c>
      <c r="W1051">
        <v>4</v>
      </c>
    </row>
    <row r="1052" spans="1:23" x14ac:dyDescent="0.25">
      <c r="A1052" s="1" t="s">
        <v>15759</v>
      </c>
      <c r="B1052" s="1" t="s">
        <v>15760</v>
      </c>
      <c r="C1052" s="1" t="s">
        <v>3946</v>
      </c>
      <c r="D1052" s="1" t="s">
        <v>3946</v>
      </c>
      <c r="E1052" s="1" t="s">
        <v>3947</v>
      </c>
      <c r="F1052" s="1" t="s">
        <v>14228</v>
      </c>
      <c r="G1052">
        <v>183719</v>
      </c>
      <c r="H1052">
        <v>27</v>
      </c>
      <c r="I1052" s="1" t="s">
        <v>11063</v>
      </c>
      <c r="J1052" s="11">
        <v>44729.706458333334</v>
      </c>
      <c r="K1052" s="1" t="s">
        <v>50</v>
      </c>
      <c r="L1052" s="1">
        <v>0.34599999999999997</v>
      </c>
      <c r="M1052" s="1">
        <v>0.71399999999999997</v>
      </c>
      <c r="N1052">
        <v>1</v>
      </c>
      <c r="O1052" s="1">
        <v>-3.746</v>
      </c>
      <c r="P1052">
        <v>0</v>
      </c>
      <c r="Q1052" s="1">
        <v>0.16300000000000001</v>
      </c>
      <c r="R1052" s="1">
        <v>0.32300000000000001</v>
      </c>
      <c r="S1052" s="1">
        <v>0</v>
      </c>
      <c r="T1052" s="1">
        <v>0.92</v>
      </c>
      <c r="U1052" s="1">
        <v>0.34799999999999998</v>
      </c>
      <c r="V1052" s="1">
        <v>87.977999999999994</v>
      </c>
      <c r="W1052">
        <v>5</v>
      </c>
    </row>
    <row r="1053" spans="1:23" x14ac:dyDescent="0.25">
      <c r="A1053" s="1" t="s">
        <v>15761</v>
      </c>
      <c r="B1053" s="1" t="s">
        <v>15762</v>
      </c>
      <c r="C1053" s="1" t="s">
        <v>3948</v>
      </c>
      <c r="D1053" s="1" t="s">
        <v>15763</v>
      </c>
      <c r="E1053" s="1" t="s">
        <v>3949</v>
      </c>
      <c r="F1053" s="1" t="s">
        <v>15764</v>
      </c>
      <c r="G1053">
        <v>260117</v>
      </c>
      <c r="H1053">
        <v>33</v>
      </c>
      <c r="I1053" s="1" t="s">
        <v>11063</v>
      </c>
      <c r="J1053" s="11">
        <v>44729.706458333334</v>
      </c>
      <c r="K1053" s="1" t="s">
        <v>3950</v>
      </c>
      <c r="L1053" s="1">
        <v>0.40699999999999997</v>
      </c>
      <c r="M1053" s="1">
        <v>0.79600000000000004</v>
      </c>
      <c r="N1053">
        <v>8</v>
      </c>
      <c r="O1053" s="1">
        <v>-6.6289999999999996</v>
      </c>
      <c r="P1053">
        <v>0</v>
      </c>
      <c r="Q1053" s="1">
        <v>0.96899999999999997</v>
      </c>
      <c r="R1053" s="1">
        <v>0.32500000000000001</v>
      </c>
      <c r="S1053" s="1">
        <v>0.41</v>
      </c>
      <c r="T1053" s="1">
        <v>0.104</v>
      </c>
      <c r="U1053" s="1">
        <v>0.13400000000000001</v>
      </c>
      <c r="V1053" s="1">
        <v>169.958</v>
      </c>
      <c r="W1053">
        <v>4</v>
      </c>
    </row>
    <row r="1054" spans="1:23" x14ac:dyDescent="0.25">
      <c r="A1054" s="1" t="s">
        <v>15765</v>
      </c>
      <c r="B1054" s="1" t="s">
        <v>15248</v>
      </c>
      <c r="C1054" s="1" t="s">
        <v>3951</v>
      </c>
      <c r="D1054" s="1" t="s">
        <v>15249</v>
      </c>
      <c r="E1054" s="1" t="s">
        <v>3496</v>
      </c>
      <c r="F1054" s="1" t="s">
        <v>15250</v>
      </c>
      <c r="G1054">
        <v>203807</v>
      </c>
      <c r="H1054">
        <v>84</v>
      </c>
      <c r="I1054" s="1" t="s">
        <v>11063</v>
      </c>
      <c r="J1054" s="11">
        <v>44729.706458333334</v>
      </c>
      <c r="K1054" s="1" t="s">
        <v>1922</v>
      </c>
      <c r="L1054" s="1">
        <v>0.69499999999999995</v>
      </c>
      <c r="M1054" s="1">
        <v>0.88400000000000001</v>
      </c>
      <c r="N1054">
        <v>6</v>
      </c>
      <c r="O1054" s="1">
        <v>-2.278</v>
      </c>
      <c r="P1054">
        <v>0</v>
      </c>
      <c r="Q1054" s="1">
        <v>0.753</v>
      </c>
      <c r="R1054" s="1">
        <v>0.56100000000000005</v>
      </c>
      <c r="S1054" s="1">
        <v>0</v>
      </c>
      <c r="T1054" s="1">
        <v>0.21299999999999999</v>
      </c>
      <c r="U1054" s="1">
        <v>0.91400000000000003</v>
      </c>
      <c r="V1054" s="1">
        <v>103.014</v>
      </c>
      <c r="W1054">
        <v>4</v>
      </c>
    </row>
    <row r="1055" spans="1:23" x14ac:dyDescent="0.25">
      <c r="A1055" s="1" t="s">
        <v>15766</v>
      </c>
      <c r="B1055" s="1" t="s">
        <v>15767</v>
      </c>
      <c r="C1055" s="1" t="s">
        <v>3952</v>
      </c>
      <c r="D1055" s="1" t="s">
        <v>3952</v>
      </c>
      <c r="E1055" s="1" t="s">
        <v>3953</v>
      </c>
      <c r="F1055" s="1" t="s">
        <v>13934</v>
      </c>
      <c r="G1055">
        <v>169903</v>
      </c>
      <c r="H1055">
        <v>32</v>
      </c>
      <c r="I1055" s="1" t="s">
        <v>11063</v>
      </c>
      <c r="J1055" s="11">
        <v>44729.706458333334</v>
      </c>
      <c r="K1055" s="1" t="s">
        <v>3954</v>
      </c>
      <c r="L1055" s="1">
        <v>0.75600000000000001</v>
      </c>
      <c r="M1055" s="1">
        <v>0.61799999999999999</v>
      </c>
      <c r="N1055">
        <v>7</v>
      </c>
      <c r="O1055" s="1">
        <v>-10.021000000000001</v>
      </c>
      <c r="P1055">
        <v>1</v>
      </c>
      <c r="Q1055" s="1">
        <v>0.441</v>
      </c>
      <c r="R1055" s="1">
        <v>0.67500000000000004</v>
      </c>
      <c r="S1055" s="1">
        <v>0.68</v>
      </c>
      <c r="T1055" s="1">
        <v>0.13900000000000001</v>
      </c>
      <c r="U1055" s="1">
        <v>0.151</v>
      </c>
      <c r="V1055" s="1">
        <v>111.905</v>
      </c>
      <c r="W1055">
        <v>4</v>
      </c>
    </row>
    <row r="1056" spans="1:23" x14ac:dyDescent="0.25">
      <c r="A1056" s="1" t="s">
        <v>15768</v>
      </c>
      <c r="B1056" s="1" t="s">
        <v>15769</v>
      </c>
      <c r="C1056" s="1" t="s">
        <v>3955</v>
      </c>
      <c r="D1056" s="1" t="s">
        <v>15770</v>
      </c>
      <c r="E1056" s="1" t="s">
        <v>3956</v>
      </c>
      <c r="F1056" s="1" t="s">
        <v>11335</v>
      </c>
      <c r="G1056">
        <v>277520</v>
      </c>
      <c r="H1056">
        <v>2</v>
      </c>
      <c r="I1056" s="1" t="s">
        <v>11063</v>
      </c>
      <c r="J1056" s="11">
        <v>44729.706458333334</v>
      </c>
      <c r="K1056" s="1" t="s">
        <v>3957</v>
      </c>
      <c r="L1056" s="1">
        <v>0.66200000000000003</v>
      </c>
      <c r="M1056" s="1">
        <v>0.621</v>
      </c>
      <c r="N1056">
        <v>0</v>
      </c>
      <c r="O1056" s="1">
        <v>-6.1580000000000004</v>
      </c>
      <c r="P1056">
        <v>1</v>
      </c>
      <c r="Q1056" s="1">
        <v>0.29099999999999998</v>
      </c>
      <c r="R1056" s="1">
        <v>0.20399999999999999</v>
      </c>
      <c r="S1056" s="1">
        <v>0.59099999999999997</v>
      </c>
      <c r="T1056" s="1">
        <v>0.65800000000000003</v>
      </c>
      <c r="U1056" s="1">
        <v>0.47699999999999998</v>
      </c>
      <c r="V1056" s="1">
        <v>120.998</v>
      </c>
      <c r="W1056">
        <v>4</v>
      </c>
    </row>
    <row r="1057" spans="1:23" x14ac:dyDescent="0.25">
      <c r="A1057" s="1" t="s">
        <v>15771</v>
      </c>
      <c r="B1057" s="1" t="s">
        <v>15769</v>
      </c>
      <c r="C1057" s="1" t="s">
        <v>3958</v>
      </c>
      <c r="D1057" s="1" t="s">
        <v>3958</v>
      </c>
      <c r="E1057" s="1" t="s">
        <v>3956</v>
      </c>
      <c r="F1057" s="1" t="s">
        <v>15772</v>
      </c>
      <c r="G1057">
        <v>316372</v>
      </c>
      <c r="H1057">
        <v>59</v>
      </c>
      <c r="I1057" s="1" t="s">
        <v>11063</v>
      </c>
      <c r="J1057" s="11">
        <v>44729.706458333334</v>
      </c>
      <c r="K1057" s="1" t="s">
        <v>3957</v>
      </c>
      <c r="L1057" s="1">
        <v>0.80300000000000005</v>
      </c>
      <c r="M1057" s="1">
        <v>0.42699999999999999</v>
      </c>
      <c r="N1057">
        <v>8</v>
      </c>
      <c r="O1057" s="1">
        <v>-10.819000000000001</v>
      </c>
      <c r="P1057">
        <v>1</v>
      </c>
      <c r="Q1057" s="1">
        <v>0.50900000000000001</v>
      </c>
      <c r="R1057" s="1">
        <v>0.245</v>
      </c>
      <c r="S1057" s="1">
        <v>0.40500000000000003</v>
      </c>
      <c r="T1057" s="1">
        <v>0.95299999999999996</v>
      </c>
      <c r="U1057" s="1">
        <v>0.439</v>
      </c>
      <c r="V1057" s="1">
        <v>118.008</v>
      </c>
      <c r="W1057">
        <v>4</v>
      </c>
    </row>
    <row r="1058" spans="1:23" x14ac:dyDescent="0.25">
      <c r="A1058" s="1" t="s">
        <v>11531</v>
      </c>
      <c r="B1058" s="1" t="s">
        <v>11532</v>
      </c>
      <c r="C1058" s="1" t="s">
        <v>273</v>
      </c>
      <c r="D1058" s="1" t="s">
        <v>11533</v>
      </c>
      <c r="E1058" s="1" t="s">
        <v>274</v>
      </c>
      <c r="F1058" s="1" t="s">
        <v>11534</v>
      </c>
      <c r="G1058">
        <v>211413</v>
      </c>
      <c r="H1058">
        <v>66</v>
      </c>
      <c r="I1058" s="1" t="s">
        <v>11063</v>
      </c>
      <c r="J1058" s="11">
        <v>44729.706458333334</v>
      </c>
      <c r="K1058" s="1" t="s">
        <v>161</v>
      </c>
      <c r="L1058" s="1">
        <v>0.57499999999999996</v>
      </c>
      <c r="M1058" s="1">
        <v>0.57999999999999996</v>
      </c>
      <c r="N1058">
        <v>0</v>
      </c>
      <c r="O1058" s="1">
        <v>-6.8010000000000002</v>
      </c>
      <c r="P1058">
        <v>1</v>
      </c>
      <c r="Q1058" s="1">
        <v>0.67</v>
      </c>
      <c r="R1058" s="1">
        <v>0.16600000000000001</v>
      </c>
      <c r="S1058" s="1">
        <v>0</v>
      </c>
      <c r="T1058" s="1">
        <v>0.78100000000000003</v>
      </c>
      <c r="U1058" s="1">
        <v>0.32400000000000001</v>
      </c>
      <c r="V1058" s="1">
        <v>75.2</v>
      </c>
      <c r="W1058">
        <v>4</v>
      </c>
    </row>
    <row r="1059" spans="1:23" x14ac:dyDescent="0.25">
      <c r="A1059" s="1" t="s">
        <v>15773</v>
      </c>
      <c r="B1059" s="1" t="s">
        <v>13868</v>
      </c>
      <c r="C1059" s="1" t="s">
        <v>3959</v>
      </c>
      <c r="D1059" s="1" t="s">
        <v>15774</v>
      </c>
      <c r="E1059" s="1" t="s">
        <v>2279</v>
      </c>
      <c r="F1059" s="1" t="s">
        <v>13767</v>
      </c>
      <c r="G1059">
        <v>189486</v>
      </c>
      <c r="H1059">
        <v>85</v>
      </c>
      <c r="I1059" s="1" t="s">
        <v>11063</v>
      </c>
      <c r="J1059" s="11">
        <v>44729.706458333334</v>
      </c>
      <c r="K1059" s="1" t="s">
        <v>919</v>
      </c>
      <c r="L1059" s="1">
        <v>0.77500000000000002</v>
      </c>
      <c r="M1059" s="1">
        <v>0.32700000000000001</v>
      </c>
      <c r="N1059">
        <v>11</v>
      </c>
      <c r="O1059" s="1">
        <v>-7.2409999999999997</v>
      </c>
      <c r="P1059">
        <v>1</v>
      </c>
      <c r="Q1059" s="1">
        <v>0.55700000000000005</v>
      </c>
      <c r="R1059" s="1">
        <v>0.84099999999999997</v>
      </c>
      <c r="S1059" s="1">
        <v>0</v>
      </c>
      <c r="T1059" s="1">
        <v>0.82099999999999995</v>
      </c>
      <c r="U1059" s="1">
        <v>0.59499999999999997</v>
      </c>
      <c r="V1059" s="1">
        <v>91.05</v>
      </c>
      <c r="W1059">
        <v>4</v>
      </c>
    </row>
    <row r="1060" spans="1:23" x14ac:dyDescent="0.25">
      <c r="A1060" s="1" t="s">
        <v>15775</v>
      </c>
      <c r="B1060" s="1" t="s">
        <v>15776</v>
      </c>
      <c r="C1060" s="1" t="s">
        <v>3960</v>
      </c>
      <c r="D1060" s="1" t="s">
        <v>15774</v>
      </c>
      <c r="E1060" s="1" t="s">
        <v>3961</v>
      </c>
      <c r="F1060" s="1" t="s">
        <v>13767</v>
      </c>
      <c r="G1060">
        <v>227395</v>
      </c>
      <c r="H1060">
        <v>83</v>
      </c>
      <c r="I1060" s="1" t="s">
        <v>11063</v>
      </c>
      <c r="J1060" s="11">
        <v>44729.706458333334</v>
      </c>
      <c r="K1060" s="1" t="s">
        <v>3962</v>
      </c>
      <c r="L1060" s="1">
        <v>0.71299999999999997</v>
      </c>
      <c r="M1060" s="1">
        <v>0.67600000000000005</v>
      </c>
      <c r="N1060">
        <v>10</v>
      </c>
      <c r="O1060" s="1">
        <v>-5.4829999999999997</v>
      </c>
      <c r="P1060">
        <v>1</v>
      </c>
      <c r="Q1060" s="1">
        <v>0.27</v>
      </c>
      <c r="R1060" s="1">
        <v>0.377</v>
      </c>
      <c r="S1060" s="1">
        <v>0</v>
      </c>
      <c r="T1060" s="1">
        <v>0.154</v>
      </c>
      <c r="U1060" s="1">
        <v>0.72099999999999997</v>
      </c>
      <c r="V1060" s="1">
        <v>99.048000000000002</v>
      </c>
      <c r="W1060">
        <v>4</v>
      </c>
    </row>
    <row r="1061" spans="1:23" x14ac:dyDescent="0.25">
      <c r="A1061" s="1" t="s">
        <v>15777</v>
      </c>
      <c r="B1061" s="1" t="s">
        <v>15778</v>
      </c>
      <c r="C1061" s="1" t="s">
        <v>3963</v>
      </c>
      <c r="D1061" s="1" t="s">
        <v>15779</v>
      </c>
      <c r="E1061" s="1" t="s">
        <v>3964</v>
      </c>
      <c r="F1061" s="1" t="s">
        <v>11758</v>
      </c>
      <c r="G1061">
        <v>217795</v>
      </c>
      <c r="H1061">
        <v>36</v>
      </c>
      <c r="I1061" s="1" t="s">
        <v>11063</v>
      </c>
      <c r="J1061" s="11">
        <v>44729.706458333334</v>
      </c>
      <c r="K1061" s="1" t="s">
        <v>3965</v>
      </c>
      <c r="L1061" s="1">
        <v>0.79700000000000004</v>
      </c>
      <c r="M1061" s="1">
        <v>0.65400000000000003</v>
      </c>
      <c r="N1061">
        <v>10</v>
      </c>
      <c r="O1061" s="1">
        <v>-10.973000000000001</v>
      </c>
      <c r="P1061">
        <v>0</v>
      </c>
      <c r="Q1061" s="1">
        <v>0.1</v>
      </c>
      <c r="R1061" s="1">
        <v>0.73799999999999999</v>
      </c>
      <c r="S1061" s="1">
        <v>0.21</v>
      </c>
      <c r="T1061" s="1">
        <v>0.159</v>
      </c>
      <c r="U1061" s="1">
        <v>0.83199999999999996</v>
      </c>
      <c r="V1061" s="1">
        <v>127.04300000000001</v>
      </c>
      <c r="W1061">
        <v>4</v>
      </c>
    </row>
    <row r="1062" spans="1:23" x14ac:dyDescent="0.25">
      <c r="A1062" s="1" t="s">
        <v>15780</v>
      </c>
      <c r="B1062" s="1" t="s">
        <v>15640</v>
      </c>
      <c r="C1062" s="1" t="s">
        <v>3966</v>
      </c>
      <c r="D1062" s="1" t="s">
        <v>3966</v>
      </c>
      <c r="E1062" s="1" t="s">
        <v>3844</v>
      </c>
      <c r="F1062" s="1" t="s">
        <v>15781</v>
      </c>
      <c r="G1062">
        <v>241951</v>
      </c>
      <c r="H1062">
        <v>40</v>
      </c>
      <c r="I1062" s="1" t="s">
        <v>11063</v>
      </c>
      <c r="J1062" s="11">
        <v>44729.706458333334</v>
      </c>
      <c r="K1062" s="1" t="s">
        <v>1066</v>
      </c>
      <c r="L1062" s="1">
        <v>0.77700000000000002</v>
      </c>
      <c r="M1062" s="1">
        <v>0.69499999999999995</v>
      </c>
      <c r="N1062">
        <v>11</v>
      </c>
      <c r="O1062" s="1">
        <v>-7.7759999999999998</v>
      </c>
      <c r="P1062">
        <v>1</v>
      </c>
      <c r="Q1062" s="1">
        <v>0.19800000000000001</v>
      </c>
      <c r="R1062" s="1">
        <v>0.748</v>
      </c>
      <c r="S1062" s="1">
        <v>0.221</v>
      </c>
      <c r="T1062" s="1">
        <v>0.39400000000000002</v>
      </c>
      <c r="U1062" s="1">
        <v>0.315</v>
      </c>
      <c r="V1062" s="1">
        <v>122.98099999999999</v>
      </c>
      <c r="W1062">
        <v>4</v>
      </c>
    </row>
    <row r="1063" spans="1:23" x14ac:dyDescent="0.25">
      <c r="A1063" s="1" t="s">
        <v>15782</v>
      </c>
      <c r="B1063" s="1" t="s">
        <v>15783</v>
      </c>
      <c r="C1063" s="1" t="s">
        <v>3967</v>
      </c>
      <c r="D1063" s="1" t="s">
        <v>15784</v>
      </c>
      <c r="E1063" s="1" t="s">
        <v>3968</v>
      </c>
      <c r="F1063" s="1" t="s">
        <v>15785</v>
      </c>
      <c r="G1063">
        <v>204453</v>
      </c>
      <c r="H1063">
        <v>41</v>
      </c>
      <c r="I1063" s="1" t="s">
        <v>11063</v>
      </c>
      <c r="J1063" s="11">
        <v>44729.706458333334</v>
      </c>
      <c r="K1063" s="1" t="s">
        <v>3969</v>
      </c>
      <c r="L1063" s="1">
        <v>0.77200000000000002</v>
      </c>
      <c r="M1063" s="1">
        <v>0.70699999999999996</v>
      </c>
      <c r="N1063">
        <v>0</v>
      </c>
      <c r="O1063" s="1">
        <v>-7.0309999999999997</v>
      </c>
      <c r="P1063">
        <v>1</v>
      </c>
      <c r="Q1063" s="1">
        <v>0.50700000000000001</v>
      </c>
      <c r="R1063" s="1">
        <v>0.52100000000000002</v>
      </c>
      <c r="S1063" s="1">
        <v>0.39600000000000002</v>
      </c>
      <c r="T1063" s="1">
        <v>0.71899999999999997</v>
      </c>
      <c r="U1063" s="1">
        <v>0.40300000000000002</v>
      </c>
      <c r="V1063" s="1">
        <v>112.032</v>
      </c>
      <c r="W1063">
        <v>4</v>
      </c>
    </row>
    <row r="1064" spans="1:23" x14ac:dyDescent="0.25">
      <c r="A1064" s="1" t="s">
        <v>15786</v>
      </c>
      <c r="B1064" s="1" t="s">
        <v>15787</v>
      </c>
      <c r="C1064" s="1" t="s">
        <v>3970</v>
      </c>
      <c r="D1064" s="1" t="s">
        <v>15788</v>
      </c>
      <c r="E1064" s="1" t="s">
        <v>3971</v>
      </c>
      <c r="F1064" s="1" t="s">
        <v>14242</v>
      </c>
      <c r="G1064">
        <v>232666</v>
      </c>
      <c r="H1064">
        <v>56</v>
      </c>
      <c r="I1064" s="1" t="s">
        <v>11063</v>
      </c>
      <c r="J1064" s="11">
        <v>44729.706458333334</v>
      </c>
      <c r="K1064" s="1" t="s">
        <v>3972</v>
      </c>
      <c r="L1064" s="1">
        <v>0.69899999999999995</v>
      </c>
      <c r="M1064" s="1">
        <v>0.62</v>
      </c>
      <c r="N1064">
        <v>1</v>
      </c>
      <c r="O1064" s="1">
        <v>-6.7370000000000001</v>
      </c>
      <c r="P1064">
        <v>1</v>
      </c>
      <c r="Q1064" s="1">
        <v>0.64200000000000002</v>
      </c>
      <c r="R1064" s="1">
        <v>0.186</v>
      </c>
      <c r="S1064" s="1">
        <v>0</v>
      </c>
      <c r="T1064" s="1">
        <v>0.85199999999999998</v>
      </c>
      <c r="U1064" s="1">
        <v>0.61299999999999999</v>
      </c>
      <c r="V1064" s="1">
        <v>92.98</v>
      </c>
      <c r="W1064">
        <v>4</v>
      </c>
    </row>
    <row r="1065" spans="1:23" x14ac:dyDescent="0.25">
      <c r="A1065" s="1" t="s">
        <v>15789</v>
      </c>
      <c r="B1065" s="1" t="s">
        <v>15790</v>
      </c>
      <c r="C1065" s="1" t="s">
        <v>3973</v>
      </c>
      <c r="D1065" s="1" t="s">
        <v>15791</v>
      </c>
      <c r="E1065" s="1" t="s">
        <v>3974</v>
      </c>
      <c r="F1065" s="1" t="s">
        <v>11538</v>
      </c>
      <c r="G1065">
        <v>171176</v>
      </c>
      <c r="H1065">
        <v>39</v>
      </c>
      <c r="I1065" s="1" t="s">
        <v>11063</v>
      </c>
      <c r="J1065" s="11">
        <v>44729.706458333334</v>
      </c>
      <c r="K1065" s="1" t="s">
        <v>3975</v>
      </c>
      <c r="L1065" s="1">
        <v>0.68500000000000005</v>
      </c>
      <c r="M1065" s="1">
        <v>0.66100000000000003</v>
      </c>
      <c r="N1065">
        <v>0</v>
      </c>
      <c r="O1065" s="1">
        <v>-3.907</v>
      </c>
      <c r="P1065">
        <v>1</v>
      </c>
      <c r="Q1065" s="1">
        <v>0.75800000000000001</v>
      </c>
      <c r="R1065" s="1">
        <v>0.51900000000000002</v>
      </c>
      <c r="S1065" s="1">
        <v>0</v>
      </c>
      <c r="T1065" s="1">
        <v>0.66600000000000004</v>
      </c>
      <c r="U1065" s="1">
        <v>0.45400000000000001</v>
      </c>
      <c r="V1065" s="1">
        <v>102.07599999999999</v>
      </c>
      <c r="W1065">
        <v>4</v>
      </c>
    </row>
    <row r="1066" spans="1:23" x14ac:dyDescent="0.25">
      <c r="A1066" s="1" t="s">
        <v>15792</v>
      </c>
      <c r="B1066" s="1" t="s">
        <v>15793</v>
      </c>
      <c r="C1066" s="1" t="s">
        <v>3976</v>
      </c>
      <c r="D1066" s="1" t="s">
        <v>15794</v>
      </c>
      <c r="E1066" s="1" t="s">
        <v>3977</v>
      </c>
      <c r="F1066" s="1" t="s">
        <v>14440</v>
      </c>
      <c r="G1066">
        <v>234308</v>
      </c>
      <c r="H1066">
        <v>73</v>
      </c>
      <c r="I1066" s="1" t="s">
        <v>11063</v>
      </c>
      <c r="J1066" s="11">
        <v>44729.706458333334</v>
      </c>
      <c r="K1066" s="1" t="s">
        <v>3978</v>
      </c>
      <c r="L1066" s="1">
        <v>0.69299999999999995</v>
      </c>
      <c r="M1066" s="1">
        <v>0.71699999999999997</v>
      </c>
      <c r="N1066">
        <v>9</v>
      </c>
      <c r="O1066" s="1">
        <v>-6.3460000000000001</v>
      </c>
      <c r="P1066">
        <v>0</v>
      </c>
      <c r="Q1066" s="1">
        <v>0.107</v>
      </c>
      <c r="R1066" s="1">
        <v>0.14000000000000001</v>
      </c>
      <c r="S1066" s="1">
        <v>0</v>
      </c>
      <c r="T1066" s="1">
        <v>0.46400000000000002</v>
      </c>
      <c r="U1066" s="1">
        <v>0.41199999999999998</v>
      </c>
      <c r="V1066" s="1">
        <v>99.835999999999999</v>
      </c>
      <c r="W1066">
        <v>4</v>
      </c>
    </row>
    <row r="1067" spans="1:23" x14ac:dyDescent="0.25">
      <c r="A1067" s="1" t="s">
        <v>11535</v>
      </c>
      <c r="B1067" s="1" t="s">
        <v>11536</v>
      </c>
      <c r="C1067" s="1" t="s">
        <v>3979</v>
      </c>
      <c r="D1067" s="1" t="s">
        <v>11537</v>
      </c>
      <c r="E1067" s="1" t="s">
        <v>275</v>
      </c>
      <c r="F1067" s="1" t="s">
        <v>11538</v>
      </c>
      <c r="G1067">
        <v>242753</v>
      </c>
      <c r="H1067">
        <v>56</v>
      </c>
      <c r="I1067" s="1" t="s">
        <v>11063</v>
      </c>
      <c r="J1067" s="11">
        <v>44729.706458333334</v>
      </c>
      <c r="K1067" s="1" t="s">
        <v>276</v>
      </c>
      <c r="L1067" s="1">
        <v>0.72399999999999998</v>
      </c>
      <c r="M1067" s="1">
        <v>0.69399999999999995</v>
      </c>
      <c r="N1067">
        <v>9</v>
      </c>
      <c r="O1067" s="1">
        <v>-8.141</v>
      </c>
      <c r="P1067">
        <v>0</v>
      </c>
      <c r="Q1067" s="1">
        <v>0.59799999999999998</v>
      </c>
      <c r="R1067" s="1">
        <v>0.35</v>
      </c>
      <c r="S1067" s="1">
        <v>0</v>
      </c>
      <c r="T1067" s="1">
        <v>0.83799999999999997</v>
      </c>
      <c r="U1067" s="1">
        <v>0.79700000000000004</v>
      </c>
      <c r="V1067" s="1">
        <v>100.07899999999999</v>
      </c>
      <c r="W1067">
        <v>4</v>
      </c>
    </row>
    <row r="1068" spans="1:23" x14ac:dyDescent="0.25">
      <c r="A1068" s="1" t="s">
        <v>15795</v>
      </c>
      <c r="B1068" s="1" t="s">
        <v>15796</v>
      </c>
      <c r="C1068" s="1" t="s">
        <v>3980</v>
      </c>
      <c r="D1068" s="1" t="s">
        <v>3980</v>
      </c>
      <c r="E1068" s="1" t="s">
        <v>3981</v>
      </c>
      <c r="F1068" s="1" t="s">
        <v>13700</v>
      </c>
      <c r="G1068">
        <v>307647</v>
      </c>
      <c r="H1068">
        <v>46</v>
      </c>
      <c r="I1068" s="1" t="s">
        <v>11063</v>
      </c>
      <c r="J1068" s="11">
        <v>44729.706458333334</v>
      </c>
      <c r="K1068" s="1" t="s">
        <v>3982</v>
      </c>
      <c r="L1068" s="1">
        <v>0.59299999999999997</v>
      </c>
      <c r="M1068" s="1">
        <v>0.74399999999999999</v>
      </c>
      <c r="N1068">
        <v>3</v>
      </c>
      <c r="O1068" s="1">
        <v>-2.956</v>
      </c>
      <c r="P1068">
        <v>0</v>
      </c>
      <c r="Q1068" s="1">
        <v>0.38700000000000001</v>
      </c>
      <c r="R1068" s="1">
        <v>0.153</v>
      </c>
      <c r="S1068" s="1">
        <v>0.20899999999999999</v>
      </c>
      <c r="T1068" s="1">
        <v>0.112</v>
      </c>
      <c r="U1068" s="1">
        <v>0.124</v>
      </c>
      <c r="V1068" s="1">
        <v>110.02800000000001</v>
      </c>
      <c r="W1068">
        <v>4</v>
      </c>
    </row>
    <row r="1069" spans="1:23" x14ac:dyDescent="0.25">
      <c r="A1069" s="1" t="s">
        <v>15797</v>
      </c>
      <c r="B1069" s="1" t="s">
        <v>15798</v>
      </c>
      <c r="C1069" s="1" t="s">
        <v>3983</v>
      </c>
      <c r="D1069" s="1" t="s">
        <v>15799</v>
      </c>
      <c r="E1069" s="1" t="s">
        <v>3984</v>
      </c>
      <c r="F1069" s="1" t="s">
        <v>11677</v>
      </c>
      <c r="G1069">
        <v>166700</v>
      </c>
      <c r="H1069">
        <v>37</v>
      </c>
      <c r="I1069" s="1" t="s">
        <v>11063</v>
      </c>
      <c r="J1069" s="11">
        <v>44729.706458333334</v>
      </c>
      <c r="K1069" s="1" t="s">
        <v>3985</v>
      </c>
      <c r="L1069" s="1">
        <v>0.67600000000000005</v>
      </c>
      <c r="M1069" s="1">
        <v>0.55100000000000005</v>
      </c>
      <c r="N1069">
        <v>7</v>
      </c>
      <c r="O1069" s="1">
        <v>-8.0039999999999996</v>
      </c>
      <c r="P1069">
        <v>0</v>
      </c>
      <c r="Q1069" s="1">
        <v>0.629</v>
      </c>
      <c r="R1069" s="1">
        <v>0.47599999999999998</v>
      </c>
      <c r="S1069" s="1">
        <v>0</v>
      </c>
      <c r="T1069" s="1">
        <v>0.14899999999999999</v>
      </c>
      <c r="U1069" s="1">
        <v>0.56499999999999995</v>
      </c>
      <c r="V1069" s="1">
        <v>91.039000000000001</v>
      </c>
      <c r="W1069">
        <v>4</v>
      </c>
    </row>
    <row r="1070" spans="1:23" x14ac:dyDescent="0.25">
      <c r="A1070" s="1" t="s">
        <v>15800</v>
      </c>
      <c r="B1070" s="1" t="s">
        <v>15801</v>
      </c>
      <c r="C1070" s="1" t="s">
        <v>3986</v>
      </c>
      <c r="D1070" s="1" t="s">
        <v>3986</v>
      </c>
      <c r="E1070" s="1" t="s">
        <v>3987</v>
      </c>
      <c r="F1070" s="1" t="s">
        <v>15035</v>
      </c>
      <c r="G1070">
        <v>194603</v>
      </c>
      <c r="H1070">
        <v>23</v>
      </c>
      <c r="I1070" s="1" t="s">
        <v>11063</v>
      </c>
      <c r="J1070" s="11">
        <v>44729.706458333334</v>
      </c>
      <c r="K1070" s="1" t="s">
        <v>50</v>
      </c>
      <c r="L1070" s="1">
        <v>0.66200000000000003</v>
      </c>
      <c r="M1070" s="1">
        <v>0.69</v>
      </c>
      <c r="N1070">
        <v>6</v>
      </c>
      <c r="O1070" s="1">
        <v>-6.109</v>
      </c>
      <c r="P1070">
        <v>0</v>
      </c>
      <c r="Q1070" s="1">
        <v>0.34200000000000003</v>
      </c>
      <c r="R1070" s="1">
        <v>0.73099999999999998</v>
      </c>
      <c r="S1070" s="1">
        <v>0.22700000000000001</v>
      </c>
      <c r="T1070" s="1">
        <v>0.13800000000000001</v>
      </c>
      <c r="U1070" s="1">
        <v>0.35499999999999998</v>
      </c>
      <c r="V1070" s="1">
        <v>147.94999999999999</v>
      </c>
      <c r="W1070">
        <v>4</v>
      </c>
    </row>
    <row r="1071" spans="1:23" x14ac:dyDescent="0.25">
      <c r="A1071" s="1" t="s">
        <v>15802</v>
      </c>
      <c r="B1071" s="1" t="s">
        <v>15803</v>
      </c>
      <c r="C1071" s="1" t="s">
        <v>3988</v>
      </c>
      <c r="D1071" s="1" t="s">
        <v>3988</v>
      </c>
      <c r="E1071" s="1" t="s">
        <v>3989</v>
      </c>
      <c r="F1071" s="1" t="s">
        <v>13269</v>
      </c>
      <c r="G1071">
        <v>186512</v>
      </c>
      <c r="H1071">
        <v>23</v>
      </c>
      <c r="I1071" s="1" t="s">
        <v>11063</v>
      </c>
      <c r="J1071" s="11">
        <v>44729.706458333334</v>
      </c>
      <c r="K1071" s="1" t="s">
        <v>50</v>
      </c>
      <c r="L1071" s="1">
        <v>0.52300000000000002</v>
      </c>
      <c r="M1071" s="1">
        <v>0.58199999999999996</v>
      </c>
      <c r="N1071">
        <v>6</v>
      </c>
      <c r="O1071" s="1">
        <v>-5.69</v>
      </c>
      <c r="P1071">
        <v>1</v>
      </c>
      <c r="Q1071" s="1">
        <v>0.85399999999999998</v>
      </c>
      <c r="R1071" s="1">
        <v>0.23400000000000001</v>
      </c>
      <c r="S1071" s="1">
        <v>0</v>
      </c>
      <c r="T1071" s="1">
        <v>0.21099999999999999</v>
      </c>
      <c r="U1071" s="1">
        <v>0.20599999999999999</v>
      </c>
      <c r="V1071" s="1">
        <v>157.91499999999999</v>
      </c>
      <c r="W1071">
        <v>4</v>
      </c>
    </row>
    <row r="1072" spans="1:23" x14ac:dyDescent="0.25">
      <c r="A1072" s="1" t="s">
        <v>15804</v>
      </c>
      <c r="B1072" s="1" t="s">
        <v>15805</v>
      </c>
      <c r="C1072" s="1" t="s">
        <v>3990</v>
      </c>
      <c r="D1072" s="1" t="s">
        <v>3990</v>
      </c>
      <c r="E1072" s="1" t="s">
        <v>3991</v>
      </c>
      <c r="F1072" s="1" t="s">
        <v>15078</v>
      </c>
      <c r="G1072">
        <v>192000</v>
      </c>
      <c r="H1072">
        <v>36</v>
      </c>
      <c r="I1072" s="1" t="s">
        <v>11063</v>
      </c>
      <c r="J1072" s="11">
        <v>44729.706458333334</v>
      </c>
      <c r="K1072" s="1" t="s">
        <v>933</v>
      </c>
      <c r="L1072" s="1">
        <v>0.55700000000000005</v>
      </c>
      <c r="M1072" s="1">
        <v>0.54</v>
      </c>
      <c r="N1072">
        <v>6</v>
      </c>
      <c r="O1072" s="1">
        <v>-6.7009999999999996</v>
      </c>
      <c r="P1072">
        <v>1</v>
      </c>
      <c r="Q1072" s="1">
        <v>0.34200000000000003</v>
      </c>
      <c r="R1072" s="1">
        <v>0.25600000000000001</v>
      </c>
      <c r="S1072" s="1">
        <v>0.20699999999999999</v>
      </c>
      <c r="T1072" s="1">
        <v>0.13</v>
      </c>
      <c r="U1072" s="1">
        <v>0.19400000000000001</v>
      </c>
      <c r="V1072" s="1">
        <v>94.74</v>
      </c>
      <c r="W1072">
        <v>4</v>
      </c>
    </row>
    <row r="1073" spans="1:23" x14ac:dyDescent="0.25">
      <c r="A1073" s="1" t="s">
        <v>15806</v>
      </c>
      <c r="B1073" s="1" t="s">
        <v>15807</v>
      </c>
      <c r="C1073" s="1" t="s">
        <v>3992</v>
      </c>
      <c r="D1073" s="1" t="s">
        <v>15808</v>
      </c>
      <c r="E1073" s="1" t="s">
        <v>3993</v>
      </c>
      <c r="F1073" s="1" t="s">
        <v>15809</v>
      </c>
      <c r="G1073">
        <v>227388</v>
      </c>
      <c r="H1073">
        <v>35</v>
      </c>
      <c r="I1073" s="1" t="s">
        <v>11063</v>
      </c>
      <c r="J1073" s="11">
        <v>44729.706458333334</v>
      </c>
      <c r="K1073" s="1" t="s">
        <v>3994</v>
      </c>
      <c r="L1073" s="1">
        <v>0.53600000000000003</v>
      </c>
      <c r="M1073" s="1">
        <v>0.67400000000000004</v>
      </c>
      <c r="N1073">
        <v>2</v>
      </c>
      <c r="O1073" s="1">
        <v>-4.3259999999999996</v>
      </c>
      <c r="P1073">
        <v>1</v>
      </c>
      <c r="Q1073" s="1">
        <v>0.93700000000000006</v>
      </c>
      <c r="R1073" s="1">
        <v>0.153</v>
      </c>
      <c r="S1073" s="1">
        <v>0</v>
      </c>
      <c r="T1073" s="1">
        <v>0.78300000000000003</v>
      </c>
      <c r="U1073" s="1">
        <v>0.16300000000000001</v>
      </c>
      <c r="V1073" s="1">
        <v>152.19999999999999</v>
      </c>
      <c r="W1073">
        <v>4</v>
      </c>
    </row>
    <row r="1074" spans="1:23" x14ac:dyDescent="0.25">
      <c r="A1074" s="1" t="s">
        <v>15810</v>
      </c>
      <c r="B1074" s="1" t="s">
        <v>15811</v>
      </c>
      <c r="C1074" s="1" t="s">
        <v>3995</v>
      </c>
      <c r="D1074" s="1" t="s">
        <v>15812</v>
      </c>
      <c r="E1074" s="1" t="s">
        <v>3996</v>
      </c>
      <c r="F1074" s="1" t="s">
        <v>11542</v>
      </c>
      <c r="G1074">
        <v>244174</v>
      </c>
      <c r="H1074">
        <v>62</v>
      </c>
      <c r="I1074" s="1" t="s">
        <v>11063</v>
      </c>
      <c r="J1074" s="11">
        <v>44729.706458333334</v>
      </c>
      <c r="K1074" s="1" t="s">
        <v>3997</v>
      </c>
      <c r="L1074" s="1">
        <v>0.77700000000000002</v>
      </c>
      <c r="M1074" s="1">
        <v>0.70799999999999996</v>
      </c>
      <c r="N1074">
        <v>5</v>
      </c>
      <c r="O1074" s="1">
        <v>-5.7069999999999999</v>
      </c>
      <c r="P1074">
        <v>0</v>
      </c>
      <c r="Q1074" s="1">
        <v>0.56299999999999994</v>
      </c>
      <c r="R1074" s="1">
        <v>0.40699999999999997</v>
      </c>
      <c r="S1074" s="1">
        <v>0.76600000000000001</v>
      </c>
      <c r="T1074" s="1">
        <v>0.57299999999999995</v>
      </c>
      <c r="U1074" s="1">
        <v>0.34599999999999997</v>
      </c>
      <c r="V1074" s="1">
        <v>109.03700000000001</v>
      </c>
      <c r="W1074">
        <v>4</v>
      </c>
    </row>
    <row r="1075" spans="1:23" x14ac:dyDescent="0.25">
      <c r="A1075" s="1" t="s">
        <v>11539</v>
      </c>
      <c r="B1075" s="1" t="s">
        <v>11540</v>
      </c>
      <c r="C1075" s="1" t="s">
        <v>277</v>
      </c>
      <c r="D1075" s="1" t="s">
        <v>11541</v>
      </c>
      <c r="E1075" s="1" t="s">
        <v>278</v>
      </c>
      <c r="F1075" s="1" t="s">
        <v>11542</v>
      </c>
      <c r="G1075">
        <v>255631</v>
      </c>
      <c r="H1075">
        <v>75</v>
      </c>
      <c r="I1075" s="1" t="s">
        <v>11063</v>
      </c>
      <c r="J1075" s="11">
        <v>44729.706458333334</v>
      </c>
      <c r="K1075" s="1" t="s">
        <v>279</v>
      </c>
      <c r="L1075" s="1">
        <v>0.503</v>
      </c>
      <c r="M1075" s="1">
        <v>0.72699999999999998</v>
      </c>
      <c r="N1075">
        <v>1</v>
      </c>
      <c r="O1075" s="1">
        <v>-5.4560000000000004</v>
      </c>
      <c r="P1075">
        <v>1</v>
      </c>
      <c r="Q1075" s="1">
        <v>0.16700000000000001</v>
      </c>
      <c r="R1075" s="1">
        <v>0.159</v>
      </c>
      <c r="S1075" s="1">
        <v>0.94499999999999995</v>
      </c>
      <c r="T1075" s="1">
        <v>0.89500000000000002</v>
      </c>
      <c r="U1075" s="1">
        <v>0.52100000000000002</v>
      </c>
      <c r="V1075" s="1">
        <v>121.985</v>
      </c>
      <c r="W1075">
        <v>4</v>
      </c>
    </row>
    <row r="1076" spans="1:23" x14ac:dyDescent="0.25">
      <c r="A1076" s="1" t="s">
        <v>15813</v>
      </c>
      <c r="B1076" s="1" t="s">
        <v>15769</v>
      </c>
      <c r="C1076" s="1" t="s">
        <v>3998</v>
      </c>
      <c r="D1076" s="1" t="s">
        <v>15814</v>
      </c>
      <c r="E1076" s="1" t="s">
        <v>3956</v>
      </c>
      <c r="F1076" s="1" t="s">
        <v>15573</v>
      </c>
      <c r="G1076">
        <v>209800</v>
      </c>
      <c r="H1076">
        <v>55</v>
      </c>
      <c r="I1076" s="1" t="s">
        <v>11063</v>
      </c>
      <c r="J1076" s="11">
        <v>44729.706458333334</v>
      </c>
      <c r="K1076" s="1" t="s">
        <v>3957</v>
      </c>
      <c r="L1076" s="1">
        <v>0.67800000000000005</v>
      </c>
      <c r="M1076" s="1">
        <v>0.84899999999999998</v>
      </c>
      <c r="N1076">
        <v>7</v>
      </c>
      <c r="O1076" s="1">
        <v>-6.9829999999999997</v>
      </c>
      <c r="P1076">
        <v>1</v>
      </c>
      <c r="Q1076" s="1">
        <v>0.36699999999999999</v>
      </c>
      <c r="R1076" s="1">
        <v>0.45900000000000002</v>
      </c>
      <c r="S1076" s="1">
        <v>0.61299999999999999</v>
      </c>
      <c r="T1076" s="1">
        <v>0.83299999999999996</v>
      </c>
      <c r="U1076" s="1">
        <v>0.502</v>
      </c>
      <c r="V1076" s="1">
        <v>94.003</v>
      </c>
      <c r="W1076">
        <v>4</v>
      </c>
    </row>
    <row r="1077" spans="1:23" x14ac:dyDescent="0.25">
      <c r="A1077" s="1" t="s">
        <v>15815</v>
      </c>
      <c r="B1077" s="1" t="s">
        <v>15248</v>
      </c>
      <c r="C1077" s="1" t="s">
        <v>2397</v>
      </c>
      <c r="D1077" s="1" t="s">
        <v>15249</v>
      </c>
      <c r="E1077" s="1" t="s">
        <v>3496</v>
      </c>
      <c r="F1077" s="1" t="s">
        <v>15250</v>
      </c>
      <c r="G1077">
        <v>258004</v>
      </c>
      <c r="H1077">
        <v>77</v>
      </c>
      <c r="I1077" s="1" t="s">
        <v>11063</v>
      </c>
      <c r="J1077" s="11">
        <v>44729.706458333334</v>
      </c>
      <c r="K1077" s="1" t="s">
        <v>1922</v>
      </c>
      <c r="L1077" s="1">
        <v>0.65900000000000003</v>
      </c>
      <c r="M1077" s="1">
        <v>0.66700000000000004</v>
      </c>
      <c r="N1077">
        <v>11</v>
      </c>
      <c r="O1077" s="1">
        <v>-4.6680000000000001</v>
      </c>
      <c r="P1077">
        <v>0</v>
      </c>
      <c r="Q1077" s="1">
        <v>0.33900000000000002</v>
      </c>
      <c r="R1077" s="1">
        <v>0.17299999999999999</v>
      </c>
      <c r="S1077" s="1">
        <v>0.28499999999999998</v>
      </c>
      <c r="T1077" s="1">
        <v>0.1</v>
      </c>
      <c r="U1077" s="1">
        <v>0.46800000000000003</v>
      </c>
      <c r="V1077" s="1">
        <v>115.982</v>
      </c>
      <c r="W1077">
        <v>4</v>
      </c>
    </row>
    <row r="1078" spans="1:23" x14ac:dyDescent="0.25">
      <c r="A1078" s="1" t="s">
        <v>11543</v>
      </c>
      <c r="B1078" s="1" t="s">
        <v>11544</v>
      </c>
      <c r="C1078" s="1" t="s">
        <v>3999</v>
      </c>
      <c r="D1078" s="1" t="s">
        <v>3999</v>
      </c>
      <c r="E1078" s="1" t="s">
        <v>280</v>
      </c>
      <c r="F1078" s="1" t="s">
        <v>11545</v>
      </c>
      <c r="G1078">
        <v>212860</v>
      </c>
      <c r="H1078">
        <v>62</v>
      </c>
      <c r="I1078" s="1" t="s">
        <v>11063</v>
      </c>
      <c r="J1078" s="11">
        <v>44729.706458333334</v>
      </c>
      <c r="K1078" s="1" t="s">
        <v>281</v>
      </c>
      <c r="L1078" s="1">
        <v>0.247</v>
      </c>
      <c r="M1078" s="1">
        <v>0.442</v>
      </c>
      <c r="N1078">
        <v>6</v>
      </c>
      <c r="O1078" s="1">
        <v>-8.7029999999999994</v>
      </c>
      <c r="P1078">
        <v>1</v>
      </c>
      <c r="Q1078" s="1">
        <v>0.41</v>
      </c>
      <c r="R1078" s="1">
        <v>0.71599999999999997</v>
      </c>
      <c r="S1078" s="1">
        <v>0</v>
      </c>
      <c r="T1078" s="1">
        <v>0.65500000000000003</v>
      </c>
      <c r="U1078" s="1">
        <v>0.26100000000000001</v>
      </c>
      <c r="V1078" s="1">
        <v>62.951999999999998</v>
      </c>
      <c r="W1078">
        <v>4</v>
      </c>
    </row>
    <row r="1079" spans="1:23" x14ac:dyDescent="0.25">
      <c r="A1079" s="1" t="s">
        <v>15816</v>
      </c>
      <c r="B1079" s="1" t="s">
        <v>15817</v>
      </c>
      <c r="C1079" s="1" t="s">
        <v>4000</v>
      </c>
      <c r="D1079" s="1" t="s">
        <v>4000</v>
      </c>
      <c r="E1079" s="1" t="s">
        <v>4001</v>
      </c>
      <c r="F1079" s="1" t="s">
        <v>15818</v>
      </c>
      <c r="G1079">
        <v>157894</v>
      </c>
      <c r="H1079">
        <v>31</v>
      </c>
      <c r="I1079" s="1" t="s">
        <v>11063</v>
      </c>
      <c r="J1079" s="11">
        <v>44729.706458333334</v>
      </c>
      <c r="K1079" s="1" t="s">
        <v>50</v>
      </c>
      <c r="L1079" s="1">
        <v>0.70199999999999996</v>
      </c>
      <c r="M1079" s="1">
        <v>0.80300000000000005</v>
      </c>
      <c r="N1079">
        <v>11</v>
      </c>
      <c r="O1079" s="1">
        <v>-2.8610000000000002</v>
      </c>
      <c r="P1079">
        <v>1</v>
      </c>
      <c r="Q1079" s="1">
        <v>0.41</v>
      </c>
      <c r="R1079" s="1">
        <v>0.37</v>
      </c>
      <c r="S1079" s="1">
        <v>0.42299999999999999</v>
      </c>
      <c r="T1079" s="1">
        <v>0.85099999999999998</v>
      </c>
      <c r="U1079" s="1">
        <v>0.28799999999999998</v>
      </c>
      <c r="V1079" s="1">
        <v>113.94799999999999</v>
      </c>
      <c r="W1079">
        <v>4</v>
      </c>
    </row>
    <row r="1080" spans="1:23" x14ac:dyDescent="0.25">
      <c r="A1080" s="1" t="s">
        <v>15819</v>
      </c>
      <c r="B1080" s="1" t="s">
        <v>15820</v>
      </c>
      <c r="C1080" s="1" t="s">
        <v>4002</v>
      </c>
      <c r="D1080" s="1" t="s">
        <v>4002</v>
      </c>
      <c r="E1080" s="1" t="s">
        <v>4003</v>
      </c>
      <c r="F1080" s="1" t="s">
        <v>15821</v>
      </c>
      <c r="G1080">
        <v>207310</v>
      </c>
      <c r="H1080">
        <v>27</v>
      </c>
      <c r="I1080" s="1" t="s">
        <v>11063</v>
      </c>
      <c r="J1080" s="11">
        <v>44729.706458333334</v>
      </c>
      <c r="K1080" s="1" t="s">
        <v>50</v>
      </c>
      <c r="L1080" s="1">
        <v>0.56999999999999995</v>
      </c>
      <c r="M1080" s="1">
        <v>0.83499999999999996</v>
      </c>
      <c r="N1080">
        <v>5</v>
      </c>
      <c r="O1080" s="1">
        <v>-7.7350000000000003</v>
      </c>
      <c r="P1080">
        <v>0</v>
      </c>
      <c r="Q1080" s="1">
        <v>0.22</v>
      </c>
      <c r="R1080" s="1">
        <v>0.36499999999999999</v>
      </c>
      <c r="S1080" s="1">
        <v>0.65800000000000003</v>
      </c>
      <c r="T1080" s="1">
        <v>0.106</v>
      </c>
      <c r="U1080" s="1">
        <v>0.35199999999999998</v>
      </c>
      <c r="V1080" s="1">
        <v>144.922</v>
      </c>
      <c r="W1080">
        <v>4</v>
      </c>
    </row>
    <row r="1081" spans="1:23" x14ac:dyDescent="0.25">
      <c r="A1081" s="1" t="s">
        <v>15822</v>
      </c>
      <c r="B1081" s="1" t="s">
        <v>15823</v>
      </c>
      <c r="C1081" s="1" t="s">
        <v>4004</v>
      </c>
      <c r="D1081" s="1" t="s">
        <v>15824</v>
      </c>
      <c r="E1081" s="1" t="s">
        <v>4005</v>
      </c>
      <c r="F1081" s="1" t="s">
        <v>15825</v>
      </c>
      <c r="G1081">
        <v>202666</v>
      </c>
      <c r="H1081">
        <v>33</v>
      </c>
      <c r="I1081" s="1" t="s">
        <v>11063</v>
      </c>
      <c r="J1081" s="11">
        <v>44729.706458333334</v>
      </c>
      <c r="K1081" s="1" t="s">
        <v>1086</v>
      </c>
      <c r="L1081" s="1">
        <v>0.52700000000000002</v>
      </c>
      <c r="M1081" s="1">
        <v>0.59599999999999997</v>
      </c>
      <c r="N1081">
        <v>1</v>
      </c>
      <c r="O1081" s="1">
        <v>-6.8250000000000002</v>
      </c>
      <c r="P1081">
        <v>1</v>
      </c>
      <c r="Q1081" s="1">
        <v>0.47899999999999998</v>
      </c>
      <c r="R1081" s="1">
        <v>0.14199999999999999</v>
      </c>
      <c r="S1081" s="1">
        <v>0.77100000000000002</v>
      </c>
      <c r="T1081" s="1">
        <v>0.186</v>
      </c>
      <c r="U1081" s="1">
        <v>0.86499999999999999</v>
      </c>
      <c r="V1081" s="1">
        <v>180.00299999999999</v>
      </c>
      <c r="W1081">
        <v>4</v>
      </c>
    </row>
    <row r="1082" spans="1:23" x14ac:dyDescent="0.25">
      <c r="A1082" s="1" t="s">
        <v>15826</v>
      </c>
      <c r="B1082" s="1" t="s">
        <v>15827</v>
      </c>
      <c r="C1082" s="1" t="s">
        <v>4006</v>
      </c>
      <c r="D1082" s="1" t="s">
        <v>15828</v>
      </c>
      <c r="E1082" s="1" t="s">
        <v>4007</v>
      </c>
      <c r="F1082" s="1" t="s">
        <v>15357</v>
      </c>
      <c r="G1082">
        <v>199168</v>
      </c>
      <c r="H1082">
        <v>61</v>
      </c>
      <c r="I1082" s="1" t="s">
        <v>11063</v>
      </c>
      <c r="J1082" s="11">
        <v>44729.706458333334</v>
      </c>
      <c r="K1082" s="1" t="s">
        <v>4008</v>
      </c>
      <c r="L1082" s="1">
        <v>0.72299999999999998</v>
      </c>
      <c r="M1082" s="1">
        <v>0.86</v>
      </c>
      <c r="N1082">
        <v>7</v>
      </c>
      <c r="O1082" s="1">
        <v>-4.8920000000000003</v>
      </c>
      <c r="P1082">
        <v>1</v>
      </c>
      <c r="Q1082" s="1">
        <v>0.46300000000000002</v>
      </c>
      <c r="R1082" s="1">
        <v>0.10100000000000001</v>
      </c>
      <c r="S1082" s="1">
        <v>0.20200000000000001</v>
      </c>
      <c r="T1082" s="1">
        <v>0.14299999999999999</v>
      </c>
      <c r="U1082" s="1">
        <v>0.57399999999999995</v>
      </c>
      <c r="V1082" s="1">
        <v>93.984999999999999</v>
      </c>
      <c r="W1082">
        <v>4</v>
      </c>
    </row>
    <row r="1083" spans="1:23" x14ac:dyDescent="0.25">
      <c r="A1083" s="1" t="s">
        <v>15829</v>
      </c>
      <c r="B1083" s="1" t="s">
        <v>11432</v>
      </c>
      <c r="C1083" s="1" t="s">
        <v>4009</v>
      </c>
      <c r="D1083" s="1" t="s">
        <v>15830</v>
      </c>
      <c r="E1083" s="1" t="s">
        <v>202</v>
      </c>
      <c r="F1083" s="1" t="s">
        <v>15831</v>
      </c>
      <c r="G1083">
        <v>192613</v>
      </c>
      <c r="H1083">
        <v>67</v>
      </c>
      <c r="I1083" s="1" t="s">
        <v>11063</v>
      </c>
      <c r="J1083" s="11">
        <v>44729.706458333334</v>
      </c>
      <c r="K1083" s="1" t="s">
        <v>203</v>
      </c>
      <c r="L1083" s="1">
        <v>0.64900000000000002</v>
      </c>
      <c r="M1083" s="1">
        <v>0.61799999999999999</v>
      </c>
      <c r="N1083">
        <v>9</v>
      </c>
      <c r="O1083" s="1">
        <v>-7.6909999999999998</v>
      </c>
      <c r="P1083">
        <v>1</v>
      </c>
      <c r="Q1083" s="1">
        <v>0.77900000000000003</v>
      </c>
      <c r="R1083" s="1">
        <v>0.215</v>
      </c>
      <c r="S1083" s="1">
        <v>0.11600000000000001</v>
      </c>
      <c r="T1083" s="1">
        <v>0.91100000000000003</v>
      </c>
      <c r="U1083" s="1">
        <v>0.38100000000000001</v>
      </c>
      <c r="V1083" s="1">
        <v>92.02</v>
      </c>
      <c r="W1083">
        <v>4</v>
      </c>
    </row>
    <row r="1084" spans="1:23" x14ac:dyDescent="0.25">
      <c r="A1084" s="1" t="s">
        <v>15832</v>
      </c>
      <c r="B1084" s="1" t="s">
        <v>15769</v>
      </c>
      <c r="C1084" s="1" t="s">
        <v>4010</v>
      </c>
      <c r="D1084" s="1" t="s">
        <v>15814</v>
      </c>
      <c r="E1084" s="1" t="s">
        <v>3956</v>
      </c>
      <c r="F1084" s="1" t="s">
        <v>15573</v>
      </c>
      <c r="G1084">
        <v>276293</v>
      </c>
      <c r="H1084">
        <v>66</v>
      </c>
      <c r="I1084" s="1" t="s">
        <v>11063</v>
      </c>
      <c r="J1084" s="11">
        <v>44729.706458333334</v>
      </c>
      <c r="K1084" s="1" t="s">
        <v>3957</v>
      </c>
      <c r="L1084" s="1">
        <v>0.70399999999999996</v>
      </c>
      <c r="M1084" s="1">
        <v>0.69199999999999995</v>
      </c>
      <c r="N1084">
        <v>5</v>
      </c>
      <c r="O1084" s="1">
        <v>-6.5579999999999998</v>
      </c>
      <c r="P1084">
        <v>0</v>
      </c>
      <c r="Q1084" s="1">
        <v>0.30399999999999999</v>
      </c>
      <c r="R1084" s="1">
        <v>0.94199999999999995</v>
      </c>
      <c r="S1084" s="1">
        <v>0.109</v>
      </c>
      <c r="T1084" s="1">
        <v>0.92200000000000004</v>
      </c>
      <c r="U1084" s="1">
        <v>0.36899999999999999</v>
      </c>
      <c r="V1084" s="1">
        <v>96.004999999999995</v>
      </c>
      <c r="W1084">
        <v>4</v>
      </c>
    </row>
    <row r="1085" spans="1:23" x14ac:dyDescent="0.25">
      <c r="A1085" s="1" t="s">
        <v>15833</v>
      </c>
      <c r="B1085" s="1" t="s">
        <v>15769</v>
      </c>
      <c r="C1085" s="1" t="s">
        <v>4011</v>
      </c>
      <c r="D1085" s="1" t="s">
        <v>15814</v>
      </c>
      <c r="E1085" s="1" t="s">
        <v>3956</v>
      </c>
      <c r="F1085" s="1" t="s">
        <v>15573</v>
      </c>
      <c r="G1085">
        <v>190826</v>
      </c>
      <c r="H1085">
        <v>65</v>
      </c>
      <c r="I1085" s="1" t="s">
        <v>11063</v>
      </c>
      <c r="J1085" s="11">
        <v>44729.706458333334</v>
      </c>
      <c r="K1085" s="1" t="s">
        <v>3957</v>
      </c>
      <c r="L1085" s="1">
        <v>0.68500000000000005</v>
      </c>
      <c r="M1085" s="1">
        <v>0.73499999999999999</v>
      </c>
      <c r="N1085">
        <v>4</v>
      </c>
      <c r="O1085" s="1">
        <v>-6.3369999999999997</v>
      </c>
      <c r="P1085">
        <v>0</v>
      </c>
      <c r="Q1085" s="1">
        <v>0.33400000000000002</v>
      </c>
      <c r="R1085" s="1">
        <v>0.191</v>
      </c>
      <c r="S1085" s="1">
        <v>0.38</v>
      </c>
      <c r="T1085" s="1">
        <v>0.188</v>
      </c>
      <c r="U1085" s="1">
        <v>0.38500000000000001</v>
      </c>
      <c r="V1085" s="1">
        <v>94.034999999999997</v>
      </c>
      <c r="W1085">
        <v>3</v>
      </c>
    </row>
    <row r="1086" spans="1:23" x14ac:dyDescent="0.25">
      <c r="A1086" s="1" t="s">
        <v>15834</v>
      </c>
      <c r="B1086" s="1" t="s">
        <v>11547</v>
      </c>
      <c r="C1086" s="1" t="s">
        <v>4012</v>
      </c>
      <c r="D1086" s="1" t="s">
        <v>15835</v>
      </c>
      <c r="E1086" s="1" t="s">
        <v>283</v>
      </c>
      <c r="F1086" s="1" t="s">
        <v>15836</v>
      </c>
      <c r="G1086">
        <v>309600</v>
      </c>
      <c r="H1086">
        <v>83</v>
      </c>
      <c r="I1086" s="1" t="s">
        <v>11063</v>
      </c>
      <c r="J1086" s="11">
        <v>44729.706458333334</v>
      </c>
      <c r="K1086" s="1" t="s">
        <v>284</v>
      </c>
      <c r="L1086" s="1">
        <v>0.55700000000000005</v>
      </c>
      <c r="M1086" s="1">
        <v>0.442</v>
      </c>
      <c r="N1086">
        <v>5</v>
      </c>
      <c r="O1086" s="1">
        <v>-7.2240000000000002</v>
      </c>
      <c r="P1086">
        <v>1</v>
      </c>
      <c r="Q1086" s="1">
        <v>0.24299999999999999</v>
      </c>
      <c r="R1086" s="1">
        <v>0.73099999999999998</v>
      </c>
      <c r="S1086" s="1">
        <v>0.14599999999999999</v>
      </c>
      <c r="T1086" s="1">
        <v>0.11</v>
      </c>
      <c r="U1086" s="1">
        <v>0.21299999999999999</v>
      </c>
      <c r="V1086" s="1">
        <v>146.27699999999999</v>
      </c>
      <c r="W1086">
        <v>4</v>
      </c>
    </row>
    <row r="1087" spans="1:23" x14ac:dyDescent="0.25">
      <c r="A1087" s="1" t="s">
        <v>15837</v>
      </c>
      <c r="B1087" s="1" t="s">
        <v>15838</v>
      </c>
      <c r="C1087" s="1" t="s">
        <v>4013</v>
      </c>
      <c r="D1087" s="1" t="s">
        <v>13670</v>
      </c>
      <c r="E1087" s="1" t="s">
        <v>4014</v>
      </c>
      <c r="F1087" s="1" t="s">
        <v>11524</v>
      </c>
      <c r="G1087">
        <v>264774</v>
      </c>
      <c r="H1087">
        <v>52</v>
      </c>
      <c r="I1087" s="1" t="s">
        <v>11063</v>
      </c>
      <c r="J1087" s="11">
        <v>44729.706458333334</v>
      </c>
      <c r="K1087" s="1" t="s">
        <v>4015</v>
      </c>
      <c r="L1087" s="1">
        <v>0.41299999999999998</v>
      </c>
      <c r="M1087" s="1">
        <v>0.53700000000000003</v>
      </c>
      <c r="N1087">
        <v>7</v>
      </c>
      <c r="O1087" s="1">
        <v>-4.9130000000000003</v>
      </c>
      <c r="P1087">
        <v>0</v>
      </c>
      <c r="Q1087" s="1">
        <v>0.311</v>
      </c>
      <c r="R1087" s="1">
        <v>0.316</v>
      </c>
      <c r="S1087" s="1">
        <v>0.45200000000000001</v>
      </c>
      <c r="T1087" s="1">
        <v>0.77100000000000002</v>
      </c>
      <c r="U1087" s="1">
        <v>0.11799999999999999</v>
      </c>
      <c r="V1087" s="1">
        <v>77.661000000000001</v>
      </c>
      <c r="W1087">
        <v>4</v>
      </c>
    </row>
    <row r="1088" spans="1:23" x14ac:dyDescent="0.25">
      <c r="A1088" s="1" t="s">
        <v>15839</v>
      </c>
      <c r="B1088" s="1" t="s">
        <v>11547</v>
      </c>
      <c r="C1088" s="1" t="s">
        <v>4016</v>
      </c>
      <c r="D1088" s="1" t="s">
        <v>15840</v>
      </c>
      <c r="E1088" s="1" t="s">
        <v>283</v>
      </c>
      <c r="F1088" s="1" t="s">
        <v>14357</v>
      </c>
      <c r="G1088">
        <v>258266</v>
      </c>
      <c r="H1088">
        <v>83</v>
      </c>
      <c r="I1088" s="1" t="s">
        <v>11063</v>
      </c>
      <c r="J1088" s="11">
        <v>44729.706458333334</v>
      </c>
      <c r="K1088" s="1" t="s">
        <v>284</v>
      </c>
      <c r="L1088" s="1">
        <v>0.49099999999999999</v>
      </c>
      <c r="M1088" s="1">
        <v>0.69299999999999995</v>
      </c>
      <c r="N1088">
        <v>0</v>
      </c>
      <c r="O1088" s="1">
        <v>-6.4870000000000001</v>
      </c>
      <c r="P1088">
        <v>0</v>
      </c>
      <c r="Q1088" s="1">
        <v>0.377</v>
      </c>
      <c r="R1088" s="1">
        <v>0.21099999999999999</v>
      </c>
      <c r="S1088" s="1">
        <v>0.69199999999999995</v>
      </c>
      <c r="T1088" s="1">
        <v>0.32500000000000001</v>
      </c>
      <c r="U1088" s="1">
        <v>0.41199999999999998</v>
      </c>
      <c r="V1088" s="1">
        <v>90.027000000000001</v>
      </c>
      <c r="W1088">
        <v>4</v>
      </c>
    </row>
    <row r="1089" spans="1:23" x14ac:dyDescent="0.25">
      <c r="A1089" s="1" t="s">
        <v>15841</v>
      </c>
      <c r="B1089" s="1" t="s">
        <v>11547</v>
      </c>
      <c r="C1089" s="1" t="s">
        <v>4017</v>
      </c>
      <c r="D1089" s="1" t="s">
        <v>15842</v>
      </c>
      <c r="E1089" s="1" t="s">
        <v>283</v>
      </c>
      <c r="F1089" s="1" t="s">
        <v>15843</v>
      </c>
      <c r="G1089">
        <v>295533</v>
      </c>
      <c r="H1089">
        <v>81</v>
      </c>
      <c r="I1089" s="1" t="s">
        <v>11063</v>
      </c>
      <c r="J1089" s="11">
        <v>44729.706458333334</v>
      </c>
      <c r="K1089" s="1" t="s">
        <v>284</v>
      </c>
      <c r="L1089" s="1">
        <v>0.20899999999999999</v>
      </c>
      <c r="M1089" s="1">
        <v>0.41699999999999998</v>
      </c>
      <c r="N1089">
        <v>3</v>
      </c>
      <c r="O1089" s="1">
        <v>-8.74</v>
      </c>
      <c r="P1089">
        <v>1</v>
      </c>
      <c r="Q1089" s="1">
        <v>0.33800000000000002</v>
      </c>
      <c r="R1089" s="1">
        <v>0.16400000000000001</v>
      </c>
      <c r="S1089" s="1">
        <v>0.19600000000000001</v>
      </c>
      <c r="T1089" s="1">
        <v>0.113</v>
      </c>
      <c r="U1089" s="1">
        <v>0.124</v>
      </c>
      <c r="V1089" s="1">
        <v>138.178</v>
      </c>
      <c r="W1089">
        <v>4</v>
      </c>
    </row>
    <row r="1090" spans="1:23" x14ac:dyDescent="0.25">
      <c r="A1090" s="1" t="s">
        <v>15844</v>
      </c>
      <c r="B1090" s="1" t="s">
        <v>11547</v>
      </c>
      <c r="C1090" s="1" t="s">
        <v>1221</v>
      </c>
      <c r="D1090" s="1" t="s">
        <v>15845</v>
      </c>
      <c r="E1090" s="1" t="s">
        <v>283</v>
      </c>
      <c r="F1090" s="1" t="s">
        <v>14452</v>
      </c>
      <c r="G1090">
        <v>278719</v>
      </c>
      <c r="H1090">
        <v>83</v>
      </c>
      <c r="I1090" s="1" t="s">
        <v>11063</v>
      </c>
      <c r="J1090" s="11">
        <v>44729.706458333334</v>
      </c>
      <c r="K1090" s="1" t="s">
        <v>284</v>
      </c>
      <c r="L1090" s="1">
        <v>0.44900000000000001</v>
      </c>
      <c r="M1090" s="1">
        <v>0.58499999999999996</v>
      </c>
      <c r="N1090">
        <v>5</v>
      </c>
      <c r="O1090" s="1">
        <v>-6.7610000000000001</v>
      </c>
      <c r="P1090">
        <v>1</v>
      </c>
      <c r="Q1090" s="1">
        <v>0.26800000000000002</v>
      </c>
      <c r="R1090" s="1">
        <v>0.50900000000000001</v>
      </c>
      <c r="S1090" s="1">
        <v>0.875</v>
      </c>
      <c r="T1090" s="1">
        <v>0.83299999999999996</v>
      </c>
      <c r="U1090" s="1">
        <v>0.21199999999999999</v>
      </c>
      <c r="V1090" s="1">
        <v>139.631</v>
      </c>
      <c r="W1090">
        <v>4</v>
      </c>
    </row>
    <row r="1091" spans="1:23" x14ac:dyDescent="0.25">
      <c r="A1091" s="1" t="s">
        <v>15846</v>
      </c>
      <c r="B1091" s="1" t="s">
        <v>11547</v>
      </c>
      <c r="C1091" s="1" t="s">
        <v>4018</v>
      </c>
      <c r="D1091" s="1" t="s">
        <v>1353</v>
      </c>
      <c r="E1091" s="1" t="s">
        <v>283</v>
      </c>
      <c r="F1091" s="1" t="s">
        <v>15847</v>
      </c>
      <c r="G1091">
        <v>267866</v>
      </c>
      <c r="H1091">
        <v>81</v>
      </c>
      <c r="I1091" s="1" t="s">
        <v>11063</v>
      </c>
      <c r="J1091" s="11">
        <v>44729.706458333334</v>
      </c>
      <c r="K1091" s="1" t="s">
        <v>284</v>
      </c>
      <c r="L1091" s="1">
        <v>0.54500000000000004</v>
      </c>
      <c r="M1091" s="1">
        <v>0.67500000000000004</v>
      </c>
      <c r="N1091">
        <v>6</v>
      </c>
      <c r="O1091" s="1">
        <v>-6.4740000000000002</v>
      </c>
      <c r="P1091">
        <v>1</v>
      </c>
      <c r="Q1091" s="1">
        <v>0.27900000000000003</v>
      </c>
      <c r="R1091" s="1">
        <v>0.61699999999999999</v>
      </c>
      <c r="S1091" s="1">
        <v>0.19700000000000001</v>
      </c>
      <c r="T1091" s="1">
        <v>0.20899999999999999</v>
      </c>
      <c r="U1091" s="1">
        <v>0.16200000000000001</v>
      </c>
      <c r="V1091" s="1">
        <v>124.97</v>
      </c>
      <c r="W1091">
        <v>4</v>
      </c>
    </row>
    <row r="1092" spans="1:23" x14ac:dyDescent="0.25">
      <c r="A1092" s="1" t="s">
        <v>15848</v>
      </c>
      <c r="B1092" s="1" t="s">
        <v>15849</v>
      </c>
      <c r="C1092" s="1" t="s">
        <v>4019</v>
      </c>
      <c r="D1092" s="1" t="s">
        <v>15850</v>
      </c>
      <c r="E1092" s="1" t="s">
        <v>4020</v>
      </c>
      <c r="F1092" s="1" t="s">
        <v>15851</v>
      </c>
      <c r="G1092">
        <v>247160</v>
      </c>
      <c r="H1092">
        <v>84</v>
      </c>
      <c r="I1092" s="1" t="s">
        <v>11063</v>
      </c>
      <c r="J1092" s="11">
        <v>44729.706458333334</v>
      </c>
      <c r="K1092" s="1" t="s">
        <v>4021</v>
      </c>
      <c r="L1092" s="1">
        <v>0.61699999999999999</v>
      </c>
      <c r="M1092" s="1">
        <v>0.63500000000000001</v>
      </c>
      <c r="N1092">
        <v>11</v>
      </c>
      <c r="O1092" s="1">
        <v>-6.7690000000000001</v>
      </c>
      <c r="P1092">
        <v>0</v>
      </c>
      <c r="Q1092" s="1">
        <v>0.317</v>
      </c>
      <c r="R1092" s="1">
        <v>0.498</v>
      </c>
      <c r="S1092" s="1">
        <v>0.14399999999999999</v>
      </c>
      <c r="T1092" s="1">
        <v>0.16400000000000001</v>
      </c>
      <c r="U1092" s="1">
        <v>0.44600000000000001</v>
      </c>
      <c r="V1092" s="1">
        <v>103.01900000000001</v>
      </c>
      <c r="W1092">
        <v>4</v>
      </c>
    </row>
    <row r="1093" spans="1:23" x14ac:dyDescent="0.25">
      <c r="A1093" s="1" t="s">
        <v>11546</v>
      </c>
      <c r="B1093" s="1" t="s">
        <v>11547</v>
      </c>
      <c r="C1093" s="1" t="s">
        <v>282</v>
      </c>
      <c r="D1093" s="1" t="s">
        <v>11548</v>
      </c>
      <c r="E1093" s="1" t="s">
        <v>283</v>
      </c>
      <c r="F1093" s="1" t="s">
        <v>11549</v>
      </c>
      <c r="G1093">
        <v>242373</v>
      </c>
      <c r="H1093">
        <v>81</v>
      </c>
      <c r="I1093" s="1" t="s">
        <v>11063</v>
      </c>
      <c r="J1093" s="11">
        <v>44729.706458333334</v>
      </c>
      <c r="K1093" s="1" t="s">
        <v>284</v>
      </c>
      <c r="L1093" s="1">
        <v>0.48599999999999999</v>
      </c>
      <c r="M1093" s="1">
        <v>0.61699999999999999</v>
      </c>
      <c r="N1093">
        <v>5</v>
      </c>
      <c r="O1093" s="1">
        <v>-7.1150000000000002</v>
      </c>
      <c r="P1093">
        <v>0</v>
      </c>
      <c r="Q1093" s="1">
        <v>0.28699999999999998</v>
      </c>
      <c r="R1093" s="1">
        <v>0.95399999999999996</v>
      </c>
      <c r="S1093" s="1">
        <v>0.32300000000000001</v>
      </c>
      <c r="T1093" s="1">
        <v>0.109</v>
      </c>
      <c r="U1093" s="1">
        <v>0.41699999999999998</v>
      </c>
      <c r="V1093" s="1">
        <v>138.01499999999999</v>
      </c>
      <c r="W1093">
        <v>4</v>
      </c>
    </row>
    <row r="1094" spans="1:23" x14ac:dyDescent="0.25">
      <c r="A1094" s="1" t="s">
        <v>15852</v>
      </c>
      <c r="B1094" s="1" t="s">
        <v>15853</v>
      </c>
      <c r="C1094" s="1" t="s">
        <v>4022</v>
      </c>
      <c r="D1094" s="1" t="s">
        <v>4022</v>
      </c>
      <c r="E1094" s="1" t="s">
        <v>4023</v>
      </c>
      <c r="F1094" s="1" t="s">
        <v>13590</v>
      </c>
      <c r="G1094">
        <v>207000</v>
      </c>
      <c r="H1094">
        <v>27</v>
      </c>
      <c r="I1094" s="1" t="s">
        <v>11063</v>
      </c>
      <c r="J1094" s="11">
        <v>44729.706458333334</v>
      </c>
      <c r="K1094" s="1" t="s">
        <v>4024</v>
      </c>
      <c r="L1094" s="1">
        <v>0.56799999999999995</v>
      </c>
      <c r="M1094" s="1">
        <v>0.69399999999999995</v>
      </c>
      <c r="N1094">
        <v>5</v>
      </c>
      <c r="O1094" s="1">
        <v>-6.359</v>
      </c>
      <c r="P1094">
        <v>1</v>
      </c>
      <c r="Q1094" s="1">
        <v>0.81499999999999995</v>
      </c>
      <c r="R1094" s="1">
        <v>0.80700000000000005</v>
      </c>
      <c r="S1094" s="1">
        <v>0.53100000000000003</v>
      </c>
      <c r="T1094" s="1">
        <v>0.84199999999999997</v>
      </c>
      <c r="U1094" s="1">
        <v>0.31</v>
      </c>
      <c r="V1094" s="1">
        <v>160.06399999999999</v>
      </c>
      <c r="W1094">
        <v>4</v>
      </c>
    </row>
    <row r="1095" spans="1:23" x14ac:dyDescent="0.25">
      <c r="A1095" s="1" t="s">
        <v>15854</v>
      </c>
      <c r="B1095" s="1" t="s">
        <v>15855</v>
      </c>
      <c r="C1095" s="1" t="s">
        <v>4025</v>
      </c>
      <c r="D1095" s="1" t="s">
        <v>4025</v>
      </c>
      <c r="E1095" s="1" t="s">
        <v>4026</v>
      </c>
      <c r="F1095" s="1" t="s">
        <v>15856</v>
      </c>
      <c r="G1095">
        <v>207272</v>
      </c>
      <c r="H1095">
        <v>45</v>
      </c>
      <c r="I1095" s="1" t="s">
        <v>11063</v>
      </c>
      <c r="J1095" s="11">
        <v>44729.706458333334</v>
      </c>
      <c r="K1095" s="1" t="s">
        <v>933</v>
      </c>
      <c r="L1095" s="1">
        <v>0.52300000000000002</v>
      </c>
      <c r="M1095" s="1">
        <v>0.86699999999999999</v>
      </c>
      <c r="N1095">
        <v>2</v>
      </c>
      <c r="O1095" s="1">
        <v>-2.4409999999999998</v>
      </c>
      <c r="P1095">
        <v>1</v>
      </c>
      <c r="Q1095" s="1">
        <v>0.43</v>
      </c>
      <c r="R1095" s="1">
        <v>0.4</v>
      </c>
      <c r="S1095" s="1">
        <v>0.41599999999999998</v>
      </c>
      <c r="T1095" s="1">
        <v>0.37</v>
      </c>
      <c r="U1095" s="1">
        <v>0.13600000000000001</v>
      </c>
      <c r="V1095" s="1">
        <v>142.917</v>
      </c>
      <c r="W1095">
        <v>4</v>
      </c>
    </row>
    <row r="1096" spans="1:23" x14ac:dyDescent="0.25">
      <c r="A1096" s="1" t="s">
        <v>15857</v>
      </c>
      <c r="B1096" s="1" t="s">
        <v>15858</v>
      </c>
      <c r="C1096" s="1" t="s">
        <v>4027</v>
      </c>
      <c r="D1096" s="1" t="s">
        <v>4027</v>
      </c>
      <c r="E1096" s="1" t="s">
        <v>4028</v>
      </c>
      <c r="F1096" s="1" t="s">
        <v>15859</v>
      </c>
      <c r="G1096">
        <v>190455</v>
      </c>
      <c r="H1096">
        <v>31</v>
      </c>
      <c r="I1096" s="1" t="s">
        <v>11063</v>
      </c>
      <c r="J1096" s="11">
        <v>44729.706458333334</v>
      </c>
      <c r="K1096" s="1" t="s">
        <v>50</v>
      </c>
      <c r="L1096" s="1">
        <v>0.65800000000000003</v>
      </c>
      <c r="M1096" s="1">
        <v>0.65600000000000003</v>
      </c>
      <c r="N1096">
        <v>10</v>
      </c>
      <c r="O1096" s="1">
        <v>-1.6519999999999999</v>
      </c>
      <c r="P1096">
        <v>0</v>
      </c>
      <c r="Q1096" s="1">
        <v>0.13400000000000001</v>
      </c>
      <c r="R1096" s="1">
        <v>0.84599999999999997</v>
      </c>
      <c r="S1096" s="1">
        <v>0</v>
      </c>
      <c r="T1096" s="1">
        <v>0.68899999999999995</v>
      </c>
      <c r="U1096" s="1">
        <v>0.78600000000000003</v>
      </c>
      <c r="V1096" s="1">
        <v>85.94</v>
      </c>
      <c r="W1096">
        <v>4</v>
      </c>
    </row>
    <row r="1097" spans="1:23" x14ac:dyDescent="0.25">
      <c r="A1097" s="1" t="s">
        <v>15860</v>
      </c>
      <c r="B1097" s="1" t="s">
        <v>14083</v>
      </c>
      <c r="C1097" s="1" t="s">
        <v>4029</v>
      </c>
      <c r="D1097" s="1" t="s">
        <v>14087</v>
      </c>
      <c r="E1097" s="1" t="s">
        <v>2471</v>
      </c>
      <c r="F1097" s="1" t="s">
        <v>14088</v>
      </c>
      <c r="G1097">
        <v>191578</v>
      </c>
      <c r="H1097">
        <v>46</v>
      </c>
      <c r="I1097" s="1" t="s">
        <v>11063</v>
      </c>
      <c r="J1097" s="11">
        <v>44729.706458333334</v>
      </c>
      <c r="K1097" s="1" t="s">
        <v>2405</v>
      </c>
      <c r="L1097" s="1">
        <v>0.36899999999999999</v>
      </c>
      <c r="M1097" s="1">
        <v>0.89100000000000001</v>
      </c>
      <c r="N1097">
        <v>1</v>
      </c>
      <c r="O1097" s="1">
        <v>-3.823</v>
      </c>
      <c r="P1097">
        <v>0</v>
      </c>
      <c r="Q1097" s="1">
        <v>0.27700000000000002</v>
      </c>
      <c r="R1097" s="1">
        <v>0.10100000000000001</v>
      </c>
      <c r="S1097" s="1">
        <v>0</v>
      </c>
      <c r="T1097" s="1">
        <v>0.107</v>
      </c>
      <c r="U1097" s="1">
        <v>0.40500000000000003</v>
      </c>
      <c r="V1097" s="1">
        <v>113.995</v>
      </c>
      <c r="W1097">
        <v>4</v>
      </c>
    </row>
    <row r="1098" spans="1:23" x14ac:dyDescent="0.25">
      <c r="A1098" s="1" t="s">
        <v>15861</v>
      </c>
      <c r="B1098" s="1" t="s">
        <v>15862</v>
      </c>
      <c r="C1098" s="1" t="s">
        <v>4030</v>
      </c>
      <c r="D1098" s="1" t="s">
        <v>15863</v>
      </c>
      <c r="E1098" s="1" t="s">
        <v>4031</v>
      </c>
      <c r="F1098" s="1" t="s">
        <v>15864</v>
      </c>
      <c r="G1098">
        <v>186945</v>
      </c>
      <c r="H1098">
        <v>64</v>
      </c>
      <c r="I1098" s="1" t="s">
        <v>11063</v>
      </c>
      <c r="J1098" s="11">
        <v>44729.706458333334</v>
      </c>
      <c r="K1098" s="1" t="s">
        <v>4032</v>
      </c>
      <c r="L1098" s="1">
        <v>0.54400000000000004</v>
      </c>
      <c r="M1098" s="1">
        <v>0.74199999999999999</v>
      </c>
      <c r="N1098">
        <v>8</v>
      </c>
      <c r="O1098" s="1">
        <v>-5.117</v>
      </c>
      <c r="P1098">
        <v>1</v>
      </c>
      <c r="Q1098" s="1">
        <v>0.28299999999999997</v>
      </c>
      <c r="R1098" s="1">
        <v>0.63300000000000001</v>
      </c>
      <c r="S1098" s="1">
        <v>0.39200000000000002</v>
      </c>
      <c r="T1098" s="1">
        <v>0.20699999999999999</v>
      </c>
      <c r="U1098" s="1">
        <v>0.65900000000000003</v>
      </c>
      <c r="V1098" s="1">
        <v>96.012</v>
      </c>
      <c r="W1098">
        <v>4</v>
      </c>
    </row>
    <row r="1099" spans="1:23" x14ac:dyDescent="0.25">
      <c r="A1099" s="1" t="s">
        <v>15865</v>
      </c>
      <c r="B1099" s="1" t="s">
        <v>15866</v>
      </c>
      <c r="C1099" s="1" t="s">
        <v>4033</v>
      </c>
      <c r="D1099" s="1" t="s">
        <v>15867</v>
      </c>
      <c r="E1099" s="1" t="s">
        <v>4034</v>
      </c>
      <c r="F1099" s="1" t="s">
        <v>15868</v>
      </c>
      <c r="G1099">
        <v>218360</v>
      </c>
      <c r="H1099">
        <v>42</v>
      </c>
      <c r="I1099" s="1" t="s">
        <v>11063</v>
      </c>
      <c r="J1099" s="11">
        <v>44729.706458333334</v>
      </c>
      <c r="K1099" s="1" t="s">
        <v>3233</v>
      </c>
      <c r="L1099" s="1">
        <v>0.56499999999999995</v>
      </c>
      <c r="M1099" s="1">
        <v>0.82499999999999996</v>
      </c>
      <c r="N1099">
        <v>8</v>
      </c>
      <c r="O1099" s="1">
        <v>-5.5339999999999998</v>
      </c>
      <c r="P1099">
        <v>0</v>
      </c>
      <c r="Q1099" s="1">
        <v>0.70499999999999996</v>
      </c>
      <c r="R1099" s="1">
        <v>0.17599999999999999</v>
      </c>
      <c r="S1099" s="1">
        <v>0.42099999999999999</v>
      </c>
      <c r="T1099" s="1">
        <v>0.16900000000000001</v>
      </c>
      <c r="U1099" s="1">
        <v>0.41599999999999998</v>
      </c>
      <c r="V1099" s="1">
        <v>121.98</v>
      </c>
      <c r="W1099">
        <v>4</v>
      </c>
    </row>
    <row r="1100" spans="1:23" x14ac:dyDescent="0.25">
      <c r="A1100" s="1" t="s">
        <v>15869</v>
      </c>
      <c r="B1100" s="1" t="s">
        <v>15870</v>
      </c>
      <c r="C1100" s="1" t="s">
        <v>4035</v>
      </c>
      <c r="D1100" s="1" t="s">
        <v>15871</v>
      </c>
      <c r="E1100" s="1" t="s">
        <v>4036</v>
      </c>
      <c r="F1100" s="1" t="s">
        <v>15872</v>
      </c>
      <c r="G1100">
        <v>242182</v>
      </c>
      <c r="H1100">
        <v>61</v>
      </c>
      <c r="I1100" s="1" t="s">
        <v>11063</v>
      </c>
      <c r="J1100" s="11">
        <v>44729.706458333334</v>
      </c>
      <c r="K1100" s="1" t="s">
        <v>4037</v>
      </c>
      <c r="L1100" s="1">
        <v>0.60799999999999998</v>
      </c>
      <c r="M1100" s="1">
        <v>0.749</v>
      </c>
      <c r="N1100">
        <v>0</v>
      </c>
      <c r="O1100" s="1">
        <v>-4.6050000000000004</v>
      </c>
      <c r="P1100">
        <v>1</v>
      </c>
      <c r="Q1100" s="1">
        <v>0.53600000000000003</v>
      </c>
      <c r="R1100" s="1">
        <v>0.745</v>
      </c>
      <c r="S1100" s="1">
        <v>0.29699999999999999</v>
      </c>
      <c r="T1100" s="1">
        <v>0.36599999999999999</v>
      </c>
      <c r="U1100" s="1">
        <v>0.82099999999999995</v>
      </c>
      <c r="V1100" s="1">
        <v>180.01400000000001</v>
      </c>
      <c r="W1100">
        <v>4</v>
      </c>
    </row>
    <row r="1101" spans="1:23" x14ac:dyDescent="0.25">
      <c r="A1101" s="1" t="s">
        <v>15873</v>
      </c>
      <c r="B1101" s="1" t="s">
        <v>15769</v>
      </c>
      <c r="C1101" s="1" t="s">
        <v>4038</v>
      </c>
      <c r="D1101" s="1" t="s">
        <v>3955</v>
      </c>
      <c r="E1101" s="1" t="s">
        <v>3956</v>
      </c>
      <c r="F1101" s="1" t="s">
        <v>13773</v>
      </c>
      <c r="G1101">
        <v>169266</v>
      </c>
      <c r="H1101">
        <v>56</v>
      </c>
      <c r="I1101" s="1" t="s">
        <v>11063</v>
      </c>
      <c r="J1101" s="11">
        <v>44729.706458333334</v>
      </c>
      <c r="K1101" s="1" t="s">
        <v>3957</v>
      </c>
      <c r="L1101" s="1">
        <v>0.70399999999999996</v>
      </c>
      <c r="M1101" s="1">
        <v>0.66900000000000004</v>
      </c>
      <c r="N1101">
        <v>0</v>
      </c>
      <c r="O1101" s="1">
        <v>-5.6909999999999998</v>
      </c>
      <c r="P1101">
        <v>1</v>
      </c>
      <c r="Q1101" s="1">
        <v>0.309</v>
      </c>
      <c r="R1101" s="1">
        <v>0.86199999999999999</v>
      </c>
      <c r="S1101" s="1">
        <v>0.34799999999999998</v>
      </c>
      <c r="T1101" s="1">
        <v>0.108</v>
      </c>
      <c r="U1101" s="1">
        <v>0.30499999999999999</v>
      </c>
      <c r="V1101" s="1">
        <v>121.005</v>
      </c>
      <c r="W1101">
        <v>4</v>
      </c>
    </row>
    <row r="1102" spans="1:23" x14ac:dyDescent="0.25">
      <c r="A1102" s="1" t="s">
        <v>15874</v>
      </c>
      <c r="B1102" s="1" t="s">
        <v>15875</v>
      </c>
      <c r="C1102" s="1" t="s">
        <v>4039</v>
      </c>
      <c r="D1102" s="1" t="s">
        <v>4039</v>
      </c>
      <c r="E1102" s="1" t="s">
        <v>4040</v>
      </c>
      <c r="F1102" s="1" t="s">
        <v>15868</v>
      </c>
      <c r="G1102">
        <v>180426</v>
      </c>
      <c r="H1102">
        <v>60</v>
      </c>
      <c r="I1102" s="1" t="s">
        <v>11063</v>
      </c>
      <c r="J1102" s="11">
        <v>44729.706458333334</v>
      </c>
      <c r="K1102" s="1" t="s">
        <v>4041</v>
      </c>
      <c r="L1102" s="1">
        <v>0.70399999999999996</v>
      </c>
      <c r="M1102" s="1">
        <v>0.86</v>
      </c>
      <c r="N1102">
        <v>10</v>
      </c>
      <c r="O1102" s="1">
        <v>-5.3159999999999998</v>
      </c>
      <c r="P1102">
        <v>1</v>
      </c>
      <c r="Q1102" s="1">
        <v>0.13</v>
      </c>
      <c r="R1102" s="1">
        <v>0.36399999999999999</v>
      </c>
      <c r="S1102" s="1">
        <v>0.23899999999999999</v>
      </c>
      <c r="T1102" s="1">
        <v>0.48599999999999999</v>
      </c>
      <c r="U1102" s="1">
        <v>0.51200000000000001</v>
      </c>
      <c r="V1102" s="1">
        <v>100.099</v>
      </c>
      <c r="W1102">
        <v>4</v>
      </c>
    </row>
    <row r="1103" spans="1:23" x14ac:dyDescent="0.25">
      <c r="A1103" s="1" t="s">
        <v>11550</v>
      </c>
      <c r="B1103" s="1" t="s">
        <v>11551</v>
      </c>
      <c r="C1103" s="1" t="s">
        <v>4042</v>
      </c>
      <c r="D1103" s="1" t="s">
        <v>4042</v>
      </c>
      <c r="E1103" s="1" t="s">
        <v>285</v>
      </c>
      <c r="F1103" s="1" t="s">
        <v>11552</v>
      </c>
      <c r="G1103">
        <v>169500</v>
      </c>
      <c r="H1103">
        <v>61</v>
      </c>
      <c r="I1103" s="1" t="s">
        <v>11063</v>
      </c>
      <c r="J1103" s="11">
        <v>44729.706458333334</v>
      </c>
      <c r="K1103" s="1" t="s">
        <v>286</v>
      </c>
      <c r="L1103" s="1">
        <v>0.623</v>
      </c>
      <c r="M1103" s="1">
        <v>0.88900000000000001</v>
      </c>
      <c r="N1103">
        <v>7</v>
      </c>
      <c r="O1103" s="1">
        <v>-2.169</v>
      </c>
      <c r="P1103">
        <v>1</v>
      </c>
      <c r="Q1103" s="1">
        <v>0.36699999999999999</v>
      </c>
      <c r="R1103" s="1">
        <v>0.93899999999999995</v>
      </c>
      <c r="S1103" s="1">
        <v>0</v>
      </c>
      <c r="T1103" s="1">
        <v>0.35799999999999998</v>
      </c>
      <c r="U1103" s="1">
        <v>0.46600000000000003</v>
      </c>
      <c r="V1103" s="1">
        <v>149.93100000000001</v>
      </c>
      <c r="W1103">
        <v>4</v>
      </c>
    </row>
    <row r="1104" spans="1:23" x14ac:dyDescent="0.25">
      <c r="A1104" s="1" t="s">
        <v>11553</v>
      </c>
      <c r="B1104" s="1" t="s">
        <v>11554</v>
      </c>
      <c r="C1104" s="1" t="s">
        <v>4043</v>
      </c>
      <c r="D1104" s="1" t="s">
        <v>11555</v>
      </c>
      <c r="E1104" s="1" t="s">
        <v>287</v>
      </c>
      <c r="F1104" s="1" t="s">
        <v>11408</v>
      </c>
      <c r="G1104">
        <v>162802</v>
      </c>
      <c r="H1104">
        <v>82</v>
      </c>
      <c r="I1104" s="1" t="s">
        <v>11063</v>
      </c>
      <c r="J1104" s="11">
        <v>44729.706458333334</v>
      </c>
      <c r="K1104" s="1" t="s">
        <v>288</v>
      </c>
      <c r="L1104" s="1">
        <v>0.84099999999999997</v>
      </c>
      <c r="M1104" s="1">
        <v>0.59299999999999997</v>
      </c>
      <c r="N1104">
        <v>1</v>
      </c>
      <c r="O1104" s="1">
        <v>-7.8460000000000001</v>
      </c>
      <c r="P1104">
        <v>1</v>
      </c>
      <c r="Q1104" s="1">
        <v>0.379</v>
      </c>
      <c r="R1104" s="1">
        <v>0.41799999999999998</v>
      </c>
      <c r="S1104" s="1">
        <v>0</v>
      </c>
      <c r="T1104" s="1">
        <v>0.124</v>
      </c>
      <c r="U1104" s="1">
        <v>0.80800000000000005</v>
      </c>
      <c r="V1104" s="1">
        <v>124.917</v>
      </c>
      <c r="W1104">
        <v>4</v>
      </c>
    </row>
    <row r="1105" spans="1:23" x14ac:dyDescent="0.25">
      <c r="A1105" s="1" t="s">
        <v>11556</v>
      </c>
      <c r="B1105" s="1" t="s">
        <v>11557</v>
      </c>
      <c r="C1105" s="1" t="s">
        <v>4044</v>
      </c>
      <c r="D1105" s="1" t="s">
        <v>4044</v>
      </c>
      <c r="E1105" s="1" t="s">
        <v>289</v>
      </c>
      <c r="F1105" s="1" t="s">
        <v>11552</v>
      </c>
      <c r="G1105">
        <v>189671</v>
      </c>
      <c r="H1105">
        <v>76</v>
      </c>
      <c r="I1105" s="1" t="s">
        <v>11063</v>
      </c>
      <c r="J1105" s="11">
        <v>44729.706458333334</v>
      </c>
      <c r="K1105" s="1" t="s">
        <v>290</v>
      </c>
      <c r="L1105" s="1">
        <v>0.73299999999999998</v>
      </c>
      <c r="M1105" s="1">
        <v>0.96</v>
      </c>
      <c r="N1105">
        <v>7</v>
      </c>
      <c r="O1105" s="1">
        <v>-3.597</v>
      </c>
      <c r="P1105">
        <v>1</v>
      </c>
      <c r="Q1105" s="1">
        <v>0.29499999999999998</v>
      </c>
      <c r="R1105" s="1">
        <v>0.51400000000000001</v>
      </c>
      <c r="S1105" s="1">
        <v>0.19900000000000001</v>
      </c>
      <c r="T1105" s="1">
        <v>0.28699999999999998</v>
      </c>
      <c r="U1105" s="1">
        <v>0.81100000000000005</v>
      </c>
      <c r="V1105" s="1">
        <v>124.01</v>
      </c>
      <c r="W1105">
        <v>4</v>
      </c>
    </row>
    <row r="1106" spans="1:23" x14ac:dyDescent="0.25">
      <c r="A1106" s="1" t="s">
        <v>12606</v>
      </c>
      <c r="B1106" s="1" t="s">
        <v>12607</v>
      </c>
      <c r="C1106" s="1" t="s">
        <v>1668</v>
      </c>
      <c r="D1106" s="1" t="s">
        <v>1668</v>
      </c>
      <c r="E1106" s="1" t="s">
        <v>1669</v>
      </c>
      <c r="F1106" s="1" t="s">
        <v>15831</v>
      </c>
      <c r="G1106">
        <v>139563</v>
      </c>
      <c r="H1106">
        <v>77</v>
      </c>
      <c r="I1106" s="1" t="s">
        <v>11063</v>
      </c>
      <c r="J1106" s="11">
        <v>44729.706458333334</v>
      </c>
      <c r="K1106" s="1" t="s">
        <v>1540</v>
      </c>
      <c r="L1106" s="1">
        <v>0.73399999999999999</v>
      </c>
      <c r="M1106" s="1">
        <v>0.85499999999999998</v>
      </c>
      <c r="N1106">
        <v>6</v>
      </c>
      <c r="O1106" s="1">
        <v>-4.5780000000000003</v>
      </c>
      <c r="P1106">
        <v>0</v>
      </c>
      <c r="Q1106" s="1">
        <v>0.13500000000000001</v>
      </c>
      <c r="R1106" s="1">
        <v>0.82099999999999995</v>
      </c>
      <c r="S1106" s="1">
        <v>0.47299999999999998</v>
      </c>
      <c r="T1106" s="1">
        <v>0.90100000000000002</v>
      </c>
      <c r="U1106" s="1">
        <v>0.54</v>
      </c>
      <c r="V1106" s="1">
        <v>121.955</v>
      </c>
      <c r="W1106">
        <v>4</v>
      </c>
    </row>
    <row r="1107" spans="1:23" x14ac:dyDescent="0.25">
      <c r="A1107" s="1" t="s">
        <v>15876</v>
      </c>
      <c r="B1107" s="1" t="s">
        <v>15877</v>
      </c>
      <c r="C1107" s="1" t="s">
        <v>4045</v>
      </c>
      <c r="D1107" s="1" t="s">
        <v>4045</v>
      </c>
      <c r="E1107" s="1" t="s">
        <v>4046</v>
      </c>
      <c r="F1107" s="1" t="s">
        <v>11408</v>
      </c>
      <c r="G1107">
        <v>150052</v>
      </c>
      <c r="H1107">
        <v>80</v>
      </c>
      <c r="I1107" s="1" t="s">
        <v>11063</v>
      </c>
      <c r="J1107" s="11">
        <v>44729.706458333334</v>
      </c>
      <c r="K1107" s="1" t="s">
        <v>4047</v>
      </c>
      <c r="L1107" s="1">
        <v>0.66900000000000004</v>
      </c>
      <c r="M1107" s="1">
        <v>0.78400000000000003</v>
      </c>
      <c r="N1107">
        <v>7</v>
      </c>
      <c r="O1107" s="1">
        <v>-5.6029999999999998</v>
      </c>
      <c r="P1107">
        <v>1</v>
      </c>
      <c r="Q1107" s="1">
        <v>0.112</v>
      </c>
      <c r="R1107" s="1">
        <v>0.19400000000000001</v>
      </c>
      <c r="S1107" s="1">
        <v>0.628</v>
      </c>
      <c r="T1107" s="1">
        <v>0.115</v>
      </c>
      <c r="U1107" s="1">
        <v>0.51700000000000002</v>
      </c>
      <c r="V1107" s="1">
        <v>125.99299999999999</v>
      </c>
      <c r="W1107">
        <v>4</v>
      </c>
    </row>
    <row r="1108" spans="1:23" x14ac:dyDescent="0.25">
      <c r="A1108" s="1" t="s">
        <v>15878</v>
      </c>
      <c r="B1108" s="1" t="s">
        <v>15879</v>
      </c>
      <c r="C1108" s="1" t="s">
        <v>3424</v>
      </c>
      <c r="D1108" s="1" t="s">
        <v>3424</v>
      </c>
      <c r="E1108" s="1" t="s">
        <v>4048</v>
      </c>
      <c r="F1108" s="1" t="s">
        <v>13767</v>
      </c>
      <c r="G1108">
        <v>138819</v>
      </c>
      <c r="H1108">
        <v>41</v>
      </c>
      <c r="I1108" s="1" t="s">
        <v>11063</v>
      </c>
      <c r="J1108" s="11">
        <v>44729.706458333334</v>
      </c>
      <c r="K1108" s="1" t="s">
        <v>4049</v>
      </c>
      <c r="L1108" s="1">
        <v>0.76700000000000002</v>
      </c>
      <c r="M1108" s="1">
        <v>0.81599999999999995</v>
      </c>
      <c r="N1108">
        <v>7</v>
      </c>
      <c r="O1108" s="1">
        <v>-4.25</v>
      </c>
      <c r="P1108">
        <v>1</v>
      </c>
      <c r="Q1108" s="1">
        <v>0.35</v>
      </c>
      <c r="R1108" s="1">
        <v>0.23899999999999999</v>
      </c>
      <c r="S1108" s="1">
        <v>0.26800000000000002</v>
      </c>
      <c r="T1108" s="1">
        <v>0.157</v>
      </c>
      <c r="U1108" s="1">
        <v>0.434</v>
      </c>
      <c r="V1108" s="1">
        <v>125.03100000000001</v>
      </c>
      <c r="W1108">
        <v>4</v>
      </c>
    </row>
    <row r="1109" spans="1:23" x14ac:dyDescent="0.25">
      <c r="A1109" s="1" t="s">
        <v>11558</v>
      </c>
      <c r="B1109" s="1" t="s">
        <v>11559</v>
      </c>
      <c r="C1109" s="1" t="s">
        <v>291</v>
      </c>
      <c r="D1109" s="1" t="s">
        <v>291</v>
      </c>
      <c r="E1109" s="1" t="s">
        <v>292</v>
      </c>
      <c r="F1109" s="1" t="s">
        <v>11560</v>
      </c>
      <c r="G1109">
        <v>133000</v>
      </c>
      <c r="H1109">
        <v>1</v>
      </c>
      <c r="I1109" s="1" t="s">
        <v>11063</v>
      </c>
      <c r="J1109" s="11">
        <v>44729.706458333334</v>
      </c>
      <c r="K1109" s="1" t="s">
        <v>293</v>
      </c>
      <c r="L1109" s="1">
        <v>0.78400000000000003</v>
      </c>
      <c r="M1109" s="1">
        <v>0.80200000000000005</v>
      </c>
      <c r="N1109">
        <v>4</v>
      </c>
      <c r="O1109" s="1">
        <v>-3.673</v>
      </c>
      <c r="P1109">
        <v>0</v>
      </c>
      <c r="Q1109" s="1">
        <v>0.66600000000000004</v>
      </c>
      <c r="R1109" s="1">
        <v>0.214</v>
      </c>
      <c r="S1109" s="1">
        <v>0.23</v>
      </c>
      <c r="T1109" s="1">
        <v>0.44500000000000001</v>
      </c>
      <c r="U1109" s="1">
        <v>0.52200000000000002</v>
      </c>
      <c r="V1109" s="1">
        <v>124.941</v>
      </c>
      <c r="W1109">
        <v>4</v>
      </c>
    </row>
    <row r="1110" spans="1:23" x14ac:dyDescent="0.25">
      <c r="A1110" s="1" t="s">
        <v>15880</v>
      </c>
      <c r="B1110" s="1" t="s">
        <v>15881</v>
      </c>
      <c r="C1110" s="1" t="s">
        <v>4050</v>
      </c>
      <c r="D1110" s="1" t="s">
        <v>15882</v>
      </c>
      <c r="E1110" s="1" t="s">
        <v>4051</v>
      </c>
      <c r="F1110" s="1" t="s">
        <v>13549</v>
      </c>
      <c r="G1110">
        <v>138573</v>
      </c>
      <c r="H1110">
        <v>68</v>
      </c>
      <c r="I1110" s="1" t="s">
        <v>11063</v>
      </c>
      <c r="J1110" s="11">
        <v>44729.706458333334</v>
      </c>
      <c r="K1110" s="1" t="s">
        <v>4052</v>
      </c>
      <c r="L1110" s="1">
        <v>0.47299999999999998</v>
      </c>
      <c r="M1110" s="1">
        <v>0.59199999999999997</v>
      </c>
      <c r="N1110">
        <v>5</v>
      </c>
      <c r="O1110" s="1">
        <v>-6.859</v>
      </c>
      <c r="P1110">
        <v>1</v>
      </c>
      <c r="Q1110" s="1">
        <v>0.13800000000000001</v>
      </c>
      <c r="R1110" s="1">
        <v>0.52800000000000002</v>
      </c>
      <c r="S1110" s="1">
        <v>0</v>
      </c>
      <c r="T1110" s="1">
        <v>0.13100000000000001</v>
      </c>
      <c r="U1110" s="1">
        <v>0.29199999999999998</v>
      </c>
      <c r="V1110" s="1">
        <v>159.69999999999999</v>
      </c>
      <c r="W1110">
        <v>4</v>
      </c>
    </row>
    <row r="1111" spans="1:23" x14ac:dyDescent="0.25">
      <c r="A1111" s="1" t="s">
        <v>15883</v>
      </c>
      <c r="B1111" s="1" t="s">
        <v>15884</v>
      </c>
      <c r="C1111" s="1" t="s">
        <v>4053</v>
      </c>
      <c r="D1111" s="1" t="s">
        <v>15885</v>
      </c>
      <c r="E1111" s="1" t="s">
        <v>4054</v>
      </c>
      <c r="F1111" s="1" t="s">
        <v>15886</v>
      </c>
      <c r="G1111">
        <v>176786</v>
      </c>
      <c r="H1111">
        <v>65</v>
      </c>
      <c r="I1111" s="1" t="s">
        <v>11063</v>
      </c>
      <c r="J1111" s="11">
        <v>44729.706458333334</v>
      </c>
      <c r="K1111" s="1" t="s">
        <v>4055</v>
      </c>
      <c r="L1111" s="1">
        <v>0.63700000000000001</v>
      </c>
      <c r="M1111" s="1">
        <v>0.72399999999999998</v>
      </c>
      <c r="N1111">
        <v>6</v>
      </c>
      <c r="O1111" s="1">
        <v>-5.1509999999999998</v>
      </c>
      <c r="P1111">
        <v>0</v>
      </c>
      <c r="Q1111" s="1">
        <v>0.40300000000000002</v>
      </c>
      <c r="R1111" s="1">
        <v>0.11899999999999999</v>
      </c>
      <c r="S1111" s="1">
        <v>0</v>
      </c>
      <c r="T1111" s="1">
        <v>0.29899999999999999</v>
      </c>
      <c r="U1111" s="1">
        <v>0.41399999999999998</v>
      </c>
      <c r="V1111" s="1">
        <v>80.981999999999999</v>
      </c>
      <c r="W1111">
        <v>4</v>
      </c>
    </row>
    <row r="1112" spans="1:23" x14ac:dyDescent="0.25">
      <c r="A1112" s="1" t="s">
        <v>15887</v>
      </c>
      <c r="B1112" s="1" t="s">
        <v>15888</v>
      </c>
      <c r="C1112" s="1" t="s">
        <v>4056</v>
      </c>
      <c r="D1112" s="1" t="s">
        <v>4101</v>
      </c>
      <c r="E1112" s="1" t="s">
        <v>4057</v>
      </c>
      <c r="F1112" s="1" t="s">
        <v>15282</v>
      </c>
      <c r="G1112">
        <v>331466</v>
      </c>
      <c r="H1112">
        <v>51</v>
      </c>
      <c r="I1112" s="1" t="s">
        <v>11063</v>
      </c>
      <c r="J1112" s="11">
        <v>44729.706458333334</v>
      </c>
      <c r="K1112" s="1" t="s">
        <v>4058</v>
      </c>
      <c r="L1112" s="1">
        <v>0.41699999999999998</v>
      </c>
      <c r="M1112" s="1">
        <v>0.56200000000000006</v>
      </c>
      <c r="N1112">
        <v>2</v>
      </c>
      <c r="O1112" s="1">
        <v>-6.5629999999999997</v>
      </c>
      <c r="P1112">
        <v>1</v>
      </c>
      <c r="Q1112" s="1">
        <v>0.32700000000000001</v>
      </c>
      <c r="R1112" s="1">
        <v>0.55500000000000005</v>
      </c>
      <c r="S1112" s="1">
        <v>0</v>
      </c>
      <c r="T1112" s="1">
        <v>0.10299999999999999</v>
      </c>
      <c r="U1112" s="1">
        <v>0.41099999999999998</v>
      </c>
      <c r="V1112" s="1">
        <v>173.86799999999999</v>
      </c>
      <c r="W1112">
        <v>4</v>
      </c>
    </row>
    <row r="1113" spans="1:23" x14ac:dyDescent="0.25">
      <c r="A1113" s="1" t="s">
        <v>15889</v>
      </c>
      <c r="B1113" s="1" t="s">
        <v>15890</v>
      </c>
      <c r="C1113" s="1" t="s">
        <v>4059</v>
      </c>
      <c r="D1113" s="1" t="s">
        <v>13670</v>
      </c>
      <c r="E1113" s="1" t="s">
        <v>4060</v>
      </c>
      <c r="F1113" s="1" t="s">
        <v>11524</v>
      </c>
      <c r="G1113">
        <v>230571</v>
      </c>
      <c r="H1113">
        <v>59</v>
      </c>
      <c r="I1113" s="1" t="s">
        <v>11063</v>
      </c>
      <c r="J1113" s="11">
        <v>44729.706458333334</v>
      </c>
      <c r="K1113" s="1" t="s">
        <v>4061</v>
      </c>
      <c r="L1113" s="1">
        <v>0.39200000000000002</v>
      </c>
      <c r="M1113" s="1">
        <v>0.73699999999999999</v>
      </c>
      <c r="N1113">
        <v>8</v>
      </c>
      <c r="O1113" s="1">
        <v>-3.8820000000000001</v>
      </c>
      <c r="P1113">
        <v>1</v>
      </c>
      <c r="Q1113" s="1">
        <v>0.85699999999999998</v>
      </c>
      <c r="R1113" s="1">
        <v>0.52300000000000002</v>
      </c>
      <c r="S1113" s="1">
        <v>0.14099999999999999</v>
      </c>
      <c r="T1113" s="1">
        <v>0.24399999999999999</v>
      </c>
      <c r="U1113" s="1">
        <v>0.40200000000000002</v>
      </c>
      <c r="V1113" s="1">
        <v>139.95599999999999</v>
      </c>
      <c r="W1113">
        <v>4</v>
      </c>
    </row>
    <row r="1114" spans="1:23" x14ac:dyDescent="0.25">
      <c r="A1114" s="1" t="s">
        <v>15891</v>
      </c>
      <c r="B1114" s="1" t="s">
        <v>15892</v>
      </c>
      <c r="C1114" s="1" t="s">
        <v>4062</v>
      </c>
      <c r="D1114" s="1" t="s">
        <v>13670</v>
      </c>
      <c r="E1114" s="1" t="s">
        <v>4063</v>
      </c>
      <c r="F1114" s="1" t="s">
        <v>11524</v>
      </c>
      <c r="G1114">
        <v>210000</v>
      </c>
      <c r="H1114">
        <v>51</v>
      </c>
      <c r="I1114" s="1" t="s">
        <v>11063</v>
      </c>
      <c r="J1114" s="11">
        <v>44729.706458333334</v>
      </c>
      <c r="K1114" s="1" t="s">
        <v>4064</v>
      </c>
      <c r="L1114" s="1">
        <v>0.40799999999999997</v>
      </c>
      <c r="M1114" s="1">
        <v>0.78300000000000003</v>
      </c>
      <c r="N1114">
        <v>2</v>
      </c>
      <c r="O1114" s="1">
        <v>-5.0810000000000004</v>
      </c>
      <c r="P1114">
        <v>1</v>
      </c>
      <c r="Q1114" s="1">
        <v>0.58899999999999997</v>
      </c>
      <c r="R1114" s="1">
        <v>0.10100000000000001</v>
      </c>
      <c r="S1114" s="1">
        <v>0.34499999999999997</v>
      </c>
      <c r="T1114" s="1">
        <v>0.18099999999999999</v>
      </c>
      <c r="U1114" s="1">
        <v>0.34399999999999997</v>
      </c>
      <c r="V1114" s="1">
        <v>175.95599999999999</v>
      </c>
      <c r="W1114">
        <v>4</v>
      </c>
    </row>
    <row r="1115" spans="1:23" x14ac:dyDescent="0.25">
      <c r="A1115" s="1" t="s">
        <v>11561</v>
      </c>
      <c r="B1115" s="1" t="s">
        <v>11562</v>
      </c>
      <c r="C1115" s="1" t="s">
        <v>294</v>
      </c>
      <c r="D1115" s="1" t="s">
        <v>294</v>
      </c>
      <c r="E1115" s="1" t="s">
        <v>295</v>
      </c>
      <c r="F1115" s="1" t="s">
        <v>11563</v>
      </c>
      <c r="G1115">
        <v>223200</v>
      </c>
      <c r="H1115">
        <v>22</v>
      </c>
      <c r="I1115" s="1" t="s">
        <v>11063</v>
      </c>
      <c r="J1115" s="11">
        <v>44729.706458333334</v>
      </c>
      <c r="K1115" s="1" t="s">
        <v>296</v>
      </c>
      <c r="L1115" s="1">
        <v>0.51400000000000001</v>
      </c>
      <c r="M1115" s="1">
        <v>0.83799999999999997</v>
      </c>
      <c r="N1115">
        <v>8</v>
      </c>
      <c r="O1115" s="1">
        <v>-6.1050000000000004</v>
      </c>
      <c r="P1115">
        <v>1</v>
      </c>
      <c r="Q1115" s="1">
        <v>0.752</v>
      </c>
      <c r="R1115" s="1">
        <v>0.223</v>
      </c>
      <c r="S1115" s="1">
        <v>0.60099999999999998</v>
      </c>
      <c r="T1115" s="1">
        <v>0.11</v>
      </c>
      <c r="U1115" s="1">
        <v>0.34599999999999997</v>
      </c>
      <c r="V1115" s="1">
        <v>100.05</v>
      </c>
      <c r="W1115">
        <v>4</v>
      </c>
    </row>
    <row r="1116" spans="1:23" x14ac:dyDescent="0.25">
      <c r="A1116" s="1" t="s">
        <v>15893</v>
      </c>
      <c r="B1116" s="1" t="s">
        <v>15894</v>
      </c>
      <c r="C1116" s="1" t="s">
        <v>4065</v>
      </c>
      <c r="D1116" s="1" t="s">
        <v>4065</v>
      </c>
      <c r="E1116" s="1" t="s">
        <v>4066</v>
      </c>
      <c r="F1116" s="1" t="s">
        <v>15895</v>
      </c>
      <c r="G1116">
        <v>199364</v>
      </c>
      <c r="H1116">
        <v>32</v>
      </c>
      <c r="I1116" s="1" t="s">
        <v>11063</v>
      </c>
      <c r="J1116" s="11">
        <v>44729.706458333334</v>
      </c>
      <c r="K1116" s="1" t="s">
        <v>933</v>
      </c>
      <c r="L1116" s="1">
        <v>0.60699999999999998</v>
      </c>
      <c r="M1116" s="1">
        <v>0.88400000000000001</v>
      </c>
      <c r="N1116">
        <v>5</v>
      </c>
      <c r="O1116" s="1">
        <v>-2.5609999999999999</v>
      </c>
      <c r="P1116">
        <v>1</v>
      </c>
      <c r="Q1116" s="1">
        <v>0.314</v>
      </c>
      <c r="R1116" s="1">
        <v>0.23300000000000001</v>
      </c>
      <c r="S1116" s="1">
        <v>0</v>
      </c>
      <c r="T1116" s="1">
        <v>0.23200000000000001</v>
      </c>
      <c r="U1116" s="1">
        <v>0.63400000000000001</v>
      </c>
      <c r="V1116" s="1">
        <v>124.042</v>
      </c>
      <c r="W1116">
        <v>4</v>
      </c>
    </row>
    <row r="1117" spans="1:23" x14ac:dyDescent="0.25">
      <c r="A1117" s="1" t="s">
        <v>15896</v>
      </c>
      <c r="B1117" s="1" t="s">
        <v>15897</v>
      </c>
      <c r="C1117" s="1" t="s">
        <v>4067</v>
      </c>
      <c r="D1117" s="1" t="s">
        <v>4067</v>
      </c>
      <c r="E1117" s="1" t="s">
        <v>4068</v>
      </c>
      <c r="F1117" s="1" t="s">
        <v>15898</v>
      </c>
      <c r="G1117">
        <v>229714</v>
      </c>
      <c r="H1117">
        <v>26</v>
      </c>
      <c r="I1117" s="1" t="s">
        <v>11063</v>
      </c>
      <c r="J1117" s="11">
        <v>44729.706458333334</v>
      </c>
      <c r="K1117" s="1" t="s">
        <v>1053</v>
      </c>
      <c r="L1117" s="1">
        <v>0.54300000000000004</v>
      </c>
      <c r="M1117" s="1">
        <v>0.86899999999999999</v>
      </c>
      <c r="N1117">
        <v>3</v>
      </c>
      <c r="O1117" s="1">
        <v>-3.032</v>
      </c>
      <c r="P1117">
        <v>1</v>
      </c>
      <c r="Q1117" s="1">
        <v>0.59699999999999998</v>
      </c>
      <c r="R1117" s="1">
        <v>0.34899999999999998</v>
      </c>
      <c r="S1117" s="1">
        <v>0.93799999999999994</v>
      </c>
      <c r="T1117" s="1">
        <v>0.106</v>
      </c>
      <c r="U1117" s="1">
        <v>0.35799999999999998</v>
      </c>
      <c r="V1117" s="1">
        <v>140.07499999999999</v>
      </c>
      <c r="W1117">
        <v>3</v>
      </c>
    </row>
    <row r="1118" spans="1:23" x14ac:dyDescent="0.25">
      <c r="A1118" s="1" t="s">
        <v>15899</v>
      </c>
      <c r="B1118" s="1" t="s">
        <v>15900</v>
      </c>
      <c r="C1118" s="1" t="s">
        <v>4069</v>
      </c>
      <c r="D1118" s="1" t="s">
        <v>4069</v>
      </c>
      <c r="E1118" s="1" t="s">
        <v>4070</v>
      </c>
      <c r="F1118" s="1" t="s">
        <v>15901</v>
      </c>
      <c r="G1118">
        <v>235121</v>
      </c>
      <c r="H1118">
        <v>31</v>
      </c>
      <c r="I1118" s="1" t="s">
        <v>11063</v>
      </c>
      <c r="J1118" s="11">
        <v>44729.706458333334</v>
      </c>
      <c r="K1118" s="1" t="s">
        <v>50</v>
      </c>
      <c r="L1118" s="1">
        <v>0.68600000000000005</v>
      </c>
      <c r="M1118" s="1">
        <v>0.76800000000000002</v>
      </c>
      <c r="N1118">
        <v>11</v>
      </c>
      <c r="O1118" s="1">
        <v>-5.4619999999999997</v>
      </c>
      <c r="P1118">
        <v>1</v>
      </c>
      <c r="Q1118" s="1">
        <v>0.30299999999999999</v>
      </c>
      <c r="R1118" s="1">
        <v>0.13100000000000001</v>
      </c>
      <c r="S1118" s="1">
        <v>0.126</v>
      </c>
      <c r="T1118" s="1">
        <v>0.92300000000000004</v>
      </c>
      <c r="U1118" s="1">
        <v>0.13900000000000001</v>
      </c>
      <c r="V1118" s="1">
        <v>109.994</v>
      </c>
      <c r="W1118">
        <v>4</v>
      </c>
    </row>
    <row r="1119" spans="1:23" x14ac:dyDescent="0.25">
      <c r="A1119" s="1" t="s">
        <v>15902</v>
      </c>
      <c r="B1119" s="1" t="s">
        <v>14445</v>
      </c>
      <c r="C1119" s="1" t="s">
        <v>4071</v>
      </c>
      <c r="D1119" s="1" t="s">
        <v>4071</v>
      </c>
      <c r="E1119" s="1" t="s">
        <v>2783</v>
      </c>
      <c r="F1119" s="1" t="s">
        <v>15785</v>
      </c>
      <c r="G1119">
        <v>185492</v>
      </c>
      <c r="H1119">
        <v>29</v>
      </c>
      <c r="I1119" s="1" t="s">
        <v>11063</v>
      </c>
      <c r="J1119" s="11">
        <v>44729.706458333334</v>
      </c>
      <c r="K1119" s="1" t="s">
        <v>2784</v>
      </c>
      <c r="L1119" s="1">
        <v>0.54600000000000004</v>
      </c>
      <c r="M1119" s="1">
        <v>0.85799999999999998</v>
      </c>
      <c r="N1119">
        <v>7</v>
      </c>
      <c r="O1119" s="1">
        <v>-3.4780000000000002</v>
      </c>
      <c r="P1119">
        <v>1</v>
      </c>
      <c r="Q1119" s="1">
        <v>0.40899999999999997</v>
      </c>
      <c r="R1119" s="1">
        <v>0.26400000000000001</v>
      </c>
      <c r="S1119" s="1">
        <v>0.42599999999999999</v>
      </c>
      <c r="T1119" s="1">
        <v>0.57499999999999996</v>
      </c>
      <c r="U1119" s="1">
        <v>0.63500000000000001</v>
      </c>
      <c r="V1119" s="1">
        <v>170.01400000000001</v>
      </c>
      <c r="W1119">
        <v>4</v>
      </c>
    </row>
    <row r="1120" spans="1:23" x14ac:dyDescent="0.25">
      <c r="A1120" s="1" t="s">
        <v>15903</v>
      </c>
      <c r="B1120" s="1" t="s">
        <v>15904</v>
      </c>
      <c r="C1120" s="1" t="s">
        <v>4072</v>
      </c>
      <c r="D1120" s="1" t="s">
        <v>4072</v>
      </c>
      <c r="E1120" s="1" t="s">
        <v>4073</v>
      </c>
      <c r="F1120" s="1" t="s">
        <v>14124</v>
      </c>
      <c r="G1120">
        <v>194693</v>
      </c>
      <c r="H1120">
        <v>32</v>
      </c>
      <c r="I1120" s="1" t="s">
        <v>11063</v>
      </c>
      <c r="J1120" s="11">
        <v>44729.706458333334</v>
      </c>
      <c r="K1120" s="1" t="s">
        <v>4074</v>
      </c>
      <c r="L1120" s="1">
        <v>0.68600000000000005</v>
      </c>
      <c r="M1120" s="1">
        <v>0.71799999999999997</v>
      </c>
      <c r="N1120">
        <v>11</v>
      </c>
      <c r="O1120" s="1">
        <v>-4.6189999999999998</v>
      </c>
      <c r="P1120">
        <v>0</v>
      </c>
      <c r="Q1120" s="1">
        <v>0.45400000000000001</v>
      </c>
      <c r="R1120" s="1">
        <v>0.35299999999999998</v>
      </c>
      <c r="S1120" s="1">
        <v>0.114</v>
      </c>
      <c r="T1120" s="1">
        <v>0.56100000000000005</v>
      </c>
      <c r="U1120" s="1">
        <v>0.54400000000000004</v>
      </c>
      <c r="V1120" s="1">
        <v>98.02</v>
      </c>
      <c r="W1120">
        <v>4</v>
      </c>
    </row>
    <row r="1121" spans="1:23" x14ac:dyDescent="0.25">
      <c r="A1121" s="1" t="s">
        <v>15905</v>
      </c>
      <c r="B1121" s="1" t="s">
        <v>15906</v>
      </c>
      <c r="C1121" s="1" t="s">
        <v>4075</v>
      </c>
      <c r="D1121" s="1" t="s">
        <v>4075</v>
      </c>
      <c r="E1121" s="1" t="s">
        <v>4076</v>
      </c>
      <c r="F1121" s="1" t="s">
        <v>13564</v>
      </c>
      <c r="G1121">
        <v>229714</v>
      </c>
      <c r="H1121">
        <v>29</v>
      </c>
      <c r="I1121" s="1" t="s">
        <v>11063</v>
      </c>
      <c r="J1121" s="11">
        <v>44729.706458333334</v>
      </c>
      <c r="K1121" s="1" t="s">
        <v>4077</v>
      </c>
      <c r="L1121" s="1">
        <v>0.52400000000000002</v>
      </c>
      <c r="M1121" s="1">
        <v>0.75600000000000001</v>
      </c>
      <c r="N1121">
        <v>9</v>
      </c>
      <c r="O1121" s="1">
        <v>-6.4729999999999999</v>
      </c>
      <c r="P1121">
        <v>1</v>
      </c>
      <c r="Q1121" s="1">
        <v>0.53300000000000003</v>
      </c>
      <c r="R1121" s="1">
        <v>0.14299999999999999</v>
      </c>
      <c r="S1121" s="1">
        <v>0.753</v>
      </c>
      <c r="T1121" s="1">
        <v>0.111</v>
      </c>
      <c r="U1121" s="1">
        <v>0.13</v>
      </c>
      <c r="V1121" s="1">
        <v>139.929</v>
      </c>
      <c r="W1121">
        <v>4</v>
      </c>
    </row>
    <row r="1122" spans="1:23" x14ac:dyDescent="0.25">
      <c r="A1122" s="1" t="s">
        <v>15907</v>
      </c>
      <c r="B1122" s="1" t="s">
        <v>15908</v>
      </c>
      <c r="C1122" s="1" t="s">
        <v>3668</v>
      </c>
      <c r="D1122" s="1" t="s">
        <v>3668</v>
      </c>
      <c r="E1122" s="1" t="s">
        <v>4078</v>
      </c>
      <c r="F1122" s="1" t="s">
        <v>15909</v>
      </c>
      <c r="G1122">
        <v>194546</v>
      </c>
      <c r="H1122">
        <v>22</v>
      </c>
      <c r="I1122" s="1" t="s">
        <v>11063</v>
      </c>
      <c r="J1122" s="11">
        <v>44729.706458333334</v>
      </c>
      <c r="K1122" s="1" t="s">
        <v>1118</v>
      </c>
      <c r="L1122" s="1">
        <v>0.63700000000000001</v>
      </c>
      <c r="M1122" s="1">
        <v>0.63300000000000001</v>
      </c>
      <c r="N1122">
        <v>11</v>
      </c>
      <c r="O1122" s="1">
        <v>-6.6189999999999998</v>
      </c>
      <c r="P1122">
        <v>0</v>
      </c>
      <c r="Q1122" s="1">
        <v>0.12</v>
      </c>
      <c r="R1122" s="1">
        <v>0.26</v>
      </c>
      <c r="S1122" s="1">
        <v>0.14000000000000001</v>
      </c>
      <c r="T1122" s="1">
        <v>0.24199999999999999</v>
      </c>
      <c r="U1122" s="1">
        <v>0.115</v>
      </c>
      <c r="V1122" s="1">
        <v>95.141999999999996</v>
      </c>
      <c r="W1122">
        <v>4</v>
      </c>
    </row>
    <row r="1123" spans="1:23" x14ac:dyDescent="0.25">
      <c r="A1123" s="1" t="s">
        <v>15910</v>
      </c>
      <c r="B1123" s="1" t="s">
        <v>15911</v>
      </c>
      <c r="C1123" s="1" t="s">
        <v>4079</v>
      </c>
      <c r="D1123" s="1" t="s">
        <v>15912</v>
      </c>
      <c r="E1123" s="1" t="s">
        <v>4080</v>
      </c>
      <c r="F1123" s="1" t="s">
        <v>13797</v>
      </c>
      <c r="G1123">
        <v>153260</v>
      </c>
      <c r="H1123">
        <v>37</v>
      </c>
      <c r="I1123" s="1" t="s">
        <v>11063</v>
      </c>
      <c r="J1123" s="11">
        <v>44729.706458333334</v>
      </c>
      <c r="K1123" s="1" t="s">
        <v>4081</v>
      </c>
      <c r="L1123" s="1">
        <v>0.53</v>
      </c>
      <c r="M1123" s="1">
        <v>0.63200000000000001</v>
      </c>
      <c r="N1123">
        <v>9</v>
      </c>
      <c r="O1123" s="1">
        <v>-7.2770000000000001</v>
      </c>
      <c r="P1123">
        <v>1</v>
      </c>
      <c r="Q1123" s="1">
        <v>0.45600000000000002</v>
      </c>
      <c r="R1123" s="1">
        <v>0.23300000000000001</v>
      </c>
      <c r="S1123" s="1">
        <v>0.19</v>
      </c>
      <c r="T1123" s="1">
        <v>0.113</v>
      </c>
      <c r="U1123" s="1">
        <v>0.26500000000000001</v>
      </c>
      <c r="V1123" s="1">
        <v>91.971999999999994</v>
      </c>
      <c r="W1123">
        <v>4</v>
      </c>
    </row>
    <row r="1124" spans="1:23" x14ac:dyDescent="0.25">
      <c r="A1124" s="1" t="s">
        <v>15913</v>
      </c>
      <c r="B1124" s="1" t="s">
        <v>15914</v>
      </c>
      <c r="C1124" s="1" t="s">
        <v>4082</v>
      </c>
      <c r="D1124" s="1" t="s">
        <v>4082</v>
      </c>
      <c r="E1124" s="1" t="s">
        <v>4083</v>
      </c>
      <c r="F1124" s="1" t="s">
        <v>15915</v>
      </c>
      <c r="G1124">
        <v>237446</v>
      </c>
      <c r="H1124">
        <v>23</v>
      </c>
      <c r="I1124" s="1" t="s">
        <v>11063</v>
      </c>
      <c r="J1124" s="11">
        <v>44729.706458333334</v>
      </c>
      <c r="K1124" s="1" t="s">
        <v>933</v>
      </c>
      <c r="L1124" s="1">
        <v>0.69899999999999995</v>
      </c>
      <c r="M1124" s="1">
        <v>0.60299999999999998</v>
      </c>
      <c r="N1124">
        <v>0</v>
      </c>
      <c r="O1124" s="1">
        <v>-8.0289999999999999</v>
      </c>
      <c r="P1124">
        <v>0</v>
      </c>
      <c r="Q1124" s="1">
        <v>0.124</v>
      </c>
      <c r="R1124" s="1">
        <v>0.36899999999999999</v>
      </c>
      <c r="S1124" s="1">
        <v>0.11799999999999999</v>
      </c>
      <c r="T1124" s="1">
        <v>0.35099999999999998</v>
      </c>
      <c r="U1124" s="1">
        <v>0.34</v>
      </c>
      <c r="V1124" s="1">
        <v>140.964</v>
      </c>
      <c r="W1124">
        <v>4</v>
      </c>
    </row>
    <row r="1125" spans="1:23" x14ac:dyDescent="0.25">
      <c r="A1125" s="1" t="s">
        <v>15916</v>
      </c>
      <c r="B1125" s="1" t="s">
        <v>15917</v>
      </c>
      <c r="C1125" s="1" t="s">
        <v>4084</v>
      </c>
      <c r="D1125" s="1" t="s">
        <v>4084</v>
      </c>
      <c r="E1125" s="1" t="s">
        <v>4085</v>
      </c>
      <c r="F1125" s="1" t="s">
        <v>15918</v>
      </c>
      <c r="G1125">
        <v>215000</v>
      </c>
      <c r="H1125">
        <v>32</v>
      </c>
      <c r="I1125" s="1" t="s">
        <v>11063</v>
      </c>
      <c r="J1125" s="11">
        <v>44729.706458333334</v>
      </c>
      <c r="K1125" s="1" t="s">
        <v>1053</v>
      </c>
      <c r="L1125" s="1">
        <v>0.47099999999999997</v>
      </c>
      <c r="M1125" s="1">
        <v>0.73199999999999998</v>
      </c>
      <c r="N1125">
        <v>0</v>
      </c>
      <c r="O1125" s="1">
        <v>-6.1589999999999998</v>
      </c>
      <c r="P1125">
        <v>0</v>
      </c>
      <c r="Q1125" s="1">
        <v>0.86299999999999999</v>
      </c>
      <c r="R1125" s="1">
        <v>0.20899999999999999</v>
      </c>
      <c r="S1125" s="1">
        <v>0.38800000000000001</v>
      </c>
      <c r="T1125" s="1">
        <v>0.88200000000000001</v>
      </c>
      <c r="U1125" s="1">
        <v>0.17499999999999999</v>
      </c>
      <c r="V1125" s="1">
        <v>119.90300000000001</v>
      </c>
      <c r="W1125">
        <v>4</v>
      </c>
    </row>
    <row r="1126" spans="1:23" x14ac:dyDescent="0.25">
      <c r="A1126" s="1" t="s">
        <v>15919</v>
      </c>
      <c r="B1126" s="1" t="s">
        <v>15920</v>
      </c>
      <c r="C1126" s="1" t="s">
        <v>4086</v>
      </c>
      <c r="D1126" s="1" t="s">
        <v>4086</v>
      </c>
      <c r="E1126" s="1" t="s">
        <v>4087</v>
      </c>
      <c r="F1126" s="1" t="s">
        <v>15921</v>
      </c>
      <c r="G1126">
        <v>190472</v>
      </c>
      <c r="H1126">
        <v>0</v>
      </c>
      <c r="I1126" s="1" t="s">
        <v>11063</v>
      </c>
      <c r="J1126" s="11">
        <v>44729.706458333334</v>
      </c>
      <c r="K1126" s="1" t="s">
        <v>933</v>
      </c>
      <c r="L1126" s="1">
        <v>0.59</v>
      </c>
      <c r="M1126" s="1">
        <v>0.81</v>
      </c>
      <c r="N1126">
        <v>5</v>
      </c>
      <c r="O1126" s="1">
        <v>-5.0739999999999998</v>
      </c>
      <c r="P1126">
        <v>1</v>
      </c>
      <c r="Q1126" s="1">
        <v>0.95199999999999996</v>
      </c>
      <c r="R1126" s="1">
        <v>0.23499999999999999</v>
      </c>
      <c r="S1126" s="1">
        <v>0.95099999999999996</v>
      </c>
      <c r="T1126" s="1">
        <v>0.183</v>
      </c>
      <c r="U1126" s="1">
        <v>0.26200000000000001</v>
      </c>
      <c r="V1126" s="1">
        <v>144.99700000000001</v>
      </c>
      <c r="W1126">
        <v>4</v>
      </c>
    </row>
    <row r="1127" spans="1:23" x14ac:dyDescent="0.25">
      <c r="A1127" s="1" t="s">
        <v>15922</v>
      </c>
      <c r="B1127" s="1" t="s">
        <v>15923</v>
      </c>
      <c r="C1127" s="1" t="s">
        <v>4088</v>
      </c>
      <c r="D1127" s="1" t="s">
        <v>4088</v>
      </c>
      <c r="E1127" s="1" t="s">
        <v>4089</v>
      </c>
      <c r="F1127" s="1" t="s">
        <v>15924</v>
      </c>
      <c r="G1127">
        <v>187203</v>
      </c>
      <c r="H1127">
        <v>28</v>
      </c>
      <c r="I1127" s="1" t="s">
        <v>11063</v>
      </c>
      <c r="J1127" s="11">
        <v>44729.706458333334</v>
      </c>
      <c r="K1127" s="1" t="s">
        <v>4090</v>
      </c>
      <c r="L1127" s="1">
        <v>0.53800000000000003</v>
      </c>
      <c r="M1127" s="1">
        <v>0.874</v>
      </c>
      <c r="N1127">
        <v>4</v>
      </c>
      <c r="O1127" s="1">
        <v>-5.6050000000000004</v>
      </c>
      <c r="P1127">
        <v>1</v>
      </c>
      <c r="Q1127" s="1">
        <v>0.64500000000000002</v>
      </c>
      <c r="R1127" s="1">
        <v>0.17799999999999999</v>
      </c>
      <c r="S1127" s="1">
        <v>0.41499999999999998</v>
      </c>
      <c r="T1127" s="1">
        <v>0.80400000000000005</v>
      </c>
      <c r="U1127" s="1">
        <v>0.29799999999999999</v>
      </c>
      <c r="V1127" s="1">
        <v>136.96</v>
      </c>
      <c r="W1127">
        <v>4</v>
      </c>
    </row>
    <row r="1128" spans="1:23" x14ac:dyDescent="0.25">
      <c r="A1128" s="1" t="s">
        <v>15925</v>
      </c>
      <c r="B1128" s="1" t="s">
        <v>15926</v>
      </c>
      <c r="C1128" s="1" t="s">
        <v>4091</v>
      </c>
      <c r="D1128" s="1" t="s">
        <v>15927</v>
      </c>
      <c r="E1128" s="1" t="s">
        <v>4092</v>
      </c>
      <c r="F1128" s="1" t="s">
        <v>15909</v>
      </c>
      <c r="G1128">
        <v>176000</v>
      </c>
      <c r="H1128">
        <v>0</v>
      </c>
      <c r="I1128" s="1" t="s">
        <v>11063</v>
      </c>
      <c r="J1128" s="11">
        <v>44729.706458333334</v>
      </c>
      <c r="K1128" s="1" t="s">
        <v>924</v>
      </c>
      <c r="L1128" s="1">
        <v>0.57999999999999996</v>
      </c>
      <c r="M1128" s="1">
        <v>0.751</v>
      </c>
      <c r="N1128">
        <v>7</v>
      </c>
      <c r="O1128" s="1">
        <v>-4.2030000000000003</v>
      </c>
      <c r="P1128">
        <v>0</v>
      </c>
      <c r="Q1128" s="1">
        <v>0.44700000000000001</v>
      </c>
      <c r="R1128" s="1">
        <v>0.183</v>
      </c>
      <c r="S1128" s="1">
        <v>0</v>
      </c>
      <c r="T1128" s="1">
        <v>0.112</v>
      </c>
      <c r="U1128" s="1">
        <v>0.219</v>
      </c>
      <c r="V1128" s="1">
        <v>180.03100000000001</v>
      </c>
      <c r="W1128">
        <v>4</v>
      </c>
    </row>
    <row r="1129" spans="1:23" x14ac:dyDescent="0.25">
      <c r="A1129" s="1" t="s">
        <v>15928</v>
      </c>
      <c r="B1129" s="1" t="s">
        <v>15929</v>
      </c>
      <c r="C1129" s="1" t="s">
        <v>4093</v>
      </c>
      <c r="D1129" s="1" t="s">
        <v>15930</v>
      </c>
      <c r="E1129" s="1" t="s">
        <v>4094</v>
      </c>
      <c r="F1129" s="1" t="s">
        <v>15101</v>
      </c>
      <c r="G1129">
        <v>136165</v>
      </c>
      <c r="H1129">
        <v>49</v>
      </c>
      <c r="I1129" s="1" t="s">
        <v>11063</v>
      </c>
      <c r="J1129" s="11">
        <v>44729.706458333334</v>
      </c>
      <c r="K1129" s="1" t="s">
        <v>4095</v>
      </c>
      <c r="L1129" s="1">
        <v>0.73499999999999999</v>
      </c>
      <c r="M1129" s="1">
        <v>0.69099999999999995</v>
      </c>
      <c r="N1129">
        <v>5</v>
      </c>
      <c r="O1129" s="1">
        <v>-5.4480000000000004</v>
      </c>
      <c r="P1129">
        <v>0</v>
      </c>
      <c r="Q1129" s="1">
        <v>0.21099999999999999</v>
      </c>
      <c r="R1129" s="1">
        <v>0.154</v>
      </c>
      <c r="S1129" s="1">
        <v>0.64300000000000002</v>
      </c>
      <c r="T1129" s="1">
        <v>0.16400000000000001</v>
      </c>
      <c r="U1129" s="1">
        <v>0.30499999999999999</v>
      </c>
      <c r="V1129" s="1">
        <v>103.863</v>
      </c>
      <c r="W1129">
        <v>4</v>
      </c>
    </row>
    <row r="1130" spans="1:23" x14ac:dyDescent="0.25">
      <c r="A1130" s="1" t="s">
        <v>15931</v>
      </c>
      <c r="B1130" s="1" t="s">
        <v>15932</v>
      </c>
      <c r="C1130" s="1" t="s">
        <v>4096</v>
      </c>
      <c r="D1130" s="1" t="s">
        <v>15933</v>
      </c>
      <c r="E1130" s="1" t="s">
        <v>4097</v>
      </c>
      <c r="F1130" s="1" t="s">
        <v>15934</v>
      </c>
      <c r="G1130">
        <v>193750</v>
      </c>
      <c r="H1130">
        <v>42</v>
      </c>
      <c r="I1130" s="1" t="s">
        <v>11063</v>
      </c>
      <c r="J1130" s="11">
        <v>44729.706458333334</v>
      </c>
      <c r="K1130" s="1" t="s">
        <v>4098</v>
      </c>
      <c r="L1130" s="1">
        <v>0.55800000000000005</v>
      </c>
      <c r="M1130" s="1">
        <v>0.93700000000000006</v>
      </c>
      <c r="N1130">
        <v>11</v>
      </c>
      <c r="O1130" s="1">
        <v>-4.4950000000000001</v>
      </c>
      <c r="P1130">
        <v>1</v>
      </c>
      <c r="Q1130" s="1">
        <v>0.36499999999999999</v>
      </c>
      <c r="R1130" s="1">
        <v>0.193</v>
      </c>
      <c r="S1130" s="1">
        <v>0.109</v>
      </c>
      <c r="T1130" s="1">
        <v>0.32100000000000001</v>
      </c>
      <c r="U1130" s="1">
        <v>0.215</v>
      </c>
      <c r="V1130" s="1">
        <v>140.119</v>
      </c>
      <c r="W1130">
        <v>4</v>
      </c>
    </row>
    <row r="1131" spans="1:23" x14ac:dyDescent="0.25">
      <c r="A1131" s="1" t="s">
        <v>15935</v>
      </c>
      <c r="B1131" s="1" t="s">
        <v>15888</v>
      </c>
      <c r="C1131" s="1" t="s">
        <v>4099</v>
      </c>
      <c r="D1131" s="1" t="s">
        <v>4101</v>
      </c>
      <c r="E1131" s="1" t="s">
        <v>4057</v>
      </c>
      <c r="F1131" s="1" t="s">
        <v>15282</v>
      </c>
      <c r="G1131">
        <v>317066</v>
      </c>
      <c r="H1131">
        <v>53</v>
      </c>
      <c r="I1131" s="1" t="s">
        <v>11063</v>
      </c>
      <c r="J1131" s="11">
        <v>44729.706458333334</v>
      </c>
      <c r="K1131" s="1" t="s">
        <v>4058</v>
      </c>
      <c r="L1131" s="1">
        <v>0.316</v>
      </c>
      <c r="M1131" s="1">
        <v>0.80700000000000005</v>
      </c>
      <c r="N1131">
        <v>5</v>
      </c>
      <c r="O1131" s="1">
        <v>-3.3450000000000002</v>
      </c>
      <c r="P1131">
        <v>0</v>
      </c>
      <c r="Q1131" s="1">
        <v>0.38200000000000001</v>
      </c>
      <c r="R1131" s="1">
        <v>0.10100000000000001</v>
      </c>
      <c r="S1131" s="1">
        <v>0</v>
      </c>
      <c r="T1131" s="1">
        <v>0.23</v>
      </c>
      <c r="U1131" s="1">
        <v>0.33</v>
      </c>
      <c r="V1131" s="1">
        <v>102.333</v>
      </c>
      <c r="W1131">
        <v>3</v>
      </c>
    </row>
    <row r="1132" spans="1:23" x14ac:dyDescent="0.25">
      <c r="A1132" s="1" t="s">
        <v>15936</v>
      </c>
      <c r="B1132" s="1" t="s">
        <v>15888</v>
      </c>
      <c r="C1132" s="1" t="s">
        <v>4100</v>
      </c>
      <c r="D1132" s="1" t="s">
        <v>4101</v>
      </c>
      <c r="E1132" s="1" t="s">
        <v>4057</v>
      </c>
      <c r="F1132" s="1" t="s">
        <v>15282</v>
      </c>
      <c r="G1132">
        <v>302666</v>
      </c>
      <c r="H1132">
        <v>54</v>
      </c>
      <c r="I1132" s="1" t="s">
        <v>11063</v>
      </c>
      <c r="J1132" s="11">
        <v>44729.706458333334</v>
      </c>
      <c r="K1132" s="1" t="s">
        <v>4058</v>
      </c>
      <c r="L1132" s="1">
        <v>0.505</v>
      </c>
      <c r="M1132" s="1">
        <v>0.93300000000000005</v>
      </c>
      <c r="N1132">
        <v>0</v>
      </c>
      <c r="O1132" s="1">
        <v>-2.6019999999999999</v>
      </c>
      <c r="P1132">
        <v>1</v>
      </c>
      <c r="Q1132" s="1">
        <v>0.65100000000000002</v>
      </c>
      <c r="R1132" s="1">
        <v>0.32500000000000001</v>
      </c>
      <c r="S1132" s="1">
        <v>0</v>
      </c>
      <c r="T1132" s="1">
        <v>0.246</v>
      </c>
      <c r="U1132" s="1">
        <v>0.53100000000000003</v>
      </c>
      <c r="V1132" s="1">
        <v>135.006</v>
      </c>
      <c r="W1132">
        <v>4</v>
      </c>
    </row>
    <row r="1133" spans="1:23" x14ac:dyDescent="0.25">
      <c r="A1133" s="1" t="s">
        <v>15937</v>
      </c>
      <c r="B1133" s="1" t="s">
        <v>15888</v>
      </c>
      <c r="C1133" s="1" t="s">
        <v>4101</v>
      </c>
      <c r="D1133" s="1" t="s">
        <v>4101</v>
      </c>
      <c r="E1133" s="1" t="s">
        <v>4057</v>
      </c>
      <c r="F1133" s="1" t="s">
        <v>15282</v>
      </c>
      <c r="G1133">
        <v>251933</v>
      </c>
      <c r="H1133">
        <v>71</v>
      </c>
      <c r="I1133" s="1" t="s">
        <v>11063</v>
      </c>
      <c r="J1133" s="11">
        <v>44729.706458333334</v>
      </c>
      <c r="K1133" s="1" t="s">
        <v>4058</v>
      </c>
      <c r="L1133" s="1">
        <v>0.54100000000000004</v>
      </c>
      <c r="M1133" s="1">
        <v>0.84599999999999997</v>
      </c>
      <c r="N1133">
        <v>6</v>
      </c>
      <c r="O1133" s="1">
        <v>-2.7290000000000001</v>
      </c>
      <c r="P1133">
        <v>0</v>
      </c>
      <c r="Q1133" s="1">
        <v>0.55100000000000005</v>
      </c>
      <c r="R1133" s="1">
        <v>0.122</v>
      </c>
      <c r="S1133" s="1">
        <v>0.14899999999999999</v>
      </c>
      <c r="T1133" s="1">
        <v>0.16300000000000001</v>
      </c>
      <c r="U1133" s="1">
        <v>0.52400000000000002</v>
      </c>
      <c r="V1133" s="1">
        <v>129.13800000000001</v>
      </c>
      <c r="W1133">
        <v>4</v>
      </c>
    </row>
    <row r="1134" spans="1:23" x14ac:dyDescent="0.25">
      <c r="A1134" s="1" t="s">
        <v>15938</v>
      </c>
      <c r="B1134" s="1" t="s">
        <v>15939</v>
      </c>
      <c r="C1134" s="1" t="s">
        <v>4102</v>
      </c>
      <c r="D1134" s="1" t="s">
        <v>15940</v>
      </c>
      <c r="E1134" s="1" t="s">
        <v>4103</v>
      </c>
      <c r="F1134" s="1" t="s">
        <v>15941</v>
      </c>
      <c r="G1134">
        <v>224494</v>
      </c>
      <c r="H1134">
        <v>28</v>
      </c>
      <c r="I1134" s="1" t="s">
        <v>11063</v>
      </c>
      <c r="J1134" s="11">
        <v>44729.706458333334</v>
      </c>
      <c r="K1134" s="1" t="s">
        <v>4104</v>
      </c>
      <c r="L1134" s="1">
        <v>0.34599999999999997</v>
      </c>
      <c r="M1134" s="1">
        <v>0.55300000000000005</v>
      </c>
      <c r="N1134">
        <v>9</v>
      </c>
      <c r="O1134" s="1">
        <v>-4.851</v>
      </c>
      <c r="P1134">
        <v>0</v>
      </c>
      <c r="Q1134" s="1">
        <v>0.39</v>
      </c>
      <c r="R1134" s="1">
        <v>0.72899999999999998</v>
      </c>
      <c r="S1134" s="1">
        <v>0</v>
      </c>
      <c r="T1134" s="1">
        <v>0.83499999999999996</v>
      </c>
      <c r="U1134" s="1">
        <v>0.30299999999999999</v>
      </c>
      <c r="V1134" s="1">
        <v>88.501000000000005</v>
      </c>
      <c r="W1134">
        <v>4</v>
      </c>
    </row>
    <row r="1135" spans="1:23" x14ac:dyDescent="0.25">
      <c r="A1135" s="1" t="s">
        <v>15942</v>
      </c>
      <c r="B1135" s="1" t="s">
        <v>15943</v>
      </c>
      <c r="C1135" s="1" t="s">
        <v>4105</v>
      </c>
      <c r="D1135" s="1" t="s">
        <v>4105</v>
      </c>
      <c r="E1135" s="1" t="s">
        <v>4106</v>
      </c>
      <c r="F1135" s="1" t="s">
        <v>15944</v>
      </c>
      <c r="G1135">
        <v>175868</v>
      </c>
      <c r="H1135">
        <v>30</v>
      </c>
      <c r="I1135" s="1" t="s">
        <v>11063</v>
      </c>
      <c r="J1135" s="11">
        <v>44729.706458333334</v>
      </c>
      <c r="K1135" s="1" t="s">
        <v>4107</v>
      </c>
      <c r="L1135" s="1">
        <v>0.57299999999999995</v>
      </c>
      <c r="M1135" s="1">
        <v>0.70099999999999996</v>
      </c>
      <c r="N1135">
        <v>4</v>
      </c>
      <c r="O1135" s="1">
        <v>-5.0759999999999996</v>
      </c>
      <c r="P1135">
        <v>0</v>
      </c>
      <c r="Q1135" s="1">
        <v>0.378</v>
      </c>
      <c r="R1135" s="1">
        <v>0.29599999999999999</v>
      </c>
      <c r="S1135" s="1">
        <v>0.157</v>
      </c>
      <c r="T1135" s="1">
        <v>0.16900000000000001</v>
      </c>
      <c r="U1135" s="1">
        <v>0.127</v>
      </c>
      <c r="V1135" s="1">
        <v>140.15299999999999</v>
      </c>
      <c r="W1135">
        <v>4</v>
      </c>
    </row>
    <row r="1136" spans="1:23" x14ac:dyDescent="0.25">
      <c r="A1136" s="1" t="s">
        <v>15945</v>
      </c>
      <c r="B1136" s="1" t="s">
        <v>15946</v>
      </c>
      <c r="C1136" s="1" t="s">
        <v>4108</v>
      </c>
      <c r="D1136" s="1" t="s">
        <v>4108</v>
      </c>
      <c r="E1136" s="1" t="s">
        <v>4109</v>
      </c>
      <c r="F1136" s="1" t="s">
        <v>15619</v>
      </c>
      <c r="G1136">
        <v>190511</v>
      </c>
      <c r="H1136">
        <v>34</v>
      </c>
      <c r="I1136" s="1" t="s">
        <v>11063</v>
      </c>
      <c r="J1136" s="11">
        <v>44729.706458333334</v>
      </c>
      <c r="K1136" s="1" t="s">
        <v>50</v>
      </c>
      <c r="L1136" s="1">
        <v>0.46899999999999997</v>
      </c>
      <c r="M1136" s="1">
        <v>0.60799999999999998</v>
      </c>
      <c r="N1136">
        <v>8</v>
      </c>
      <c r="O1136" s="1">
        <v>-5.0679999999999996</v>
      </c>
      <c r="P1136">
        <v>1</v>
      </c>
      <c r="Q1136" s="1">
        <v>0.13</v>
      </c>
      <c r="R1136" s="1">
        <v>0.13100000000000001</v>
      </c>
      <c r="S1136" s="1">
        <v>0</v>
      </c>
      <c r="T1136" s="1">
        <v>0.159</v>
      </c>
      <c r="U1136" s="1">
        <v>0.115</v>
      </c>
      <c r="V1136" s="1">
        <v>155.041</v>
      </c>
      <c r="W1136">
        <v>4</v>
      </c>
    </row>
    <row r="1137" spans="1:23" x14ac:dyDescent="0.25">
      <c r="A1137" s="1" t="s">
        <v>15947</v>
      </c>
      <c r="B1137" s="1" t="s">
        <v>15948</v>
      </c>
      <c r="C1137" s="1" t="s">
        <v>4110</v>
      </c>
      <c r="D1137" s="1" t="s">
        <v>4110</v>
      </c>
      <c r="E1137" s="1" t="s">
        <v>4111</v>
      </c>
      <c r="F1137" s="1" t="s">
        <v>11665</v>
      </c>
      <c r="G1137">
        <v>201931</v>
      </c>
      <c r="H1137">
        <v>41</v>
      </c>
      <c r="I1137" s="1" t="s">
        <v>11063</v>
      </c>
      <c r="J1137" s="11">
        <v>44729.706458333334</v>
      </c>
      <c r="K1137" s="1" t="s">
        <v>4112</v>
      </c>
      <c r="L1137" s="1">
        <v>0.63200000000000001</v>
      </c>
      <c r="M1137" s="1">
        <v>0.81899999999999995</v>
      </c>
      <c r="N1137">
        <v>10</v>
      </c>
      <c r="O1137" s="1">
        <v>-3.34</v>
      </c>
      <c r="P1137">
        <v>1</v>
      </c>
      <c r="Q1137" s="1">
        <v>0.33</v>
      </c>
      <c r="R1137" s="1">
        <v>0.40500000000000003</v>
      </c>
      <c r="S1137" s="1">
        <v>0</v>
      </c>
      <c r="T1137" s="1">
        <v>0.11600000000000001</v>
      </c>
      <c r="U1137" s="1">
        <v>0.44400000000000001</v>
      </c>
      <c r="V1137" s="1">
        <v>144.995</v>
      </c>
      <c r="W1137">
        <v>4</v>
      </c>
    </row>
    <row r="1138" spans="1:23" x14ac:dyDescent="0.25">
      <c r="A1138" s="1" t="s">
        <v>15949</v>
      </c>
      <c r="B1138" s="1" t="s">
        <v>15950</v>
      </c>
      <c r="C1138" s="1" t="s">
        <v>4113</v>
      </c>
      <c r="D1138" s="1" t="s">
        <v>15951</v>
      </c>
      <c r="E1138" s="1" t="s">
        <v>4114</v>
      </c>
      <c r="F1138" s="1" t="s">
        <v>15952</v>
      </c>
      <c r="G1138">
        <v>246857</v>
      </c>
      <c r="H1138">
        <v>35</v>
      </c>
      <c r="I1138" s="1" t="s">
        <v>11063</v>
      </c>
      <c r="J1138" s="11">
        <v>44729.706458333334</v>
      </c>
      <c r="K1138" s="1" t="s">
        <v>4115</v>
      </c>
      <c r="L1138" s="1">
        <v>0.39400000000000002</v>
      </c>
      <c r="M1138" s="1">
        <v>0.36599999999999999</v>
      </c>
      <c r="N1138">
        <v>8</v>
      </c>
      <c r="O1138" s="1">
        <v>-7.125</v>
      </c>
      <c r="P1138">
        <v>0</v>
      </c>
      <c r="Q1138" s="1">
        <v>0.39500000000000002</v>
      </c>
      <c r="R1138" s="1">
        <v>0.307</v>
      </c>
      <c r="S1138" s="1">
        <v>0</v>
      </c>
      <c r="T1138" s="1">
        <v>0.11600000000000001</v>
      </c>
      <c r="U1138" s="1">
        <v>0.223</v>
      </c>
      <c r="V1138" s="1">
        <v>139.99299999999999</v>
      </c>
      <c r="W1138">
        <v>4</v>
      </c>
    </row>
    <row r="1139" spans="1:23" x14ac:dyDescent="0.25">
      <c r="A1139" s="1" t="s">
        <v>15953</v>
      </c>
      <c r="B1139" s="1" t="s">
        <v>15954</v>
      </c>
      <c r="C1139" s="1" t="s">
        <v>4116</v>
      </c>
      <c r="D1139" s="1" t="s">
        <v>15955</v>
      </c>
      <c r="E1139" s="1" t="s">
        <v>4117</v>
      </c>
      <c r="F1139" s="1" t="s">
        <v>15956</v>
      </c>
      <c r="G1139">
        <v>218535</v>
      </c>
      <c r="H1139">
        <v>40</v>
      </c>
      <c r="I1139" s="1" t="s">
        <v>11063</v>
      </c>
      <c r="J1139" s="11">
        <v>44729.706458333334</v>
      </c>
      <c r="K1139" s="1" t="s">
        <v>50</v>
      </c>
      <c r="L1139" s="1">
        <v>0.76900000000000002</v>
      </c>
      <c r="M1139" s="1">
        <v>0.754</v>
      </c>
      <c r="N1139">
        <v>1</v>
      </c>
      <c r="O1139" s="1">
        <v>-4.9009999999999998</v>
      </c>
      <c r="P1139">
        <v>0</v>
      </c>
      <c r="Q1139" s="1">
        <v>0.76200000000000001</v>
      </c>
      <c r="R1139" s="1">
        <v>0.48199999999999998</v>
      </c>
      <c r="S1139" s="1">
        <v>0.32200000000000001</v>
      </c>
      <c r="T1139" s="1">
        <v>0.29399999999999998</v>
      </c>
      <c r="U1139" s="1">
        <v>0.64200000000000002</v>
      </c>
      <c r="V1139" s="1">
        <v>123.009</v>
      </c>
      <c r="W1139">
        <v>4</v>
      </c>
    </row>
    <row r="1140" spans="1:23" x14ac:dyDescent="0.25">
      <c r="A1140" s="1" t="s">
        <v>15957</v>
      </c>
      <c r="B1140" s="1" t="s">
        <v>15958</v>
      </c>
      <c r="C1140" s="1" t="s">
        <v>4118</v>
      </c>
      <c r="D1140" s="1" t="s">
        <v>15959</v>
      </c>
      <c r="E1140" s="1" t="s">
        <v>4119</v>
      </c>
      <c r="F1140" s="1" t="s">
        <v>15530</v>
      </c>
      <c r="G1140">
        <v>158400</v>
      </c>
      <c r="H1140">
        <v>32</v>
      </c>
      <c r="I1140" s="1" t="s">
        <v>11063</v>
      </c>
      <c r="J1140" s="11">
        <v>44729.706458333334</v>
      </c>
      <c r="K1140" s="1" t="s">
        <v>50</v>
      </c>
      <c r="L1140" s="1">
        <v>0.56499999999999995</v>
      </c>
      <c r="M1140" s="1">
        <v>0.55600000000000005</v>
      </c>
      <c r="N1140">
        <v>11</v>
      </c>
      <c r="O1140" s="1">
        <v>-7.7629999999999999</v>
      </c>
      <c r="P1140">
        <v>0</v>
      </c>
      <c r="Q1140" s="1">
        <v>0.33800000000000002</v>
      </c>
      <c r="R1140" s="1">
        <v>0.19700000000000001</v>
      </c>
      <c r="S1140" s="1">
        <v>0.46800000000000003</v>
      </c>
      <c r="T1140" s="1">
        <v>0.16600000000000001</v>
      </c>
      <c r="U1140" s="1">
        <v>0.159</v>
      </c>
      <c r="V1140" s="1">
        <v>100.045</v>
      </c>
      <c r="W1140">
        <v>4</v>
      </c>
    </row>
    <row r="1141" spans="1:23" x14ac:dyDescent="0.25">
      <c r="A1141" s="1" t="s">
        <v>15960</v>
      </c>
      <c r="B1141" s="1" t="s">
        <v>15961</v>
      </c>
      <c r="C1141" s="1" t="s">
        <v>4120</v>
      </c>
      <c r="D1141" s="1" t="s">
        <v>4120</v>
      </c>
      <c r="E1141" s="1" t="s">
        <v>4121</v>
      </c>
      <c r="F1141" s="1" t="s">
        <v>14251</v>
      </c>
      <c r="G1141">
        <v>259200</v>
      </c>
      <c r="H1141">
        <v>22</v>
      </c>
      <c r="I1141" s="1" t="s">
        <v>11063</v>
      </c>
      <c r="J1141" s="11">
        <v>44729.706458333334</v>
      </c>
      <c r="K1141" s="1" t="s">
        <v>4122</v>
      </c>
      <c r="L1141" s="1">
        <v>0.54700000000000004</v>
      </c>
      <c r="M1141" s="1">
        <v>0.92500000000000004</v>
      </c>
      <c r="N1141">
        <v>11</v>
      </c>
      <c r="O1141" s="1">
        <v>-3.9260000000000002</v>
      </c>
      <c r="P1141">
        <v>0</v>
      </c>
      <c r="Q1141" s="1">
        <v>0.19800000000000001</v>
      </c>
      <c r="R1141" s="1">
        <v>0.84</v>
      </c>
      <c r="S1141" s="1">
        <v>0.24099999999999999</v>
      </c>
      <c r="T1141" s="1">
        <v>0.14299999999999999</v>
      </c>
      <c r="U1141" s="1">
        <v>0.26900000000000002</v>
      </c>
      <c r="V1141" s="1">
        <v>150.042</v>
      </c>
      <c r="W1141">
        <v>4</v>
      </c>
    </row>
    <row r="1142" spans="1:23" x14ac:dyDescent="0.25">
      <c r="A1142" s="1" t="s">
        <v>15962</v>
      </c>
      <c r="B1142" s="1" t="s">
        <v>15963</v>
      </c>
      <c r="C1142" s="1" t="s">
        <v>4123</v>
      </c>
      <c r="D1142" s="1" t="s">
        <v>15964</v>
      </c>
      <c r="E1142" s="1" t="s">
        <v>4124</v>
      </c>
      <c r="F1142" s="1" t="s">
        <v>15965</v>
      </c>
      <c r="G1142">
        <v>206307</v>
      </c>
      <c r="H1142">
        <v>27</v>
      </c>
      <c r="I1142" s="1" t="s">
        <v>11063</v>
      </c>
      <c r="J1142" s="11">
        <v>44729.706458333334</v>
      </c>
      <c r="K1142" s="1" t="s">
        <v>4125</v>
      </c>
      <c r="L1142" s="1">
        <v>0.33</v>
      </c>
      <c r="M1142" s="1">
        <v>0.80800000000000005</v>
      </c>
      <c r="N1142">
        <v>7</v>
      </c>
      <c r="O1142" s="1">
        <v>-3.4049999999999998</v>
      </c>
      <c r="P1142">
        <v>0</v>
      </c>
      <c r="Q1142" s="1">
        <v>0.64800000000000002</v>
      </c>
      <c r="R1142" s="1">
        <v>0.33800000000000002</v>
      </c>
      <c r="S1142" s="1">
        <v>0</v>
      </c>
      <c r="T1142" s="1">
        <v>0.12</v>
      </c>
      <c r="U1142" s="1">
        <v>0.217</v>
      </c>
      <c r="V1142" s="1">
        <v>144.77000000000001</v>
      </c>
      <c r="W1142">
        <v>4</v>
      </c>
    </row>
    <row r="1143" spans="1:23" x14ac:dyDescent="0.25">
      <c r="A1143" s="1" t="s">
        <v>15966</v>
      </c>
      <c r="B1143" s="1" t="s">
        <v>15967</v>
      </c>
      <c r="C1143" s="1" t="s">
        <v>4126</v>
      </c>
      <c r="D1143" s="1" t="s">
        <v>4126</v>
      </c>
      <c r="E1143" s="1" t="s">
        <v>4127</v>
      </c>
      <c r="F1143" s="1" t="s">
        <v>13269</v>
      </c>
      <c r="G1143">
        <v>202344</v>
      </c>
      <c r="H1143">
        <v>22</v>
      </c>
      <c r="I1143" s="1" t="s">
        <v>11063</v>
      </c>
      <c r="J1143" s="11">
        <v>44729.706458333334</v>
      </c>
      <c r="K1143" s="1" t="s">
        <v>4128</v>
      </c>
      <c r="L1143" s="1">
        <v>0.64500000000000002</v>
      </c>
      <c r="M1143" s="1">
        <v>0.745</v>
      </c>
      <c r="N1143">
        <v>0</v>
      </c>
      <c r="O1143" s="1">
        <v>-4.5339999999999998</v>
      </c>
      <c r="P1143">
        <v>0</v>
      </c>
      <c r="Q1143" s="1">
        <v>0.42099999999999999</v>
      </c>
      <c r="R1143" s="1">
        <v>0.33400000000000002</v>
      </c>
      <c r="S1143" s="1">
        <v>0</v>
      </c>
      <c r="T1143" s="1">
        <v>0.872</v>
      </c>
      <c r="U1143" s="1">
        <v>0.30499999999999999</v>
      </c>
      <c r="V1143" s="1">
        <v>144.93700000000001</v>
      </c>
      <c r="W1143">
        <v>4</v>
      </c>
    </row>
    <row r="1144" spans="1:23" x14ac:dyDescent="0.25">
      <c r="A1144" s="1" t="s">
        <v>15968</v>
      </c>
      <c r="B1144" s="1" t="s">
        <v>15969</v>
      </c>
      <c r="C1144" s="1" t="s">
        <v>4129</v>
      </c>
      <c r="D1144" s="1" t="s">
        <v>4129</v>
      </c>
      <c r="E1144" s="1" t="s">
        <v>4130</v>
      </c>
      <c r="F1144" s="1" t="s">
        <v>13855</v>
      </c>
      <c r="G1144">
        <v>207089</v>
      </c>
      <c r="H1144">
        <v>6</v>
      </c>
      <c r="I1144" s="1" t="s">
        <v>11063</v>
      </c>
      <c r="J1144" s="11">
        <v>44729.706458333334</v>
      </c>
      <c r="K1144" s="1" t="s">
        <v>4131</v>
      </c>
      <c r="L1144" s="1">
        <v>0.54500000000000004</v>
      </c>
      <c r="M1144" s="1">
        <v>0.80500000000000005</v>
      </c>
      <c r="N1144">
        <v>2</v>
      </c>
      <c r="O1144" s="1">
        <v>-2.097</v>
      </c>
      <c r="P1144">
        <v>0</v>
      </c>
      <c r="Q1144" s="1">
        <v>0.45500000000000002</v>
      </c>
      <c r="R1144" s="1">
        <v>0.66200000000000003</v>
      </c>
      <c r="S1144" s="1">
        <v>0</v>
      </c>
      <c r="T1144" s="1">
        <v>0.107</v>
      </c>
      <c r="U1144" s="1">
        <v>0.42699999999999999</v>
      </c>
      <c r="V1144" s="1">
        <v>134.02699999999999</v>
      </c>
      <c r="W1144">
        <v>4</v>
      </c>
    </row>
    <row r="1145" spans="1:23" x14ac:dyDescent="0.25">
      <c r="A1145" s="1" t="s">
        <v>15970</v>
      </c>
      <c r="B1145" s="1" t="s">
        <v>14290</v>
      </c>
      <c r="C1145" s="1" t="s">
        <v>4132</v>
      </c>
      <c r="D1145" s="1" t="s">
        <v>4132</v>
      </c>
      <c r="E1145" s="1" t="s">
        <v>2641</v>
      </c>
      <c r="F1145" s="1" t="s">
        <v>14068</v>
      </c>
      <c r="G1145">
        <v>264180</v>
      </c>
      <c r="H1145">
        <v>34</v>
      </c>
      <c r="I1145" s="1" t="s">
        <v>11063</v>
      </c>
      <c r="J1145" s="11">
        <v>44729.706458333334</v>
      </c>
      <c r="K1145" s="1" t="s">
        <v>1030</v>
      </c>
      <c r="L1145" s="1">
        <v>0.49</v>
      </c>
      <c r="M1145" s="1">
        <v>0.48199999999999998</v>
      </c>
      <c r="N1145">
        <v>6</v>
      </c>
      <c r="O1145" s="1">
        <v>-7.2350000000000003</v>
      </c>
      <c r="P1145">
        <v>0</v>
      </c>
      <c r="Q1145" s="1">
        <v>0.54600000000000004</v>
      </c>
      <c r="R1145" s="1">
        <v>0.14199999999999999</v>
      </c>
      <c r="S1145" s="1">
        <v>0</v>
      </c>
      <c r="T1145" s="1">
        <v>0.109</v>
      </c>
      <c r="U1145" s="1">
        <v>0.13600000000000001</v>
      </c>
      <c r="V1145" s="1">
        <v>130.017</v>
      </c>
      <c r="W1145">
        <v>4</v>
      </c>
    </row>
    <row r="1146" spans="1:23" x14ac:dyDescent="0.25">
      <c r="A1146" s="1" t="s">
        <v>15971</v>
      </c>
      <c r="B1146" s="1" t="s">
        <v>15972</v>
      </c>
      <c r="C1146" s="1" t="s">
        <v>4133</v>
      </c>
      <c r="D1146" s="1" t="s">
        <v>4133</v>
      </c>
      <c r="E1146" s="1" t="s">
        <v>4134</v>
      </c>
      <c r="F1146" s="1" t="s">
        <v>14440</v>
      </c>
      <c r="G1146">
        <v>184927</v>
      </c>
      <c r="H1146">
        <v>21</v>
      </c>
      <c r="I1146" s="1" t="s">
        <v>11063</v>
      </c>
      <c r="J1146" s="11">
        <v>44729.706458333334</v>
      </c>
      <c r="K1146" s="1" t="s">
        <v>4135</v>
      </c>
      <c r="L1146" s="1">
        <v>0.623</v>
      </c>
      <c r="M1146" s="1">
        <v>0.57199999999999995</v>
      </c>
      <c r="N1146">
        <v>11</v>
      </c>
      <c r="O1146" s="1">
        <v>-5.6829999999999998</v>
      </c>
      <c r="P1146">
        <v>0</v>
      </c>
      <c r="Q1146" s="1">
        <v>0.36599999999999999</v>
      </c>
      <c r="R1146" s="1">
        <v>0.26700000000000002</v>
      </c>
      <c r="S1146" s="1">
        <v>0</v>
      </c>
      <c r="T1146" s="1">
        <v>0.26800000000000002</v>
      </c>
      <c r="U1146" s="1">
        <v>0.33300000000000002</v>
      </c>
      <c r="V1146" s="1">
        <v>129.995</v>
      </c>
      <c r="W1146">
        <v>4</v>
      </c>
    </row>
    <row r="1147" spans="1:23" x14ac:dyDescent="0.25">
      <c r="A1147" s="1" t="s">
        <v>15973</v>
      </c>
      <c r="B1147" s="1" t="s">
        <v>15974</v>
      </c>
      <c r="C1147" s="1" t="s">
        <v>4136</v>
      </c>
      <c r="D1147" s="1" t="s">
        <v>15975</v>
      </c>
      <c r="E1147" s="1" t="s">
        <v>4137</v>
      </c>
      <c r="F1147" s="1" t="s">
        <v>15976</v>
      </c>
      <c r="G1147">
        <v>235666</v>
      </c>
      <c r="H1147">
        <v>24</v>
      </c>
      <c r="I1147" s="1" t="s">
        <v>11063</v>
      </c>
      <c r="J1147" s="11">
        <v>44729.706458333334</v>
      </c>
      <c r="K1147" s="1" t="s">
        <v>3248</v>
      </c>
      <c r="L1147" s="1">
        <v>0.432</v>
      </c>
      <c r="M1147" s="1">
        <v>0.93200000000000005</v>
      </c>
      <c r="N1147">
        <v>1</v>
      </c>
      <c r="O1147" s="1">
        <v>-2.2829999999999999</v>
      </c>
      <c r="P1147">
        <v>0</v>
      </c>
      <c r="Q1147" s="1">
        <v>0.39100000000000001</v>
      </c>
      <c r="R1147" s="1">
        <v>0.47299999999999998</v>
      </c>
      <c r="S1147" s="1">
        <v>0.11899999999999999</v>
      </c>
      <c r="T1147" s="1">
        <v>0.72299999999999998</v>
      </c>
      <c r="U1147" s="1">
        <v>0.21299999999999999</v>
      </c>
      <c r="V1147" s="1">
        <v>176.03299999999999</v>
      </c>
      <c r="W1147">
        <v>4</v>
      </c>
    </row>
    <row r="1148" spans="1:23" x14ac:dyDescent="0.25">
      <c r="A1148" s="1" t="s">
        <v>15977</v>
      </c>
      <c r="B1148" s="1" t="s">
        <v>15978</v>
      </c>
      <c r="C1148" s="1" t="s">
        <v>4138</v>
      </c>
      <c r="D1148" s="1" t="s">
        <v>4138</v>
      </c>
      <c r="E1148" s="1" t="s">
        <v>4139</v>
      </c>
      <c r="F1148" s="1" t="s">
        <v>11545</v>
      </c>
      <c r="G1148">
        <v>240000</v>
      </c>
      <c r="H1148">
        <v>52</v>
      </c>
      <c r="I1148" s="1" t="s">
        <v>11063</v>
      </c>
      <c r="J1148" s="11">
        <v>44729.706458333334</v>
      </c>
      <c r="K1148" s="1" t="s">
        <v>4140</v>
      </c>
      <c r="L1148" s="1">
        <v>0.442</v>
      </c>
      <c r="M1148" s="1">
        <v>0.748</v>
      </c>
      <c r="N1148">
        <v>2</v>
      </c>
      <c r="O1148" s="1">
        <v>-5.6319999999999997</v>
      </c>
      <c r="P1148">
        <v>1</v>
      </c>
      <c r="Q1148" s="1">
        <v>0.53800000000000003</v>
      </c>
      <c r="R1148" s="1">
        <v>0.129</v>
      </c>
      <c r="S1148" s="1">
        <v>0</v>
      </c>
      <c r="T1148" s="1">
        <v>0.91700000000000004</v>
      </c>
      <c r="U1148" s="1">
        <v>0.191</v>
      </c>
      <c r="V1148" s="1">
        <v>134.17599999999999</v>
      </c>
      <c r="W1148">
        <v>4</v>
      </c>
    </row>
    <row r="1149" spans="1:23" x14ac:dyDescent="0.25">
      <c r="A1149" s="1" t="s">
        <v>15979</v>
      </c>
      <c r="B1149" s="1" t="s">
        <v>15980</v>
      </c>
      <c r="C1149" s="1" t="s">
        <v>4141</v>
      </c>
      <c r="D1149" s="1" t="s">
        <v>15981</v>
      </c>
      <c r="E1149" s="1" t="s">
        <v>4142</v>
      </c>
      <c r="F1149" s="1" t="s">
        <v>15301</v>
      </c>
      <c r="G1149">
        <v>248347</v>
      </c>
      <c r="H1149">
        <v>38</v>
      </c>
      <c r="I1149" s="1" t="s">
        <v>11063</v>
      </c>
      <c r="J1149" s="11">
        <v>44729.706458333334</v>
      </c>
      <c r="K1149" s="1" t="s">
        <v>4143</v>
      </c>
      <c r="L1149" s="1">
        <v>0.57199999999999995</v>
      </c>
      <c r="M1149" s="1">
        <v>0.86099999999999999</v>
      </c>
      <c r="N1149">
        <v>9</v>
      </c>
      <c r="O1149" s="1">
        <v>-3.13</v>
      </c>
      <c r="P1149">
        <v>1</v>
      </c>
      <c r="Q1149" s="1">
        <v>0.15</v>
      </c>
      <c r="R1149" s="1">
        <v>0.47399999999999998</v>
      </c>
      <c r="S1149" s="1">
        <v>0</v>
      </c>
      <c r="T1149" s="1">
        <v>0.97599999999999998</v>
      </c>
      <c r="U1149" s="1">
        <v>0.55800000000000005</v>
      </c>
      <c r="V1149" s="1">
        <v>114.887</v>
      </c>
      <c r="W1149">
        <v>4</v>
      </c>
    </row>
    <row r="1150" spans="1:23" x14ac:dyDescent="0.25">
      <c r="A1150" s="1" t="s">
        <v>15982</v>
      </c>
      <c r="B1150" s="1" t="s">
        <v>15983</v>
      </c>
      <c r="C1150" s="1" t="s">
        <v>4144</v>
      </c>
      <c r="D1150" s="1" t="s">
        <v>4144</v>
      </c>
      <c r="E1150" s="1" t="s">
        <v>4145</v>
      </c>
      <c r="F1150" s="1" t="s">
        <v>15984</v>
      </c>
      <c r="G1150">
        <v>325500</v>
      </c>
      <c r="H1150">
        <v>60</v>
      </c>
      <c r="I1150" s="1" t="s">
        <v>11063</v>
      </c>
      <c r="J1150" s="11">
        <v>44729.706458333334</v>
      </c>
      <c r="K1150" s="1" t="s">
        <v>4146</v>
      </c>
      <c r="L1150" s="1">
        <v>0.66800000000000004</v>
      </c>
      <c r="M1150" s="1">
        <v>0.85699999999999998</v>
      </c>
      <c r="N1150">
        <v>10</v>
      </c>
      <c r="O1150" s="1">
        <v>-2.887</v>
      </c>
      <c r="P1150">
        <v>0</v>
      </c>
      <c r="Q1150" s="1">
        <v>0.7</v>
      </c>
      <c r="R1150" s="1">
        <v>0.82699999999999996</v>
      </c>
      <c r="S1150" s="1">
        <v>0.25600000000000001</v>
      </c>
      <c r="T1150" s="1">
        <v>0.36799999999999999</v>
      </c>
      <c r="U1150" s="1">
        <v>0.74299999999999999</v>
      </c>
      <c r="V1150" s="1">
        <v>122.003</v>
      </c>
      <c r="W1150">
        <v>4</v>
      </c>
    </row>
    <row r="1151" spans="1:23" x14ac:dyDescent="0.25">
      <c r="A1151" s="1" t="s">
        <v>15985</v>
      </c>
      <c r="B1151" s="1" t="s">
        <v>15986</v>
      </c>
      <c r="C1151" s="1" t="s">
        <v>4147</v>
      </c>
      <c r="D1151" s="1" t="s">
        <v>4147</v>
      </c>
      <c r="E1151" s="1" t="s">
        <v>4148</v>
      </c>
      <c r="F1151" s="1" t="s">
        <v>15987</v>
      </c>
      <c r="G1151">
        <v>212400</v>
      </c>
      <c r="H1151">
        <v>34</v>
      </c>
      <c r="I1151" s="1" t="s">
        <v>11063</v>
      </c>
      <c r="J1151" s="11">
        <v>44729.706458333334</v>
      </c>
      <c r="K1151" s="1" t="s">
        <v>50</v>
      </c>
      <c r="L1151" s="1">
        <v>0.73399999999999999</v>
      </c>
      <c r="M1151" s="1">
        <v>0.80200000000000005</v>
      </c>
      <c r="N1151">
        <v>5</v>
      </c>
      <c r="O1151" s="1">
        <v>-3.33</v>
      </c>
      <c r="P1151">
        <v>0</v>
      </c>
      <c r="Q1151" s="1">
        <v>0.39200000000000002</v>
      </c>
      <c r="R1151" s="1">
        <v>0.25</v>
      </c>
      <c r="S1151" s="1">
        <v>0.45700000000000002</v>
      </c>
      <c r="T1151" s="1">
        <v>0.23300000000000001</v>
      </c>
      <c r="U1151" s="1">
        <v>0.753</v>
      </c>
      <c r="V1151" s="1">
        <v>149.995</v>
      </c>
      <c r="W1151">
        <v>4</v>
      </c>
    </row>
    <row r="1152" spans="1:23" x14ac:dyDescent="0.25">
      <c r="A1152" s="1" t="s">
        <v>15988</v>
      </c>
      <c r="B1152" s="1" t="s">
        <v>11484</v>
      </c>
      <c r="C1152" s="1" t="s">
        <v>4149</v>
      </c>
      <c r="D1152" s="1" t="s">
        <v>15989</v>
      </c>
      <c r="E1152" s="1" t="s">
        <v>238</v>
      </c>
      <c r="F1152" s="1" t="s">
        <v>11704</v>
      </c>
      <c r="G1152">
        <v>359366</v>
      </c>
      <c r="H1152">
        <v>0</v>
      </c>
      <c r="I1152" s="1" t="s">
        <v>11063</v>
      </c>
      <c r="J1152" s="11">
        <v>44729.706458333334</v>
      </c>
      <c r="K1152" s="1" t="s">
        <v>239</v>
      </c>
      <c r="L1152" s="1">
        <v>0.44500000000000001</v>
      </c>
      <c r="M1152" s="1">
        <v>0.83099999999999996</v>
      </c>
      <c r="N1152">
        <v>9</v>
      </c>
      <c r="O1152" s="1">
        <v>-7.2149999999999999</v>
      </c>
      <c r="P1152">
        <v>0</v>
      </c>
      <c r="Q1152" s="1">
        <v>0.54100000000000004</v>
      </c>
      <c r="R1152" s="1">
        <v>0.36</v>
      </c>
      <c r="S1152" s="1">
        <v>0.77400000000000002</v>
      </c>
      <c r="T1152" s="1">
        <v>0.23100000000000001</v>
      </c>
      <c r="U1152" s="1">
        <v>0.222</v>
      </c>
      <c r="V1152" s="1">
        <v>110.032</v>
      </c>
      <c r="W1152">
        <v>4</v>
      </c>
    </row>
    <row r="1153" spans="1:23" x14ac:dyDescent="0.25">
      <c r="A1153" s="1" t="s">
        <v>15990</v>
      </c>
      <c r="B1153" s="1" t="s">
        <v>15991</v>
      </c>
      <c r="C1153" s="1" t="s">
        <v>4150</v>
      </c>
      <c r="D1153" s="1" t="s">
        <v>15992</v>
      </c>
      <c r="E1153" s="1" t="s">
        <v>4151</v>
      </c>
      <c r="F1153" s="1" t="s">
        <v>13986</v>
      </c>
      <c r="G1153">
        <v>250386</v>
      </c>
      <c r="H1153">
        <v>33</v>
      </c>
      <c r="I1153" s="1" t="s">
        <v>11063</v>
      </c>
      <c r="J1153" s="11">
        <v>44729.706458333334</v>
      </c>
      <c r="K1153" s="1" t="s">
        <v>4152</v>
      </c>
      <c r="L1153" s="1">
        <v>0.68899999999999995</v>
      </c>
      <c r="M1153" s="1">
        <v>0.59199999999999997</v>
      </c>
      <c r="N1153">
        <v>8</v>
      </c>
      <c r="O1153" s="1">
        <v>-7.1230000000000002</v>
      </c>
      <c r="P1153">
        <v>1</v>
      </c>
      <c r="Q1153" s="1">
        <v>0.375</v>
      </c>
      <c r="R1153" s="1">
        <v>0.89300000000000002</v>
      </c>
      <c r="S1153" s="1">
        <v>0.86899999999999999</v>
      </c>
      <c r="T1153" s="1">
        <v>0.108</v>
      </c>
      <c r="U1153" s="1">
        <v>0.65900000000000003</v>
      </c>
      <c r="V1153" s="1">
        <v>94.99</v>
      </c>
      <c r="W1153">
        <v>4</v>
      </c>
    </row>
    <row r="1154" spans="1:23" x14ac:dyDescent="0.25">
      <c r="A1154" s="1" t="s">
        <v>15993</v>
      </c>
      <c r="B1154" s="1" t="s">
        <v>15994</v>
      </c>
      <c r="C1154" s="1" t="s">
        <v>4153</v>
      </c>
      <c r="D1154" s="1" t="s">
        <v>15995</v>
      </c>
      <c r="E1154" s="1" t="s">
        <v>4154</v>
      </c>
      <c r="F1154" s="1" t="s">
        <v>15996</v>
      </c>
      <c r="G1154">
        <v>201066</v>
      </c>
      <c r="H1154">
        <v>38</v>
      </c>
      <c r="I1154" s="1" t="s">
        <v>11063</v>
      </c>
      <c r="J1154" s="11">
        <v>44729.706458333334</v>
      </c>
      <c r="K1154" s="1" t="s">
        <v>4152</v>
      </c>
      <c r="L1154" s="1">
        <v>0.61699999999999999</v>
      </c>
      <c r="M1154" s="1">
        <v>0.35699999999999998</v>
      </c>
      <c r="N1154">
        <v>7</v>
      </c>
      <c r="O1154" s="1">
        <v>-13.888999999999999</v>
      </c>
      <c r="P1154">
        <v>1</v>
      </c>
      <c r="Q1154" s="1">
        <v>0.47</v>
      </c>
      <c r="R1154" s="1">
        <v>0.60799999999999998</v>
      </c>
      <c r="S1154" s="1">
        <v>0.36699999999999999</v>
      </c>
      <c r="T1154" s="1">
        <v>0.61499999999999999</v>
      </c>
      <c r="U1154" s="1">
        <v>0.42099999999999999</v>
      </c>
      <c r="V1154" s="1">
        <v>89.995999999999995</v>
      </c>
      <c r="W1154">
        <v>4</v>
      </c>
    </row>
    <row r="1155" spans="1:23" x14ac:dyDescent="0.25">
      <c r="A1155" s="1" t="s">
        <v>15997</v>
      </c>
      <c r="B1155" s="1" t="s">
        <v>15998</v>
      </c>
      <c r="C1155" s="1" t="s">
        <v>4155</v>
      </c>
      <c r="D1155" s="1" t="s">
        <v>15999</v>
      </c>
      <c r="E1155" s="1" t="s">
        <v>4156</v>
      </c>
      <c r="F1155" s="1" t="s">
        <v>16000</v>
      </c>
      <c r="G1155">
        <v>212903</v>
      </c>
      <c r="H1155">
        <v>44</v>
      </c>
      <c r="I1155" s="1" t="s">
        <v>11063</v>
      </c>
      <c r="J1155" s="11">
        <v>44729.706458333334</v>
      </c>
      <c r="K1155" s="1" t="s">
        <v>2228</v>
      </c>
      <c r="L1155" s="1">
        <v>0.47899999999999998</v>
      </c>
      <c r="M1155" s="1">
        <v>0.94199999999999995</v>
      </c>
      <c r="N1155">
        <v>10</v>
      </c>
      <c r="O1155" s="1">
        <v>-3.9550000000000001</v>
      </c>
      <c r="P1155">
        <v>0</v>
      </c>
      <c r="Q1155" s="1">
        <v>0.46400000000000002</v>
      </c>
      <c r="R1155" s="1">
        <v>0.13100000000000001</v>
      </c>
      <c r="S1155" s="1">
        <v>0.41199999999999998</v>
      </c>
      <c r="T1155" s="1">
        <v>0.13300000000000001</v>
      </c>
      <c r="U1155" s="1">
        <v>0.16400000000000001</v>
      </c>
      <c r="V1155" s="1">
        <v>174.078</v>
      </c>
      <c r="W1155">
        <v>4</v>
      </c>
    </row>
    <row r="1156" spans="1:23" x14ac:dyDescent="0.25">
      <c r="A1156" s="1" t="s">
        <v>16001</v>
      </c>
      <c r="B1156" s="1" t="s">
        <v>16002</v>
      </c>
      <c r="C1156" s="1" t="s">
        <v>4157</v>
      </c>
      <c r="D1156" s="1" t="s">
        <v>8812</v>
      </c>
      <c r="E1156" s="1" t="s">
        <v>4158</v>
      </c>
      <c r="F1156" s="1" t="s">
        <v>14838</v>
      </c>
      <c r="G1156">
        <v>233493</v>
      </c>
      <c r="H1156">
        <v>16</v>
      </c>
      <c r="I1156" s="1" t="s">
        <v>11063</v>
      </c>
      <c r="J1156" s="11">
        <v>44729.706458333334</v>
      </c>
      <c r="K1156" s="1" t="s">
        <v>4159</v>
      </c>
      <c r="L1156" s="1">
        <v>0.36599999999999999</v>
      </c>
      <c r="M1156" s="1">
        <v>0.89300000000000002</v>
      </c>
      <c r="N1156">
        <v>5</v>
      </c>
      <c r="O1156" s="1">
        <v>-5.9130000000000003</v>
      </c>
      <c r="P1156">
        <v>0</v>
      </c>
      <c r="Q1156" s="1">
        <v>0.91</v>
      </c>
      <c r="R1156" s="1">
        <v>0.3</v>
      </c>
      <c r="S1156" s="1">
        <v>0.63500000000000001</v>
      </c>
      <c r="T1156" s="1">
        <v>0.14099999999999999</v>
      </c>
      <c r="U1156" s="1">
        <v>0.47099999999999997</v>
      </c>
      <c r="V1156" s="1">
        <v>171.06399999999999</v>
      </c>
      <c r="W1156">
        <v>4</v>
      </c>
    </row>
    <row r="1157" spans="1:23" x14ac:dyDescent="0.25">
      <c r="A1157" s="1" t="s">
        <v>16003</v>
      </c>
      <c r="B1157" s="1" t="s">
        <v>13702</v>
      </c>
      <c r="C1157" s="1" t="s">
        <v>4160</v>
      </c>
      <c r="D1157" s="1" t="s">
        <v>4160</v>
      </c>
      <c r="E1157" s="1" t="s">
        <v>2155</v>
      </c>
      <c r="F1157" s="1" t="s">
        <v>11715</v>
      </c>
      <c r="G1157">
        <v>159385</v>
      </c>
      <c r="H1157">
        <v>42</v>
      </c>
      <c r="I1157" s="1" t="s">
        <v>11063</v>
      </c>
      <c r="J1157" s="11">
        <v>44729.706458333334</v>
      </c>
      <c r="K1157" s="1" t="s">
        <v>332</v>
      </c>
      <c r="L1157" s="1">
        <v>0.877</v>
      </c>
      <c r="M1157" s="1">
        <v>0.68799999999999994</v>
      </c>
      <c r="N1157">
        <v>8</v>
      </c>
      <c r="O1157" s="1">
        <v>-5.9770000000000003</v>
      </c>
      <c r="P1157">
        <v>0</v>
      </c>
      <c r="Q1157" s="1">
        <v>0.875</v>
      </c>
      <c r="R1157" s="1">
        <v>0.27700000000000002</v>
      </c>
      <c r="S1157" s="1">
        <v>0.106</v>
      </c>
      <c r="T1157" s="1">
        <v>0.80100000000000005</v>
      </c>
      <c r="U1157" s="1">
        <v>0.70199999999999996</v>
      </c>
      <c r="V1157" s="1">
        <v>117.057</v>
      </c>
      <c r="W1157">
        <v>4</v>
      </c>
    </row>
    <row r="1158" spans="1:23" x14ac:dyDescent="0.25">
      <c r="A1158" s="1" t="s">
        <v>16004</v>
      </c>
      <c r="B1158" s="1" t="s">
        <v>16005</v>
      </c>
      <c r="C1158" s="1" t="s">
        <v>4161</v>
      </c>
      <c r="D1158" s="1" t="s">
        <v>4161</v>
      </c>
      <c r="E1158" s="1" t="s">
        <v>4162</v>
      </c>
      <c r="F1158" s="1" t="s">
        <v>11677</v>
      </c>
      <c r="G1158">
        <v>191250</v>
      </c>
      <c r="H1158">
        <v>39</v>
      </c>
      <c r="I1158" s="1" t="s">
        <v>11063</v>
      </c>
      <c r="J1158" s="11">
        <v>44729.706458333334</v>
      </c>
      <c r="K1158" s="1" t="s">
        <v>4163</v>
      </c>
      <c r="L1158" s="1">
        <v>0.6</v>
      </c>
      <c r="M1158" s="1">
        <v>0.92300000000000004</v>
      </c>
      <c r="N1158">
        <v>6</v>
      </c>
      <c r="O1158" s="1">
        <v>-2.355</v>
      </c>
      <c r="P1158">
        <v>0</v>
      </c>
      <c r="Q1158" s="1">
        <v>0.50800000000000001</v>
      </c>
      <c r="R1158" s="1">
        <v>0.28699999999999998</v>
      </c>
      <c r="S1158" s="1">
        <v>0</v>
      </c>
      <c r="T1158" s="1">
        <v>0.152</v>
      </c>
      <c r="U1158" s="1">
        <v>0.39700000000000002</v>
      </c>
      <c r="V1158" s="1">
        <v>128.01</v>
      </c>
      <c r="W1158">
        <v>4</v>
      </c>
    </row>
    <row r="1159" spans="1:23" x14ac:dyDescent="0.25">
      <c r="A1159" s="1" t="s">
        <v>16006</v>
      </c>
      <c r="B1159" s="1" t="s">
        <v>16007</v>
      </c>
      <c r="C1159" s="1" t="s">
        <v>4164</v>
      </c>
      <c r="D1159" s="1" t="s">
        <v>4164</v>
      </c>
      <c r="E1159" s="1" t="s">
        <v>4165</v>
      </c>
      <c r="F1159" s="1" t="s">
        <v>16008</v>
      </c>
      <c r="G1159">
        <v>200000</v>
      </c>
      <c r="H1159">
        <v>27</v>
      </c>
      <c r="I1159" s="1" t="s">
        <v>11063</v>
      </c>
      <c r="J1159" s="11">
        <v>44729.706458333334</v>
      </c>
      <c r="K1159" s="1" t="s">
        <v>4166</v>
      </c>
      <c r="L1159" s="1">
        <v>0.44400000000000001</v>
      </c>
      <c r="M1159" s="1">
        <v>0.86599999999999999</v>
      </c>
      <c r="N1159">
        <v>9</v>
      </c>
      <c r="O1159" s="1">
        <v>-5.9980000000000002</v>
      </c>
      <c r="P1159">
        <v>1</v>
      </c>
      <c r="Q1159" s="1">
        <v>0.46300000000000002</v>
      </c>
      <c r="R1159" s="1">
        <v>0.13800000000000001</v>
      </c>
      <c r="S1159" s="1">
        <v>0.44500000000000001</v>
      </c>
      <c r="T1159" s="1">
        <v>0.79100000000000004</v>
      </c>
      <c r="U1159" s="1">
        <v>0.14399999999999999</v>
      </c>
      <c r="V1159" s="1">
        <v>180.03100000000001</v>
      </c>
      <c r="W1159">
        <v>4</v>
      </c>
    </row>
    <row r="1160" spans="1:23" x14ac:dyDescent="0.25">
      <c r="A1160" s="1" t="s">
        <v>16009</v>
      </c>
      <c r="B1160" s="1" t="s">
        <v>16010</v>
      </c>
      <c r="C1160" s="1" t="s">
        <v>4167</v>
      </c>
      <c r="D1160" s="1" t="s">
        <v>16011</v>
      </c>
      <c r="E1160" s="1" t="s">
        <v>4168</v>
      </c>
      <c r="F1160" s="1" t="s">
        <v>16012</v>
      </c>
      <c r="G1160">
        <v>224000</v>
      </c>
      <c r="H1160">
        <v>36</v>
      </c>
      <c r="I1160" s="1" t="s">
        <v>11063</v>
      </c>
      <c r="J1160" s="11">
        <v>44729.706458333334</v>
      </c>
      <c r="K1160" s="1" t="s">
        <v>50</v>
      </c>
      <c r="L1160" s="1">
        <v>0.46100000000000002</v>
      </c>
      <c r="M1160" s="1">
        <v>0.92100000000000004</v>
      </c>
      <c r="N1160">
        <v>2</v>
      </c>
      <c r="O1160" s="1">
        <v>-3.823</v>
      </c>
      <c r="P1160">
        <v>1</v>
      </c>
      <c r="Q1160" s="1">
        <v>0.71199999999999997</v>
      </c>
      <c r="R1160" s="1">
        <v>0.63600000000000001</v>
      </c>
      <c r="S1160" s="1">
        <v>0.98099999999999998</v>
      </c>
      <c r="T1160" s="1">
        <v>0.108</v>
      </c>
      <c r="U1160" s="1">
        <v>0.30199999999999999</v>
      </c>
      <c r="V1160" s="1">
        <v>149.934</v>
      </c>
      <c r="W1160">
        <v>4</v>
      </c>
    </row>
    <row r="1161" spans="1:23" x14ac:dyDescent="0.25">
      <c r="A1161" s="1" t="s">
        <v>16013</v>
      </c>
      <c r="B1161" s="1" t="s">
        <v>16014</v>
      </c>
      <c r="C1161" s="1" t="s">
        <v>4169</v>
      </c>
      <c r="D1161" s="1" t="s">
        <v>4169</v>
      </c>
      <c r="E1161" s="1" t="s">
        <v>4170</v>
      </c>
      <c r="F1161" s="1" t="s">
        <v>15697</v>
      </c>
      <c r="G1161">
        <v>190984</v>
      </c>
      <c r="H1161">
        <v>20</v>
      </c>
      <c r="I1161" s="1" t="s">
        <v>11063</v>
      </c>
      <c r="J1161" s="11">
        <v>44729.706458333334</v>
      </c>
      <c r="K1161" s="1" t="s">
        <v>50</v>
      </c>
      <c r="L1161" s="1">
        <v>0.60199999999999998</v>
      </c>
      <c r="M1161" s="1">
        <v>0.61699999999999999</v>
      </c>
      <c r="N1161">
        <v>9</v>
      </c>
      <c r="O1161" s="1">
        <v>-8.9060000000000006</v>
      </c>
      <c r="P1161">
        <v>0</v>
      </c>
      <c r="Q1161" s="1">
        <v>0.187</v>
      </c>
      <c r="R1161" s="1">
        <v>0.13100000000000001</v>
      </c>
      <c r="S1161" s="1">
        <v>0.61299999999999999</v>
      </c>
      <c r="T1161" s="1">
        <v>0.14000000000000001</v>
      </c>
      <c r="U1161" s="1">
        <v>0.34399999999999997</v>
      </c>
      <c r="V1161" s="1">
        <v>75.831000000000003</v>
      </c>
      <c r="W1161">
        <v>4</v>
      </c>
    </row>
    <row r="1162" spans="1:23" x14ac:dyDescent="0.25">
      <c r="A1162" s="1" t="s">
        <v>16015</v>
      </c>
      <c r="B1162" s="1" t="s">
        <v>16016</v>
      </c>
      <c r="C1162" s="1" t="s">
        <v>4171</v>
      </c>
      <c r="D1162" s="1" t="s">
        <v>16017</v>
      </c>
      <c r="E1162" s="1" t="s">
        <v>4172</v>
      </c>
      <c r="F1162" s="1" t="s">
        <v>16018</v>
      </c>
      <c r="G1162">
        <v>202500</v>
      </c>
      <c r="H1162">
        <v>28</v>
      </c>
      <c r="I1162" s="1" t="s">
        <v>11063</v>
      </c>
      <c r="J1162" s="11">
        <v>44729.706458333334</v>
      </c>
      <c r="K1162" s="1" t="s">
        <v>4173</v>
      </c>
      <c r="L1162" s="1">
        <v>0.433</v>
      </c>
      <c r="M1162" s="1">
        <v>0.83399999999999996</v>
      </c>
      <c r="N1162">
        <v>1</v>
      </c>
      <c r="O1162" s="1">
        <v>-5.08</v>
      </c>
      <c r="P1162">
        <v>1</v>
      </c>
      <c r="Q1162" s="1">
        <v>0.66800000000000004</v>
      </c>
      <c r="R1162" s="1">
        <v>0.33</v>
      </c>
      <c r="S1162" s="1">
        <v>0.96699999999999997</v>
      </c>
      <c r="T1162" s="1">
        <v>0.14399999999999999</v>
      </c>
      <c r="U1162" s="1">
        <v>0.32</v>
      </c>
      <c r="V1162" s="1">
        <v>96.200999999999993</v>
      </c>
      <c r="W1162">
        <v>4</v>
      </c>
    </row>
    <row r="1163" spans="1:23" x14ac:dyDescent="0.25">
      <c r="A1163" s="1" t="s">
        <v>16019</v>
      </c>
      <c r="B1163" s="1" t="s">
        <v>16020</v>
      </c>
      <c r="C1163" s="1" t="s">
        <v>4174</v>
      </c>
      <c r="D1163" s="1" t="s">
        <v>4174</v>
      </c>
      <c r="E1163" s="1" t="s">
        <v>4175</v>
      </c>
      <c r="F1163" s="1" t="s">
        <v>16021</v>
      </c>
      <c r="G1163">
        <v>167750</v>
      </c>
      <c r="H1163">
        <v>36</v>
      </c>
      <c r="I1163" s="1" t="s">
        <v>11063</v>
      </c>
      <c r="J1163" s="11">
        <v>44729.706458333334</v>
      </c>
      <c r="K1163" s="1" t="s">
        <v>1053</v>
      </c>
      <c r="L1163" s="1">
        <v>0.55900000000000005</v>
      </c>
      <c r="M1163" s="1">
        <v>0.66700000000000004</v>
      </c>
      <c r="N1163">
        <v>7</v>
      </c>
      <c r="O1163" s="1">
        <v>-6.1349999999999998</v>
      </c>
      <c r="P1163">
        <v>1</v>
      </c>
      <c r="Q1163" s="1">
        <v>0.28100000000000003</v>
      </c>
      <c r="R1163" s="1">
        <v>0.315</v>
      </c>
      <c r="S1163" s="1">
        <v>0.11</v>
      </c>
      <c r="T1163" s="1">
        <v>0.151</v>
      </c>
      <c r="U1163" s="1">
        <v>0.35499999999999998</v>
      </c>
      <c r="V1163" s="1">
        <v>99.995999999999995</v>
      </c>
      <c r="W1163">
        <v>4</v>
      </c>
    </row>
    <row r="1164" spans="1:23" x14ac:dyDescent="0.25">
      <c r="A1164" s="1" t="s">
        <v>16022</v>
      </c>
      <c r="B1164" s="1" t="s">
        <v>16023</v>
      </c>
      <c r="C1164" s="1" t="s">
        <v>2374</v>
      </c>
      <c r="D1164" s="1" t="s">
        <v>2374</v>
      </c>
      <c r="E1164" s="1" t="s">
        <v>4176</v>
      </c>
      <c r="F1164" s="1" t="s">
        <v>16024</v>
      </c>
      <c r="G1164">
        <v>226285</v>
      </c>
      <c r="H1164">
        <v>27</v>
      </c>
      <c r="I1164" s="1" t="s">
        <v>11063</v>
      </c>
      <c r="J1164" s="11">
        <v>44729.706458333334</v>
      </c>
      <c r="K1164" s="1" t="s">
        <v>50</v>
      </c>
      <c r="L1164" s="1">
        <v>0.48599999999999999</v>
      </c>
      <c r="M1164" s="1">
        <v>0.755</v>
      </c>
      <c r="N1164">
        <v>6</v>
      </c>
      <c r="O1164" s="1">
        <v>-4.8579999999999997</v>
      </c>
      <c r="P1164">
        <v>0</v>
      </c>
      <c r="Q1164" s="1">
        <v>0.41799999999999998</v>
      </c>
      <c r="R1164" s="1">
        <v>0.88</v>
      </c>
      <c r="S1164" s="1">
        <v>0.66</v>
      </c>
      <c r="T1164" s="1">
        <v>0.17199999999999999</v>
      </c>
      <c r="U1164" s="1">
        <v>0.17599999999999999</v>
      </c>
      <c r="V1164" s="1">
        <v>140.10900000000001</v>
      </c>
      <c r="W1164">
        <v>4</v>
      </c>
    </row>
    <row r="1165" spans="1:23" x14ac:dyDescent="0.25">
      <c r="A1165" s="1" t="s">
        <v>16025</v>
      </c>
      <c r="B1165" s="1" t="s">
        <v>16026</v>
      </c>
      <c r="C1165" s="1" t="s">
        <v>4177</v>
      </c>
      <c r="D1165" s="1" t="s">
        <v>16027</v>
      </c>
      <c r="E1165" s="1" t="s">
        <v>4178</v>
      </c>
      <c r="F1165" s="1" t="s">
        <v>11689</v>
      </c>
      <c r="G1165">
        <v>165818</v>
      </c>
      <c r="H1165">
        <v>26</v>
      </c>
      <c r="I1165" s="1" t="s">
        <v>11063</v>
      </c>
      <c r="J1165" s="11">
        <v>44729.706458333334</v>
      </c>
      <c r="K1165" s="1" t="s">
        <v>50</v>
      </c>
      <c r="L1165" s="1">
        <v>0.60599999999999998</v>
      </c>
      <c r="M1165" s="1">
        <v>0.8</v>
      </c>
      <c r="N1165">
        <v>11</v>
      </c>
      <c r="O1165" s="1">
        <v>-6.7249999999999996</v>
      </c>
      <c r="P1165">
        <v>0</v>
      </c>
      <c r="Q1165" s="1">
        <v>0.219</v>
      </c>
      <c r="R1165" s="1">
        <v>0.22800000000000001</v>
      </c>
      <c r="S1165" s="1">
        <v>0.112</v>
      </c>
      <c r="T1165" s="1">
        <v>0.23699999999999999</v>
      </c>
      <c r="U1165" s="1">
        <v>0.372</v>
      </c>
      <c r="V1165" s="1">
        <v>109.99299999999999</v>
      </c>
      <c r="W1165">
        <v>4</v>
      </c>
    </row>
    <row r="1166" spans="1:23" x14ac:dyDescent="0.25">
      <c r="A1166" s="1" t="s">
        <v>16028</v>
      </c>
      <c r="B1166" s="1" t="s">
        <v>16029</v>
      </c>
      <c r="C1166" s="1" t="s">
        <v>4179</v>
      </c>
      <c r="D1166" s="1" t="s">
        <v>4179</v>
      </c>
      <c r="E1166" s="1" t="s">
        <v>4180</v>
      </c>
      <c r="F1166" s="1" t="s">
        <v>11530</v>
      </c>
      <c r="G1166">
        <v>210469</v>
      </c>
      <c r="H1166">
        <v>34</v>
      </c>
      <c r="I1166" s="1" t="s">
        <v>11063</v>
      </c>
      <c r="J1166" s="11">
        <v>44729.706458333334</v>
      </c>
      <c r="K1166" s="1" t="s">
        <v>2222</v>
      </c>
      <c r="L1166" s="1">
        <v>0.58299999999999996</v>
      </c>
      <c r="M1166" s="1">
        <v>0.60699999999999998</v>
      </c>
      <c r="N1166">
        <v>2</v>
      </c>
      <c r="O1166" s="1">
        <v>-5.7919999999999998</v>
      </c>
      <c r="P1166">
        <v>0</v>
      </c>
      <c r="Q1166" s="1">
        <v>0.32900000000000001</v>
      </c>
      <c r="R1166" s="1">
        <v>0.31900000000000001</v>
      </c>
      <c r="S1166" s="1">
        <v>0.13300000000000001</v>
      </c>
      <c r="T1166" s="1">
        <v>0.14499999999999999</v>
      </c>
      <c r="U1166" s="1">
        <v>0.312</v>
      </c>
      <c r="V1166" s="1">
        <v>132.97900000000001</v>
      </c>
      <c r="W1166">
        <v>4</v>
      </c>
    </row>
    <row r="1167" spans="1:23" x14ac:dyDescent="0.25">
      <c r="A1167" s="1" t="s">
        <v>16030</v>
      </c>
      <c r="B1167" s="1" t="s">
        <v>16031</v>
      </c>
      <c r="C1167" s="1" t="s">
        <v>4181</v>
      </c>
      <c r="D1167" s="1" t="s">
        <v>16032</v>
      </c>
      <c r="E1167" s="1" t="s">
        <v>4182</v>
      </c>
      <c r="F1167" s="1" t="s">
        <v>13797</v>
      </c>
      <c r="G1167">
        <v>218838</v>
      </c>
      <c r="H1167">
        <v>35</v>
      </c>
      <c r="I1167" s="1" t="s">
        <v>11063</v>
      </c>
      <c r="J1167" s="11">
        <v>44729.706458333334</v>
      </c>
      <c r="K1167" s="1" t="s">
        <v>4183</v>
      </c>
      <c r="L1167" s="1">
        <v>0.46100000000000002</v>
      </c>
      <c r="M1167" s="1">
        <v>0.63200000000000001</v>
      </c>
      <c r="N1167">
        <v>8</v>
      </c>
      <c r="O1167" s="1">
        <v>-5.56</v>
      </c>
      <c r="P1167">
        <v>0</v>
      </c>
      <c r="Q1167" s="1">
        <v>0.35299999999999998</v>
      </c>
      <c r="R1167" s="1">
        <v>0.17899999999999999</v>
      </c>
      <c r="S1167" s="1">
        <v>0.501</v>
      </c>
      <c r="T1167" s="1">
        <v>0.13100000000000001</v>
      </c>
      <c r="U1167" s="1">
        <v>0.26500000000000001</v>
      </c>
      <c r="V1167" s="1">
        <v>84.941000000000003</v>
      </c>
      <c r="W1167">
        <v>4</v>
      </c>
    </row>
    <row r="1168" spans="1:23" x14ac:dyDescent="0.25">
      <c r="A1168" s="1" t="s">
        <v>16033</v>
      </c>
      <c r="B1168" s="1" t="s">
        <v>16034</v>
      </c>
      <c r="C1168" s="1" t="s">
        <v>4184</v>
      </c>
      <c r="D1168" s="1" t="s">
        <v>16035</v>
      </c>
      <c r="E1168" s="1" t="s">
        <v>4185</v>
      </c>
      <c r="F1168" s="1" t="s">
        <v>11340</v>
      </c>
      <c r="G1168">
        <v>215480</v>
      </c>
      <c r="H1168">
        <v>26</v>
      </c>
      <c r="I1168" s="1" t="s">
        <v>11063</v>
      </c>
      <c r="J1168" s="11">
        <v>44729.706458333334</v>
      </c>
      <c r="K1168" s="1" t="s">
        <v>2525</v>
      </c>
      <c r="L1168" s="1">
        <v>0.52500000000000002</v>
      </c>
      <c r="M1168" s="1">
        <v>0.83399999999999996</v>
      </c>
      <c r="N1168">
        <v>7</v>
      </c>
      <c r="O1168" s="1">
        <v>-4.1020000000000003</v>
      </c>
      <c r="P1168">
        <v>0</v>
      </c>
      <c r="Q1168" s="1">
        <v>0.55500000000000005</v>
      </c>
      <c r="R1168" s="1">
        <v>0.47899999999999998</v>
      </c>
      <c r="S1168" s="1">
        <v>0.34699999999999998</v>
      </c>
      <c r="T1168" s="1">
        <v>0.14499999999999999</v>
      </c>
      <c r="U1168" s="1">
        <v>0.71799999999999997</v>
      </c>
      <c r="V1168" s="1">
        <v>166.107</v>
      </c>
      <c r="W1168">
        <v>4</v>
      </c>
    </row>
    <row r="1169" spans="1:23" x14ac:dyDescent="0.25">
      <c r="A1169" s="1" t="s">
        <v>16036</v>
      </c>
      <c r="B1169" s="1" t="s">
        <v>16037</v>
      </c>
      <c r="C1169" s="1" t="s">
        <v>4186</v>
      </c>
      <c r="D1169" s="1" t="s">
        <v>4186</v>
      </c>
      <c r="E1169" s="1" t="s">
        <v>4187</v>
      </c>
      <c r="F1169" s="1" t="s">
        <v>16038</v>
      </c>
      <c r="G1169">
        <v>270094</v>
      </c>
      <c r="H1169">
        <v>36</v>
      </c>
      <c r="I1169" s="1" t="s">
        <v>11063</v>
      </c>
      <c r="J1169" s="11">
        <v>44729.706458333334</v>
      </c>
      <c r="K1169" s="1" t="s">
        <v>2713</v>
      </c>
      <c r="L1169" s="1">
        <v>0.55900000000000005</v>
      </c>
      <c r="M1169" s="1">
        <v>0.80200000000000005</v>
      </c>
      <c r="N1169">
        <v>5</v>
      </c>
      <c r="O1169" s="1">
        <v>-4.8310000000000004</v>
      </c>
      <c r="P1169">
        <v>1</v>
      </c>
      <c r="Q1169" s="1">
        <v>0.436</v>
      </c>
      <c r="R1169" s="1">
        <v>0.47899999999999998</v>
      </c>
      <c r="S1169" s="1">
        <v>0.42099999999999999</v>
      </c>
      <c r="T1169" s="1">
        <v>0.95699999999999996</v>
      </c>
      <c r="U1169" s="1">
        <v>0.30199999999999999</v>
      </c>
      <c r="V1169" s="1">
        <v>100.057</v>
      </c>
      <c r="W1169">
        <v>4</v>
      </c>
    </row>
    <row r="1170" spans="1:23" x14ac:dyDescent="0.25">
      <c r="A1170" s="1" t="s">
        <v>16039</v>
      </c>
      <c r="B1170" s="1" t="s">
        <v>16040</v>
      </c>
      <c r="C1170" s="1" t="s">
        <v>4188</v>
      </c>
      <c r="D1170" s="1" t="s">
        <v>16041</v>
      </c>
      <c r="E1170" s="1" t="s">
        <v>4189</v>
      </c>
      <c r="F1170" s="1" t="s">
        <v>16042</v>
      </c>
      <c r="G1170">
        <v>212481</v>
      </c>
      <c r="H1170">
        <v>25</v>
      </c>
      <c r="I1170" s="1" t="s">
        <v>11063</v>
      </c>
      <c r="J1170" s="11">
        <v>44729.706458333334</v>
      </c>
      <c r="K1170" s="1" t="s">
        <v>3444</v>
      </c>
      <c r="L1170" s="1">
        <v>0.497</v>
      </c>
      <c r="M1170" s="1">
        <v>0.60099999999999998</v>
      </c>
      <c r="N1170">
        <v>6</v>
      </c>
      <c r="O1170" s="1">
        <v>-5.5049999999999999</v>
      </c>
      <c r="P1170">
        <v>1</v>
      </c>
      <c r="Q1170" s="1">
        <v>0.52500000000000002</v>
      </c>
      <c r="R1170" s="1">
        <v>0.51700000000000002</v>
      </c>
      <c r="S1170" s="1">
        <v>0.1</v>
      </c>
      <c r="T1170" s="1">
        <v>0.80700000000000005</v>
      </c>
      <c r="U1170" s="1">
        <v>0.27200000000000002</v>
      </c>
      <c r="V1170" s="1">
        <v>147.673</v>
      </c>
      <c r="W1170">
        <v>4</v>
      </c>
    </row>
    <row r="1171" spans="1:23" x14ac:dyDescent="0.25">
      <c r="A1171" s="1" t="s">
        <v>16043</v>
      </c>
      <c r="B1171" s="1" t="s">
        <v>16044</v>
      </c>
      <c r="C1171" s="1" t="s">
        <v>4190</v>
      </c>
      <c r="D1171" s="1" t="s">
        <v>16045</v>
      </c>
      <c r="E1171" s="1" t="s">
        <v>4191</v>
      </c>
      <c r="F1171" s="1" t="s">
        <v>16046</v>
      </c>
      <c r="G1171">
        <v>414466</v>
      </c>
      <c r="H1171">
        <v>55</v>
      </c>
      <c r="I1171" s="1" t="s">
        <v>11063</v>
      </c>
      <c r="J1171" s="11">
        <v>44729.706458333334</v>
      </c>
      <c r="K1171" s="1" t="s">
        <v>4192</v>
      </c>
      <c r="L1171" s="1">
        <v>0.53600000000000003</v>
      </c>
      <c r="M1171" s="1">
        <v>0.40300000000000002</v>
      </c>
      <c r="N1171">
        <v>9</v>
      </c>
      <c r="O1171" s="1">
        <v>-6.38</v>
      </c>
      <c r="P1171">
        <v>1</v>
      </c>
      <c r="Q1171" s="1">
        <v>0.33500000000000002</v>
      </c>
      <c r="R1171" s="1">
        <v>0.36199999999999999</v>
      </c>
      <c r="S1171" s="1">
        <v>0</v>
      </c>
      <c r="T1171" s="1">
        <v>0.29199999999999998</v>
      </c>
      <c r="U1171" s="1">
        <v>0.246</v>
      </c>
      <c r="V1171" s="1">
        <v>141.55099999999999</v>
      </c>
      <c r="W1171">
        <v>4</v>
      </c>
    </row>
    <row r="1172" spans="1:23" x14ac:dyDescent="0.25">
      <c r="A1172" s="1" t="s">
        <v>16047</v>
      </c>
      <c r="B1172" s="1" t="s">
        <v>16048</v>
      </c>
      <c r="C1172" s="1" t="s">
        <v>4193</v>
      </c>
      <c r="D1172" s="1" t="s">
        <v>16045</v>
      </c>
      <c r="E1172" s="1" t="s">
        <v>4194</v>
      </c>
      <c r="F1172" s="1" t="s">
        <v>16046</v>
      </c>
      <c r="G1172">
        <v>188066</v>
      </c>
      <c r="H1172">
        <v>56</v>
      </c>
      <c r="I1172" s="1" t="s">
        <v>11063</v>
      </c>
      <c r="J1172" s="11">
        <v>44729.706458333334</v>
      </c>
      <c r="K1172" s="1" t="s">
        <v>4192</v>
      </c>
      <c r="L1172" s="1">
        <v>0.46100000000000002</v>
      </c>
      <c r="M1172" s="1">
        <v>0.42299999999999999</v>
      </c>
      <c r="N1172">
        <v>4</v>
      </c>
      <c r="O1172" s="1">
        <v>-9.1609999999999996</v>
      </c>
      <c r="P1172">
        <v>1</v>
      </c>
      <c r="Q1172" s="1">
        <v>0.36899999999999999</v>
      </c>
      <c r="R1172" s="1">
        <v>0.48599999999999999</v>
      </c>
      <c r="S1172" s="1">
        <v>0.11799999999999999</v>
      </c>
      <c r="T1172" s="1">
        <v>0.13700000000000001</v>
      </c>
      <c r="U1172" s="1">
        <v>0.54600000000000004</v>
      </c>
      <c r="V1172" s="1">
        <v>146.06100000000001</v>
      </c>
      <c r="W1172">
        <v>4</v>
      </c>
    </row>
    <row r="1173" spans="1:23" x14ac:dyDescent="0.25">
      <c r="A1173" s="1" t="s">
        <v>16049</v>
      </c>
      <c r="B1173" s="1" t="s">
        <v>16050</v>
      </c>
      <c r="C1173" s="1" t="s">
        <v>4195</v>
      </c>
      <c r="D1173" s="1" t="s">
        <v>16051</v>
      </c>
      <c r="E1173" s="1" t="s">
        <v>4196</v>
      </c>
      <c r="F1173" s="1" t="s">
        <v>13459</v>
      </c>
      <c r="G1173">
        <v>226562</v>
      </c>
      <c r="H1173">
        <v>32</v>
      </c>
      <c r="I1173" s="1" t="s">
        <v>11063</v>
      </c>
      <c r="J1173" s="11">
        <v>44729.706458333334</v>
      </c>
      <c r="K1173" s="1" t="s">
        <v>4197</v>
      </c>
      <c r="L1173" s="1">
        <v>0.627</v>
      </c>
      <c r="M1173" s="1">
        <v>0.64</v>
      </c>
      <c r="N1173">
        <v>7</v>
      </c>
      <c r="O1173" s="1">
        <v>-5.2190000000000003</v>
      </c>
      <c r="P1173">
        <v>1</v>
      </c>
      <c r="Q1173" s="1">
        <v>0.35599999999999998</v>
      </c>
      <c r="R1173" s="1">
        <v>0.37</v>
      </c>
      <c r="S1173" s="1">
        <v>0.24399999999999999</v>
      </c>
      <c r="T1173" s="1">
        <v>0.13700000000000001</v>
      </c>
      <c r="U1173" s="1">
        <v>0.21299999999999999</v>
      </c>
      <c r="V1173" s="1">
        <v>95.956000000000003</v>
      </c>
      <c r="W1173">
        <v>4</v>
      </c>
    </row>
    <row r="1174" spans="1:23" x14ac:dyDescent="0.25">
      <c r="A1174" s="1" t="s">
        <v>16052</v>
      </c>
      <c r="B1174" s="1" t="s">
        <v>13634</v>
      </c>
      <c r="C1174" s="1" t="s">
        <v>4198</v>
      </c>
      <c r="D1174" s="1" t="s">
        <v>16053</v>
      </c>
      <c r="E1174" s="1" t="s">
        <v>2085</v>
      </c>
      <c r="F1174" s="1" t="s">
        <v>13922</v>
      </c>
      <c r="G1174">
        <v>241653</v>
      </c>
      <c r="H1174">
        <v>61</v>
      </c>
      <c r="I1174" s="1" t="s">
        <v>11063</v>
      </c>
      <c r="J1174" s="11">
        <v>44729.706458333334</v>
      </c>
      <c r="K1174" s="1" t="s">
        <v>2086</v>
      </c>
      <c r="L1174" s="1">
        <v>0.49099999999999999</v>
      </c>
      <c r="M1174" s="1">
        <v>0.68799999999999994</v>
      </c>
      <c r="N1174">
        <v>2</v>
      </c>
      <c r="O1174" s="1">
        <v>-6.05</v>
      </c>
      <c r="P1174">
        <v>1</v>
      </c>
      <c r="Q1174" s="1">
        <v>0.45300000000000001</v>
      </c>
      <c r="R1174" s="1">
        <v>0.84899999999999998</v>
      </c>
      <c r="S1174" s="1">
        <v>0</v>
      </c>
      <c r="T1174" s="1">
        <v>0.111</v>
      </c>
      <c r="U1174" s="1">
        <v>0.27900000000000003</v>
      </c>
      <c r="V1174" s="1">
        <v>140.072</v>
      </c>
      <c r="W1174">
        <v>4</v>
      </c>
    </row>
    <row r="1175" spans="1:23" x14ac:dyDescent="0.25">
      <c r="A1175" s="1" t="s">
        <v>16054</v>
      </c>
      <c r="B1175" s="1" t="s">
        <v>16055</v>
      </c>
      <c r="C1175" s="1" t="s">
        <v>4199</v>
      </c>
      <c r="D1175" s="1" t="s">
        <v>3494</v>
      </c>
      <c r="E1175" s="1" t="s">
        <v>4200</v>
      </c>
      <c r="F1175" s="1" t="s">
        <v>16056</v>
      </c>
      <c r="G1175">
        <v>213480</v>
      </c>
      <c r="H1175">
        <v>46</v>
      </c>
      <c r="I1175" s="1" t="s">
        <v>11063</v>
      </c>
      <c r="J1175" s="11">
        <v>44729.706458333334</v>
      </c>
      <c r="K1175" s="1" t="s">
        <v>4201</v>
      </c>
      <c r="L1175" s="1">
        <v>0.51800000000000002</v>
      </c>
      <c r="M1175" s="1">
        <v>0.82899999999999996</v>
      </c>
      <c r="N1175">
        <v>2</v>
      </c>
      <c r="O1175" s="1">
        <v>-3.3220000000000001</v>
      </c>
      <c r="P1175">
        <v>1</v>
      </c>
      <c r="Q1175" s="1">
        <v>0.41399999999999998</v>
      </c>
      <c r="R1175" s="1">
        <v>0.19800000000000001</v>
      </c>
      <c r="S1175" s="1">
        <v>0.55700000000000005</v>
      </c>
      <c r="T1175" s="1">
        <v>0.13</v>
      </c>
      <c r="U1175" s="1">
        <v>0.14899999999999999</v>
      </c>
      <c r="V1175" s="1">
        <v>125.991</v>
      </c>
      <c r="W1175">
        <v>4</v>
      </c>
    </row>
    <row r="1176" spans="1:23" x14ac:dyDescent="0.25">
      <c r="A1176" s="1" t="s">
        <v>16057</v>
      </c>
      <c r="B1176" s="1" t="s">
        <v>16058</v>
      </c>
      <c r="C1176" s="1" t="s">
        <v>4202</v>
      </c>
      <c r="D1176" s="1" t="s">
        <v>4202</v>
      </c>
      <c r="E1176" s="1" t="s">
        <v>4203</v>
      </c>
      <c r="F1176" s="1" t="s">
        <v>16059</v>
      </c>
      <c r="G1176">
        <v>176445</v>
      </c>
      <c r="H1176">
        <v>51</v>
      </c>
      <c r="I1176" s="1" t="s">
        <v>11063</v>
      </c>
      <c r="J1176" s="11">
        <v>44729.706458333334</v>
      </c>
      <c r="K1176" s="1" t="s">
        <v>4204</v>
      </c>
      <c r="L1176" s="1">
        <v>0.52500000000000002</v>
      </c>
      <c r="M1176" s="1">
        <v>0.96299999999999997</v>
      </c>
      <c r="N1176">
        <v>11</v>
      </c>
      <c r="O1176" s="1">
        <v>-4.9960000000000004</v>
      </c>
      <c r="P1176">
        <v>1</v>
      </c>
      <c r="Q1176" s="1">
        <v>0.16300000000000001</v>
      </c>
      <c r="R1176" s="1">
        <v>0.47599999999999998</v>
      </c>
      <c r="S1176" s="1">
        <v>0.45100000000000001</v>
      </c>
      <c r="T1176" s="1">
        <v>0.63</v>
      </c>
      <c r="U1176" s="1">
        <v>0.63400000000000001</v>
      </c>
      <c r="V1176" s="1">
        <v>170.065</v>
      </c>
      <c r="W1176">
        <v>4</v>
      </c>
    </row>
    <row r="1177" spans="1:23" x14ac:dyDescent="0.25">
      <c r="A1177" s="1" t="s">
        <v>16060</v>
      </c>
      <c r="B1177" s="1" t="s">
        <v>16061</v>
      </c>
      <c r="C1177" s="1" t="s">
        <v>4205</v>
      </c>
      <c r="D1177" s="1" t="s">
        <v>16062</v>
      </c>
      <c r="E1177" s="1" t="s">
        <v>4206</v>
      </c>
      <c r="F1177" s="1" t="s">
        <v>16063</v>
      </c>
      <c r="G1177">
        <v>238360</v>
      </c>
      <c r="H1177">
        <v>6</v>
      </c>
      <c r="I1177" s="1" t="s">
        <v>11063</v>
      </c>
      <c r="J1177" s="11">
        <v>44729.706458333334</v>
      </c>
      <c r="K1177" s="1" t="s">
        <v>4207</v>
      </c>
      <c r="L1177" s="1">
        <v>0.50700000000000001</v>
      </c>
      <c r="M1177" s="1">
        <v>0.88900000000000001</v>
      </c>
      <c r="N1177">
        <v>7</v>
      </c>
      <c r="O1177" s="1">
        <v>-2.7549999999999999</v>
      </c>
      <c r="P1177">
        <v>0</v>
      </c>
      <c r="Q1177" s="1">
        <v>0.86</v>
      </c>
      <c r="R1177" s="1">
        <v>0.495</v>
      </c>
      <c r="S1177" s="1">
        <v>0</v>
      </c>
      <c r="T1177" s="1">
        <v>0.98299999999999998</v>
      </c>
      <c r="U1177" s="1">
        <v>0.33300000000000002</v>
      </c>
      <c r="V1177" s="1">
        <v>135.02099999999999</v>
      </c>
      <c r="W1177">
        <v>4</v>
      </c>
    </row>
    <row r="1178" spans="1:23" x14ac:dyDescent="0.25">
      <c r="A1178" s="1" t="s">
        <v>16064</v>
      </c>
      <c r="B1178" s="1" t="s">
        <v>16044</v>
      </c>
      <c r="C1178" s="1" t="s">
        <v>4208</v>
      </c>
      <c r="D1178" s="1" t="s">
        <v>16065</v>
      </c>
      <c r="E1178" s="1" t="s">
        <v>4191</v>
      </c>
      <c r="F1178" s="1" t="s">
        <v>14989</v>
      </c>
      <c r="G1178">
        <v>410213</v>
      </c>
      <c r="H1178">
        <v>55</v>
      </c>
      <c r="I1178" s="1" t="s">
        <v>11063</v>
      </c>
      <c r="J1178" s="11">
        <v>44729.706458333334</v>
      </c>
      <c r="K1178" s="1" t="s">
        <v>4192</v>
      </c>
      <c r="L1178" s="1">
        <v>0.63400000000000001</v>
      </c>
      <c r="M1178" s="1">
        <v>0.50600000000000001</v>
      </c>
      <c r="N1178">
        <v>11</v>
      </c>
      <c r="O1178" s="1">
        <v>-5.8819999999999997</v>
      </c>
      <c r="P1178">
        <v>1</v>
      </c>
      <c r="Q1178" s="1">
        <v>0.316</v>
      </c>
      <c r="R1178" s="1">
        <v>0.72899999999999998</v>
      </c>
      <c r="S1178" s="1">
        <v>0.111</v>
      </c>
      <c r="T1178" s="1">
        <v>0.12</v>
      </c>
      <c r="U1178" s="1">
        <v>0.24399999999999999</v>
      </c>
      <c r="V1178" s="1">
        <v>124.003</v>
      </c>
      <c r="W1178">
        <v>4</v>
      </c>
    </row>
    <row r="1179" spans="1:23" x14ac:dyDescent="0.25">
      <c r="A1179" s="1" t="s">
        <v>16066</v>
      </c>
      <c r="B1179" s="1" t="s">
        <v>16067</v>
      </c>
      <c r="C1179" s="1" t="s">
        <v>4209</v>
      </c>
      <c r="D1179" s="1" t="s">
        <v>16068</v>
      </c>
      <c r="E1179" s="1" t="s">
        <v>4210</v>
      </c>
      <c r="F1179" s="1" t="s">
        <v>16069</v>
      </c>
      <c r="G1179">
        <v>219320</v>
      </c>
      <c r="H1179">
        <v>76</v>
      </c>
      <c r="I1179" s="1" t="s">
        <v>11063</v>
      </c>
      <c r="J1179" s="11">
        <v>44729.706458333334</v>
      </c>
      <c r="K1179" s="1" t="s">
        <v>4211</v>
      </c>
      <c r="L1179" s="1">
        <v>0.72499999999999998</v>
      </c>
      <c r="M1179" s="1">
        <v>0.53400000000000003</v>
      </c>
      <c r="N1179">
        <v>11</v>
      </c>
      <c r="O1179" s="1">
        <v>-6.2380000000000004</v>
      </c>
      <c r="P1179">
        <v>1</v>
      </c>
      <c r="Q1179" s="1">
        <v>0.94599999999999995</v>
      </c>
      <c r="R1179" s="1">
        <v>0.752</v>
      </c>
      <c r="S1179" s="1">
        <v>0</v>
      </c>
      <c r="T1179" s="1">
        <v>0.91900000000000004</v>
      </c>
      <c r="U1179" s="1">
        <v>0.55800000000000005</v>
      </c>
      <c r="V1179" s="1">
        <v>91.974000000000004</v>
      </c>
      <c r="W1179">
        <v>4</v>
      </c>
    </row>
    <row r="1180" spans="1:23" x14ac:dyDescent="0.25">
      <c r="A1180" s="1" t="s">
        <v>16070</v>
      </c>
      <c r="B1180" s="1" t="s">
        <v>16071</v>
      </c>
      <c r="C1180" s="1" t="s">
        <v>4212</v>
      </c>
      <c r="D1180" s="1" t="s">
        <v>16072</v>
      </c>
      <c r="E1180" s="1" t="s">
        <v>4213</v>
      </c>
      <c r="F1180" s="1" t="s">
        <v>16073</v>
      </c>
      <c r="G1180">
        <v>247020</v>
      </c>
      <c r="H1180">
        <v>45</v>
      </c>
      <c r="I1180" s="1" t="s">
        <v>11063</v>
      </c>
      <c r="J1180" s="11">
        <v>44729.706458333334</v>
      </c>
      <c r="K1180" s="1" t="s">
        <v>1051</v>
      </c>
      <c r="L1180" s="1">
        <v>0.34899999999999998</v>
      </c>
      <c r="M1180" s="1">
        <v>0.749</v>
      </c>
      <c r="N1180">
        <v>2</v>
      </c>
      <c r="O1180" s="1">
        <v>-4.7290000000000001</v>
      </c>
      <c r="P1180">
        <v>1</v>
      </c>
      <c r="Q1180" s="1">
        <v>0.32900000000000001</v>
      </c>
      <c r="R1180" s="1">
        <v>0.21099999999999999</v>
      </c>
      <c r="S1180" s="1">
        <v>0.36499999999999999</v>
      </c>
      <c r="T1180" s="1">
        <v>0.127</v>
      </c>
      <c r="U1180" s="1">
        <v>0.53200000000000003</v>
      </c>
      <c r="V1180" s="1">
        <v>173.934</v>
      </c>
      <c r="W1180">
        <v>4</v>
      </c>
    </row>
    <row r="1181" spans="1:23" x14ac:dyDescent="0.25">
      <c r="A1181" s="1" t="s">
        <v>16074</v>
      </c>
      <c r="B1181" s="1" t="s">
        <v>13698</v>
      </c>
      <c r="C1181" s="1" t="s">
        <v>4214</v>
      </c>
      <c r="D1181" s="1" t="s">
        <v>16075</v>
      </c>
      <c r="E1181" s="1" t="s">
        <v>2152</v>
      </c>
      <c r="F1181" s="1" t="s">
        <v>16076</v>
      </c>
      <c r="G1181">
        <v>213413</v>
      </c>
      <c r="H1181">
        <v>27</v>
      </c>
      <c r="I1181" s="1" t="s">
        <v>11063</v>
      </c>
      <c r="J1181" s="11">
        <v>44729.706458333334</v>
      </c>
      <c r="K1181" s="1" t="s">
        <v>2153</v>
      </c>
      <c r="L1181" s="1">
        <v>0.58099999999999996</v>
      </c>
      <c r="M1181" s="1">
        <v>0.71799999999999997</v>
      </c>
      <c r="N1181">
        <v>0</v>
      </c>
      <c r="O1181" s="1">
        <v>-5.4690000000000003</v>
      </c>
      <c r="P1181">
        <v>0</v>
      </c>
      <c r="Q1181" s="1">
        <v>0.67500000000000004</v>
      </c>
      <c r="R1181" s="1">
        <v>0.25</v>
      </c>
      <c r="S1181" s="1">
        <v>0.13100000000000001</v>
      </c>
      <c r="T1181" s="1">
        <v>0.95899999999999996</v>
      </c>
      <c r="U1181" s="1">
        <v>0.624</v>
      </c>
      <c r="V1181" s="1">
        <v>164.94900000000001</v>
      </c>
      <c r="W1181">
        <v>4</v>
      </c>
    </row>
    <row r="1182" spans="1:23" x14ac:dyDescent="0.25">
      <c r="A1182" s="1" t="s">
        <v>16077</v>
      </c>
      <c r="B1182" s="1" t="s">
        <v>16078</v>
      </c>
      <c r="C1182" s="1" t="s">
        <v>4215</v>
      </c>
      <c r="D1182" s="1" t="s">
        <v>4215</v>
      </c>
      <c r="E1182" s="1" t="s">
        <v>4216</v>
      </c>
      <c r="F1182" s="1" t="s">
        <v>15624</v>
      </c>
      <c r="G1182">
        <v>219998</v>
      </c>
      <c r="H1182">
        <v>29</v>
      </c>
      <c r="I1182" s="1" t="s">
        <v>11063</v>
      </c>
      <c r="J1182" s="11">
        <v>44729.706458333334</v>
      </c>
      <c r="K1182" s="1" t="s">
        <v>4217</v>
      </c>
      <c r="L1182" s="1">
        <v>0.72599999999999998</v>
      </c>
      <c r="M1182" s="1">
        <v>0.81699999999999995</v>
      </c>
      <c r="N1182">
        <v>7</v>
      </c>
      <c r="O1182" s="1">
        <v>-5.3949999999999996</v>
      </c>
      <c r="P1182">
        <v>1</v>
      </c>
      <c r="Q1182" s="1">
        <v>0.36799999999999999</v>
      </c>
      <c r="R1182" s="1">
        <v>0.40400000000000003</v>
      </c>
      <c r="S1182" s="1">
        <v>0.188</v>
      </c>
      <c r="T1182" s="1">
        <v>0.996</v>
      </c>
      <c r="U1182" s="1">
        <v>0.55200000000000005</v>
      </c>
      <c r="V1182" s="1">
        <v>122.97</v>
      </c>
      <c r="W1182">
        <v>4</v>
      </c>
    </row>
    <row r="1183" spans="1:23" x14ac:dyDescent="0.25">
      <c r="A1183" s="1" t="s">
        <v>16079</v>
      </c>
      <c r="B1183" s="1" t="s">
        <v>15481</v>
      </c>
      <c r="C1183" s="1" t="s">
        <v>4218</v>
      </c>
      <c r="D1183" s="1" t="s">
        <v>4218</v>
      </c>
      <c r="E1183" s="1" t="s">
        <v>3705</v>
      </c>
      <c r="F1183" s="1" t="s">
        <v>16080</v>
      </c>
      <c r="G1183">
        <v>240071</v>
      </c>
      <c r="H1183">
        <v>49</v>
      </c>
      <c r="I1183" s="1" t="s">
        <v>11063</v>
      </c>
      <c r="J1183" s="11">
        <v>44729.706458333334</v>
      </c>
      <c r="K1183" s="1" t="s">
        <v>3706</v>
      </c>
      <c r="L1183" s="1">
        <v>0.34899999999999998</v>
      </c>
      <c r="M1183" s="1">
        <v>0.154</v>
      </c>
      <c r="N1183">
        <v>0</v>
      </c>
      <c r="O1183" s="1">
        <v>-26.106999999999999</v>
      </c>
      <c r="P1183">
        <v>1</v>
      </c>
      <c r="Q1183" s="1">
        <v>0.63200000000000001</v>
      </c>
      <c r="R1183" s="1">
        <v>0.99099999999999999</v>
      </c>
      <c r="S1183" s="1">
        <v>0.875</v>
      </c>
      <c r="T1183" s="1">
        <v>0.92</v>
      </c>
      <c r="U1183" s="1">
        <v>0.10199999999999999</v>
      </c>
      <c r="V1183" s="1">
        <v>73.861999999999995</v>
      </c>
      <c r="W1183">
        <v>4</v>
      </c>
    </row>
    <row r="1184" spans="1:23" x14ac:dyDescent="0.25">
      <c r="A1184" s="1" t="s">
        <v>16081</v>
      </c>
      <c r="B1184" s="1" t="s">
        <v>14517</v>
      </c>
      <c r="C1184" s="1" t="s">
        <v>4219</v>
      </c>
      <c r="D1184" s="1" t="s">
        <v>14518</v>
      </c>
      <c r="E1184" s="1" t="s">
        <v>2847</v>
      </c>
      <c r="F1184" s="1" t="s">
        <v>11583</v>
      </c>
      <c r="G1184">
        <v>173197</v>
      </c>
      <c r="H1184">
        <v>43</v>
      </c>
      <c r="I1184" s="1" t="s">
        <v>11063</v>
      </c>
      <c r="J1184" s="11">
        <v>44729.706458333334</v>
      </c>
      <c r="K1184" s="1" t="s">
        <v>2848</v>
      </c>
      <c r="L1184" s="1">
        <v>0.30399999999999999</v>
      </c>
      <c r="M1184" s="1">
        <v>0.27200000000000002</v>
      </c>
      <c r="N1184">
        <v>6</v>
      </c>
      <c r="O1184" s="1">
        <v>-12.455</v>
      </c>
      <c r="P1184">
        <v>1</v>
      </c>
      <c r="Q1184" s="1">
        <v>0.36399999999999999</v>
      </c>
      <c r="R1184" s="1">
        <v>0.93600000000000005</v>
      </c>
      <c r="S1184" s="1">
        <v>0.54200000000000004</v>
      </c>
      <c r="T1184" s="1">
        <v>0.15</v>
      </c>
      <c r="U1184" s="1">
        <v>0.311</v>
      </c>
      <c r="V1184" s="1">
        <v>149.87</v>
      </c>
      <c r="W1184">
        <v>3</v>
      </c>
    </row>
    <row r="1185" spans="1:23" x14ac:dyDescent="0.25">
      <c r="A1185" s="1" t="s">
        <v>16082</v>
      </c>
      <c r="B1185" s="1" t="s">
        <v>16044</v>
      </c>
      <c r="C1185" s="1" t="s">
        <v>4220</v>
      </c>
      <c r="D1185" s="1" t="s">
        <v>16083</v>
      </c>
      <c r="E1185" s="1" t="s">
        <v>4191</v>
      </c>
      <c r="F1185" s="1" t="s">
        <v>14529</v>
      </c>
      <c r="G1185">
        <v>344053</v>
      </c>
      <c r="H1185">
        <v>63</v>
      </c>
      <c r="I1185" s="1" t="s">
        <v>11063</v>
      </c>
      <c r="J1185" s="11">
        <v>44729.706458333334</v>
      </c>
      <c r="K1185" s="1" t="s">
        <v>4192</v>
      </c>
      <c r="L1185" s="1">
        <v>0.496</v>
      </c>
      <c r="M1185" s="1">
        <v>0.46200000000000002</v>
      </c>
      <c r="N1185">
        <v>6</v>
      </c>
      <c r="O1185" s="1">
        <v>-6.1890000000000001</v>
      </c>
      <c r="P1185">
        <v>1</v>
      </c>
      <c r="Q1185" s="1">
        <v>0.307</v>
      </c>
      <c r="R1185" s="1">
        <v>0.245</v>
      </c>
      <c r="S1185" s="1">
        <v>0</v>
      </c>
      <c r="T1185" s="1">
        <v>0.28199999999999997</v>
      </c>
      <c r="U1185" s="1">
        <v>0.51400000000000001</v>
      </c>
      <c r="V1185" s="1">
        <v>167.93600000000001</v>
      </c>
      <c r="W1185">
        <v>4</v>
      </c>
    </row>
    <row r="1186" spans="1:23" x14ac:dyDescent="0.25">
      <c r="A1186" s="1" t="s">
        <v>16084</v>
      </c>
      <c r="B1186" s="1" t="s">
        <v>16085</v>
      </c>
      <c r="C1186" s="1" t="s">
        <v>4221</v>
      </c>
      <c r="D1186" s="1" t="s">
        <v>16086</v>
      </c>
      <c r="E1186" s="1" t="s">
        <v>4222</v>
      </c>
      <c r="F1186" s="1" t="s">
        <v>16087</v>
      </c>
      <c r="G1186">
        <v>282514</v>
      </c>
      <c r="H1186">
        <v>30</v>
      </c>
      <c r="I1186" s="1" t="s">
        <v>11063</v>
      </c>
      <c r="J1186" s="11">
        <v>44729.706458333334</v>
      </c>
      <c r="K1186" s="1" t="s">
        <v>2927</v>
      </c>
      <c r="L1186" s="1">
        <v>0.63600000000000001</v>
      </c>
      <c r="M1186" s="1">
        <v>0.74299999999999999</v>
      </c>
      <c r="N1186">
        <v>10</v>
      </c>
      <c r="O1186" s="1">
        <v>-5.6390000000000002</v>
      </c>
      <c r="P1186">
        <v>0</v>
      </c>
      <c r="Q1186" s="1">
        <v>0.72399999999999998</v>
      </c>
      <c r="R1186" s="1">
        <v>0.124</v>
      </c>
      <c r="S1186" s="1">
        <v>0.30099999999999999</v>
      </c>
      <c r="T1186" s="1">
        <v>0.36599999999999999</v>
      </c>
      <c r="U1186" s="1">
        <v>0.28499999999999998</v>
      </c>
      <c r="V1186" s="1">
        <v>87.531000000000006</v>
      </c>
      <c r="W1186">
        <v>4</v>
      </c>
    </row>
    <row r="1187" spans="1:23" x14ac:dyDescent="0.25">
      <c r="A1187" s="1" t="s">
        <v>16088</v>
      </c>
      <c r="B1187" s="1" t="s">
        <v>16089</v>
      </c>
      <c r="C1187" s="1" t="s">
        <v>4223</v>
      </c>
      <c r="D1187" s="1" t="s">
        <v>4223</v>
      </c>
      <c r="E1187" s="1" t="s">
        <v>4224</v>
      </c>
      <c r="F1187" s="1" t="s">
        <v>16090</v>
      </c>
      <c r="G1187">
        <v>171707</v>
      </c>
      <c r="H1187">
        <v>21</v>
      </c>
      <c r="I1187" s="1" t="s">
        <v>11063</v>
      </c>
      <c r="J1187" s="11">
        <v>44729.706458333334</v>
      </c>
      <c r="K1187" s="1" t="s">
        <v>1053</v>
      </c>
      <c r="L1187" s="1">
        <v>0.629</v>
      </c>
      <c r="M1187" s="1">
        <v>0.75</v>
      </c>
      <c r="N1187">
        <v>9</v>
      </c>
      <c r="O1187" s="1">
        <v>-5.7320000000000002</v>
      </c>
      <c r="P1187">
        <v>0</v>
      </c>
      <c r="Q1187" s="1">
        <v>0.13800000000000001</v>
      </c>
      <c r="R1187" s="1">
        <v>0.377</v>
      </c>
      <c r="S1187" s="1">
        <v>0.16300000000000001</v>
      </c>
      <c r="T1187" s="1">
        <v>0.13600000000000001</v>
      </c>
      <c r="U1187" s="1">
        <v>0.23899999999999999</v>
      </c>
      <c r="V1187" s="1">
        <v>122.929</v>
      </c>
      <c r="W1187">
        <v>4</v>
      </c>
    </row>
    <row r="1188" spans="1:23" x14ac:dyDescent="0.25">
      <c r="A1188" s="1" t="s">
        <v>11564</v>
      </c>
      <c r="B1188" s="1" t="s">
        <v>11565</v>
      </c>
      <c r="C1188" s="1" t="s">
        <v>4225</v>
      </c>
      <c r="D1188" s="1" t="s">
        <v>4225</v>
      </c>
      <c r="E1188" s="1" t="s">
        <v>297</v>
      </c>
      <c r="F1188" s="1" t="s">
        <v>11566</v>
      </c>
      <c r="G1188">
        <v>195011</v>
      </c>
      <c r="H1188">
        <v>38</v>
      </c>
      <c r="I1188" s="1" t="s">
        <v>11063</v>
      </c>
      <c r="J1188" s="11">
        <v>44729.706458333334</v>
      </c>
      <c r="K1188" s="1" t="s">
        <v>298</v>
      </c>
      <c r="L1188" s="1">
        <v>0.624</v>
      </c>
      <c r="M1188" s="1">
        <v>0.88300000000000001</v>
      </c>
      <c r="N1188">
        <v>4</v>
      </c>
      <c r="O1188" s="1">
        <v>-4.03</v>
      </c>
      <c r="P1188">
        <v>0</v>
      </c>
      <c r="Q1188" s="1">
        <v>0.95</v>
      </c>
      <c r="R1188" s="1">
        <v>0.95099999999999996</v>
      </c>
      <c r="S1188" s="1">
        <v>0</v>
      </c>
      <c r="T1188" s="1">
        <v>0.79200000000000004</v>
      </c>
      <c r="U1188" s="1">
        <v>0.63400000000000001</v>
      </c>
      <c r="V1188" s="1">
        <v>105.1</v>
      </c>
      <c r="W1188">
        <v>4</v>
      </c>
    </row>
    <row r="1189" spans="1:23" x14ac:dyDescent="0.25">
      <c r="A1189" s="1" t="s">
        <v>16091</v>
      </c>
      <c r="B1189" s="1" t="s">
        <v>16092</v>
      </c>
      <c r="C1189" s="1" t="s">
        <v>4226</v>
      </c>
      <c r="D1189" s="1" t="s">
        <v>4226</v>
      </c>
      <c r="E1189" s="1" t="s">
        <v>4227</v>
      </c>
      <c r="F1189" s="1" t="s">
        <v>11423</v>
      </c>
      <c r="G1189">
        <v>230307</v>
      </c>
      <c r="H1189">
        <v>29</v>
      </c>
      <c r="I1189" s="1" t="s">
        <v>11063</v>
      </c>
      <c r="J1189" s="11">
        <v>44729.706458333334</v>
      </c>
      <c r="K1189" s="1" t="s">
        <v>50</v>
      </c>
      <c r="L1189" s="1">
        <v>0.377</v>
      </c>
      <c r="M1189" s="1">
        <v>0.371</v>
      </c>
      <c r="N1189">
        <v>2</v>
      </c>
      <c r="O1189" s="1">
        <v>-12.138999999999999</v>
      </c>
      <c r="P1189">
        <v>0</v>
      </c>
      <c r="Q1189" s="1">
        <v>0.33700000000000002</v>
      </c>
      <c r="R1189" s="1">
        <v>0.502</v>
      </c>
      <c r="S1189" s="1">
        <v>0.13700000000000001</v>
      </c>
      <c r="T1189" s="1">
        <v>0.89500000000000002</v>
      </c>
      <c r="U1189" s="1">
        <v>0.13500000000000001</v>
      </c>
      <c r="V1189" s="1">
        <v>130.08799999999999</v>
      </c>
      <c r="W1189">
        <v>4</v>
      </c>
    </row>
    <row r="1190" spans="1:23" x14ac:dyDescent="0.25">
      <c r="A1190" s="1" t="s">
        <v>16093</v>
      </c>
      <c r="B1190" s="1" t="s">
        <v>16094</v>
      </c>
      <c r="C1190" s="1" t="s">
        <v>4228</v>
      </c>
      <c r="D1190" s="1" t="s">
        <v>16095</v>
      </c>
      <c r="E1190" s="1" t="s">
        <v>4229</v>
      </c>
      <c r="F1190" s="1" t="s">
        <v>16096</v>
      </c>
      <c r="G1190">
        <v>280923</v>
      </c>
      <c r="H1190">
        <v>30</v>
      </c>
      <c r="I1190" s="1" t="s">
        <v>11063</v>
      </c>
      <c r="J1190" s="11">
        <v>44729.706458333334</v>
      </c>
      <c r="K1190" s="1" t="s">
        <v>2927</v>
      </c>
      <c r="L1190" s="1">
        <v>0.371</v>
      </c>
      <c r="M1190" s="1">
        <v>0.68400000000000005</v>
      </c>
      <c r="N1190">
        <v>7</v>
      </c>
      <c r="O1190" s="1">
        <v>-6.4130000000000003</v>
      </c>
      <c r="P1190">
        <v>1</v>
      </c>
      <c r="Q1190" s="1">
        <v>0.38600000000000001</v>
      </c>
      <c r="R1190" s="1">
        <v>0.41499999999999998</v>
      </c>
      <c r="S1190" s="1">
        <v>0.34799999999999998</v>
      </c>
      <c r="T1190" s="1">
        <v>0.13</v>
      </c>
      <c r="U1190" s="1">
        <v>0.35399999999999998</v>
      </c>
      <c r="V1190" s="1">
        <v>132.005</v>
      </c>
      <c r="W1190">
        <v>4</v>
      </c>
    </row>
    <row r="1191" spans="1:23" x14ac:dyDescent="0.25">
      <c r="A1191" s="1" t="s">
        <v>16097</v>
      </c>
      <c r="B1191" s="1" t="s">
        <v>16098</v>
      </c>
      <c r="C1191" s="1" t="s">
        <v>4230</v>
      </c>
      <c r="D1191" s="1" t="s">
        <v>4230</v>
      </c>
      <c r="E1191" s="1" t="s">
        <v>4231</v>
      </c>
      <c r="F1191" s="1" t="s">
        <v>14364</v>
      </c>
      <c r="G1191">
        <v>200000</v>
      </c>
      <c r="H1191">
        <v>35</v>
      </c>
      <c r="I1191" s="1" t="s">
        <v>11063</v>
      </c>
      <c r="J1191" s="11">
        <v>44729.706458333334</v>
      </c>
      <c r="K1191" s="1" t="s">
        <v>933</v>
      </c>
      <c r="L1191" s="1">
        <v>0.622</v>
      </c>
      <c r="M1191" s="1">
        <v>0.73199999999999998</v>
      </c>
      <c r="N1191">
        <v>1</v>
      </c>
      <c r="O1191" s="1">
        <v>-5.8360000000000003</v>
      </c>
      <c r="P1191">
        <v>1</v>
      </c>
      <c r="Q1191" s="1">
        <v>0.37</v>
      </c>
      <c r="R1191" s="1">
        <v>0.18099999999999999</v>
      </c>
      <c r="S1191" s="1">
        <v>0.40799999999999997</v>
      </c>
      <c r="T1191" s="1">
        <v>0.127</v>
      </c>
      <c r="U1191" s="1">
        <v>0.76200000000000001</v>
      </c>
      <c r="V1191" s="1">
        <v>149.96</v>
      </c>
      <c r="W1191">
        <v>4</v>
      </c>
    </row>
    <row r="1192" spans="1:23" x14ac:dyDescent="0.25">
      <c r="A1192" s="1" t="s">
        <v>16099</v>
      </c>
      <c r="B1192" s="1" t="s">
        <v>16100</v>
      </c>
      <c r="C1192" s="1" t="s">
        <v>4232</v>
      </c>
      <c r="D1192" s="1" t="s">
        <v>4232</v>
      </c>
      <c r="E1192" s="1" t="s">
        <v>4233</v>
      </c>
      <c r="F1192" s="1" t="s">
        <v>16101</v>
      </c>
      <c r="G1192">
        <v>178758</v>
      </c>
      <c r="H1192">
        <v>20</v>
      </c>
      <c r="I1192" s="1" t="s">
        <v>11063</v>
      </c>
      <c r="J1192" s="11">
        <v>44729.706458333334</v>
      </c>
      <c r="K1192" s="1" t="s">
        <v>4234</v>
      </c>
      <c r="L1192" s="1">
        <v>0.62</v>
      </c>
      <c r="M1192" s="1">
        <v>0.97</v>
      </c>
      <c r="N1192">
        <v>10</v>
      </c>
      <c r="O1192" s="1">
        <v>-4.0839999999999996</v>
      </c>
      <c r="P1192">
        <v>1</v>
      </c>
      <c r="Q1192" s="1">
        <v>0.121</v>
      </c>
      <c r="R1192" s="1">
        <v>0.34499999999999997</v>
      </c>
      <c r="S1192" s="1">
        <v>0.629</v>
      </c>
      <c r="T1192" s="1">
        <v>0.113</v>
      </c>
      <c r="U1192" s="1">
        <v>0.18</v>
      </c>
      <c r="V1192" s="1">
        <v>145.02199999999999</v>
      </c>
      <c r="W1192">
        <v>4</v>
      </c>
    </row>
    <row r="1193" spans="1:23" x14ac:dyDescent="0.25">
      <c r="A1193" s="1" t="s">
        <v>16102</v>
      </c>
      <c r="B1193" s="1" t="s">
        <v>16103</v>
      </c>
      <c r="C1193" s="1" t="s">
        <v>4235</v>
      </c>
      <c r="D1193" s="1" t="s">
        <v>4235</v>
      </c>
      <c r="E1193" s="1" t="s">
        <v>4236</v>
      </c>
      <c r="F1193" s="1" t="s">
        <v>16104</v>
      </c>
      <c r="G1193">
        <v>226667</v>
      </c>
      <c r="H1193">
        <v>33</v>
      </c>
      <c r="I1193" s="1" t="s">
        <v>11063</v>
      </c>
      <c r="J1193" s="11">
        <v>44729.706458333334</v>
      </c>
      <c r="K1193" s="1" t="s">
        <v>4237</v>
      </c>
      <c r="L1193" s="1">
        <v>0.54400000000000004</v>
      </c>
      <c r="M1193" s="1">
        <v>0.77600000000000002</v>
      </c>
      <c r="N1193">
        <v>6</v>
      </c>
      <c r="O1193" s="1">
        <v>-5.0449999999999999</v>
      </c>
      <c r="P1193">
        <v>0</v>
      </c>
      <c r="Q1193" s="1">
        <v>0.39500000000000002</v>
      </c>
      <c r="R1193" s="1">
        <v>0.21199999999999999</v>
      </c>
      <c r="S1193" s="1">
        <v>0.85099999999999998</v>
      </c>
      <c r="T1193" s="1">
        <v>0.94399999999999995</v>
      </c>
      <c r="U1193" s="1">
        <v>0.41</v>
      </c>
      <c r="V1193" s="1">
        <v>88.03</v>
      </c>
      <c r="W1193">
        <v>4</v>
      </c>
    </row>
    <row r="1194" spans="1:23" x14ac:dyDescent="0.25">
      <c r="A1194" s="1" t="s">
        <v>16105</v>
      </c>
      <c r="B1194" s="1" t="s">
        <v>16106</v>
      </c>
      <c r="C1194" s="1" t="s">
        <v>4238</v>
      </c>
      <c r="D1194" s="1" t="s">
        <v>4238</v>
      </c>
      <c r="E1194" s="1" t="s">
        <v>4239</v>
      </c>
      <c r="F1194" s="1" t="s">
        <v>16107</v>
      </c>
      <c r="G1194">
        <v>206577</v>
      </c>
      <c r="H1194">
        <v>25</v>
      </c>
      <c r="I1194" s="1" t="s">
        <v>11063</v>
      </c>
      <c r="J1194" s="11">
        <v>44729.706458333334</v>
      </c>
      <c r="K1194" s="1" t="s">
        <v>2858</v>
      </c>
      <c r="L1194" s="1">
        <v>0.50700000000000001</v>
      </c>
      <c r="M1194" s="1">
        <v>0.51600000000000001</v>
      </c>
      <c r="N1194">
        <v>4</v>
      </c>
      <c r="O1194" s="1">
        <v>-8.4610000000000003</v>
      </c>
      <c r="P1194">
        <v>1</v>
      </c>
      <c r="Q1194" s="1">
        <v>0.40799999999999997</v>
      </c>
      <c r="R1194" s="1">
        <v>0.309</v>
      </c>
      <c r="S1194" s="1">
        <v>0.628</v>
      </c>
      <c r="T1194" s="1">
        <v>0.13200000000000001</v>
      </c>
      <c r="U1194" s="1">
        <v>0.59699999999999998</v>
      </c>
      <c r="V1194" s="1">
        <v>82.463999999999999</v>
      </c>
      <c r="W1194">
        <v>4</v>
      </c>
    </row>
    <row r="1195" spans="1:23" x14ac:dyDescent="0.25">
      <c r="A1195" s="1" t="s">
        <v>16108</v>
      </c>
      <c r="B1195" s="1" t="s">
        <v>16109</v>
      </c>
      <c r="C1195" s="1" t="s">
        <v>4240</v>
      </c>
      <c r="D1195" s="1" t="s">
        <v>4240</v>
      </c>
      <c r="E1195" s="1" t="s">
        <v>4241</v>
      </c>
      <c r="F1195" s="1" t="s">
        <v>16110</v>
      </c>
      <c r="G1195">
        <v>253642</v>
      </c>
      <c r="H1195">
        <v>27</v>
      </c>
      <c r="I1195" s="1" t="s">
        <v>11063</v>
      </c>
      <c r="J1195" s="11">
        <v>44729.706458333334</v>
      </c>
      <c r="K1195" s="1" t="s">
        <v>4242</v>
      </c>
      <c r="L1195" s="1">
        <v>0.42</v>
      </c>
      <c r="M1195" s="1">
        <v>0.61</v>
      </c>
      <c r="N1195">
        <v>7</v>
      </c>
      <c r="O1195" s="1">
        <v>-6.0709999999999997</v>
      </c>
      <c r="P1195">
        <v>0</v>
      </c>
      <c r="Q1195" s="1">
        <v>0.57699999999999996</v>
      </c>
      <c r="R1195" s="1">
        <v>0.14799999999999999</v>
      </c>
      <c r="S1195" s="1">
        <v>0</v>
      </c>
      <c r="T1195" s="1">
        <v>0.10199999999999999</v>
      </c>
      <c r="U1195" s="1">
        <v>0.157</v>
      </c>
      <c r="V1195" s="1">
        <v>128.13499999999999</v>
      </c>
      <c r="W1195">
        <v>4</v>
      </c>
    </row>
    <row r="1196" spans="1:23" x14ac:dyDescent="0.25">
      <c r="A1196" s="1" t="s">
        <v>16111</v>
      </c>
      <c r="B1196" s="1" t="s">
        <v>14534</v>
      </c>
      <c r="C1196" s="1" t="s">
        <v>4243</v>
      </c>
      <c r="D1196" s="1" t="s">
        <v>16112</v>
      </c>
      <c r="E1196" s="1" t="s">
        <v>2863</v>
      </c>
      <c r="F1196" s="1" t="s">
        <v>15921</v>
      </c>
      <c r="G1196">
        <v>270359</v>
      </c>
      <c r="H1196">
        <v>40</v>
      </c>
      <c r="I1196" s="1" t="s">
        <v>11063</v>
      </c>
      <c r="J1196" s="11">
        <v>44729.706458333334</v>
      </c>
      <c r="K1196" s="1" t="s">
        <v>1053</v>
      </c>
      <c r="L1196" s="1">
        <v>0.45800000000000002</v>
      </c>
      <c r="M1196" s="1">
        <v>0.81299999999999994</v>
      </c>
      <c r="N1196">
        <v>0</v>
      </c>
      <c r="O1196" s="1">
        <v>-4.9749999999999996</v>
      </c>
      <c r="P1196">
        <v>0</v>
      </c>
      <c r="Q1196" s="1">
        <v>0.495</v>
      </c>
      <c r="R1196" s="1">
        <v>0.61599999999999999</v>
      </c>
      <c r="S1196" s="1">
        <v>0.94099999999999995</v>
      </c>
      <c r="T1196" s="1">
        <v>0.13800000000000001</v>
      </c>
      <c r="U1196" s="1">
        <v>0.13800000000000001</v>
      </c>
      <c r="V1196" s="1">
        <v>173.99600000000001</v>
      </c>
      <c r="W1196">
        <v>4</v>
      </c>
    </row>
    <row r="1197" spans="1:23" x14ac:dyDescent="0.25">
      <c r="A1197" s="1" t="s">
        <v>16113</v>
      </c>
      <c r="B1197" s="1" t="s">
        <v>16114</v>
      </c>
      <c r="C1197" s="1" t="s">
        <v>3460</v>
      </c>
      <c r="D1197" s="1" t="s">
        <v>16115</v>
      </c>
      <c r="E1197" s="1" t="s">
        <v>4244</v>
      </c>
      <c r="F1197" s="1" t="s">
        <v>16116</v>
      </c>
      <c r="G1197">
        <v>195000</v>
      </c>
      <c r="H1197">
        <v>25</v>
      </c>
      <c r="I1197" s="1" t="s">
        <v>11063</v>
      </c>
      <c r="J1197" s="11">
        <v>44729.706458333334</v>
      </c>
      <c r="K1197" s="1" t="s">
        <v>4245</v>
      </c>
      <c r="L1197" s="1">
        <v>0.57299999999999995</v>
      </c>
      <c r="M1197" s="1">
        <v>0.53700000000000003</v>
      </c>
      <c r="N1197">
        <v>5</v>
      </c>
      <c r="O1197" s="1">
        <v>-5.8520000000000003</v>
      </c>
      <c r="P1197">
        <v>1</v>
      </c>
      <c r="Q1197" s="1">
        <v>0.30499999999999999</v>
      </c>
      <c r="R1197" s="1">
        <v>0.186</v>
      </c>
      <c r="S1197" s="1">
        <v>0</v>
      </c>
      <c r="T1197" s="1">
        <v>0.18</v>
      </c>
      <c r="U1197" s="1">
        <v>0.29299999999999998</v>
      </c>
      <c r="V1197" s="1">
        <v>92.956000000000003</v>
      </c>
      <c r="W1197">
        <v>4</v>
      </c>
    </row>
    <row r="1198" spans="1:23" x14ac:dyDescent="0.25">
      <c r="A1198" s="1" t="s">
        <v>16117</v>
      </c>
      <c r="B1198" s="1" t="s">
        <v>16044</v>
      </c>
      <c r="C1198" s="1" t="s">
        <v>4246</v>
      </c>
      <c r="D1198" s="1" t="s">
        <v>16083</v>
      </c>
      <c r="E1198" s="1" t="s">
        <v>4191</v>
      </c>
      <c r="F1198" s="1" t="s">
        <v>14529</v>
      </c>
      <c r="G1198">
        <v>537653</v>
      </c>
      <c r="H1198">
        <v>65</v>
      </c>
      <c r="I1198" s="1" t="s">
        <v>11063</v>
      </c>
      <c r="J1198" s="11">
        <v>44729.706458333334</v>
      </c>
      <c r="K1198" s="1" t="s">
        <v>4192</v>
      </c>
      <c r="L1198" s="1">
        <v>0.372</v>
      </c>
      <c r="M1198" s="1">
        <v>0.42599999999999999</v>
      </c>
      <c r="N1198">
        <v>11</v>
      </c>
      <c r="O1198" s="1">
        <v>-8.4209999999999994</v>
      </c>
      <c r="P1198">
        <v>1</v>
      </c>
      <c r="Q1198" s="1">
        <v>0.33900000000000002</v>
      </c>
      <c r="R1198" s="1">
        <v>0.68700000000000006</v>
      </c>
      <c r="S1198" s="1">
        <v>0.78400000000000003</v>
      </c>
      <c r="T1198" s="1">
        <v>0.109</v>
      </c>
      <c r="U1198" s="1">
        <v>0.28699999999999998</v>
      </c>
      <c r="V1198" s="1">
        <v>123.99299999999999</v>
      </c>
      <c r="W1198">
        <v>4</v>
      </c>
    </row>
    <row r="1199" spans="1:23" x14ac:dyDescent="0.25">
      <c r="A1199" s="1" t="s">
        <v>16118</v>
      </c>
      <c r="B1199" s="1" t="s">
        <v>16048</v>
      </c>
      <c r="C1199" s="1" t="s">
        <v>4247</v>
      </c>
      <c r="D1199" s="1" t="s">
        <v>16119</v>
      </c>
      <c r="E1199" s="1" t="s">
        <v>4194</v>
      </c>
      <c r="F1199" s="1" t="s">
        <v>16120</v>
      </c>
      <c r="G1199">
        <v>339160</v>
      </c>
      <c r="H1199">
        <v>57</v>
      </c>
      <c r="I1199" s="1" t="s">
        <v>11063</v>
      </c>
      <c r="J1199" s="11">
        <v>44729.706458333334</v>
      </c>
      <c r="K1199" s="1" t="s">
        <v>4192</v>
      </c>
      <c r="L1199" s="1">
        <v>0.56599999999999995</v>
      </c>
      <c r="M1199" s="1">
        <v>0.53400000000000003</v>
      </c>
      <c r="N1199">
        <v>4</v>
      </c>
      <c r="O1199" s="1">
        <v>-7.4139999999999997</v>
      </c>
      <c r="P1199">
        <v>1</v>
      </c>
      <c r="Q1199" s="1">
        <v>0.35599999999999998</v>
      </c>
      <c r="R1199" s="1">
        <v>0.24299999999999999</v>
      </c>
      <c r="S1199" s="1">
        <v>0.82799999999999996</v>
      </c>
      <c r="T1199" s="1">
        <v>0.11600000000000001</v>
      </c>
      <c r="U1199" s="1">
        <v>0.4</v>
      </c>
      <c r="V1199" s="1">
        <v>146.03299999999999</v>
      </c>
      <c r="W1199">
        <v>4</v>
      </c>
    </row>
    <row r="1200" spans="1:23" x14ac:dyDescent="0.25">
      <c r="A1200" s="1" t="s">
        <v>11567</v>
      </c>
      <c r="B1200" s="1" t="s">
        <v>11315</v>
      </c>
      <c r="C1200" s="1" t="s">
        <v>299</v>
      </c>
      <c r="D1200" s="1" t="s">
        <v>11568</v>
      </c>
      <c r="E1200" s="1" t="s">
        <v>112</v>
      </c>
      <c r="F1200" s="1" t="s">
        <v>11569</v>
      </c>
      <c r="G1200">
        <v>175643</v>
      </c>
      <c r="H1200">
        <v>73</v>
      </c>
      <c r="I1200" s="1" t="s">
        <v>11063</v>
      </c>
      <c r="J1200" s="11">
        <v>44729.706458333334</v>
      </c>
      <c r="K1200" s="1" t="s">
        <v>113</v>
      </c>
      <c r="L1200" s="1">
        <v>0.54200000000000004</v>
      </c>
      <c r="M1200" s="1">
        <v>0.73199999999999998</v>
      </c>
      <c r="N1200">
        <v>9</v>
      </c>
      <c r="O1200" s="1">
        <v>-5.9560000000000004</v>
      </c>
      <c r="P1200">
        <v>1</v>
      </c>
      <c r="Q1200" s="1">
        <v>0.52100000000000002</v>
      </c>
      <c r="R1200" s="1">
        <v>0.20899999999999999</v>
      </c>
      <c r="S1200" s="1">
        <v>0.79200000000000004</v>
      </c>
      <c r="T1200" s="1">
        <v>0.496</v>
      </c>
      <c r="U1200" s="1">
        <v>0.48899999999999999</v>
      </c>
      <c r="V1200" s="1">
        <v>124.91200000000001</v>
      </c>
      <c r="W1200">
        <v>4</v>
      </c>
    </row>
    <row r="1201" spans="1:23" x14ac:dyDescent="0.25">
      <c r="A1201" s="1" t="s">
        <v>16121</v>
      </c>
      <c r="B1201" s="1" t="s">
        <v>16122</v>
      </c>
      <c r="C1201" s="1" t="s">
        <v>4248</v>
      </c>
      <c r="D1201" s="1" t="s">
        <v>4248</v>
      </c>
      <c r="E1201" s="1" t="s">
        <v>4249</v>
      </c>
      <c r="F1201" s="1" t="s">
        <v>11552</v>
      </c>
      <c r="G1201">
        <v>243200</v>
      </c>
      <c r="H1201">
        <v>41</v>
      </c>
      <c r="I1201" s="1" t="s">
        <v>11063</v>
      </c>
      <c r="J1201" s="11">
        <v>44729.706458333334</v>
      </c>
      <c r="K1201" s="1" t="s">
        <v>4250</v>
      </c>
      <c r="L1201" s="1">
        <v>0.35699999999999998</v>
      </c>
      <c r="M1201" s="1">
        <v>0.80600000000000005</v>
      </c>
      <c r="N1201">
        <v>7</v>
      </c>
      <c r="O1201" s="1">
        <v>-3.8159999999999998</v>
      </c>
      <c r="P1201">
        <v>1</v>
      </c>
      <c r="Q1201" s="1">
        <v>0.39600000000000002</v>
      </c>
      <c r="R1201" s="1">
        <v>0.156</v>
      </c>
      <c r="S1201" s="1">
        <v>0.13700000000000001</v>
      </c>
      <c r="T1201" s="1">
        <v>0.189</v>
      </c>
      <c r="U1201" s="1">
        <v>0.222</v>
      </c>
      <c r="V1201" s="1">
        <v>149.923</v>
      </c>
      <c r="W1201">
        <v>4</v>
      </c>
    </row>
    <row r="1202" spans="1:23" x14ac:dyDescent="0.25">
      <c r="A1202" s="1" t="s">
        <v>16123</v>
      </c>
      <c r="B1202" s="1" t="s">
        <v>16124</v>
      </c>
      <c r="C1202" s="1" t="s">
        <v>4251</v>
      </c>
      <c r="D1202" s="1" t="s">
        <v>5218</v>
      </c>
      <c r="E1202" s="1" t="s">
        <v>4252</v>
      </c>
      <c r="F1202" s="1" t="s">
        <v>13549</v>
      </c>
      <c r="G1202">
        <v>203761</v>
      </c>
      <c r="H1202">
        <v>37</v>
      </c>
      <c r="I1202" s="1" t="s">
        <v>11063</v>
      </c>
      <c r="J1202" s="11">
        <v>44729.706458333334</v>
      </c>
      <c r="K1202" s="1" t="s">
        <v>4253</v>
      </c>
      <c r="L1202" s="1">
        <v>0.75700000000000001</v>
      </c>
      <c r="M1202" s="1">
        <v>0.72899999999999998</v>
      </c>
      <c r="N1202">
        <v>5</v>
      </c>
      <c r="O1202" s="1">
        <v>-8.8179999999999996</v>
      </c>
      <c r="P1202">
        <v>1</v>
      </c>
      <c r="Q1202" s="1">
        <v>0.71</v>
      </c>
      <c r="R1202" s="1">
        <v>0.54800000000000004</v>
      </c>
      <c r="S1202" s="1">
        <v>0.24099999999999999</v>
      </c>
      <c r="T1202" s="1">
        <v>0.14000000000000001</v>
      </c>
      <c r="U1202" s="1">
        <v>0.252</v>
      </c>
      <c r="V1202" s="1">
        <v>124.04</v>
      </c>
      <c r="W1202">
        <v>4</v>
      </c>
    </row>
    <row r="1203" spans="1:23" x14ac:dyDescent="0.25">
      <c r="A1203" s="1" t="s">
        <v>16125</v>
      </c>
      <c r="B1203" s="1" t="s">
        <v>16126</v>
      </c>
      <c r="C1203" s="1" t="s">
        <v>4254</v>
      </c>
      <c r="D1203" s="1" t="s">
        <v>4254</v>
      </c>
      <c r="E1203" s="1" t="s">
        <v>4255</v>
      </c>
      <c r="F1203" s="1" t="s">
        <v>16127</v>
      </c>
      <c r="G1203">
        <v>192438</v>
      </c>
      <c r="H1203">
        <v>43</v>
      </c>
      <c r="I1203" s="1" t="s">
        <v>11063</v>
      </c>
      <c r="J1203" s="11">
        <v>44729.706458333334</v>
      </c>
      <c r="K1203" s="1" t="s">
        <v>2356</v>
      </c>
      <c r="L1203" s="1">
        <v>0.58599999999999997</v>
      </c>
      <c r="M1203" s="1">
        <v>0.85399999999999998</v>
      </c>
      <c r="N1203">
        <v>0</v>
      </c>
      <c r="O1203" s="1">
        <v>-5.9589999999999996</v>
      </c>
      <c r="P1203">
        <v>1</v>
      </c>
      <c r="Q1203" s="1">
        <v>0.752</v>
      </c>
      <c r="R1203" s="1">
        <v>0.65700000000000003</v>
      </c>
      <c r="S1203" s="1">
        <v>0.307</v>
      </c>
      <c r="T1203" s="1">
        <v>0.16</v>
      </c>
      <c r="U1203" s="1">
        <v>0.57599999999999996</v>
      </c>
      <c r="V1203" s="1">
        <v>134.971</v>
      </c>
      <c r="W1203">
        <v>4</v>
      </c>
    </row>
    <row r="1204" spans="1:23" x14ac:dyDescent="0.25">
      <c r="A1204" s="1" t="s">
        <v>16128</v>
      </c>
      <c r="B1204" s="1" t="s">
        <v>16129</v>
      </c>
      <c r="C1204" s="1" t="s">
        <v>4256</v>
      </c>
      <c r="D1204" s="1" t="s">
        <v>2556</v>
      </c>
      <c r="E1204" s="1" t="s">
        <v>4257</v>
      </c>
      <c r="F1204" s="1" t="s">
        <v>16130</v>
      </c>
      <c r="G1204">
        <v>230204</v>
      </c>
      <c r="H1204">
        <v>26</v>
      </c>
      <c r="I1204" s="1" t="s">
        <v>11063</v>
      </c>
      <c r="J1204" s="11">
        <v>44729.706458333334</v>
      </c>
      <c r="K1204" s="1" t="s">
        <v>4258</v>
      </c>
      <c r="L1204" s="1">
        <v>0.501</v>
      </c>
      <c r="M1204" s="1">
        <v>0.92</v>
      </c>
      <c r="N1204">
        <v>2</v>
      </c>
      <c r="O1204" s="1">
        <v>-1.9379999999999999</v>
      </c>
      <c r="P1204">
        <v>1</v>
      </c>
      <c r="Q1204" s="1">
        <v>0.50800000000000001</v>
      </c>
      <c r="R1204" s="1">
        <v>0.38</v>
      </c>
      <c r="S1204" s="1">
        <v>0.216</v>
      </c>
      <c r="T1204" s="1">
        <v>0.36399999999999999</v>
      </c>
      <c r="U1204" s="1">
        <v>0.317</v>
      </c>
      <c r="V1204" s="1">
        <v>97.992000000000004</v>
      </c>
      <c r="W1204">
        <v>4</v>
      </c>
    </row>
    <row r="1205" spans="1:23" x14ac:dyDescent="0.25">
      <c r="A1205" s="1" t="s">
        <v>16131</v>
      </c>
      <c r="B1205" s="1" t="s">
        <v>16132</v>
      </c>
      <c r="C1205" s="1" t="s">
        <v>4259</v>
      </c>
      <c r="D1205" s="1" t="s">
        <v>4259</v>
      </c>
      <c r="E1205" s="1" t="s">
        <v>4260</v>
      </c>
      <c r="F1205" s="1" t="s">
        <v>14118</v>
      </c>
      <c r="G1205">
        <v>177103</v>
      </c>
      <c r="H1205">
        <v>32</v>
      </c>
      <c r="I1205" s="1" t="s">
        <v>11063</v>
      </c>
      <c r="J1205" s="11">
        <v>44729.706458333334</v>
      </c>
      <c r="K1205" s="1" t="s">
        <v>2541</v>
      </c>
      <c r="L1205" s="1">
        <v>0.55100000000000005</v>
      </c>
      <c r="M1205" s="1">
        <v>0.61</v>
      </c>
      <c r="N1205">
        <v>6</v>
      </c>
      <c r="O1205" s="1">
        <v>-4.907</v>
      </c>
      <c r="P1205">
        <v>0</v>
      </c>
      <c r="Q1205" s="1">
        <v>0.30399999999999999</v>
      </c>
      <c r="R1205" s="1">
        <v>0.50700000000000001</v>
      </c>
      <c r="S1205" s="1">
        <v>0</v>
      </c>
      <c r="T1205" s="1">
        <v>0.67200000000000004</v>
      </c>
      <c r="U1205" s="1">
        <v>0.34699999999999998</v>
      </c>
      <c r="V1205" s="1">
        <v>72.486000000000004</v>
      </c>
      <c r="W1205">
        <v>4</v>
      </c>
    </row>
    <row r="1206" spans="1:23" x14ac:dyDescent="0.25">
      <c r="A1206" s="1" t="s">
        <v>16133</v>
      </c>
      <c r="B1206" s="1" t="s">
        <v>16134</v>
      </c>
      <c r="C1206" s="1" t="s">
        <v>4261</v>
      </c>
      <c r="D1206" s="1" t="s">
        <v>4261</v>
      </c>
      <c r="E1206" s="1" t="s">
        <v>4262</v>
      </c>
      <c r="F1206" s="1" t="s">
        <v>16135</v>
      </c>
      <c r="G1206">
        <v>209665</v>
      </c>
      <c r="H1206">
        <v>39</v>
      </c>
      <c r="I1206" s="1" t="s">
        <v>11063</v>
      </c>
      <c r="J1206" s="11">
        <v>44729.706458333334</v>
      </c>
      <c r="K1206" s="1" t="s">
        <v>2927</v>
      </c>
      <c r="L1206" s="1">
        <v>0.58699999999999997</v>
      </c>
      <c r="M1206" s="1">
        <v>0.82699999999999996</v>
      </c>
      <c r="N1206">
        <v>6</v>
      </c>
      <c r="O1206" s="1">
        <v>-5.3970000000000002</v>
      </c>
      <c r="P1206">
        <v>1</v>
      </c>
      <c r="Q1206" s="1">
        <v>0.91</v>
      </c>
      <c r="R1206" s="1">
        <v>0.65100000000000002</v>
      </c>
      <c r="S1206" s="1">
        <v>0.17499999999999999</v>
      </c>
      <c r="T1206" s="1">
        <v>0.20799999999999999</v>
      </c>
      <c r="U1206" s="1">
        <v>0.38</v>
      </c>
      <c r="V1206" s="1">
        <v>173.96299999999999</v>
      </c>
      <c r="W1206">
        <v>4</v>
      </c>
    </row>
    <row r="1207" spans="1:23" x14ac:dyDescent="0.25">
      <c r="A1207" s="1" t="s">
        <v>16136</v>
      </c>
      <c r="B1207" s="1" t="s">
        <v>16137</v>
      </c>
      <c r="C1207" s="1" t="s">
        <v>1463</v>
      </c>
      <c r="D1207" s="1" t="s">
        <v>1463</v>
      </c>
      <c r="E1207" s="1" t="s">
        <v>4263</v>
      </c>
      <c r="F1207" s="1" t="s">
        <v>16138</v>
      </c>
      <c r="G1207">
        <v>226533</v>
      </c>
      <c r="H1207">
        <v>26</v>
      </c>
      <c r="I1207" s="1" t="s">
        <v>11063</v>
      </c>
      <c r="J1207" s="11">
        <v>44729.706458333334</v>
      </c>
      <c r="K1207" s="1" t="s">
        <v>50</v>
      </c>
      <c r="L1207" s="1">
        <v>0.50900000000000001</v>
      </c>
      <c r="M1207" s="1">
        <v>0.66300000000000003</v>
      </c>
      <c r="N1207">
        <v>8</v>
      </c>
      <c r="O1207" s="1">
        <v>-6.1449999999999996</v>
      </c>
      <c r="P1207">
        <v>1</v>
      </c>
      <c r="Q1207" s="1">
        <v>0.29399999999999998</v>
      </c>
      <c r="R1207" s="1">
        <v>0.39700000000000002</v>
      </c>
      <c r="S1207" s="1">
        <v>0</v>
      </c>
      <c r="T1207" s="1">
        <v>0.152</v>
      </c>
      <c r="U1207" s="1">
        <v>0.184</v>
      </c>
      <c r="V1207" s="1">
        <v>139.90299999999999</v>
      </c>
      <c r="W1207">
        <v>4</v>
      </c>
    </row>
    <row r="1208" spans="1:23" x14ac:dyDescent="0.25">
      <c r="A1208" s="1" t="s">
        <v>16139</v>
      </c>
      <c r="B1208" s="1" t="s">
        <v>16140</v>
      </c>
      <c r="C1208" s="1" t="s">
        <v>4264</v>
      </c>
      <c r="D1208" s="1" t="s">
        <v>16141</v>
      </c>
      <c r="E1208" s="1" t="s">
        <v>4265</v>
      </c>
      <c r="F1208" s="1" t="s">
        <v>15194</v>
      </c>
      <c r="G1208">
        <v>219280</v>
      </c>
      <c r="H1208">
        <v>48</v>
      </c>
      <c r="I1208" s="1" t="s">
        <v>11063</v>
      </c>
      <c r="J1208" s="11">
        <v>44729.706458333334</v>
      </c>
      <c r="K1208" s="1" t="s">
        <v>4266</v>
      </c>
      <c r="L1208" s="1">
        <v>0.56100000000000005</v>
      </c>
      <c r="M1208" s="1">
        <v>0.51500000000000001</v>
      </c>
      <c r="N1208">
        <v>0</v>
      </c>
      <c r="O1208" s="1">
        <v>-5.702</v>
      </c>
      <c r="P1208">
        <v>1</v>
      </c>
      <c r="Q1208" s="1">
        <v>0.30499999999999999</v>
      </c>
      <c r="R1208" s="1">
        <v>0.34699999999999998</v>
      </c>
      <c r="S1208" s="1">
        <v>0.35</v>
      </c>
      <c r="T1208" s="1">
        <v>0.67700000000000005</v>
      </c>
      <c r="U1208" s="1">
        <v>0.72499999999999998</v>
      </c>
      <c r="V1208" s="1">
        <v>75.028000000000006</v>
      </c>
      <c r="W1208">
        <v>4</v>
      </c>
    </row>
    <row r="1209" spans="1:23" x14ac:dyDescent="0.25">
      <c r="A1209" s="1" t="s">
        <v>16142</v>
      </c>
      <c r="B1209" s="1" t="s">
        <v>16143</v>
      </c>
      <c r="C1209" s="1" t="s">
        <v>4267</v>
      </c>
      <c r="D1209" s="1" t="s">
        <v>16144</v>
      </c>
      <c r="E1209" s="1" t="s">
        <v>4268</v>
      </c>
      <c r="F1209" s="1" t="s">
        <v>16145</v>
      </c>
      <c r="G1209">
        <v>333960</v>
      </c>
      <c r="H1209">
        <v>32</v>
      </c>
      <c r="I1209" s="1" t="s">
        <v>11063</v>
      </c>
      <c r="J1209" s="11">
        <v>44729.706458333334</v>
      </c>
      <c r="K1209" s="1" t="s">
        <v>4269</v>
      </c>
      <c r="L1209" s="1">
        <v>0.46200000000000002</v>
      </c>
      <c r="M1209" s="1">
        <v>0.65300000000000002</v>
      </c>
      <c r="N1209">
        <v>9</v>
      </c>
      <c r="O1209" s="1">
        <v>-6.7629999999999999</v>
      </c>
      <c r="P1209">
        <v>0</v>
      </c>
      <c r="Q1209" s="1">
        <v>0.505</v>
      </c>
      <c r="R1209" s="1">
        <v>0.52100000000000002</v>
      </c>
      <c r="S1209" s="1">
        <v>0.34699999999999998</v>
      </c>
      <c r="T1209" s="1">
        <v>0.17799999999999999</v>
      </c>
      <c r="U1209" s="1">
        <v>0.42299999999999999</v>
      </c>
      <c r="V1209" s="1">
        <v>110.04</v>
      </c>
      <c r="W1209">
        <v>4</v>
      </c>
    </row>
    <row r="1210" spans="1:23" x14ac:dyDescent="0.25">
      <c r="A1210" s="1" t="s">
        <v>16146</v>
      </c>
      <c r="B1210" s="1" t="s">
        <v>16147</v>
      </c>
      <c r="C1210" s="1" t="s">
        <v>4270</v>
      </c>
      <c r="D1210" s="1" t="s">
        <v>4270</v>
      </c>
      <c r="E1210" s="1" t="s">
        <v>4271</v>
      </c>
      <c r="F1210" s="1" t="s">
        <v>14969</v>
      </c>
      <c r="G1210">
        <v>227755</v>
      </c>
      <c r="H1210">
        <v>29</v>
      </c>
      <c r="I1210" s="1" t="s">
        <v>11063</v>
      </c>
      <c r="J1210" s="11">
        <v>44729.706458333334</v>
      </c>
      <c r="K1210" s="1" t="s">
        <v>4272</v>
      </c>
      <c r="L1210" s="1">
        <v>0.69099999999999995</v>
      </c>
      <c r="M1210" s="1">
        <v>0.80600000000000005</v>
      </c>
      <c r="N1210">
        <v>1</v>
      </c>
      <c r="O1210" s="1">
        <v>-4.0309999999999997</v>
      </c>
      <c r="P1210">
        <v>0</v>
      </c>
      <c r="Q1210" s="1">
        <v>0.36</v>
      </c>
      <c r="R1210" s="1">
        <v>0.28599999999999998</v>
      </c>
      <c r="S1210" s="1">
        <v>0.26700000000000002</v>
      </c>
      <c r="T1210" s="1">
        <v>0.91</v>
      </c>
      <c r="U1210" s="1">
        <v>0.59799999999999998</v>
      </c>
      <c r="V1210" s="1">
        <v>98.01</v>
      </c>
      <c r="W1210">
        <v>4</v>
      </c>
    </row>
    <row r="1211" spans="1:23" x14ac:dyDescent="0.25">
      <c r="A1211" s="1" t="s">
        <v>16148</v>
      </c>
      <c r="B1211" s="1" t="s">
        <v>16149</v>
      </c>
      <c r="C1211" s="1" t="s">
        <v>4273</v>
      </c>
      <c r="D1211" s="1" t="s">
        <v>4273</v>
      </c>
      <c r="E1211" s="1" t="s">
        <v>4274</v>
      </c>
      <c r="F1211" s="1" t="s">
        <v>16150</v>
      </c>
      <c r="G1211">
        <v>218181</v>
      </c>
      <c r="H1211">
        <v>35</v>
      </c>
      <c r="I1211" s="1" t="s">
        <v>11063</v>
      </c>
      <c r="J1211" s="11">
        <v>44729.706458333334</v>
      </c>
      <c r="K1211" s="1" t="s">
        <v>933</v>
      </c>
      <c r="L1211" s="1">
        <v>0.61599999999999999</v>
      </c>
      <c r="M1211" s="1">
        <v>0.74399999999999999</v>
      </c>
      <c r="N1211">
        <v>6</v>
      </c>
      <c r="O1211" s="1">
        <v>-3.4089999999999998</v>
      </c>
      <c r="P1211">
        <v>0</v>
      </c>
      <c r="Q1211" s="1">
        <v>0.36</v>
      </c>
      <c r="R1211" s="1">
        <v>0.23799999999999999</v>
      </c>
      <c r="S1211" s="1">
        <v>0.27100000000000002</v>
      </c>
      <c r="T1211" s="1">
        <v>0.22800000000000001</v>
      </c>
      <c r="U1211" s="1">
        <v>0.23300000000000001</v>
      </c>
      <c r="V1211" s="1">
        <v>109.965</v>
      </c>
      <c r="W1211">
        <v>4</v>
      </c>
    </row>
    <row r="1212" spans="1:23" x14ac:dyDescent="0.25">
      <c r="A1212" s="1" t="s">
        <v>16151</v>
      </c>
      <c r="B1212" s="1" t="s">
        <v>16152</v>
      </c>
      <c r="C1212" s="1" t="s">
        <v>4275</v>
      </c>
      <c r="D1212" s="1" t="s">
        <v>16153</v>
      </c>
      <c r="E1212" s="1" t="s">
        <v>4276</v>
      </c>
      <c r="F1212" s="1" t="s">
        <v>15632</v>
      </c>
      <c r="G1212">
        <v>256945</v>
      </c>
      <c r="H1212">
        <v>0</v>
      </c>
      <c r="I1212" s="1" t="s">
        <v>11063</v>
      </c>
      <c r="J1212" s="11">
        <v>44729.706458333334</v>
      </c>
      <c r="K1212" s="1" t="s">
        <v>4277</v>
      </c>
      <c r="L1212" s="1">
        <v>0.57599999999999996</v>
      </c>
      <c r="M1212" s="1">
        <v>0.73799999999999999</v>
      </c>
      <c r="N1212">
        <v>11</v>
      </c>
      <c r="O1212" s="1">
        <v>-2.952</v>
      </c>
      <c r="P1212">
        <v>0</v>
      </c>
      <c r="Q1212" s="1">
        <v>0.377</v>
      </c>
      <c r="R1212" s="1">
        <v>0.17</v>
      </c>
      <c r="S1212" s="1">
        <v>0.38800000000000001</v>
      </c>
      <c r="T1212" s="1">
        <v>0.92300000000000004</v>
      </c>
      <c r="U1212" s="1">
        <v>0.14799999999999999</v>
      </c>
      <c r="V1212" s="1">
        <v>150.09200000000001</v>
      </c>
      <c r="W1212">
        <v>4</v>
      </c>
    </row>
    <row r="1213" spans="1:23" x14ac:dyDescent="0.25">
      <c r="A1213" s="1" t="s">
        <v>16154</v>
      </c>
      <c r="B1213" s="1" t="s">
        <v>16155</v>
      </c>
      <c r="C1213" s="1" t="s">
        <v>4278</v>
      </c>
      <c r="D1213" s="1" t="s">
        <v>4278</v>
      </c>
      <c r="E1213" s="1" t="s">
        <v>4279</v>
      </c>
      <c r="F1213" s="1" t="s">
        <v>16156</v>
      </c>
      <c r="G1213">
        <v>182709</v>
      </c>
      <c r="H1213">
        <v>39</v>
      </c>
      <c r="I1213" s="1" t="s">
        <v>11063</v>
      </c>
      <c r="J1213" s="11">
        <v>44729.706458333334</v>
      </c>
      <c r="K1213" s="1" t="s">
        <v>4280</v>
      </c>
      <c r="L1213" s="1">
        <v>0.57499999999999996</v>
      </c>
      <c r="M1213" s="1">
        <v>0.83399999999999996</v>
      </c>
      <c r="N1213">
        <v>9</v>
      </c>
      <c r="O1213" s="1">
        <v>-5.6630000000000003</v>
      </c>
      <c r="P1213">
        <v>1</v>
      </c>
      <c r="Q1213" s="1">
        <v>0.46</v>
      </c>
      <c r="R1213" s="1">
        <v>0.34899999999999998</v>
      </c>
      <c r="S1213" s="1">
        <v>0.27600000000000002</v>
      </c>
      <c r="T1213" s="1">
        <v>0.87</v>
      </c>
      <c r="U1213" s="1">
        <v>0.45900000000000002</v>
      </c>
      <c r="V1213" s="1">
        <v>155.05000000000001</v>
      </c>
      <c r="W1213">
        <v>4</v>
      </c>
    </row>
    <row r="1214" spans="1:23" x14ac:dyDescent="0.25">
      <c r="A1214" s="1" t="s">
        <v>16157</v>
      </c>
      <c r="B1214" s="1" t="s">
        <v>16158</v>
      </c>
      <c r="C1214" s="1" t="s">
        <v>4281</v>
      </c>
      <c r="D1214" s="1" t="s">
        <v>4281</v>
      </c>
      <c r="E1214" s="1" t="s">
        <v>4282</v>
      </c>
      <c r="F1214" s="1" t="s">
        <v>15668</v>
      </c>
      <c r="G1214">
        <v>248674</v>
      </c>
      <c r="H1214">
        <v>35</v>
      </c>
      <c r="I1214" s="1" t="s">
        <v>11063</v>
      </c>
      <c r="J1214" s="11">
        <v>44729.706458333334</v>
      </c>
      <c r="K1214" s="1" t="s">
        <v>933</v>
      </c>
      <c r="L1214" s="1">
        <v>0.40600000000000003</v>
      </c>
      <c r="M1214" s="1">
        <v>0.76500000000000001</v>
      </c>
      <c r="N1214">
        <v>2</v>
      </c>
      <c r="O1214" s="1">
        <v>-4.6399999999999997</v>
      </c>
      <c r="P1214">
        <v>1</v>
      </c>
      <c r="Q1214" s="1">
        <v>0.42199999999999999</v>
      </c>
      <c r="R1214" s="1">
        <v>0.28100000000000003</v>
      </c>
      <c r="S1214" s="1">
        <v>0.309</v>
      </c>
      <c r="T1214" s="1">
        <v>0.88900000000000001</v>
      </c>
      <c r="U1214" s="1">
        <v>0.123</v>
      </c>
      <c r="V1214" s="1">
        <v>166.06200000000001</v>
      </c>
      <c r="W1214">
        <v>4</v>
      </c>
    </row>
    <row r="1215" spans="1:23" x14ac:dyDescent="0.25">
      <c r="A1215" s="1" t="s">
        <v>16159</v>
      </c>
      <c r="B1215" s="1" t="s">
        <v>16160</v>
      </c>
      <c r="C1215" s="1" t="s">
        <v>4283</v>
      </c>
      <c r="D1215" s="1" t="s">
        <v>4283</v>
      </c>
      <c r="E1215" s="1" t="s">
        <v>4284</v>
      </c>
      <c r="F1215" s="1" t="s">
        <v>16161</v>
      </c>
      <c r="G1215">
        <v>175753</v>
      </c>
      <c r="H1215">
        <v>12</v>
      </c>
      <c r="I1215" s="1" t="s">
        <v>11063</v>
      </c>
      <c r="J1215" s="11">
        <v>44729.706458333334</v>
      </c>
      <c r="K1215" s="1" t="s">
        <v>50</v>
      </c>
      <c r="L1215" s="1">
        <v>0.67500000000000004</v>
      </c>
      <c r="M1215" s="1">
        <v>0.45200000000000001</v>
      </c>
      <c r="N1215">
        <v>2</v>
      </c>
      <c r="O1215" s="1">
        <v>-7.6219999999999999</v>
      </c>
      <c r="P1215">
        <v>1</v>
      </c>
      <c r="Q1215" s="1">
        <v>0.39600000000000002</v>
      </c>
      <c r="R1215" s="1">
        <v>0.40200000000000002</v>
      </c>
      <c r="S1215" s="1">
        <v>0</v>
      </c>
      <c r="T1215" s="1">
        <v>0.77500000000000002</v>
      </c>
      <c r="U1215" s="1">
        <v>0.11700000000000001</v>
      </c>
      <c r="V1215" s="1">
        <v>112.17</v>
      </c>
      <c r="W1215">
        <v>4</v>
      </c>
    </row>
    <row r="1216" spans="1:23" x14ac:dyDescent="0.25">
      <c r="A1216" s="1" t="s">
        <v>16162</v>
      </c>
      <c r="B1216" s="1" t="s">
        <v>16163</v>
      </c>
      <c r="C1216" s="1" t="s">
        <v>4285</v>
      </c>
      <c r="D1216" s="1" t="s">
        <v>16164</v>
      </c>
      <c r="E1216" s="1" t="s">
        <v>4286</v>
      </c>
      <c r="F1216" s="1" t="s">
        <v>16165</v>
      </c>
      <c r="G1216">
        <v>251320</v>
      </c>
      <c r="H1216">
        <v>44</v>
      </c>
      <c r="I1216" s="1" t="s">
        <v>11063</v>
      </c>
      <c r="J1216" s="11">
        <v>44729.706458333334</v>
      </c>
      <c r="K1216" s="1" t="s">
        <v>4287</v>
      </c>
      <c r="L1216" s="1">
        <v>0.59499999999999997</v>
      </c>
      <c r="M1216" s="1">
        <v>0.97899999999999998</v>
      </c>
      <c r="N1216">
        <v>9</v>
      </c>
      <c r="O1216" s="1">
        <v>-1.61</v>
      </c>
      <c r="P1216">
        <v>1</v>
      </c>
      <c r="Q1216" s="1">
        <v>0.67800000000000005</v>
      </c>
      <c r="R1216" s="1">
        <v>0.35699999999999998</v>
      </c>
      <c r="S1216" s="1">
        <v>0</v>
      </c>
      <c r="T1216" s="1">
        <v>0.29299999999999998</v>
      </c>
      <c r="U1216" s="1">
        <v>0.83</v>
      </c>
      <c r="V1216" s="1">
        <v>124.986</v>
      </c>
      <c r="W1216">
        <v>4</v>
      </c>
    </row>
    <row r="1217" spans="1:23" x14ac:dyDescent="0.25">
      <c r="A1217" s="1" t="s">
        <v>16166</v>
      </c>
      <c r="B1217" s="1" t="s">
        <v>16163</v>
      </c>
      <c r="C1217" s="1" t="s">
        <v>4288</v>
      </c>
      <c r="D1217" s="1" t="s">
        <v>4288</v>
      </c>
      <c r="E1217" s="1" t="s">
        <v>4286</v>
      </c>
      <c r="F1217" s="1" t="s">
        <v>16165</v>
      </c>
      <c r="G1217">
        <v>242160</v>
      </c>
      <c r="H1217">
        <v>39</v>
      </c>
      <c r="I1217" s="1" t="s">
        <v>11063</v>
      </c>
      <c r="J1217" s="11">
        <v>44729.706458333334</v>
      </c>
      <c r="K1217" s="1" t="s">
        <v>4287</v>
      </c>
      <c r="L1217" s="1">
        <v>0.57299999999999995</v>
      </c>
      <c r="M1217" s="1">
        <v>0.95899999999999996</v>
      </c>
      <c r="N1217">
        <v>8</v>
      </c>
      <c r="O1217" s="1">
        <v>-0.38700000000000001</v>
      </c>
      <c r="P1217">
        <v>1</v>
      </c>
      <c r="Q1217" s="1">
        <v>0.90100000000000002</v>
      </c>
      <c r="R1217" s="1">
        <v>0.59299999999999997</v>
      </c>
      <c r="S1217" s="1">
        <v>0.28399999999999997</v>
      </c>
      <c r="T1217" s="1">
        <v>0.114</v>
      </c>
      <c r="U1217" s="1">
        <v>0.80900000000000005</v>
      </c>
      <c r="V1217" s="1">
        <v>161.553</v>
      </c>
      <c r="W1217">
        <v>4</v>
      </c>
    </row>
    <row r="1218" spans="1:23" x14ac:dyDescent="0.25">
      <c r="A1218" s="1" t="s">
        <v>16167</v>
      </c>
      <c r="B1218" s="1" t="s">
        <v>16168</v>
      </c>
      <c r="C1218" s="1" t="s">
        <v>4289</v>
      </c>
      <c r="D1218" s="1" t="s">
        <v>16169</v>
      </c>
      <c r="E1218" s="1" t="s">
        <v>4290</v>
      </c>
      <c r="F1218" s="1" t="s">
        <v>16165</v>
      </c>
      <c r="G1218">
        <v>250120</v>
      </c>
      <c r="H1218">
        <v>48</v>
      </c>
      <c r="I1218" s="1" t="s">
        <v>11063</v>
      </c>
      <c r="J1218" s="11">
        <v>44729.706458333334</v>
      </c>
      <c r="K1218" s="1" t="s">
        <v>4291</v>
      </c>
      <c r="L1218" s="1">
        <v>0.42799999999999999</v>
      </c>
      <c r="M1218" s="1">
        <v>0.97799999999999998</v>
      </c>
      <c r="N1218">
        <v>4</v>
      </c>
      <c r="O1218" s="1">
        <v>-2.5619999999999998</v>
      </c>
      <c r="P1218">
        <v>1</v>
      </c>
      <c r="Q1218" s="1">
        <v>0.104</v>
      </c>
      <c r="R1218" s="1">
        <v>0.186</v>
      </c>
      <c r="S1218" s="1">
        <v>0.20100000000000001</v>
      </c>
      <c r="T1218" s="1">
        <v>0.34</v>
      </c>
      <c r="U1218" s="1">
        <v>0.76900000000000002</v>
      </c>
      <c r="V1218" s="1">
        <v>170.036</v>
      </c>
      <c r="W1218">
        <v>4</v>
      </c>
    </row>
    <row r="1219" spans="1:23" x14ac:dyDescent="0.25">
      <c r="A1219" s="1" t="s">
        <v>16170</v>
      </c>
      <c r="B1219" s="1" t="s">
        <v>16171</v>
      </c>
      <c r="C1219" s="1" t="s">
        <v>146</v>
      </c>
      <c r="D1219" s="1" t="s">
        <v>146</v>
      </c>
      <c r="E1219" s="1" t="s">
        <v>4292</v>
      </c>
      <c r="F1219" s="1" t="s">
        <v>16172</v>
      </c>
      <c r="G1219">
        <v>194400</v>
      </c>
      <c r="H1219">
        <v>19</v>
      </c>
      <c r="I1219" s="1" t="s">
        <v>11063</v>
      </c>
      <c r="J1219" s="11">
        <v>44729.706458333334</v>
      </c>
      <c r="K1219" s="1" t="s">
        <v>998</v>
      </c>
      <c r="L1219" s="1">
        <v>0.63</v>
      </c>
      <c r="M1219" s="1">
        <v>0.71499999999999997</v>
      </c>
      <c r="N1219">
        <v>1</v>
      </c>
      <c r="O1219" s="1">
        <v>-8.0690000000000008</v>
      </c>
      <c r="P1219">
        <v>1</v>
      </c>
      <c r="Q1219" s="1">
        <v>0.45600000000000002</v>
      </c>
      <c r="R1219" s="1">
        <v>0.55600000000000005</v>
      </c>
      <c r="S1219" s="1">
        <v>0.34699999999999998</v>
      </c>
      <c r="T1219" s="1">
        <v>0.65500000000000003</v>
      </c>
      <c r="U1219" s="1">
        <v>0.46800000000000003</v>
      </c>
      <c r="V1219" s="1">
        <v>100.017</v>
      </c>
      <c r="W1219">
        <v>4</v>
      </c>
    </row>
    <row r="1220" spans="1:23" x14ac:dyDescent="0.25">
      <c r="A1220" s="1" t="s">
        <v>16173</v>
      </c>
      <c r="B1220" s="1" t="s">
        <v>15019</v>
      </c>
      <c r="C1220" s="1" t="s">
        <v>4293</v>
      </c>
      <c r="D1220" s="1" t="s">
        <v>4293</v>
      </c>
      <c r="E1220" s="1" t="s">
        <v>3285</v>
      </c>
      <c r="F1220" s="1" t="s">
        <v>16174</v>
      </c>
      <c r="G1220">
        <v>220569</v>
      </c>
      <c r="H1220">
        <v>28</v>
      </c>
      <c r="I1220" s="1" t="s">
        <v>11063</v>
      </c>
      <c r="J1220" s="11">
        <v>44729.706458333334</v>
      </c>
      <c r="K1220" s="1" t="s">
        <v>998</v>
      </c>
      <c r="L1220" s="1">
        <v>0.72299999999999998</v>
      </c>
      <c r="M1220" s="1">
        <v>0.65100000000000002</v>
      </c>
      <c r="N1220">
        <v>8</v>
      </c>
      <c r="O1220" s="1">
        <v>-8.2040000000000006</v>
      </c>
      <c r="P1220">
        <v>1</v>
      </c>
      <c r="Q1220" s="1">
        <v>0.35799999999999998</v>
      </c>
      <c r="R1220" s="1">
        <v>0.94899999999999995</v>
      </c>
      <c r="S1220" s="1">
        <v>0.871</v>
      </c>
      <c r="T1220" s="1">
        <v>0.10299999999999999</v>
      </c>
      <c r="U1220" s="1">
        <v>0.38300000000000001</v>
      </c>
      <c r="V1220" s="1">
        <v>144.97</v>
      </c>
      <c r="W1220">
        <v>4</v>
      </c>
    </row>
    <row r="1221" spans="1:23" x14ac:dyDescent="0.25">
      <c r="A1221" s="1" t="s">
        <v>11570</v>
      </c>
      <c r="B1221" s="1" t="s">
        <v>11571</v>
      </c>
      <c r="C1221" s="1" t="s">
        <v>300</v>
      </c>
      <c r="D1221" s="1" t="s">
        <v>11572</v>
      </c>
      <c r="E1221" s="1" t="s">
        <v>301</v>
      </c>
      <c r="F1221" s="1" t="s">
        <v>11573</v>
      </c>
      <c r="G1221">
        <v>260906</v>
      </c>
      <c r="H1221">
        <v>67</v>
      </c>
      <c r="I1221" s="1" t="s">
        <v>11063</v>
      </c>
      <c r="J1221" s="11">
        <v>44729.706458333334</v>
      </c>
      <c r="K1221" s="1" t="s">
        <v>50</v>
      </c>
      <c r="L1221" s="1">
        <v>0.72899999999999998</v>
      </c>
      <c r="M1221" s="1">
        <v>0.66200000000000003</v>
      </c>
      <c r="N1221">
        <v>5</v>
      </c>
      <c r="O1221" s="1">
        <v>-7.1909999999999998</v>
      </c>
      <c r="P1221">
        <v>0</v>
      </c>
      <c r="Q1221" s="1">
        <v>0.33700000000000002</v>
      </c>
      <c r="R1221" s="1">
        <v>0.128</v>
      </c>
      <c r="S1221" s="1">
        <v>0.20799999999999999</v>
      </c>
      <c r="T1221" s="1">
        <v>0.30499999999999999</v>
      </c>
      <c r="U1221" s="1">
        <v>0.35899999999999999</v>
      </c>
      <c r="V1221" s="1">
        <v>124.149</v>
      </c>
      <c r="W1221">
        <v>4</v>
      </c>
    </row>
    <row r="1222" spans="1:23" x14ac:dyDescent="0.25">
      <c r="A1222" s="1" t="s">
        <v>16175</v>
      </c>
      <c r="B1222" s="1" t="s">
        <v>16176</v>
      </c>
      <c r="C1222" s="1" t="s">
        <v>4294</v>
      </c>
      <c r="D1222" s="1" t="s">
        <v>16177</v>
      </c>
      <c r="E1222" s="1" t="s">
        <v>4295</v>
      </c>
      <c r="F1222" s="1" t="s">
        <v>16178</v>
      </c>
      <c r="G1222">
        <v>234453</v>
      </c>
      <c r="H1222">
        <v>72</v>
      </c>
      <c r="I1222" s="1" t="s">
        <v>11063</v>
      </c>
      <c r="J1222" s="11">
        <v>44729.706458333334</v>
      </c>
      <c r="K1222" s="1" t="s">
        <v>4296</v>
      </c>
      <c r="L1222" s="1">
        <v>0.59499999999999997</v>
      </c>
      <c r="M1222" s="1">
        <v>0.91200000000000003</v>
      </c>
      <c r="N1222">
        <v>10</v>
      </c>
      <c r="O1222" s="1">
        <v>-3.4279999999999999</v>
      </c>
      <c r="P1222">
        <v>0</v>
      </c>
      <c r="Q1222" s="1">
        <v>0.88400000000000001</v>
      </c>
      <c r="R1222" s="1">
        <v>0.434</v>
      </c>
      <c r="S1222" s="1">
        <v>0</v>
      </c>
      <c r="T1222" s="1">
        <v>0.25900000000000001</v>
      </c>
      <c r="U1222" s="1">
        <v>0.76200000000000001</v>
      </c>
      <c r="V1222" s="1">
        <v>128.024</v>
      </c>
      <c r="W1222">
        <v>4</v>
      </c>
    </row>
    <row r="1223" spans="1:23" x14ac:dyDescent="0.25">
      <c r="A1223" s="1" t="s">
        <v>16179</v>
      </c>
      <c r="B1223" s="1" t="s">
        <v>16180</v>
      </c>
      <c r="C1223" s="1" t="s">
        <v>4297</v>
      </c>
      <c r="D1223" s="1" t="s">
        <v>16181</v>
      </c>
      <c r="E1223" s="1" t="s">
        <v>4298</v>
      </c>
      <c r="F1223" s="1" t="s">
        <v>14255</v>
      </c>
      <c r="G1223">
        <v>343240</v>
      </c>
      <c r="H1223">
        <v>41</v>
      </c>
      <c r="I1223" s="1" t="s">
        <v>11063</v>
      </c>
      <c r="J1223" s="11">
        <v>44729.706458333334</v>
      </c>
      <c r="K1223" s="1" t="s">
        <v>4299</v>
      </c>
      <c r="L1223" s="1">
        <v>0.81899999999999995</v>
      </c>
      <c r="M1223" s="1">
        <v>0.80500000000000005</v>
      </c>
      <c r="N1223">
        <v>2</v>
      </c>
      <c r="O1223" s="1">
        <v>-5.81</v>
      </c>
      <c r="P1223">
        <v>1</v>
      </c>
      <c r="Q1223" s="1">
        <v>0.32200000000000001</v>
      </c>
      <c r="R1223" s="1">
        <v>0.81299999999999994</v>
      </c>
      <c r="S1223" s="1">
        <v>0.26700000000000002</v>
      </c>
      <c r="T1223" s="1">
        <v>0.86099999999999999</v>
      </c>
      <c r="U1223" s="1">
        <v>0.47099999999999997</v>
      </c>
      <c r="V1223" s="1">
        <v>129.988</v>
      </c>
      <c r="W1223">
        <v>4</v>
      </c>
    </row>
    <row r="1224" spans="1:23" x14ac:dyDescent="0.25">
      <c r="A1224" s="1" t="s">
        <v>16182</v>
      </c>
      <c r="B1224" s="1" t="s">
        <v>16183</v>
      </c>
      <c r="C1224" s="1" t="s">
        <v>4300</v>
      </c>
      <c r="D1224" s="1" t="s">
        <v>4300</v>
      </c>
      <c r="E1224" s="1" t="s">
        <v>4301</v>
      </c>
      <c r="F1224" s="1" t="s">
        <v>13822</v>
      </c>
      <c r="G1224">
        <v>246466</v>
      </c>
      <c r="H1224">
        <v>71</v>
      </c>
      <c r="I1224" s="1" t="s">
        <v>11063</v>
      </c>
      <c r="J1224" s="11">
        <v>44729.706458333334</v>
      </c>
      <c r="K1224" s="1" t="s">
        <v>4302</v>
      </c>
      <c r="L1224" s="1">
        <v>0.75600000000000001</v>
      </c>
      <c r="M1224" s="1">
        <v>0.77</v>
      </c>
      <c r="N1224">
        <v>1</v>
      </c>
      <c r="O1224" s="1">
        <v>-3.5019999999999998</v>
      </c>
      <c r="P1224">
        <v>1</v>
      </c>
      <c r="Q1224" s="1">
        <v>0.34300000000000003</v>
      </c>
      <c r="R1224" s="1">
        <v>0.191</v>
      </c>
      <c r="S1224" s="1">
        <v>0</v>
      </c>
      <c r="T1224" s="1">
        <v>0.17799999999999999</v>
      </c>
      <c r="U1224" s="1">
        <v>0.73</v>
      </c>
      <c r="V1224" s="1">
        <v>119.961</v>
      </c>
      <c r="W1224">
        <v>4</v>
      </c>
    </row>
    <row r="1225" spans="1:23" x14ac:dyDescent="0.25">
      <c r="A1225" s="1" t="s">
        <v>16184</v>
      </c>
      <c r="B1225" s="1" t="s">
        <v>16185</v>
      </c>
      <c r="C1225" s="1" t="s">
        <v>4303</v>
      </c>
      <c r="D1225" s="1" t="s">
        <v>4303</v>
      </c>
      <c r="E1225" s="1" t="s">
        <v>4304</v>
      </c>
      <c r="F1225" s="1" t="s">
        <v>15909</v>
      </c>
      <c r="G1225">
        <v>173500</v>
      </c>
      <c r="H1225">
        <v>38</v>
      </c>
      <c r="I1225" s="1" t="s">
        <v>11063</v>
      </c>
      <c r="J1225" s="11">
        <v>44729.706458333334</v>
      </c>
      <c r="K1225" s="1" t="s">
        <v>50</v>
      </c>
      <c r="L1225" s="1">
        <v>0.57399999999999995</v>
      </c>
      <c r="M1225" s="1">
        <v>0.78</v>
      </c>
      <c r="N1225">
        <v>7</v>
      </c>
      <c r="O1225" s="1">
        <v>-4.702</v>
      </c>
      <c r="P1225">
        <v>0</v>
      </c>
      <c r="Q1225" s="1">
        <v>0.20100000000000001</v>
      </c>
      <c r="R1225" s="1">
        <v>0.33100000000000002</v>
      </c>
      <c r="S1225" s="1">
        <v>0.113</v>
      </c>
      <c r="T1225" s="1">
        <v>0.13</v>
      </c>
      <c r="U1225" s="1">
        <v>0.372</v>
      </c>
      <c r="V1225" s="1">
        <v>129.80000000000001</v>
      </c>
      <c r="W1225">
        <v>4</v>
      </c>
    </row>
    <row r="1226" spans="1:23" x14ac:dyDescent="0.25">
      <c r="A1226" s="1" t="s">
        <v>16186</v>
      </c>
      <c r="B1226" s="1" t="s">
        <v>16168</v>
      </c>
      <c r="C1226" s="1" t="s">
        <v>4305</v>
      </c>
      <c r="D1226" s="1" t="s">
        <v>16187</v>
      </c>
      <c r="E1226" s="1" t="s">
        <v>4290</v>
      </c>
      <c r="F1226" s="1" t="s">
        <v>16165</v>
      </c>
      <c r="G1226">
        <v>239000</v>
      </c>
      <c r="H1226">
        <v>50</v>
      </c>
      <c r="I1226" s="1" t="s">
        <v>11063</v>
      </c>
      <c r="J1226" s="11">
        <v>44729.706458333334</v>
      </c>
      <c r="K1226" s="1" t="s">
        <v>4291</v>
      </c>
      <c r="L1226" s="1">
        <v>0.36599999999999999</v>
      </c>
      <c r="M1226" s="1">
        <v>0.98199999999999998</v>
      </c>
      <c r="N1226">
        <v>4</v>
      </c>
      <c r="O1226" s="1">
        <v>-3.4390000000000001</v>
      </c>
      <c r="P1226">
        <v>1</v>
      </c>
      <c r="Q1226" s="1">
        <v>0.89300000000000002</v>
      </c>
      <c r="R1226" s="1">
        <v>0.26300000000000001</v>
      </c>
      <c r="S1226" s="1">
        <v>0.14699999999999999</v>
      </c>
      <c r="T1226" s="1">
        <v>0.14399999999999999</v>
      </c>
      <c r="U1226" s="1">
        <v>0.42</v>
      </c>
      <c r="V1226" s="1">
        <v>180.17099999999999</v>
      </c>
      <c r="W1226">
        <v>4</v>
      </c>
    </row>
    <row r="1227" spans="1:23" x14ac:dyDescent="0.25">
      <c r="A1227" s="1" t="s">
        <v>16188</v>
      </c>
      <c r="B1227" s="1" t="s">
        <v>16189</v>
      </c>
      <c r="C1227" s="1" t="s">
        <v>4306</v>
      </c>
      <c r="D1227" s="1" t="s">
        <v>4306</v>
      </c>
      <c r="E1227" s="1" t="s">
        <v>4307</v>
      </c>
      <c r="F1227" s="1" t="s">
        <v>11343</v>
      </c>
      <c r="G1227">
        <v>288613</v>
      </c>
      <c r="H1227">
        <v>0</v>
      </c>
      <c r="I1227" s="1" t="s">
        <v>11063</v>
      </c>
      <c r="J1227" s="11">
        <v>44729.706458333334</v>
      </c>
      <c r="K1227" s="1" t="s">
        <v>50</v>
      </c>
      <c r="L1227" s="1">
        <v>0.30399999999999999</v>
      </c>
      <c r="M1227" s="1">
        <v>0.56799999999999995</v>
      </c>
      <c r="N1227">
        <v>11</v>
      </c>
      <c r="O1227" s="1">
        <v>-5.6070000000000002</v>
      </c>
      <c r="P1227">
        <v>1</v>
      </c>
      <c r="Q1227" s="1">
        <v>0.68300000000000005</v>
      </c>
      <c r="R1227" s="1">
        <v>0.53300000000000003</v>
      </c>
      <c r="S1227" s="1">
        <v>0.53500000000000003</v>
      </c>
      <c r="T1227" s="1">
        <v>0.38400000000000001</v>
      </c>
      <c r="U1227" s="1">
        <v>0.14499999999999999</v>
      </c>
      <c r="V1227" s="1">
        <v>98.019000000000005</v>
      </c>
      <c r="W1227">
        <v>4</v>
      </c>
    </row>
    <row r="1228" spans="1:23" x14ac:dyDescent="0.25">
      <c r="A1228" s="1" t="s">
        <v>16190</v>
      </c>
      <c r="B1228" s="1" t="s">
        <v>16191</v>
      </c>
      <c r="C1228" s="1" t="s">
        <v>4308</v>
      </c>
      <c r="D1228" s="1" t="s">
        <v>4308</v>
      </c>
      <c r="E1228" s="1" t="s">
        <v>4309</v>
      </c>
      <c r="F1228" s="1" t="s">
        <v>16192</v>
      </c>
      <c r="G1228">
        <v>267389</v>
      </c>
      <c r="H1228">
        <v>36</v>
      </c>
      <c r="I1228" s="1" t="s">
        <v>11063</v>
      </c>
      <c r="J1228" s="11">
        <v>44729.706458333334</v>
      </c>
      <c r="K1228" s="1" t="s">
        <v>3046</v>
      </c>
      <c r="L1228" s="1">
        <v>0.432</v>
      </c>
      <c r="M1228" s="1">
        <v>0.47899999999999998</v>
      </c>
      <c r="N1228">
        <v>0</v>
      </c>
      <c r="O1228" s="1">
        <v>-7.5229999999999997</v>
      </c>
      <c r="P1228">
        <v>0</v>
      </c>
      <c r="Q1228" s="1">
        <v>0.27500000000000002</v>
      </c>
      <c r="R1228" s="1">
        <v>0.36799999999999999</v>
      </c>
      <c r="S1228" s="1">
        <v>0.42399999999999999</v>
      </c>
      <c r="T1228" s="1">
        <v>0.56399999999999995</v>
      </c>
      <c r="U1228" s="1">
        <v>0.67</v>
      </c>
      <c r="V1228" s="1">
        <v>89.98</v>
      </c>
      <c r="W1228">
        <v>4</v>
      </c>
    </row>
    <row r="1229" spans="1:23" x14ac:dyDescent="0.25">
      <c r="A1229" s="1" t="s">
        <v>16193</v>
      </c>
      <c r="B1229" s="1" t="s">
        <v>16194</v>
      </c>
      <c r="C1229" s="1" t="s">
        <v>4310</v>
      </c>
      <c r="D1229" s="1" t="s">
        <v>16195</v>
      </c>
      <c r="E1229" s="1" t="s">
        <v>4311</v>
      </c>
      <c r="F1229" s="1" t="s">
        <v>16196</v>
      </c>
      <c r="G1229">
        <v>234146</v>
      </c>
      <c r="H1229">
        <v>25</v>
      </c>
      <c r="I1229" s="1" t="s">
        <v>11063</v>
      </c>
      <c r="J1229" s="11">
        <v>44729.706458333334</v>
      </c>
      <c r="K1229" s="1" t="s">
        <v>927</v>
      </c>
      <c r="L1229" s="1">
        <v>0.46200000000000002</v>
      </c>
      <c r="M1229" s="1">
        <v>0.72799999999999998</v>
      </c>
      <c r="N1229">
        <v>6</v>
      </c>
      <c r="O1229" s="1">
        <v>-5.4509999999999996</v>
      </c>
      <c r="P1229">
        <v>1</v>
      </c>
      <c r="Q1229" s="1">
        <v>0.82699999999999996</v>
      </c>
      <c r="R1229" s="1">
        <v>0.109</v>
      </c>
      <c r="S1229" s="1">
        <v>0</v>
      </c>
      <c r="T1229" s="1">
        <v>0.14399999999999999</v>
      </c>
      <c r="U1229" s="1">
        <v>0.30399999999999999</v>
      </c>
      <c r="V1229" s="1">
        <v>81.936999999999998</v>
      </c>
      <c r="W1229">
        <v>4</v>
      </c>
    </row>
    <row r="1230" spans="1:23" x14ac:dyDescent="0.25">
      <c r="A1230" s="1" t="s">
        <v>16197</v>
      </c>
      <c r="B1230" s="1" t="s">
        <v>16198</v>
      </c>
      <c r="C1230" s="1" t="s">
        <v>4312</v>
      </c>
      <c r="D1230" s="1" t="s">
        <v>4312</v>
      </c>
      <c r="E1230" s="1" t="s">
        <v>4313</v>
      </c>
      <c r="F1230" s="1" t="s">
        <v>16199</v>
      </c>
      <c r="G1230">
        <v>200510</v>
      </c>
      <c r="H1230">
        <v>34</v>
      </c>
      <c r="I1230" s="1" t="s">
        <v>11063</v>
      </c>
      <c r="J1230" s="11">
        <v>44729.706458333334</v>
      </c>
      <c r="K1230" s="1" t="s">
        <v>50</v>
      </c>
      <c r="L1230" s="1">
        <v>0.70699999999999996</v>
      </c>
      <c r="M1230" s="1">
        <v>0.65600000000000003</v>
      </c>
      <c r="N1230">
        <v>2</v>
      </c>
      <c r="O1230" s="1">
        <v>-7.2480000000000002</v>
      </c>
      <c r="P1230">
        <v>1</v>
      </c>
      <c r="Q1230" s="1">
        <v>0.36599999999999999</v>
      </c>
      <c r="R1230" s="1">
        <v>0.51</v>
      </c>
      <c r="S1230" s="1">
        <v>0.13800000000000001</v>
      </c>
      <c r="T1230" s="1">
        <v>0.22900000000000001</v>
      </c>
      <c r="U1230" s="1">
        <v>0.30599999999999999</v>
      </c>
      <c r="V1230" s="1">
        <v>119.98099999999999</v>
      </c>
      <c r="W1230">
        <v>4</v>
      </c>
    </row>
    <row r="1231" spans="1:23" x14ac:dyDescent="0.25">
      <c r="A1231" s="1" t="s">
        <v>16200</v>
      </c>
      <c r="B1231" s="1" t="s">
        <v>16201</v>
      </c>
      <c r="C1231" s="1" t="s">
        <v>4314</v>
      </c>
      <c r="D1231" s="1" t="s">
        <v>4314</v>
      </c>
      <c r="E1231" s="1" t="s">
        <v>4315</v>
      </c>
      <c r="F1231" s="1" t="s">
        <v>16202</v>
      </c>
      <c r="G1231">
        <v>176523</v>
      </c>
      <c r="H1231">
        <v>37</v>
      </c>
      <c r="I1231" s="1" t="s">
        <v>11063</v>
      </c>
      <c r="J1231" s="11">
        <v>44729.706458333334</v>
      </c>
      <c r="K1231" s="1" t="s">
        <v>3046</v>
      </c>
      <c r="L1231" s="1">
        <v>0.47</v>
      </c>
      <c r="M1231" s="1">
        <v>0.74099999999999999</v>
      </c>
      <c r="N1231">
        <v>4</v>
      </c>
      <c r="O1231" s="1">
        <v>-5.0199999999999996</v>
      </c>
      <c r="P1231">
        <v>0</v>
      </c>
      <c r="Q1231" s="1">
        <v>0.52800000000000002</v>
      </c>
      <c r="R1231" s="1">
        <v>0.97299999999999998</v>
      </c>
      <c r="S1231" s="1">
        <v>0.183</v>
      </c>
      <c r="T1231" s="1">
        <v>0.17399999999999999</v>
      </c>
      <c r="U1231" s="1">
        <v>0.128</v>
      </c>
      <c r="V1231" s="1">
        <v>139.88999999999999</v>
      </c>
      <c r="W1231">
        <v>4</v>
      </c>
    </row>
    <row r="1232" spans="1:23" x14ac:dyDescent="0.25">
      <c r="A1232" s="1" t="s">
        <v>16203</v>
      </c>
      <c r="B1232" s="1" t="s">
        <v>16204</v>
      </c>
      <c r="C1232" s="1" t="s">
        <v>1221</v>
      </c>
      <c r="D1232" s="1" t="s">
        <v>1221</v>
      </c>
      <c r="E1232" s="1" t="s">
        <v>4316</v>
      </c>
      <c r="F1232" s="1" t="s">
        <v>16150</v>
      </c>
      <c r="G1232">
        <v>212312</v>
      </c>
      <c r="H1232">
        <v>22</v>
      </c>
      <c r="I1232" s="1" t="s">
        <v>11063</v>
      </c>
      <c r="J1232" s="11">
        <v>44729.706458333334</v>
      </c>
      <c r="K1232" s="1" t="s">
        <v>1053</v>
      </c>
      <c r="L1232" s="1">
        <v>0.749</v>
      </c>
      <c r="M1232" s="1">
        <v>0.71199999999999997</v>
      </c>
      <c r="N1232">
        <v>7</v>
      </c>
      <c r="O1232" s="1">
        <v>-9.7810000000000006</v>
      </c>
      <c r="P1232">
        <v>0</v>
      </c>
      <c r="Q1232" s="1">
        <v>0.24</v>
      </c>
      <c r="R1232" s="1">
        <v>0.15</v>
      </c>
      <c r="S1232" s="1">
        <v>0.10299999999999999</v>
      </c>
      <c r="T1232" s="1">
        <v>0.57299999999999995</v>
      </c>
      <c r="U1232" s="1">
        <v>0.41899999999999998</v>
      </c>
      <c r="V1232" s="1">
        <v>99.983000000000004</v>
      </c>
      <c r="W1232">
        <v>4</v>
      </c>
    </row>
    <row r="1233" spans="1:23" x14ac:dyDescent="0.25">
      <c r="A1233" s="1" t="s">
        <v>16205</v>
      </c>
      <c r="B1233" s="1" t="s">
        <v>16168</v>
      </c>
      <c r="C1233" s="1" t="s">
        <v>4317</v>
      </c>
      <c r="D1233" s="1" t="s">
        <v>16206</v>
      </c>
      <c r="E1233" s="1" t="s">
        <v>4290</v>
      </c>
      <c r="F1233" s="1" t="s">
        <v>16165</v>
      </c>
      <c r="G1233">
        <v>263973</v>
      </c>
      <c r="H1233">
        <v>51</v>
      </c>
      <c r="I1233" s="1" t="s">
        <v>11063</v>
      </c>
      <c r="J1233" s="11">
        <v>44729.706458333334</v>
      </c>
      <c r="K1233" s="1" t="s">
        <v>4291</v>
      </c>
      <c r="L1233" s="1">
        <v>0.311</v>
      </c>
      <c r="M1233" s="1">
        <v>0.98099999999999998</v>
      </c>
      <c r="N1233">
        <v>9</v>
      </c>
      <c r="O1233" s="1">
        <v>-2.3119999999999998</v>
      </c>
      <c r="P1233">
        <v>1</v>
      </c>
      <c r="Q1233" s="1">
        <v>0.73599999999999999</v>
      </c>
      <c r="R1233" s="1">
        <v>0.23</v>
      </c>
      <c r="S1233" s="1">
        <v>0.499</v>
      </c>
      <c r="T1233" s="1">
        <v>0.28999999999999998</v>
      </c>
      <c r="U1233" s="1">
        <v>0.36499999999999999</v>
      </c>
      <c r="V1233" s="1">
        <v>180.96700000000001</v>
      </c>
      <c r="W1233">
        <v>4</v>
      </c>
    </row>
    <row r="1234" spans="1:23" x14ac:dyDescent="0.25">
      <c r="A1234" s="1" t="s">
        <v>16207</v>
      </c>
      <c r="B1234" s="1" t="s">
        <v>16208</v>
      </c>
      <c r="C1234" s="1" t="s">
        <v>4318</v>
      </c>
      <c r="D1234" s="1" t="s">
        <v>4318</v>
      </c>
      <c r="E1234" s="1" t="s">
        <v>4319</v>
      </c>
      <c r="F1234" s="1" t="s">
        <v>15921</v>
      </c>
      <c r="G1234">
        <v>194400</v>
      </c>
      <c r="H1234">
        <v>30</v>
      </c>
      <c r="I1234" s="1" t="s">
        <v>11063</v>
      </c>
      <c r="J1234" s="11">
        <v>44729.706458333334</v>
      </c>
      <c r="K1234" s="1" t="s">
        <v>4320</v>
      </c>
      <c r="L1234" s="1">
        <v>0.495</v>
      </c>
      <c r="M1234" s="1">
        <v>0.85599999999999998</v>
      </c>
      <c r="N1234">
        <v>6</v>
      </c>
      <c r="O1234" s="1">
        <v>-5.0279999999999996</v>
      </c>
      <c r="P1234">
        <v>0</v>
      </c>
      <c r="Q1234" s="1">
        <v>0.48099999999999998</v>
      </c>
      <c r="R1234" s="1">
        <v>0.15</v>
      </c>
      <c r="S1234" s="1">
        <v>0.63500000000000001</v>
      </c>
      <c r="T1234" s="1">
        <v>0.96599999999999997</v>
      </c>
      <c r="U1234" s="1">
        <v>0.29399999999999998</v>
      </c>
      <c r="V1234" s="1">
        <v>100.001</v>
      </c>
      <c r="W1234">
        <v>4</v>
      </c>
    </row>
    <row r="1235" spans="1:23" x14ac:dyDescent="0.25">
      <c r="A1235" s="1" t="s">
        <v>16209</v>
      </c>
      <c r="B1235" s="1" t="s">
        <v>16210</v>
      </c>
      <c r="C1235" s="1" t="s">
        <v>4321</v>
      </c>
      <c r="D1235" s="1" t="s">
        <v>4321</v>
      </c>
      <c r="E1235" s="1" t="s">
        <v>4322</v>
      </c>
      <c r="F1235" s="1" t="s">
        <v>16211</v>
      </c>
      <c r="G1235">
        <v>251454</v>
      </c>
      <c r="H1235">
        <v>26</v>
      </c>
      <c r="I1235" s="1" t="s">
        <v>11063</v>
      </c>
      <c r="J1235" s="11">
        <v>44729.706458333334</v>
      </c>
      <c r="K1235" s="1" t="s">
        <v>4323</v>
      </c>
      <c r="L1235" s="1">
        <v>0.60799999999999998</v>
      </c>
      <c r="M1235" s="1">
        <v>0.58499999999999996</v>
      </c>
      <c r="N1235">
        <v>8</v>
      </c>
      <c r="O1235" s="1">
        <v>-6.2050000000000001</v>
      </c>
      <c r="P1235">
        <v>1</v>
      </c>
      <c r="Q1235" s="1">
        <v>0.48</v>
      </c>
      <c r="R1235" s="1">
        <v>0.32600000000000001</v>
      </c>
      <c r="S1235" s="1">
        <v>0.45900000000000002</v>
      </c>
      <c r="T1235" s="1">
        <v>0.98899999999999999</v>
      </c>
      <c r="U1235" s="1">
        <v>0.105</v>
      </c>
      <c r="V1235" s="1">
        <v>110.07</v>
      </c>
      <c r="W1235">
        <v>4</v>
      </c>
    </row>
    <row r="1236" spans="1:23" x14ac:dyDescent="0.25">
      <c r="A1236" s="1" t="s">
        <v>16212</v>
      </c>
      <c r="B1236" s="1" t="s">
        <v>16213</v>
      </c>
      <c r="C1236" s="1" t="s">
        <v>4324</v>
      </c>
      <c r="D1236" s="1" t="s">
        <v>4324</v>
      </c>
      <c r="E1236" s="1" t="s">
        <v>4325</v>
      </c>
      <c r="F1236" s="1" t="s">
        <v>16214</v>
      </c>
      <c r="G1236">
        <v>184000</v>
      </c>
      <c r="H1236">
        <v>28</v>
      </c>
      <c r="I1236" s="1" t="s">
        <v>11063</v>
      </c>
      <c r="J1236" s="11">
        <v>44729.706458333334</v>
      </c>
      <c r="K1236" s="1" t="s">
        <v>3172</v>
      </c>
      <c r="L1236" s="1">
        <v>0.73199999999999998</v>
      </c>
      <c r="M1236" s="1">
        <v>0.61899999999999999</v>
      </c>
      <c r="N1236">
        <v>0</v>
      </c>
      <c r="O1236" s="1">
        <v>-5.19</v>
      </c>
      <c r="P1236">
        <v>1</v>
      </c>
      <c r="Q1236" s="1">
        <v>0.13800000000000001</v>
      </c>
      <c r="R1236" s="1">
        <v>0.98299999999999998</v>
      </c>
      <c r="S1236" s="1">
        <v>0.23400000000000001</v>
      </c>
      <c r="T1236" s="1">
        <v>0.81899999999999995</v>
      </c>
      <c r="U1236" s="1">
        <v>0.34200000000000003</v>
      </c>
      <c r="V1236" s="1">
        <v>90.006</v>
      </c>
      <c r="W1236">
        <v>4</v>
      </c>
    </row>
    <row r="1237" spans="1:23" x14ac:dyDescent="0.25">
      <c r="A1237" s="1" t="s">
        <v>16215</v>
      </c>
      <c r="B1237" s="1" t="s">
        <v>16216</v>
      </c>
      <c r="C1237" s="1" t="s">
        <v>4326</v>
      </c>
      <c r="D1237" s="1" t="s">
        <v>16217</v>
      </c>
      <c r="E1237" s="1" t="s">
        <v>4327</v>
      </c>
      <c r="F1237" s="1" t="s">
        <v>16218</v>
      </c>
      <c r="G1237">
        <v>342355</v>
      </c>
      <c r="H1237">
        <v>29</v>
      </c>
      <c r="I1237" s="1" t="s">
        <v>11063</v>
      </c>
      <c r="J1237" s="11">
        <v>44729.706458333334</v>
      </c>
      <c r="K1237" s="1" t="s">
        <v>50</v>
      </c>
      <c r="L1237" s="1">
        <v>0.35799999999999998</v>
      </c>
      <c r="M1237" s="1">
        <v>0.53400000000000003</v>
      </c>
      <c r="N1237">
        <v>7</v>
      </c>
      <c r="O1237" s="1">
        <v>-8.25</v>
      </c>
      <c r="P1237">
        <v>1</v>
      </c>
      <c r="Q1237" s="1">
        <v>0.39700000000000002</v>
      </c>
      <c r="R1237" s="1">
        <v>0.221</v>
      </c>
      <c r="S1237" s="1">
        <v>0.17799999999999999</v>
      </c>
      <c r="T1237" s="1">
        <v>0.10299999999999999</v>
      </c>
      <c r="U1237" s="1">
        <v>0.126</v>
      </c>
      <c r="V1237" s="1">
        <v>164.011</v>
      </c>
      <c r="W1237">
        <v>4</v>
      </c>
    </row>
    <row r="1238" spans="1:23" x14ac:dyDescent="0.25">
      <c r="A1238" s="1" t="s">
        <v>16219</v>
      </c>
      <c r="B1238" s="1" t="s">
        <v>11367</v>
      </c>
      <c r="C1238" s="1" t="s">
        <v>4328</v>
      </c>
      <c r="D1238" s="1" t="s">
        <v>4328</v>
      </c>
      <c r="E1238" s="1" t="s">
        <v>154</v>
      </c>
      <c r="F1238" s="1" t="s">
        <v>15573</v>
      </c>
      <c r="G1238">
        <v>181466</v>
      </c>
      <c r="H1238">
        <v>75</v>
      </c>
      <c r="I1238" s="1" t="s">
        <v>11063</v>
      </c>
      <c r="J1238" s="11">
        <v>44729.706458333334</v>
      </c>
      <c r="K1238" s="1" t="s">
        <v>2372</v>
      </c>
      <c r="L1238" s="1">
        <v>0.53200000000000003</v>
      </c>
      <c r="M1238" s="1">
        <v>0.17799999999999999</v>
      </c>
      <c r="N1238">
        <v>9</v>
      </c>
      <c r="O1238" s="1">
        <v>-9.7539999999999996</v>
      </c>
      <c r="P1238">
        <v>0</v>
      </c>
      <c r="Q1238" s="1">
        <v>0.54100000000000004</v>
      </c>
      <c r="R1238" s="1">
        <v>0.61399999999999999</v>
      </c>
      <c r="S1238" s="1">
        <v>0.14000000000000001</v>
      </c>
      <c r="T1238" s="1">
        <v>0.98499999999999999</v>
      </c>
      <c r="U1238" s="1">
        <v>0.10299999999999999</v>
      </c>
      <c r="V1238" s="1">
        <v>149.87899999999999</v>
      </c>
      <c r="W1238">
        <v>3</v>
      </c>
    </row>
    <row r="1239" spans="1:23" x14ac:dyDescent="0.25">
      <c r="A1239" s="1" t="s">
        <v>16220</v>
      </c>
      <c r="B1239" s="1" t="s">
        <v>16221</v>
      </c>
      <c r="C1239" s="1" t="s">
        <v>4329</v>
      </c>
      <c r="D1239" s="1" t="s">
        <v>16222</v>
      </c>
      <c r="E1239" s="1" t="s">
        <v>4330</v>
      </c>
      <c r="F1239" s="1" t="s">
        <v>15987</v>
      </c>
      <c r="G1239">
        <v>156000</v>
      </c>
      <c r="H1239">
        <v>42</v>
      </c>
      <c r="I1239" s="1" t="s">
        <v>11063</v>
      </c>
      <c r="J1239" s="11">
        <v>44729.706458333334</v>
      </c>
      <c r="K1239" s="1" t="s">
        <v>4331</v>
      </c>
      <c r="L1239" s="1">
        <v>0.755</v>
      </c>
      <c r="M1239" s="1">
        <v>0.64</v>
      </c>
      <c r="N1239">
        <v>11</v>
      </c>
      <c r="O1239" s="1">
        <v>-8.2309999999999999</v>
      </c>
      <c r="P1239">
        <v>0</v>
      </c>
      <c r="Q1239" s="1">
        <v>0.42299999999999999</v>
      </c>
      <c r="R1239" s="1">
        <v>0.79800000000000004</v>
      </c>
      <c r="S1239" s="1">
        <v>0</v>
      </c>
      <c r="T1239" s="1">
        <v>0.153</v>
      </c>
      <c r="U1239" s="1">
        <v>0.64500000000000002</v>
      </c>
      <c r="V1239" s="1">
        <v>119.989</v>
      </c>
      <c r="W1239">
        <v>4</v>
      </c>
    </row>
    <row r="1240" spans="1:23" x14ac:dyDescent="0.25">
      <c r="A1240" s="1" t="s">
        <v>16223</v>
      </c>
      <c r="B1240" s="1" t="s">
        <v>16224</v>
      </c>
      <c r="C1240" s="1" t="s">
        <v>4332</v>
      </c>
      <c r="D1240" s="1" t="s">
        <v>4332</v>
      </c>
      <c r="E1240" s="1" t="s">
        <v>4333</v>
      </c>
      <c r="F1240" s="1" t="s">
        <v>16225</v>
      </c>
      <c r="G1240">
        <v>178531</v>
      </c>
      <c r="H1240">
        <v>36</v>
      </c>
      <c r="I1240" s="1" t="s">
        <v>11063</v>
      </c>
      <c r="J1240" s="11">
        <v>44729.706458333334</v>
      </c>
      <c r="K1240" s="1" t="s">
        <v>1053</v>
      </c>
      <c r="L1240" s="1">
        <v>0.42</v>
      </c>
      <c r="M1240" s="1">
        <v>0.64700000000000002</v>
      </c>
      <c r="N1240">
        <v>5</v>
      </c>
      <c r="O1240" s="1">
        <v>-7.9640000000000004</v>
      </c>
      <c r="P1240">
        <v>1</v>
      </c>
      <c r="Q1240" s="1">
        <v>0.41699999999999998</v>
      </c>
      <c r="R1240" s="1">
        <v>0.24399999999999999</v>
      </c>
      <c r="S1240" s="1">
        <v>0.192</v>
      </c>
      <c r="T1240" s="1">
        <v>0.214</v>
      </c>
      <c r="U1240" s="1">
        <v>0.43</v>
      </c>
      <c r="V1240" s="1">
        <v>159.923</v>
      </c>
      <c r="W1240">
        <v>4</v>
      </c>
    </row>
    <row r="1241" spans="1:23" x14ac:dyDescent="0.25">
      <c r="A1241" s="1" t="s">
        <v>16226</v>
      </c>
      <c r="B1241" s="1" t="s">
        <v>16227</v>
      </c>
      <c r="C1241" s="1" t="s">
        <v>3878</v>
      </c>
      <c r="D1241" s="1" t="s">
        <v>3878</v>
      </c>
      <c r="E1241" s="1" t="s">
        <v>4334</v>
      </c>
      <c r="F1241" s="1" t="s">
        <v>16228</v>
      </c>
      <c r="G1241">
        <v>219964</v>
      </c>
      <c r="H1241">
        <v>32</v>
      </c>
      <c r="I1241" s="1" t="s">
        <v>11063</v>
      </c>
      <c r="J1241" s="11">
        <v>44729.706458333334</v>
      </c>
      <c r="K1241" s="1" t="s">
        <v>933</v>
      </c>
      <c r="L1241" s="1">
        <v>0.32500000000000001</v>
      </c>
      <c r="M1241" s="1">
        <v>0.754</v>
      </c>
      <c r="N1241">
        <v>10</v>
      </c>
      <c r="O1241" s="1">
        <v>-6.7610000000000001</v>
      </c>
      <c r="P1241">
        <v>0</v>
      </c>
      <c r="Q1241" s="1">
        <v>0.56200000000000006</v>
      </c>
      <c r="R1241" s="1">
        <v>0.23899999999999999</v>
      </c>
      <c r="S1241" s="1">
        <v>0.43099999999999999</v>
      </c>
      <c r="T1241" s="1">
        <v>0.11</v>
      </c>
      <c r="U1241" s="1">
        <v>0.13100000000000001</v>
      </c>
      <c r="V1241" s="1">
        <v>174.32400000000001</v>
      </c>
      <c r="W1241">
        <v>4</v>
      </c>
    </row>
    <row r="1242" spans="1:23" x14ac:dyDescent="0.25">
      <c r="A1242" s="1" t="s">
        <v>16229</v>
      </c>
      <c r="B1242" s="1" t="s">
        <v>16230</v>
      </c>
      <c r="C1242" s="1" t="s">
        <v>4335</v>
      </c>
      <c r="D1242" s="1" t="s">
        <v>16231</v>
      </c>
      <c r="E1242" s="1" t="s">
        <v>4336</v>
      </c>
      <c r="F1242" s="1" t="s">
        <v>16232</v>
      </c>
      <c r="G1242">
        <v>198000</v>
      </c>
      <c r="H1242">
        <v>32</v>
      </c>
      <c r="I1242" s="1" t="s">
        <v>11063</v>
      </c>
      <c r="J1242" s="11">
        <v>44729.706458333334</v>
      </c>
      <c r="K1242" s="1" t="s">
        <v>4331</v>
      </c>
      <c r="L1242" s="1">
        <v>0.63100000000000001</v>
      </c>
      <c r="M1242" s="1">
        <v>0.63200000000000001</v>
      </c>
      <c r="N1242">
        <v>2</v>
      </c>
      <c r="O1242" s="1">
        <v>-6.45</v>
      </c>
      <c r="P1242">
        <v>1</v>
      </c>
      <c r="Q1242" s="1">
        <v>0.51300000000000001</v>
      </c>
      <c r="R1242" s="1">
        <v>0.19800000000000001</v>
      </c>
      <c r="S1242" s="1">
        <v>0</v>
      </c>
      <c r="T1242" s="1">
        <v>0.86299999999999999</v>
      </c>
      <c r="U1242" s="1">
        <v>0.29899999999999999</v>
      </c>
      <c r="V1242" s="1">
        <v>120.026</v>
      </c>
      <c r="W1242">
        <v>4</v>
      </c>
    </row>
    <row r="1243" spans="1:23" x14ac:dyDescent="0.25">
      <c r="A1243" s="1" t="s">
        <v>16233</v>
      </c>
      <c r="B1243" s="1" t="s">
        <v>13868</v>
      </c>
      <c r="C1243" s="1" t="s">
        <v>3959</v>
      </c>
      <c r="D1243" s="1" t="s">
        <v>3959</v>
      </c>
      <c r="E1243" s="1" t="s">
        <v>2279</v>
      </c>
      <c r="F1243" s="1" t="s">
        <v>16234</v>
      </c>
      <c r="G1243">
        <v>189486</v>
      </c>
      <c r="H1243">
        <v>34</v>
      </c>
      <c r="I1243" s="1" t="s">
        <v>11063</v>
      </c>
      <c r="J1243" s="11">
        <v>44729.706458333334</v>
      </c>
      <c r="K1243" s="1" t="s">
        <v>919</v>
      </c>
      <c r="L1243" s="1">
        <v>0.76400000000000001</v>
      </c>
      <c r="M1243" s="1">
        <v>0.32</v>
      </c>
      <c r="N1243">
        <v>11</v>
      </c>
      <c r="O1243" s="1">
        <v>-7.2089999999999996</v>
      </c>
      <c r="P1243">
        <v>1</v>
      </c>
      <c r="Q1243" s="1">
        <v>0.54600000000000004</v>
      </c>
      <c r="R1243" s="1">
        <v>0.83699999999999997</v>
      </c>
      <c r="S1243" s="1">
        <v>0</v>
      </c>
      <c r="T1243" s="1">
        <v>0.82199999999999995</v>
      </c>
      <c r="U1243" s="1">
        <v>0.57499999999999996</v>
      </c>
      <c r="V1243" s="1">
        <v>91.019000000000005</v>
      </c>
      <c r="W1243">
        <v>4</v>
      </c>
    </row>
    <row r="1244" spans="1:23" x14ac:dyDescent="0.25">
      <c r="A1244" s="1" t="s">
        <v>16235</v>
      </c>
      <c r="B1244" s="1" t="s">
        <v>16236</v>
      </c>
      <c r="C1244" s="1" t="s">
        <v>4337</v>
      </c>
      <c r="D1244" s="1" t="s">
        <v>14512</v>
      </c>
      <c r="E1244" s="1" t="s">
        <v>4338</v>
      </c>
      <c r="F1244" s="1" t="s">
        <v>11587</v>
      </c>
      <c r="G1244">
        <v>231173</v>
      </c>
      <c r="H1244">
        <v>83</v>
      </c>
      <c r="I1244" s="1" t="s">
        <v>11063</v>
      </c>
      <c r="J1244" s="11">
        <v>44729.706458333334</v>
      </c>
      <c r="K1244" s="1" t="s">
        <v>4339</v>
      </c>
      <c r="L1244" s="1">
        <v>0.74299999999999999</v>
      </c>
      <c r="M1244" s="1">
        <v>0.752</v>
      </c>
      <c r="N1244">
        <v>4</v>
      </c>
      <c r="O1244" s="1">
        <v>-4.8129999999999997</v>
      </c>
      <c r="P1244">
        <v>1</v>
      </c>
      <c r="Q1244" s="1">
        <v>0.41399999999999998</v>
      </c>
      <c r="R1244" s="1">
        <v>0.188</v>
      </c>
      <c r="S1244" s="1">
        <v>0</v>
      </c>
      <c r="T1244" s="1">
        <v>0.28699999999999998</v>
      </c>
      <c r="U1244" s="1">
        <v>0.54500000000000004</v>
      </c>
      <c r="V1244" s="1">
        <v>110.015</v>
      </c>
      <c r="W1244">
        <v>4</v>
      </c>
    </row>
    <row r="1245" spans="1:23" x14ac:dyDescent="0.25">
      <c r="A1245" s="1" t="s">
        <v>16237</v>
      </c>
      <c r="B1245" s="1" t="s">
        <v>13868</v>
      </c>
      <c r="C1245" s="1" t="s">
        <v>4340</v>
      </c>
      <c r="D1245" s="1" t="s">
        <v>11375</v>
      </c>
      <c r="E1245" s="1" t="s">
        <v>2279</v>
      </c>
      <c r="F1245" s="1" t="s">
        <v>13869</v>
      </c>
      <c r="G1245">
        <v>235493</v>
      </c>
      <c r="H1245">
        <v>81</v>
      </c>
      <c r="I1245" s="1" t="s">
        <v>11063</v>
      </c>
      <c r="J1245" s="11">
        <v>44729.706458333334</v>
      </c>
      <c r="K1245" s="1" t="s">
        <v>919</v>
      </c>
      <c r="L1245" s="1">
        <v>0.748</v>
      </c>
      <c r="M1245" s="1">
        <v>0.78800000000000003</v>
      </c>
      <c r="N1245">
        <v>1</v>
      </c>
      <c r="O1245" s="1">
        <v>-7.0549999999999997</v>
      </c>
      <c r="P1245">
        <v>1</v>
      </c>
      <c r="Q1245" s="1">
        <v>0.33400000000000002</v>
      </c>
      <c r="R1245" s="1">
        <v>0.59099999999999997</v>
      </c>
      <c r="S1245" s="1">
        <v>0</v>
      </c>
      <c r="T1245" s="1">
        <v>0.86299999999999999</v>
      </c>
      <c r="U1245" s="1">
        <v>0.88400000000000001</v>
      </c>
      <c r="V1245" s="1">
        <v>120.07599999999999</v>
      </c>
      <c r="W1245">
        <v>4</v>
      </c>
    </row>
    <row r="1246" spans="1:23" x14ac:dyDescent="0.25">
      <c r="A1246" s="1" t="s">
        <v>16238</v>
      </c>
      <c r="B1246" s="1" t="s">
        <v>13868</v>
      </c>
      <c r="C1246" s="1" t="s">
        <v>4341</v>
      </c>
      <c r="D1246" s="1" t="s">
        <v>11375</v>
      </c>
      <c r="E1246" s="1" t="s">
        <v>2279</v>
      </c>
      <c r="F1246" s="1" t="s">
        <v>13869</v>
      </c>
      <c r="G1246">
        <v>189960</v>
      </c>
      <c r="H1246">
        <v>83</v>
      </c>
      <c r="I1246" s="1" t="s">
        <v>11063</v>
      </c>
      <c r="J1246" s="11">
        <v>44729.706458333334</v>
      </c>
      <c r="K1246" s="1" t="s">
        <v>919</v>
      </c>
      <c r="L1246" s="1">
        <v>0.74199999999999999</v>
      </c>
      <c r="M1246" s="1">
        <v>0.71299999999999997</v>
      </c>
      <c r="N1246">
        <v>1</v>
      </c>
      <c r="O1246" s="1">
        <v>-5.5220000000000002</v>
      </c>
      <c r="P1246">
        <v>0</v>
      </c>
      <c r="Q1246" s="1">
        <v>0.30299999999999999</v>
      </c>
      <c r="R1246" s="1">
        <v>0.20499999999999999</v>
      </c>
      <c r="S1246" s="1">
        <v>0</v>
      </c>
      <c r="T1246" s="1">
        <v>0.59</v>
      </c>
      <c r="U1246" s="1">
        <v>0.879</v>
      </c>
      <c r="V1246" s="1">
        <v>120.032</v>
      </c>
      <c r="W1246">
        <v>4</v>
      </c>
    </row>
    <row r="1247" spans="1:23" x14ac:dyDescent="0.25">
      <c r="A1247" s="1" t="s">
        <v>16239</v>
      </c>
      <c r="B1247" s="1" t="s">
        <v>16240</v>
      </c>
      <c r="C1247" s="1" t="s">
        <v>2887</v>
      </c>
      <c r="D1247" s="1" t="s">
        <v>2887</v>
      </c>
      <c r="E1247" s="1" t="s">
        <v>4342</v>
      </c>
      <c r="F1247" s="1" t="s">
        <v>16156</v>
      </c>
      <c r="G1247">
        <v>245277</v>
      </c>
      <c r="H1247">
        <v>30</v>
      </c>
      <c r="I1247" s="1" t="s">
        <v>11063</v>
      </c>
      <c r="J1247" s="11">
        <v>44729.706458333334</v>
      </c>
      <c r="K1247" s="1" t="s">
        <v>951</v>
      </c>
      <c r="L1247" s="1">
        <v>0.58599999999999997</v>
      </c>
      <c r="M1247" s="1">
        <v>0.50700000000000001</v>
      </c>
      <c r="N1247">
        <v>6</v>
      </c>
      <c r="O1247" s="1">
        <v>-8.6329999999999991</v>
      </c>
      <c r="P1247">
        <v>0</v>
      </c>
      <c r="Q1247" s="1">
        <v>0.44700000000000001</v>
      </c>
      <c r="R1247" s="1">
        <v>0.65900000000000003</v>
      </c>
      <c r="S1247" s="1">
        <v>0.83699999999999997</v>
      </c>
      <c r="T1247" s="1">
        <v>0.109</v>
      </c>
      <c r="U1247" s="1">
        <v>0.27800000000000002</v>
      </c>
      <c r="V1247" s="1">
        <v>90.968000000000004</v>
      </c>
      <c r="W1247">
        <v>4</v>
      </c>
    </row>
    <row r="1248" spans="1:23" x14ac:dyDescent="0.25">
      <c r="A1248" s="1" t="s">
        <v>16241</v>
      </c>
      <c r="B1248" s="1" t="s">
        <v>16242</v>
      </c>
      <c r="C1248" s="1" t="s">
        <v>4343</v>
      </c>
      <c r="D1248" s="1" t="s">
        <v>4343</v>
      </c>
      <c r="E1248" s="1" t="s">
        <v>4344</v>
      </c>
      <c r="F1248" s="1" t="s">
        <v>16243</v>
      </c>
      <c r="G1248">
        <v>234947</v>
      </c>
      <c r="H1248">
        <v>26</v>
      </c>
      <c r="I1248" s="1" t="s">
        <v>11063</v>
      </c>
      <c r="J1248" s="11">
        <v>44729.706458333334</v>
      </c>
      <c r="K1248" s="1" t="s">
        <v>50</v>
      </c>
      <c r="L1248" s="1">
        <v>0.64200000000000002</v>
      </c>
      <c r="M1248" s="1">
        <v>0.67100000000000004</v>
      </c>
      <c r="N1248">
        <v>8</v>
      </c>
      <c r="O1248" s="1">
        <v>-4.9340000000000002</v>
      </c>
      <c r="P1248">
        <v>0</v>
      </c>
      <c r="Q1248" s="1">
        <v>0.308</v>
      </c>
      <c r="R1248" s="1">
        <v>0.123</v>
      </c>
      <c r="S1248" s="1">
        <v>0</v>
      </c>
      <c r="T1248" s="1">
        <v>0.11600000000000001</v>
      </c>
      <c r="U1248" s="1">
        <v>0.30399999999999999</v>
      </c>
      <c r="V1248" s="1">
        <v>94.974000000000004</v>
      </c>
      <c r="W1248">
        <v>4</v>
      </c>
    </row>
    <row r="1249" spans="1:23" x14ac:dyDescent="0.25">
      <c r="A1249" s="1" t="s">
        <v>16244</v>
      </c>
      <c r="B1249" s="1" t="s">
        <v>16245</v>
      </c>
      <c r="C1249" s="1" t="s">
        <v>4345</v>
      </c>
      <c r="D1249" s="1" t="s">
        <v>16246</v>
      </c>
      <c r="E1249" s="1" t="s">
        <v>4346</v>
      </c>
      <c r="F1249" s="1" t="s">
        <v>13926</v>
      </c>
      <c r="G1249">
        <v>214758</v>
      </c>
      <c r="H1249">
        <v>8</v>
      </c>
      <c r="I1249" s="1" t="s">
        <v>11063</v>
      </c>
      <c r="J1249" s="11">
        <v>44729.706458333334</v>
      </c>
      <c r="K1249" s="1" t="s">
        <v>4347</v>
      </c>
      <c r="L1249" s="1">
        <v>0.56100000000000005</v>
      </c>
      <c r="M1249" s="1">
        <v>0.69299999999999995</v>
      </c>
      <c r="N1249">
        <v>4</v>
      </c>
      <c r="O1249" s="1">
        <v>-5.6849999999999996</v>
      </c>
      <c r="P1249">
        <v>0</v>
      </c>
      <c r="Q1249" s="1">
        <v>0.48699999999999999</v>
      </c>
      <c r="R1249" s="1">
        <v>0.10199999999999999</v>
      </c>
      <c r="S1249" s="1">
        <v>0.66900000000000004</v>
      </c>
      <c r="T1249" s="1">
        <v>0.13900000000000001</v>
      </c>
      <c r="U1249" s="1">
        <v>0.17299999999999999</v>
      </c>
      <c r="V1249" s="1">
        <v>144.84700000000001</v>
      </c>
      <c r="W1249">
        <v>4</v>
      </c>
    </row>
    <row r="1250" spans="1:23" x14ac:dyDescent="0.25">
      <c r="A1250" s="1" t="s">
        <v>16247</v>
      </c>
      <c r="B1250" s="1" t="s">
        <v>16248</v>
      </c>
      <c r="C1250" s="1" t="s">
        <v>4348</v>
      </c>
      <c r="D1250" s="1" t="s">
        <v>16249</v>
      </c>
      <c r="E1250" s="1" t="s">
        <v>4349</v>
      </c>
      <c r="F1250" s="1" t="s">
        <v>16250</v>
      </c>
      <c r="G1250">
        <v>266400</v>
      </c>
      <c r="H1250">
        <v>24</v>
      </c>
      <c r="I1250" s="1" t="s">
        <v>11063</v>
      </c>
      <c r="J1250" s="11">
        <v>44729.706458333334</v>
      </c>
      <c r="K1250" s="1" t="s">
        <v>4350</v>
      </c>
      <c r="L1250" s="1">
        <v>0.35099999999999998</v>
      </c>
      <c r="M1250" s="1">
        <v>0.68100000000000005</v>
      </c>
      <c r="N1250">
        <v>1</v>
      </c>
      <c r="O1250" s="1">
        <v>-6.4290000000000003</v>
      </c>
      <c r="P1250">
        <v>0</v>
      </c>
      <c r="Q1250" s="1">
        <v>0.183</v>
      </c>
      <c r="R1250" s="1">
        <v>0.39700000000000002</v>
      </c>
      <c r="S1250" s="1">
        <v>0.26500000000000001</v>
      </c>
      <c r="T1250" s="1">
        <v>0.873</v>
      </c>
      <c r="U1250" s="1">
        <v>0.503</v>
      </c>
      <c r="V1250" s="1">
        <v>100.023</v>
      </c>
      <c r="W1250">
        <v>4</v>
      </c>
    </row>
    <row r="1251" spans="1:23" x14ac:dyDescent="0.25">
      <c r="A1251" s="1" t="s">
        <v>16251</v>
      </c>
      <c r="B1251" s="1" t="s">
        <v>16252</v>
      </c>
      <c r="C1251" s="1" t="s">
        <v>4351</v>
      </c>
      <c r="D1251" s="1" t="s">
        <v>4351</v>
      </c>
      <c r="E1251" s="1" t="s">
        <v>4352</v>
      </c>
      <c r="F1251" s="1" t="s">
        <v>15851</v>
      </c>
      <c r="G1251">
        <v>199405</v>
      </c>
      <c r="H1251">
        <v>35</v>
      </c>
      <c r="I1251" s="1" t="s">
        <v>11063</v>
      </c>
      <c r="J1251" s="11">
        <v>44729.706458333334</v>
      </c>
      <c r="K1251" s="1" t="s">
        <v>4353</v>
      </c>
      <c r="L1251" s="1">
        <v>0.30299999999999999</v>
      </c>
      <c r="M1251" s="1">
        <v>0.879</v>
      </c>
      <c r="N1251">
        <v>8</v>
      </c>
      <c r="O1251" s="1">
        <v>-4.7480000000000002</v>
      </c>
      <c r="P1251">
        <v>1</v>
      </c>
      <c r="Q1251" s="1">
        <v>0.75800000000000001</v>
      </c>
      <c r="R1251" s="1">
        <v>0.23799999999999999</v>
      </c>
      <c r="S1251" s="1">
        <v>0.38400000000000001</v>
      </c>
      <c r="T1251" s="1">
        <v>0.43099999999999999</v>
      </c>
      <c r="U1251" s="1">
        <v>0.55400000000000005</v>
      </c>
      <c r="V1251" s="1">
        <v>80.328999999999994</v>
      </c>
      <c r="W1251">
        <v>4</v>
      </c>
    </row>
    <row r="1252" spans="1:23" x14ac:dyDescent="0.25">
      <c r="A1252" s="1" t="s">
        <v>16253</v>
      </c>
      <c r="B1252" s="1" t="s">
        <v>16254</v>
      </c>
      <c r="C1252" s="1" t="s">
        <v>4354</v>
      </c>
      <c r="D1252" s="1" t="s">
        <v>16255</v>
      </c>
      <c r="E1252" s="1" t="s">
        <v>4355</v>
      </c>
      <c r="F1252" s="1" t="s">
        <v>16256</v>
      </c>
      <c r="G1252">
        <v>207453</v>
      </c>
      <c r="H1252">
        <v>29</v>
      </c>
      <c r="I1252" s="1" t="s">
        <v>11063</v>
      </c>
      <c r="J1252" s="11">
        <v>44729.706458333334</v>
      </c>
      <c r="K1252" s="1" t="s">
        <v>4356</v>
      </c>
      <c r="L1252" s="1">
        <v>0.41399999999999998</v>
      </c>
      <c r="M1252" s="1">
        <v>0.751</v>
      </c>
      <c r="N1252">
        <v>7</v>
      </c>
      <c r="O1252" s="1">
        <v>-5.97</v>
      </c>
      <c r="P1252">
        <v>0</v>
      </c>
      <c r="Q1252" s="1">
        <v>0.218</v>
      </c>
      <c r="R1252" s="1">
        <v>0.45800000000000002</v>
      </c>
      <c r="S1252" s="1">
        <v>0.154</v>
      </c>
      <c r="T1252" s="1">
        <v>0.90800000000000003</v>
      </c>
      <c r="U1252" s="1">
        <v>0.35499999999999998</v>
      </c>
      <c r="V1252" s="1">
        <v>145.214</v>
      </c>
      <c r="W1252">
        <v>4</v>
      </c>
    </row>
    <row r="1253" spans="1:23" x14ac:dyDescent="0.25">
      <c r="A1253" s="1" t="s">
        <v>11574</v>
      </c>
      <c r="B1253" s="1" t="s">
        <v>11575</v>
      </c>
      <c r="C1253" s="1" t="s">
        <v>4357</v>
      </c>
      <c r="D1253" s="1" t="s">
        <v>11576</v>
      </c>
      <c r="E1253" s="1" t="s">
        <v>302</v>
      </c>
      <c r="F1253" s="1" t="s">
        <v>11577</v>
      </c>
      <c r="G1253">
        <v>215844</v>
      </c>
      <c r="H1253">
        <v>26</v>
      </c>
      <c r="I1253" s="1" t="s">
        <v>11063</v>
      </c>
      <c r="J1253" s="11">
        <v>44729.706458333334</v>
      </c>
      <c r="K1253" s="1" t="s">
        <v>50</v>
      </c>
      <c r="L1253" s="1">
        <v>0.73699999999999999</v>
      </c>
      <c r="M1253" s="1">
        <v>0.48899999999999999</v>
      </c>
      <c r="N1253">
        <v>1</v>
      </c>
      <c r="O1253" s="1">
        <v>-5.8209999999999997</v>
      </c>
      <c r="P1253">
        <v>0</v>
      </c>
      <c r="Q1253" s="1">
        <v>0.28699999999999998</v>
      </c>
      <c r="R1253" s="1">
        <v>0.42199999999999999</v>
      </c>
      <c r="S1253" s="1">
        <v>0.44500000000000001</v>
      </c>
      <c r="T1253" s="1">
        <v>0.52300000000000002</v>
      </c>
      <c r="U1253" s="1">
        <v>0.13500000000000001</v>
      </c>
      <c r="V1253" s="1">
        <v>100.036</v>
      </c>
      <c r="W1253">
        <v>4</v>
      </c>
    </row>
    <row r="1254" spans="1:23" x14ac:dyDescent="0.25">
      <c r="A1254" s="1" t="s">
        <v>16257</v>
      </c>
      <c r="B1254" s="1" t="s">
        <v>16258</v>
      </c>
      <c r="C1254" s="1" t="s">
        <v>4358</v>
      </c>
      <c r="D1254" s="1" t="s">
        <v>16259</v>
      </c>
      <c r="E1254" s="1" t="s">
        <v>4359</v>
      </c>
      <c r="F1254" s="1" t="s">
        <v>16260</v>
      </c>
      <c r="G1254">
        <v>272875</v>
      </c>
      <c r="H1254">
        <v>31</v>
      </c>
      <c r="I1254" s="1" t="s">
        <v>11063</v>
      </c>
      <c r="J1254" s="11">
        <v>44729.706458333334</v>
      </c>
      <c r="K1254" s="1" t="s">
        <v>4360</v>
      </c>
      <c r="L1254" s="1">
        <v>0.46300000000000002</v>
      </c>
      <c r="M1254" s="1">
        <v>0.61499999999999999</v>
      </c>
      <c r="N1254">
        <v>2</v>
      </c>
      <c r="O1254" s="1">
        <v>-5.335</v>
      </c>
      <c r="P1254">
        <v>0</v>
      </c>
      <c r="Q1254" s="1">
        <v>0.48699999999999999</v>
      </c>
      <c r="R1254" s="1">
        <v>0.112</v>
      </c>
      <c r="S1254" s="1">
        <v>0.81100000000000005</v>
      </c>
      <c r="T1254" s="1">
        <v>0.16400000000000001</v>
      </c>
      <c r="U1254" s="1">
        <v>0.18099999999999999</v>
      </c>
      <c r="V1254" s="1">
        <v>94.501000000000005</v>
      </c>
      <c r="W1254">
        <v>4</v>
      </c>
    </row>
    <row r="1255" spans="1:23" x14ac:dyDescent="0.25">
      <c r="A1255" s="1" t="s">
        <v>16261</v>
      </c>
      <c r="B1255" s="1" t="s">
        <v>16262</v>
      </c>
      <c r="C1255" s="1" t="s">
        <v>4361</v>
      </c>
      <c r="D1255" s="1" t="s">
        <v>16263</v>
      </c>
      <c r="E1255" s="1" t="s">
        <v>4362</v>
      </c>
      <c r="F1255" s="1" t="s">
        <v>11654</v>
      </c>
      <c r="G1255">
        <v>353571</v>
      </c>
      <c r="H1255">
        <v>35</v>
      </c>
      <c r="I1255" s="1" t="s">
        <v>11063</v>
      </c>
      <c r="J1255" s="11">
        <v>44729.706458333334</v>
      </c>
      <c r="K1255" s="1" t="s">
        <v>4363</v>
      </c>
      <c r="L1255" s="1">
        <v>0.52400000000000002</v>
      </c>
      <c r="M1255" s="1">
        <v>0.86499999999999999</v>
      </c>
      <c r="N1255">
        <v>0</v>
      </c>
      <c r="O1255" s="1">
        <v>-3.5790000000000002</v>
      </c>
      <c r="P1255">
        <v>0</v>
      </c>
      <c r="Q1255" s="1">
        <v>0.38200000000000001</v>
      </c>
      <c r="R1255" s="1">
        <v>0.17100000000000001</v>
      </c>
      <c r="S1255" s="1">
        <v>0.94799999999999995</v>
      </c>
      <c r="T1255" s="1">
        <v>0.106</v>
      </c>
      <c r="U1255" s="1">
        <v>0.184</v>
      </c>
      <c r="V1255" s="1">
        <v>111.999</v>
      </c>
      <c r="W1255">
        <v>3</v>
      </c>
    </row>
    <row r="1256" spans="1:23" x14ac:dyDescent="0.25">
      <c r="A1256" s="1" t="s">
        <v>16264</v>
      </c>
      <c r="B1256" s="1" t="s">
        <v>16265</v>
      </c>
      <c r="C1256" s="1" t="s">
        <v>4364</v>
      </c>
      <c r="D1256" s="1" t="s">
        <v>16266</v>
      </c>
      <c r="E1256" s="1" t="s">
        <v>4365</v>
      </c>
      <c r="F1256" s="1" t="s">
        <v>16267</v>
      </c>
      <c r="G1256">
        <v>259573</v>
      </c>
      <c r="H1256">
        <v>33</v>
      </c>
      <c r="I1256" s="1" t="s">
        <v>11063</v>
      </c>
      <c r="J1256" s="11">
        <v>44729.706458333334</v>
      </c>
      <c r="K1256" s="1" t="s">
        <v>2713</v>
      </c>
      <c r="L1256" s="1">
        <v>0.39900000000000002</v>
      </c>
      <c r="M1256" s="1">
        <v>0.73699999999999999</v>
      </c>
      <c r="N1256">
        <v>1</v>
      </c>
      <c r="O1256" s="1">
        <v>-6.1379999999999999</v>
      </c>
      <c r="P1256">
        <v>0</v>
      </c>
      <c r="Q1256" s="1">
        <v>0.45</v>
      </c>
      <c r="R1256" s="1">
        <v>0.247</v>
      </c>
      <c r="S1256" s="1">
        <v>0.69499999999999995</v>
      </c>
      <c r="T1256" s="1">
        <v>0.17499999999999999</v>
      </c>
      <c r="U1256" s="1">
        <v>0.34599999999999997</v>
      </c>
      <c r="V1256" s="1">
        <v>169.983</v>
      </c>
      <c r="W1256">
        <v>4</v>
      </c>
    </row>
    <row r="1257" spans="1:23" x14ac:dyDescent="0.25">
      <c r="A1257" s="1" t="s">
        <v>16268</v>
      </c>
      <c r="B1257" s="1" t="s">
        <v>16269</v>
      </c>
      <c r="C1257" s="1" t="s">
        <v>4366</v>
      </c>
      <c r="D1257" s="1" t="s">
        <v>4366</v>
      </c>
      <c r="E1257" s="1" t="s">
        <v>4367</v>
      </c>
      <c r="F1257" s="1" t="s">
        <v>11521</v>
      </c>
      <c r="G1257">
        <v>201600</v>
      </c>
      <c r="H1257">
        <v>10</v>
      </c>
      <c r="I1257" s="1" t="s">
        <v>11063</v>
      </c>
      <c r="J1257" s="11">
        <v>44729.706458333334</v>
      </c>
      <c r="K1257" s="1" t="s">
        <v>992</v>
      </c>
      <c r="L1257" s="1">
        <v>0.52400000000000002</v>
      </c>
      <c r="M1257" s="1">
        <v>0.76700000000000002</v>
      </c>
      <c r="N1257">
        <v>4</v>
      </c>
      <c r="O1257" s="1">
        <v>-4.4930000000000003</v>
      </c>
      <c r="P1257">
        <v>0</v>
      </c>
      <c r="Q1257" s="1">
        <v>0.46100000000000002</v>
      </c>
      <c r="R1257" s="1">
        <v>0.11799999999999999</v>
      </c>
      <c r="S1257" s="1">
        <v>0</v>
      </c>
      <c r="T1257" s="1">
        <v>0.152</v>
      </c>
      <c r="U1257" s="1">
        <v>0.192</v>
      </c>
      <c r="V1257" s="1">
        <v>149.87100000000001</v>
      </c>
      <c r="W1257">
        <v>4</v>
      </c>
    </row>
    <row r="1258" spans="1:23" x14ac:dyDescent="0.25">
      <c r="A1258" s="1" t="s">
        <v>16270</v>
      </c>
      <c r="B1258" s="1" t="s">
        <v>16271</v>
      </c>
      <c r="C1258" s="1" t="s">
        <v>63</v>
      </c>
      <c r="D1258" s="1" t="s">
        <v>63</v>
      </c>
      <c r="E1258" s="1" t="s">
        <v>4368</v>
      </c>
      <c r="F1258" s="1" t="s">
        <v>13773</v>
      </c>
      <c r="G1258">
        <v>142111</v>
      </c>
      <c r="H1258">
        <v>56</v>
      </c>
      <c r="I1258" s="1" t="s">
        <v>11063</v>
      </c>
      <c r="J1258" s="11">
        <v>44729.706458333334</v>
      </c>
      <c r="K1258" s="1" t="s">
        <v>3099</v>
      </c>
      <c r="L1258" s="1">
        <v>0.753</v>
      </c>
      <c r="M1258" s="1">
        <v>0.72599999999999998</v>
      </c>
      <c r="N1258">
        <v>10</v>
      </c>
      <c r="O1258" s="1">
        <v>-4.2110000000000003</v>
      </c>
      <c r="P1258">
        <v>1</v>
      </c>
      <c r="Q1258" s="1">
        <v>0.61899999999999999</v>
      </c>
      <c r="R1258" s="1">
        <v>0.184</v>
      </c>
      <c r="S1258" s="1">
        <v>0</v>
      </c>
      <c r="T1258" s="1">
        <v>0.753</v>
      </c>
      <c r="U1258" s="1">
        <v>0.38300000000000001</v>
      </c>
      <c r="V1258" s="1">
        <v>126.239</v>
      </c>
      <c r="W1258">
        <v>4</v>
      </c>
    </row>
    <row r="1259" spans="1:23" x14ac:dyDescent="0.25">
      <c r="A1259" s="1" t="s">
        <v>16272</v>
      </c>
      <c r="B1259" s="1" t="s">
        <v>16273</v>
      </c>
      <c r="C1259" s="1" t="s">
        <v>4369</v>
      </c>
      <c r="D1259" s="1" t="s">
        <v>4369</v>
      </c>
      <c r="E1259" s="1" t="s">
        <v>4370</v>
      </c>
      <c r="F1259" s="1" t="s">
        <v>13773</v>
      </c>
      <c r="G1259">
        <v>175046</v>
      </c>
      <c r="H1259">
        <v>21</v>
      </c>
      <c r="I1259" s="1" t="s">
        <v>11063</v>
      </c>
      <c r="J1259" s="11">
        <v>44729.706458333334</v>
      </c>
      <c r="K1259" s="1" t="s">
        <v>4371</v>
      </c>
      <c r="L1259" s="1">
        <v>0.80700000000000005</v>
      </c>
      <c r="M1259" s="1">
        <v>0.52400000000000002</v>
      </c>
      <c r="N1259">
        <v>8</v>
      </c>
      <c r="O1259" s="1">
        <v>-5.1710000000000003</v>
      </c>
      <c r="P1259">
        <v>1</v>
      </c>
      <c r="Q1259" s="1">
        <v>0.217</v>
      </c>
      <c r="R1259" s="1">
        <v>0.754</v>
      </c>
      <c r="S1259" s="1">
        <v>0</v>
      </c>
      <c r="T1259" s="1">
        <v>0.13600000000000001</v>
      </c>
      <c r="U1259" s="1">
        <v>0.73399999999999999</v>
      </c>
      <c r="V1259" s="1">
        <v>160.971</v>
      </c>
      <c r="W1259">
        <v>4</v>
      </c>
    </row>
    <row r="1260" spans="1:23" x14ac:dyDescent="0.25">
      <c r="A1260" s="1" t="s">
        <v>16274</v>
      </c>
      <c r="B1260" s="1" t="s">
        <v>16275</v>
      </c>
      <c r="C1260" s="1" t="s">
        <v>4372</v>
      </c>
      <c r="D1260" s="1" t="s">
        <v>4372</v>
      </c>
      <c r="E1260" s="1" t="s">
        <v>4373</v>
      </c>
      <c r="F1260" s="1" t="s">
        <v>16276</v>
      </c>
      <c r="G1260">
        <v>138146</v>
      </c>
      <c r="H1260">
        <v>0</v>
      </c>
      <c r="I1260" s="1" t="s">
        <v>11063</v>
      </c>
      <c r="J1260" s="11">
        <v>44729.706458333334</v>
      </c>
      <c r="K1260" s="1" t="s">
        <v>4374</v>
      </c>
      <c r="L1260" s="1">
        <v>0.66500000000000004</v>
      </c>
      <c r="M1260" s="1">
        <v>0.46</v>
      </c>
      <c r="N1260">
        <v>0</v>
      </c>
      <c r="O1260" s="1">
        <v>-9.3140000000000001</v>
      </c>
      <c r="P1260">
        <v>1</v>
      </c>
      <c r="Q1260" s="1">
        <v>0.35099999999999998</v>
      </c>
      <c r="R1260" s="1">
        <v>0.57599999999999996</v>
      </c>
      <c r="S1260" s="1">
        <v>0</v>
      </c>
      <c r="T1260" s="1">
        <v>0.183</v>
      </c>
      <c r="U1260" s="1">
        <v>0.35299999999999998</v>
      </c>
      <c r="V1260" s="1">
        <v>102.529</v>
      </c>
      <c r="W1260">
        <v>4</v>
      </c>
    </row>
    <row r="1261" spans="1:23" x14ac:dyDescent="0.25">
      <c r="A1261" s="1" t="s">
        <v>16277</v>
      </c>
      <c r="B1261" s="1" t="s">
        <v>16278</v>
      </c>
      <c r="C1261" s="1" t="s">
        <v>4375</v>
      </c>
      <c r="D1261" s="1" t="s">
        <v>4375</v>
      </c>
      <c r="E1261" s="1" t="s">
        <v>4376</v>
      </c>
      <c r="F1261" s="1" t="s">
        <v>11583</v>
      </c>
      <c r="G1261">
        <v>182400</v>
      </c>
      <c r="H1261">
        <v>30</v>
      </c>
      <c r="I1261" s="1" t="s">
        <v>11063</v>
      </c>
      <c r="J1261" s="11">
        <v>44729.706458333334</v>
      </c>
      <c r="K1261" s="1" t="s">
        <v>4377</v>
      </c>
      <c r="L1261" s="1">
        <v>0.505</v>
      </c>
      <c r="M1261" s="1">
        <v>0.92500000000000004</v>
      </c>
      <c r="N1261">
        <v>11</v>
      </c>
      <c r="O1261" s="1">
        <v>-3.2970000000000002</v>
      </c>
      <c r="P1261">
        <v>1</v>
      </c>
      <c r="Q1261" s="1">
        <v>0.17</v>
      </c>
      <c r="R1261" s="1">
        <v>0.35199999999999998</v>
      </c>
      <c r="S1261" s="1">
        <v>0.27700000000000002</v>
      </c>
      <c r="T1261" s="1">
        <v>0.108</v>
      </c>
      <c r="U1261" s="1">
        <v>0.41299999999999998</v>
      </c>
      <c r="V1261" s="1">
        <v>149.90700000000001</v>
      </c>
      <c r="W1261">
        <v>4</v>
      </c>
    </row>
    <row r="1262" spans="1:23" x14ac:dyDescent="0.25">
      <c r="A1262" s="1" t="s">
        <v>16279</v>
      </c>
      <c r="B1262" s="1" t="s">
        <v>16280</v>
      </c>
      <c r="C1262" s="1" t="s">
        <v>4378</v>
      </c>
      <c r="D1262" s="1" t="s">
        <v>4378</v>
      </c>
      <c r="E1262" s="1" t="s">
        <v>4379</v>
      </c>
      <c r="F1262" s="1" t="s">
        <v>11583</v>
      </c>
      <c r="G1262">
        <v>143157</v>
      </c>
      <c r="H1262">
        <v>21</v>
      </c>
      <c r="I1262" s="1" t="s">
        <v>11063</v>
      </c>
      <c r="J1262" s="11">
        <v>44729.706458333334</v>
      </c>
      <c r="K1262" s="1" t="s">
        <v>4380</v>
      </c>
      <c r="L1262" s="1">
        <v>0.77300000000000002</v>
      </c>
      <c r="M1262" s="1">
        <v>0.70799999999999996</v>
      </c>
      <c r="N1262">
        <v>10</v>
      </c>
      <c r="O1262" s="1">
        <v>-4.2590000000000003</v>
      </c>
      <c r="P1262">
        <v>0</v>
      </c>
      <c r="Q1262" s="1">
        <v>0.47399999999999998</v>
      </c>
      <c r="R1262" s="1">
        <v>0.22</v>
      </c>
      <c r="S1262" s="1">
        <v>0.69699999999999995</v>
      </c>
      <c r="T1262" s="1">
        <v>0.42799999999999999</v>
      </c>
      <c r="U1262" s="1">
        <v>0.94599999999999995</v>
      </c>
      <c r="V1262" s="1">
        <v>114.005</v>
      </c>
      <c r="W1262">
        <v>4</v>
      </c>
    </row>
    <row r="1263" spans="1:23" x14ac:dyDescent="0.25">
      <c r="A1263" s="1" t="s">
        <v>11578</v>
      </c>
      <c r="B1263" s="1" t="s">
        <v>11579</v>
      </c>
      <c r="C1263" s="1" t="s">
        <v>4381</v>
      </c>
      <c r="D1263" s="1" t="s">
        <v>4381</v>
      </c>
      <c r="E1263" s="1" t="s">
        <v>303</v>
      </c>
      <c r="F1263" s="1" t="s">
        <v>11580</v>
      </c>
      <c r="G1263">
        <v>158464</v>
      </c>
      <c r="H1263">
        <v>55</v>
      </c>
      <c r="I1263" s="1" t="s">
        <v>11063</v>
      </c>
      <c r="J1263" s="11">
        <v>44729.706458333334</v>
      </c>
      <c r="K1263" s="1" t="s">
        <v>304</v>
      </c>
      <c r="L1263" s="1">
        <v>0.66600000000000004</v>
      </c>
      <c r="M1263" s="1">
        <v>0.72299999999999998</v>
      </c>
      <c r="N1263">
        <v>6</v>
      </c>
      <c r="O1263" s="1">
        <v>-5.1040000000000001</v>
      </c>
      <c r="P1263">
        <v>0</v>
      </c>
      <c r="Q1263" s="1">
        <v>0.44900000000000001</v>
      </c>
      <c r="R1263" s="1">
        <v>0.151</v>
      </c>
      <c r="S1263" s="1">
        <v>0.59199999999999997</v>
      </c>
      <c r="T1263" s="1">
        <v>0.56999999999999995</v>
      </c>
      <c r="U1263" s="1">
        <v>0.54600000000000004</v>
      </c>
      <c r="V1263" s="1">
        <v>159.96199999999999</v>
      </c>
      <c r="W1263">
        <v>4</v>
      </c>
    </row>
    <row r="1264" spans="1:23" x14ac:dyDescent="0.25">
      <c r="A1264" s="1" t="s">
        <v>16281</v>
      </c>
      <c r="B1264" s="1" t="s">
        <v>16282</v>
      </c>
      <c r="C1264" s="1" t="s">
        <v>4382</v>
      </c>
      <c r="D1264" s="1" t="s">
        <v>4382</v>
      </c>
      <c r="E1264" s="1" t="s">
        <v>4383</v>
      </c>
      <c r="F1264" s="1" t="s">
        <v>11583</v>
      </c>
      <c r="G1264">
        <v>236862</v>
      </c>
      <c r="H1264">
        <v>29</v>
      </c>
      <c r="I1264" s="1" t="s">
        <v>11063</v>
      </c>
      <c r="J1264" s="11">
        <v>44729.706458333334</v>
      </c>
      <c r="K1264" s="1" t="s">
        <v>4384</v>
      </c>
      <c r="L1264" s="1">
        <v>0.45900000000000002</v>
      </c>
      <c r="M1264" s="1">
        <v>0.59099999999999997</v>
      </c>
      <c r="N1264">
        <v>9</v>
      </c>
      <c r="O1264" s="1">
        <v>-5.8620000000000001</v>
      </c>
      <c r="P1264">
        <v>1</v>
      </c>
      <c r="Q1264" s="1">
        <v>0.33900000000000002</v>
      </c>
      <c r="R1264" s="1">
        <v>0.14599999999999999</v>
      </c>
      <c r="S1264" s="1">
        <v>0.157</v>
      </c>
      <c r="T1264" s="1">
        <v>0.106</v>
      </c>
      <c r="U1264" s="1">
        <v>0.22900000000000001</v>
      </c>
      <c r="V1264" s="1">
        <v>150.10900000000001</v>
      </c>
      <c r="W1264">
        <v>4</v>
      </c>
    </row>
    <row r="1265" spans="1:23" x14ac:dyDescent="0.25">
      <c r="A1265" s="1" t="s">
        <v>16283</v>
      </c>
      <c r="B1265" s="1" t="s">
        <v>16284</v>
      </c>
      <c r="C1265" s="1" t="s">
        <v>4385</v>
      </c>
      <c r="D1265" s="1" t="s">
        <v>4385</v>
      </c>
      <c r="E1265" s="1" t="s">
        <v>4386</v>
      </c>
      <c r="F1265" s="1" t="s">
        <v>11583</v>
      </c>
      <c r="G1265">
        <v>169768</v>
      </c>
      <c r="H1265">
        <v>55</v>
      </c>
      <c r="I1265" s="1" t="s">
        <v>11063</v>
      </c>
      <c r="J1265" s="11">
        <v>44729.706458333334</v>
      </c>
      <c r="K1265" s="1" t="s">
        <v>4387</v>
      </c>
      <c r="L1265" s="1">
        <v>0.73399999999999999</v>
      </c>
      <c r="M1265" s="1">
        <v>0.61499999999999999</v>
      </c>
      <c r="N1265">
        <v>7</v>
      </c>
      <c r="O1265" s="1">
        <v>-8.5190000000000001</v>
      </c>
      <c r="P1265">
        <v>1</v>
      </c>
      <c r="Q1265" s="1">
        <v>0.56200000000000006</v>
      </c>
      <c r="R1265" s="1">
        <v>0.96599999999999997</v>
      </c>
      <c r="S1265" s="1">
        <v>0.315</v>
      </c>
      <c r="T1265" s="1">
        <v>0.122</v>
      </c>
      <c r="U1265" s="1">
        <v>0.28899999999999998</v>
      </c>
      <c r="V1265" s="1">
        <v>115.99299999999999</v>
      </c>
      <c r="W1265">
        <v>4</v>
      </c>
    </row>
    <row r="1266" spans="1:23" x14ac:dyDescent="0.25">
      <c r="A1266" s="1" t="s">
        <v>11581</v>
      </c>
      <c r="B1266" s="1" t="s">
        <v>11582</v>
      </c>
      <c r="C1266" s="1" t="s">
        <v>305</v>
      </c>
      <c r="D1266" s="1" t="s">
        <v>305</v>
      </c>
      <c r="E1266" s="1" t="s">
        <v>306</v>
      </c>
      <c r="F1266" s="1" t="s">
        <v>11583</v>
      </c>
      <c r="G1266">
        <v>159077</v>
      </c>
      <c r="H1266">
        <v>63</v>
      </c>
      <c r="I1266" s="1" t="s">
        <v>11063</v>
      </c>
      <c r="J1266" s="11">
        <v>44729.706458333334</v>
      </c>
      <c r="K1266" s="1" t="s">
        <v>307</v>
      </c>
      <c r="L1266" s="1">
        <v>0.64900000000000002</v>
      </c>
      <c r="M1266" s="1">
        <v>0.69</v>
      </c>
      <c r="N1266">
        <v>8</v>
      </c>
      <c r="O1266" s="1">
        <v>-5.3840000000000003</v>
      </c>
      <c r="P1266">
        <v>0</v>
      </c>
      <c r="Q1266" s="1">
        <v>0.29599999999999999</v>
      </c>
      <c r="R1266" s="1">
        <v>0.247</v>
      </c>
      <c r="S1266" s="1">
        <v>0</v>
      </c>
      <c r="T1266" s="1">
        <v>0.161</v>
      </c>
      <c r="U1266" s="1">
        <v>0.59299999999999997</v>
      </c>
      <c r="V1266" s="1">
        <v>104.04</v>
      </c>
      <c r="W1266">
        <v>4</v>
      </c>
    </row>
    <row r="1267" spans="1:23" x14ac:dyDescent="0.25">
      <c r="A1267" s="1" t="s">
        <v>16285</v>
      </c>
      <c r="B1267" s="1" t="s">
        <v>13698</v>
      </c>
      <c r="C1267" s="1" t="s">
        <v>4388</v>
      </c>
      <c r="D1267" s="1" t="s">
        <v>13699</v>
      </c>
      <c r="E1267" s="1" t="s">
        <v>2152</v>
      </c>
      <c r="F1267" s="1" t="s">
        <v>13700</v>
      </c>
      <c r="G1267">
        <v>189053</v>
      </c>
      <c r="H1267">
        <v>1</v>
      </c>
      <c r="I1267" s="1" t="s">
        <v>11063</v>
      </c>
      <c r="J1267" s="11">
        <v>44729.706458333334</v>
      </c>
      <c r="K1267" s="1" t="s">
        <v>2153</v>
      </c>
      <c r="L1267" s="1">
        <v>0.628</v>
      </c>
      <c r="M1267" s="1">
        <v>0.73799999999999999</v>
      </c>
      <c r="N1267">
        <v>2</v>
      </c>
      <c r="O1267" s="1">
        <v>-6.6970000000000001</v>
      </c>
      <c r="P1267">
        <v>0</v>
      </c>
      <c r="Q1267" s="1">
        <v>0.86299999999999999</v>
      </c>
      <c r="R1267" s="1">
        <v>0.29299999999999998</v>
      </c>
      <c r="S1267" s="1">
        <v>0</v>
      </c>
      <c r="T1267" s="1">
        <v>0.14499999999999999</v>
      </c>
      <c r="U1267" s="1">
        <v>0.34799999999999998</v>
      </c>
      <c r="V1267" s="1">
        <v>82.509</v>
      </c>
      <c r="W1267">
        <v>4</v>
      </c>
    </row>
    <row r="1268" spans="1:23" x14ac:dyDescent="0.25">
      <c r="A1268" s="1" t="s">
        <v>16286</v>
      </c>
      <c r="B1268" s="1" t="s">
        <v>13698</v>
      </c>
      <c r="C1268" s="1" t="s">
        <v>4389</v>
      </c>
      <c r="D1268" s="1" t="s">
        <v>16287</v>
      </c>
      <c r="E1268" s="1" t="s">
        <v>2152</v>
      </c>
      <c r="F1268" s="1" t="s">
        <v>16076</v>
      </c>
      <c r="G1268">
        <v>237200</v>
      </c>
      <c r="H1268">
        <v>7</v>
      </c>
      <c r="I1268" s="1" t="s">
        <v>11063</v>
      </c>
      <c r="J1268" s="11">
        <v>44729.706458333334</v>
      </c>
      <c r="K1268" s="1" t="s">
        <v>2153</v>
      </c>
      <c r="L1268" s="1">
        <v>0.47799999999999998</v>
      </c>
      <c r="M1268" s="1">
        <v>0.64100000000000001</v>
      </c>
      <c r="N1268">
        <v>11</v>
      </c>
      <c r="O1268" s="1">
        <v>-4.9649999999999999</v>
      </c>
      <c r="P1268">
        <v>0</v>
      </c>
      <c r="Q1268" s="1">
        <v>0.26400000000000001</v>
      </c>
      <c r="R1268" s="1">
        <v>0.59499999999999997</v>
      </c>
      <c r="S1268" s="1">
        <v>0</v>
      </c>
      <c r="T1268" s="1">
        <v>0.94799999999999995</v>
      </c>
      <c r="U1268" s="1">
        <v>0.29699999999999999</v>
      </c>
      <c r="V1268" s="1">
        <v>104.988</v>
      </c>
      <c r="W1268">
        <v>4</v>
      </c>
    </row>
    <row r="1269" spans="1:23" x14ac:dyDescent="0.25">
      <c r="A1269" s="1" t="s">
        <v>16288</v>
      </c>
      <c r="B1269" s="1" t="s">
        <v>14929</v>
      </c>
      <c r="C1269" s="1" t="s">
        <v>4390</v>
      </c>
      <c r="D1269" s="1" t="s">
        <v>16289</v>
      </c>
      <c r="E1269" s="1" t="s">
        <v>3206</v>
      </c>
      <c r="F1269" s="1" t="s">
        <v>16290</v>
      </c>
      <c r="G1269">
        <v>250800</v>
      </c>
      <c r="H1269">
        <v>26</v>
      </c>
      <c r="I1269" s="1" t="s">
        <v>11063</v>
      </c>
      <c r="J1269" s="11">
        <v>44729.706458333334</v>
      </c>
      <c r="K1269" s="1" t="s">
        <v>3207</v>
      </c>
      <c r="L1269" s="1">
        <v>0.52800000000000002</v>
      </c>
      <c r="M1269" s="1">
        <v>0.93500000000000005</v>
      </c>
      <c r="N1269">
        <v>6</v>
      </c>
      <c r="O1269" s="1">
        <v>-1.1140000000000001</v>
      </c>
      <c r="P1269">
        <v>0</v>
      </c>
      <c r="Q1269" s="1">
        <v>0.67800000000000005</v>
      </c>
      <c r="R1269" s="1">
        <v>0.70499999999999996</v>
      </c>
      <c r="S1269" s="1">
        <v>0</v>
      </c>
      <c r="T1269" s="1">
        <v>0.32600000000000001</v>
      </c>
      <c r="U1269" s="1">
        <v>0.55000000000000004</v>
      </c>
      <c r="V1269" s="1">
        <v>152.06</v>
      </c>
      <c r="W1269">
        <v>4</v>
      </c>
    </row>
    <row r="1270" spans="1:23" x14ac:dyDescent="0.25">
      <c r="A1270" s="1" t="s">
        <v>16291</v>
      </c>
      <c r="B1270" s="1" t="s">
        <v>16292</v>
      </c>
      <c r="C1270" s="1" t="s">
        <v>4391</v>
      </c>
      <c r="D1270" s="1" t="s">
        <v>16293</v>
      </c>
      <c r="E1270" s="1" t="s">
        <v>4392</v>
      </c>
      <c r="F1270" s="1" t="s">
        <v>16294</v>
      </c>
      <c r="G1270">
        <v>409359</v>
      </c>
      <c r="H1270">
        <v>25</v>
      </c>
      <c r="I1270" s="1" t="s">
        <v>11063</v>
      </c>
      <c r="J1270" s="11">
        <v>44729.706458333334</v>
      </c>
      <c r="K1270" s="1" t="s">
        <v>998</v>
      </c>
      <c r="L1270" s="1">
        <v>0.154</v>
      </c>
      <c r="M1270" s="1">
        <v>0.73399999999999999</v>
      </c>
      <c r="N1270">
        <v>11</v>
      </c>
      <c r="O1270" s="1">
        <v>-5.694</v>
      </c>
      <c r="P1270">
        <v>1</v>
      </c>
      <c r="Q1270" s="1">
        <v>0.23100000000000001</v>
      </c>
      <c r="R1270" s="1">
        <v>0.157</v>
      </c>
      <c r="S1270" s="1">
        <v>0.623</v>
      </c>
      <c r="T1270" s="1">
        <v>0.71199999999999997</v>
      </c>
      <c r="U1270" s="1">
        <v>0.69099999999999995</v>
      </c>
      <c r="V1270" s="1">
        <v>74.082999999999998</v>
      </c>
      <c r="W1270">
        <v>4</v>
      </c>
    </row>
    <row r="1271" spans="1:23" x14ac:dyDescent="0.25">
      <c r="A1271" s="1" t="s">
        <v>16295</v>
      </c>
      <c r="B1271" s="1" t="s">
        <v>16296</v>
      </c>
      <c r="C1271" s="1" t="s">
        <v>2188</v>
      </c>
      <c r="D1271" s="1" t="s">
        <v>2188</v>
      </c>
      <c r="E1271" s="1" t="s">
        <v>4393</v>
      </c>
      <c r="F1271" s="1" t="s">
        <v>16297</v>
      </c>
      <c r="G1271">
        <v>203616</v>
      </c>
      <c r="H1271">
        <v>21</v>
      </c>
      <c r="I1271" s="1" t="s">
        <v>11063</v>
      </c>
      <c r="J1271" s="11">
        <v>44729.706458333334</v>
      </c>
      <c r="K1271" s="1" t="s">
        <v>3172</v>
      </c>
      <c r="L1271" s="1">
        <v>0.52900000000000003</v>
      </c>
      <c r="M1271" s="1">
        <v>0.80800000000000005</v>
      </c>
      <c r="N1271">
        <v>0</v>
      </c>
      <c r="O1271" s="1">
        <v>-7.1070000000000002</v>
      </c>
      <c r="P1271">
        <v>1</v>
      </c>
      <c r="Q1271" s="1">
        <v>0.65300000000000002</v>
      </c>
      <c r="R1271" s="1">
        <v>0.13700000000000001</v>
      </c>
      <c r="S1271" s="1">
        <v>0</v>
      </c>
      <c r="T1271" s="1">
        <v>0.156</v>
      </c>
      <c r="U1271" s="1">
        <v>0.442</v>
      </c>
      <c r="V1271" s="1">
        <v>151.11000000000001</v>
      </c>
      <c r="W1271">
        <v>4</v>
      </c>
    </row>
    <row r="1272" spans="1:23" x14ac:dyDescent="0.25">
      <c r="A1272" s="1" t="s">
        <v>16298</v>
      </c>
      <c r="B1272" s="1" t="s">
        <v>16299</v>
      </c>
      <c r="C1272" s="1" t="s">
        <v>4394</v>
      </c>
      <c r="D1272" s="1" t="s">
        <v>4394</v>
      </c>
      <c r="E1272" s="1" t="s">
        <v>4395</v>
      </c>
      <c r="F1272" s="1" t="s">
        <v>16300</v>
      </c>
      <c r="G1272">
        <v>170816</v>
      </c>
      <c r="H1272">
        <v>24</v>
      </c>
      <c r="I1272" s="1" t="s">
        <v>11063</v>
      </c>
      <c r="J1272" s="11">
        <v>44729.706458333334</v>
      </c>
      <c r="K1272" s="1" t="s">
        <v>1066</v>
      </c>
      <c r="L1272" s="1">
        <v>0.65500000000000003</v>
      </c>
      <c r="M1272" s="1">
        <v>0.49099999999999999</v>
      </c>
      <c r="N1272">
        <v>0</v>
      </c>
      <c r="O1272" s="1">
        <v>-5.0179999999999998</v>
      </c>
      <c r="P1272">
        <v>0</v>
      </c>
      <c r="Q1272" s="1">
        <v>0.31</v>
      </c>
      <c r="R1272" s="1">
        <v>0.20300000000000001</v>
      </c>
      <c r="S1272" s="1">
        <v>0.34499999999999997</v>
      </c>
      <c r="T1272" s="1">
        <v>0.128</v>
      </c>
      <c r="U1272" s="1">
        <v>0.96899999999999997</v>
      </c>
      <c r="V1272" s="1">
        <v>98.058999999999997</v>
      </c>
      <c r="W1272">
        <v>4</v>
      </c>
    </row>
    <row r="1273" spans="1:23" x14ac:dyDescent="0.25">
      <c r="A1273" s="1" t="s">
        <v>16301</v>
      </c>
      <c r="B1273" s="1" t="s">
        <v>16302</v>
      </c>
      <c r="C1273" s="1" t="s">
        <v>4396</v>
      </c>
      <c r="D1273" s="1" t="s">
        <v>4396</v>
      </c>
      <c r="E1273" s="1" t="s">
        <v>4397</v>
      </c>
      <c r="F1273" s="1" t="s">
        <v>11563</v>
      </c>
      <c r="G1273">
        <v>204300</v>
      </c>
      <c r="H1273">
        <v>24</v>
      </c>
      <c r="I1273" s="1" t="s">
        <v>11063</v>
      </c>
      <c r="J1273" s="11">
        <v>44729.706458333334</v>
      </c>
      <c r="K1273" s="1" t="s">
        <v>4398</v>
      </c>
      <c r="L1273" s="1">
        <v>0.627</v>
      </c>
      <c r="M1273" s="1">
        <v>0.68300000000000005</v>
      </c>
      <c r="N1273">
        <v>7</v>
      </c>
      <c r="O1273" s="1">
        <v>-7.3579999999999997</v>
      </c>
      <c r="P1273">
        <v>0</v>
      </c>
      <c r="Q1273" s="1">
        <v>0.45900000000000002</v>
      </c>
      <c r="R1273" s="1">
        <v>0.21299999999999999</v>
      </c>
      <c r="S1273" s="1">
        <v>0.193</v>
      </c>
      <c r="T1273" s="1">
        <v>0.12</v>
      </c>
      <c r="U1273" s="1">
        <v>0.21</v>
      </c>
      <c r="V1273" s="1">
        <v>99.974000000000004</v>
      </c>
      <c r="W1273">
        <v>4</v>
      </c>
    </row>
    <row r="1274" spans="1:23" x14ac:dyDescent="0.25">
      <c r="A1274" s="1" t="s">
        <v>16303</v>
      </c>
      <c r="B1274" s="1" t="s">
        <v>16304</v>
      </c>
      <c r="C1274" s="1" t="s">
        <v>4399</v>
      </c>
      <c r="D1274" s="1" t="s">
        <v>4399</v>
      </c>
      <c r="E1274" s="1" t="s">
        <v>4400</v>
      </c>
      <c r="F1274" s="1" t="s">
        <v>16305</v>
      </c>
      <c r="G1274">
        <v>269317</v>
      </c>
      <c r="H1274">
        <v>38</v>
      </c>
      <c r="I1274" s="1" t="s">
        <v>11063</v>
      </c>
      <c r="J1274" s="11">
        <v>44729.706458333334</v>
      </c>
      <c r="K1274" s="1" t="s">
        <v>4401</v>
      </c>
      <c r="L1274" s="1">
        <v>0.60799999999999998</v>
      </c>
      <c r="M1274" s="1">
        <v>0.89200000000000002</v>
      </c>
      <c r="N1274">
        <v>2</v>
      </c>
      <c r="O1274" s="1">
        <v>-2.379</v>
      </c>
      <c r="P1274">
        <v>1</v>
      </c>
      <c r="Q1274" s="1">
        <v>0.505</v>
      </c>
      <c r="R1274" s="1">
        <v>0.371</v>
      </c>
      <c r="S1274" s="1">
        <v>0.60199999999999998</v>
      </c>
      <c r="T1274" s="1">
        <v>0.10299999999999999</v>
      </c>
      <c r="U1274" s="1">
        <v>0.17599999999999999</v>
      </c>
      <c r="V1274" s="1">
        <v>130.036</v>
      </c>
      <c r="W1274">
        <v>4</v>
      </c>
    </row>
    <row r="1275" spans="1:23" x14ac:dyDescent="0.25">
      <c r="A1275" s="1" t="s">
        <v>16306</v>
      </c>
      <c r="B1275" s="1" t="s">
        <v>16307</v>
      </c>
      <c r="C1275" s="1" t="s">
        <v>4402</v>
      </c>
      <c r="D1275" s="1" t="s">
        <v>16308</v>
      </c>
      <c r="E1275" s="1" t="s">
        <v>4403</v>
      </c>
      <c r="F1275" s="1" t="s">
        <v>15363</v>
      </c>
      <c r="G1275">
        <v>169368</v>
      </c>
      <c r="H1275">
        <v>32</v>
      </c>
      <c r="I1275" s="1" t="s">
        <v>11063</v>
      </c>
      <c r="J1275" s="11">
        <v>44729.706458333334</v>
      </c>
      <c r="K1275" s="1" t="s">
        <v>4404</v>
      </c>
      <c r="L1275" s="1">
        <v>0.51500000000000001</v>
      </c>
      <c r="M1275" s="1">
        <v>0.71299999999999997</v>
      </c>
      <c r="N1275">
        <v>1</v>
      </c>
      <c r="O1275" s="1">
        <v>-8.1199999999999992</v>
      </c>
      <c r="P1275">
        <v>0</v>
      </c>
      <c r="Q1275" s="1">
        <v>0.79600000000000004</v>
      </c>
      <c r="R1275" s="1">
        <v>0.22800000000000001</v>
      </c>
      <c r="S1275" s="1">
        <v>0.37</v>
      </c>
      <c r="T1275" s="1">
        <v>0.12</v>
      </c>
      <c r="U1275" s="1">
        <v>0.125</v>
      </c>
      <c r="V1275" s="1">
        <v>94.944000000000003</v>
      </c>
      <c r="W1275">
        <v>4</v>
      </c>
    </row>
    <row r="1276" spans="1:23" x14ac:dyDescent="0.25">
      <c r="A1276" s="1" t="s">
        <v>16309</v>
      </c>
      <c r="B1276" s="1" t="s">
        <v>16310</v>
      </c>
      <c r="C1276" s="1" t="s">
        <v>4405</v>
      </c>
      <c r="D1276" s="1" t="s">
        <v>16311</v>
      </c>
      <c r="E1276" s="1" t="s">
        <v>4406</v>
      </c>
      <c r="F1276" s="1" t="s">
        <v>14499</v>
      </c>
      <c r="G1276">
        <v>270067</v>
      </c>
      <c r="H1276">
        <v>34</v>
      </c>
      <c r="I1276" s="1" t="s">
        <v>11063</v>
      </c>
      <c r="J1276" s="11">
        <v>44729.706458333334</v>
      </c>
      <c r="K1276" s="1" t="s">
        <v>50</v>
      </c>
      <c r="L1276" s="1">
        <v>0.46200000000000002</v>
      </c>
      <c r="M1276" s="1">
        <v>0.68400000000000005</v>
      </c>
      <c r="N1276">
        <v>8</v>
      </c>
      <c r="O1276" s="1">
        <v>-6.2949999999999999</v>
      </c>
      <c r="P1276">
        <v>1</v>
      </c>
      <c r="Q1276" s="1">
        <v>0.29399999999999998</v>
      </c>
      <c r="R1276" s="1">
        <v>0.61799999999999999</v>
      </c>
      <c r="S1276" s="1">
        <v>0.27700000000000002</v>
      </c>
      <c r="T1276" s="1">
        <v>0.11</v>
      </c>
      <c r="U1276" s="1">
        <v>0.53600000000000003</v>
      </c>
      <c r="V1276" s="1">
        <v>132.00800000000001</v>
      </c>
      <c r="W1276">
        <v>4</v>
      </c>
    </row>
    <row r="1277" spans="1:23" x14ac:dyDescent="0.25">
      <c r="A1277" s="1" t="s">
        <v>16312</v>
      </c>
      <c r="B1277" s="1" t="s">
        <v>16313</v>
      </c>
      <c r="C1277" s="1" t="s">
        <v>4407</v>
      </c>
      <c r="D1277" s="1" t="s">
        <v>4407</v>
      </c>
      <c r="E1277" s="1" t="s">
        <v>4408</v>
      </c>
      <c r="F1277" s="1" t="s">
        <v>11677</v>
      </c>
      <c r="G1277">
        <v>216652</v>
      </c>
      <c r="H1277">
        <v>22</v>
      </c>
      <c r="I1277" s="1" t="s">
        <v>11063</v>
      </c>
      <c r="J1277" s="11">
        <v>44729.706458333334</v>
      </c>
      <c r="K1277" s="1" t="s">
        <v>2541</v>
      </c>
      <c r="L1277" s="1">
        <v>0.56999999999999995</v>
      </c>
      <c r="M1277" s="1">
        <v>0.57399999999999995</v>
      </c>
      <c r="N1277">
        <v>11</v>
      </c>
      <c r="O1277" s="1">
        <v>-7.8079999999999998</v>
      </c>
      <c r="P1277">
        <v>0</v>
      </c>
      <c r="Q1277" s="1">
        <v>0.442</v>
      </c>
      <c r="R1277" s="1">
        <v>0.79200000000000004</v>
      </c>
      <c r="S1277" s="1">
        <v>0.92100000000000004</v>
      </c>
      <c r="T1277" s="1">
        <v>0.13200000000000001</v>
      </c>
      <c r="U1277" s="1">
        <v>0.313</v>
      </c>
      <c r="V1277" s="1">
        <v>104.018</v>
      </c>
      <c r="W1277">
        <v>4</v>
      </c>
    </row>
    <row r="1278" spans="1:23" x14ac:dyDescent="0.25">
      <c r="A1278" s="1" t="s">
        <v>16314</v>
      </c>
      <c r="B1278" s="1" t="s">
        <v>16315</v>
      </c>
      <c r="C1278" s="1" t="s">
        <v>4409</v>
      </c>
      <c r="D1278" s="1" t="s">
        <v>4409</v>
      </c>
      <c r="E1278" s="1" t="s">
        <v>4410</v>
      </c>
      <c r="F1278" s="1" t="s">
        <v>11538</v>
      </c>
      <c r="G1278">
        <v>242400</v>
      </c>
      <c r="H1278">
        <v>30</v>
      </c>
      <c r="I1278" s="1" t="s">
        <v>11063</v>
      </c>
      <c r="J1278" s="11">
        <v>44729.706458333334</v>
      </c>
      <c r="K1278" s="1" t="s">
        <v>4411</v>
      </c>
      <c r="L1278" s="1">
        <v>0.54400000000000004</v>
      </c>
      <c r="M1278" s="1">
        <v>0.54300000000000004</v>
      </c>
      <c r="N1278">
        <v>0</v>
      </c>
      <c r="O1278" s="1">
        <v>-8.2379999999999995</v>
      </c>
      <c r="P1278">
        <v>1</v>
      </c>
      <c r="Q1278" s="1">
        <v>0.41399999999999998</v>
      </c>
      <c r="R1278" s="1">
        <v>0.42399999999999999</v>
      </c>
      <c r="S1278" s="1">
        <v>0.88</v>
      </c>
      <c r="T1278" s="1">
        <v>0.39900000000000002</v>
      </c>
      <c r="U1278" s="1">
        <v>0.125</v>
      </c>
      <c r="V1278" s="1">
        <v>100.01600000000001</v>
      </c>
      <c r="W1278">
        <v>4</v>
      </c>
    </row>
    <row r="1279" spans="1:23" x14ac:dyDescent="0.25">
      <c r="A1279" s="1" t="s">
        <v>16316</v>
      </c>
      <c r="B1279" s="1" t="s">
        <v>16317</v>
      </c>
      <c r="C1279" s="1" t="s">
        <v>4412</v>
      </c>
      <c r="D1279" s="1" t="s">
        <v>16318</v>
      </c>
      <c r="E1279" s="1" t="s">
        <v>4413</v>
      </c>
      <c r="F1279" s="1" t="s">
        <v>16319</v>
      </c>
      <c r="G1279">
        <v>207827</v>
      </c>
      <c r="H1279">
        <v>43</v>
      </c>
      <c r="I1279" s="1" t="s">
        <v>11063</v>
      </c>
      <c r="J1279" s="11">
        <v>44729.706458333334</v>
      </c>
      <c r="K1279" s="1" t="s">
        <v>2815</v>
      </c>
      <c r="L1279" s="1">
        <v>0.55300000000000005</v>
      </c>
      <c r="M1279" s="1">
        <v>0.875</v>
      </c>
      <c r="N1279">
        <v>9</v>
      </c>
      <c r="O1279" s="1">
        <v>-4.351</v>
      </c>
      <c r="P1279">
        <v>0</v>
      </c>
      <c r="Q1279" s="1">
        <v>0.314</v>
      </c>
      <c r="R1279" s="1">
        <v>0.67200000000000004</v>
      </c>
      <c r="S1279" s="1">
        <v>0.129</v>
      </c>
      <c r="T1279" s="1">
        <v>0.33900000000000002</v>
      </c>
      <c r="U1279" s="1">
        <v>0.72699999999999998</v>
      </c>
      <c r="V1279" s="1">
        <v>145.00800000000001</v>
      </c>
      <c r="W1279">
        <v>4</v>
      </c>
    </row>
    <row r="1280" spans="1:23" x14ac:dyDescent="0.25">
      <c r="A1280" s="1" t="s">
        <v>16320</v>
      </c>
      <c r="B1280" s="1" t="s">
        <v>16321</v>
      </c>
      <c r="C1280" s="1" t="s">
        <v>4414</v>
      </c>
      <c r="D1280" s="1" t="s">
        <v>4414</v>
      </c>
      <c r="E1280" s="1" t="s">
        <v>4415</v>
      </c>
      <c r="F1280" s="1" t="s">
        <v>15831</v>
      </c>
      <c r="G1280">
        <v>252727</v>
      </c>
      <c r="H1280">
        <v>41</v>
      </c>
      <c r="I1280" s="1" t="s">
        <v>11063</v>
      </c>
      <c r="J1280" s="11">
        <v>44729.706458333334</v>
      </c>
      <c r="K1280" s="1" t="s">
        <v>3019</v>
      </c>
      <c r="L1280" s="1">
        <v>0.49299999999999999</v>
      </c>
      <c r="M1280" s="1">
        <v>0.58899999999999997</v>
      </c>
      <c r="N1280">
        <v>4</v>
      </c>
      <c r="O1280" s="1">
        <v>-6.0149999999999997</v>
      </c>
      <c r="P1280">
        <v>1</v>
      </c>
      <c r="Q1280" s="1">
        <v>0.33400000000000002</v>
      </c>
      <c r="R1280" s="1">
        <v>0.26300000000000001</v>
      </c>
      <c r="S1280" s="1">
        <v>0</v>
      </c>
      <c r="T1280" s="1">
        <v>0.19600000000000001</v>
      </c>
      <c r="U1280" s="1">
        <v>0.13600000000000001</v>
      </c>
      <c r="V1280" s="1">
        <v>132.07499999999999</v>
      </c>
      <c r="W1280">
        <v>4</v>
      </c>
    </row>
    <row r="1281" spans="1:23" x14ac:dyDescent="0.25">
      <c r="A1281" s="1" t="s">
        <v>16322</v>
      </c>
      <c r="B1281" s="1" t="s">
        <v>16323</v>
      </c>
      <c r="C1281" s="1" t="s">
        <v>4416</v>
      </c>
      <c r="D1281" s="1" t="s">
        <v>16324</v>
      </c>
      <c r="E1281" s="1" t="s">
        <v>4417</v>
      </c>
      <c r="F1281" s="1" t="s">
        <v>16325</v>
      </c>
      <c r="G1281">
        <v>212619</v>
      </c>
      <c r="H1281">
        <v>51</v>
      </c>
      <c r="I1281" s="1" t="s">
        <v>11063</v>
      </c>
      <c r="J1281" s="11">
        <v>44729.706458333334</v>
      </c>
      <c r="K1281" s="1" t="s">
        <v>4418</v>
      </c>
      <c r="L1281" s="1">
        <v>0.54900000000000004</v>
      </c>
      <c r="M1281" s="1">
        <v>0.83499999999999996</v>
      </c>
      <c r="N1281">
        <v>2</v>
      </c>
      <c r="O1281" s="1">
        <v>-2.6320000000000001</v>
      </c>
      <c r="P1281">
        <v>1</v>
      </c>
      <c r="Q1281" s="1">
        <v>0.65600000000000003</v>
      </c>
      <c r="R1281" s="1">
        <v>0.69199999999999995</v>
      </c>
      <c r="S1281" s="1">
        <v>0</v>
      </c>
      <c r="T1281" s="1">
        <v>0.21199999999999999</v>
      </c>
      <c r="U1281" s="1">
        <v>0.42299999999999999</v>
      </c>
      <c r="V1281" s="1">
        <v>126.08</v>
      </c>
      <c r="W1281">
        <v>4</v>
      </c>
    </row>
    <row r="1282" spans="1:23" x14ac:dyDescent="0.25">
      <c r="A1282" s="1" t="s">
        <v>16326</v>
      </c>
      <c r="B1282" s="1" t="s">
        <v>16327</v>
      </c>
      <c r="C1282" s="1" t="s">
        <v>4221</v>
      </c>
      <c r="D1282" s="1" t="s">
        <v>4221</v>
      </c>
      <c r="E1282" s="1" t="s">
        <v>4419</v>
      </c>
      <c r="F1282" s="1" t="s">
        <v>16328</v>
      </c>
      <c r="G1282">
        <v>187968</v>
      </c>
      <c r="H1282">
        <v>54</v>
      </c>
      <c r="I1282" s="1" t="s">
        <v>11063</v>
      </c>
      <c r="J1282" s="11">
        <v>44729.706458333334</v>
      </c>
      <c r="K1282" s="1" t="s">
        <v>4420</v>
      </c>
      <c r="L1282" s="1">
        <v>0.6</v>
      </c>
      <c r="M1282" s="1">
        <v>0.88700000000000001</v>
      </c>
      <c r="N1282">
        <v>9</v>
      </c>
      <c r="O1282" s="1">
        <v>-2.52</v>
      </c>
      <c r="P1282">
        <v>1</v>
      </c>
      <c r="Q1282" s="1">
        <v>0.63</v>
      </c>
      <c r="R1282" s="1">
        <v>0.23200000000000001</v>
      </c>
      <c r="S1282" s="1">
        <v>0.46200000000000002</v>
      </c>
      <c r="T1282" s="1">
        <v>0.14799999999999999</v>
      </c>
      <c r="U1282" s="1">
        <v>0.52600000000000002</v>
      </c>
      <c r="V1282" s="1">
        <v>128.08799999999999</v>
      </c>
      <c r="W1282">
        <v>4</v>
      </c>
    </row>
    <row r="1283" spans="1:23" x14ac:dyDescent="0.25">
      <c r="A1283" s="1" t="s">
        <v>16329</v>
      </c>
      <c r="B1283" s="1" t="s">
        <v>16330</v>
      </c>
      <c r="C1283" s="1" t="s">
        <v>4421</v>
      </c>
      <c r="D1283" s="1" t="s">
        <v>16331</v>
      </c>
      <c r="E1283" s="1" t="s">
        <v>4422</v>
      </c>
      <c r="F1283" s="1" t="s">
        <v>16332</v>
      </c>
      <c r="G1283">
        <v>244786</v>
      </c>
      <c r="H1283">
        <v>0</v>
      </c>
      <c r="I1283" s="1" t="s">
        <v>11063</v>
      </c>
      <c r="J1283" s="11">
        <v>44729.706458333334</v>
      </c>
      <c r="K1283" s="1" t="s">
        <v>3207</v>
      </c>
      <c r="L1283" s="1">
        <v>0.435</v>
      </c>
      <c r="M1283" s="1">
        <v>0.96499999999999997</v>
      </c>
      <c r="N1283">
        <v>9</v>
      </c>
      <c r="O1283" s="1">
        <v>-3.1749999999999998</v>
      </c>
      <c r="P1283">
        <v>0</v>
      </c>
      <c r="Q1283" s="1">
        <v>0.191</v>
      </c>
      <c r="R1283" s="1">
        <v>0.60099999999999998</v>
      </c>
      <c r="S1283" s="1">
        <v>0</v>
      </c>
      <c r="T1283" s="1">
        <v>0.30299999999999999</v>
      </c>
      <c r="U1283" s="1">
        <v>0.41399999999999998</v>
      </c>
      <c r="V1283" s="1">
        <v>170.93199999999999</v>
      </c>
      <c r="W1283">
        <v>4</v>
      </c>
    </row>
    <row r="1284" spans="1:23" x14ac:dyDescent="0.25">
      <c r="A1284" s="1" t="s">
        <v>16333</v>
      </c>
      <c r="B1284" s="1" t="s">
        <v>14929</v>
      </c>
      <c r="C1284" s="1" t="s">
        <v>4423</v>
      </c>
      <c r="D1284" s="1" t="s">
        <v>16334</v>
      </c>
      <c r="E1284" s="1" t="s">
        <v>3206</v>
      </c>
      <c r="F1284" s="1" t="s">
        <v>15085</v>
      </c>
      <c r="G1284">
        <v>225000</v>
      </c>
      <c r="H1284">
        <v>1</v>
      </c>
      <c r="I1284" s="1" t="s">
        <v>11063</v>
      </c>
      <c r="J1284" s="11">
        <v>44729.706458333334</v>
      </c>
      <c r="K1284" s="1" t="s">
        <v>3207</v>
      </c>
      <c r="L1284" s="1">
        <v>0.50800000000000001</v>
      </c>
      <c r="M1284" s="1">
        <v>0.99099999999999999</v>
      </c>
      <c r="N1284">
        <v>1</v>
      </c>
      <c r="O1284" s="1">
        <v>-1.768</v>
      </c>
      <c r="P1284">
        <v>0</v>
      </c>
      <c r="Q1284" s="1">
        <v>0.123</v>
      </c>
      <c r="R1284" s="1">
        <v>0.90600000000000003</v>
      </c>
      <c r="S1284" s="1">
        <v>0.128</v>
      </c>
      <c r="T1284" s="1">
        <v>0.316</v>
      </c>
      <c r="U1284" s="1">
        <v>0.29499999999999998</v>
      </c>
      <c r="V1284" s="1">
        <v>95.524000000000001</v>
      </c>
      <c r="W1284">
        <v>4</v>
      </c>
    </row>
    <row r="1285" spans="1:23" x14ac:dyDescent="0.25">
      <c r="A1285" s="1" t="s">
        <v>16335</v>
      </c>
      <c r="B1285" s="1" t="s">
        <v>14929</v>
      </c>
      <c r="C1285" s="1" t="s">
        <v>4424</v>
      </c>
      <c r="D1285" s="1" t="s">
        <v>16336</v>
      </c>
      <c r="E1285" s="1" t="s">
        <v>3206</v>
      </c>
      <c r="F1285" s="1" t="s">
        <v>16337</v>
      </c>
      <c r="G1285">
        <v>248946</v>
      </c>
      <c r="H1285">
        <v>42</v>
      </c>
      <c r="I1285" s="1" t="s">
        <v>11063</v>
      </c>
      <c r="J1285" s="11">
        <v>44729.706458333334</v>
      </c>
      <c r="K1285" s="1" t="s">
        <v>3207</v>
      </c>
      <c r="L1285" s="1">
        <v>0.44700000000000001</v>
      </c>
      <c r="M1285" s="1">
        <v>0.98299999999999998</v>
      </c>
      <c r="N1285">
        <v>5</v>
      </c>
      <c r="O1285" s="1">
        <v>-2.2810000000000001</v>
      </c>
      <c r="P1285">
        <v>1</v>
      </c>
      <c r="Q1285" s="1">
        <v>0.26800000000000002</v>
      </c>
      <c r="R1285" s="1">
        <v>0.157</v>
      </c>
      <c r="S1285" s="1">
        <v>0</v>
      </c>
      <c r="T1285" s="1">
        <v>0.27600000000000002</v>
      </c>
      <c r="U1285" s="1">
        <v>0.317</v>
      </c>
      <c r="V1285" s="1">
        <v>179.072</v>
      </c>
      <c r="W1285">
        <v>4</v>
      </c>
    </row>
    <row r="1286" spans="1:23" x14ac:dyDescent="0.25">
      <c r="A1286" s="1" t="s">
        <v>16338</v>
      </c>
      <c r="B1286" s="1" t="s">
        <v>12154</v>
      </c>
      <c r="C1286" s="1" t="s">
        <v>4425</v>
      </c>
      <c r="D1286" s="1" t="s">
        <v>16339</v>
      </c>
      <c r="E1286" s="1" t="s">
        <v>683</v>
      </c>
      <c r="F1286" s="1" t="s">
        <v>16340</v>
      </c>
      <c r="G1286">
        <v>162442</v>
      </c>
      <c r="H1286">
        <v>52</v>
      </c>
      <c r="I1286" s="1" t="s">
        <v>11063</v>
      </c>
      <c r="J1286" s="11">
        <v>44729.706458333334</v>
      </c>
      <c r="K1286" s="1" t="s">
        <v>684</v>
      </c>
      <c r="L1286" s="1">
        <v>0.54800000000000004</v>
      </c>
      <c r="M1286" s="1">
        <v>0.83499999999999996</v>
      </c>
      <c r="N1286">
        <v>1</v>
      </c>
      <c r="O1286" s="1">
        <v>-5.0940000000000003</v>
      </c>
      <c r="P1286">
        <v>1</v>
      </c>
      <c r="Q1286" s="1">
        <v>0.39400000000000002</v>
      </c>
      <c r="R1286" s="1">
        <v>0.874</v>
      </c>
      <c r="S1286" s="1">
        <v>0.65300000000000002</v>
      </c>
      <c r="T1286" s="1">
        <v>0.23799999999999999</v>
      </c>
      <c r="U1286" s="1">
        <v>0.38500000000000001</v>
      </c>
      <c r="V1286" s="1">
        <v>160.02199999999999</v>
      </c>
      <c r="W1286">
        <v>4</v>
      </c>
    </row>
    <row r="1287" spans="1:23" x14ac:dyDescent="0.25">
      <c r="A1287" s="1" t="s">
        <v>16341</v>
      </c>
      <c r="B1287" s="1" t="s">
        <v>12154</v>
      </c>
      <c r="C1287" s="1" t="s">
        <v>4426</v>
      </c>
      <c r="D1287" s="1" t="s">
        <v>16342</v>
      </c>
      <c r="E1287" s="1" t="s">
        <v>683</v>
      </c>
      <c r="F1287" s="1" t="s">
        <v>16343</v>
      </c>
      <c r="G1287">
        <v>208544</v>
      </c>
      <c r="H1287">
        <v>33</v>
      </c>
      <c r="I1287" s="1" t="s">
        <v>11063</v>
      </c>
      <c r="J1287" s="11">
        <v>44729.706458333334</v>
      </c>
      <c r="K1287" s="1" t="s">
        <v>684</v>
      </c>
      <c r="L1287" s="1">
        <v>0.58199999999999996</v>
      </c>
      <c r="M1287" s="1">
        <v>0.71499999999999997</v>
      </c>
      <c r="N1287">
        <v>1</v>
      </c>
      <c r="O1287" s="1">
        <v>-3.4889999999999999</v>
      </c>
      <c r="P1287">
        <v>0</v>
      </c>
      <c r="Q1287" s="1">
        <v>0.56100000000000005</v>
      </c>
      <c r="R1287" s="1">
        <v>0.25600000000000001</v>
      </c>
      <c r="S1287" s="1">
        <v>0.437</v>
      </c>
      <c r="T1287" s="1">
        <v>0.28499999999999998</v>
      </c>
      <c r="U1287" s="1">
        <v>0.108</v>
      </c>
      <c r="V1287" s="1">
        <v>160.02199999999999</v>
      </c>
      <c r="W1287">
        <v>4</v>
      </c>
    </row>
    <row r="1288" spans="1:23" x14ac:dyDescent="0.25">
      <c r="A1288" s="1" t="s">
        <v>16344</v>
      </c>
      <c r="B1288" s="1" t="s">
        <v>12154</v>
      </c>
      <c r="C1288" s="1" t="s">
        <v>4427</v>
      </c>
      <c r="D1288" s="1" t="s">
        <v>16342</v>
      </c>
      <c r="E1288" s="1" t="s">
        <v>683</v>
      </c>
      <c r="F1288" s="1" t="s">
        <v>16343</v>
      </c>
      <c r="G1288">
        <v>191420</v>
      </c>
      <c r="H1288">
        <v>37</v>
      </c>
      <c r="I1288" s="1" t="s">
        <v>11063</v>
      </c>
      <c r="J1288" s="11">
        <v>44729.706458333334</v>
      </c>
      <c r="K1288" s="1" t="s">
        <v>684</v>
      </c>
      <c r="L1288" s="1">
        <v>0.72699999999999998</v>
      </c>
      <c r="M1288" s="1">
        <v>0.55100000000000005</v>
      </c>
      <c r="N1288">
        <v>5</v>
      </c>
      <c r="O1288" s="1">
        <v>-5.6420000000000003</v>
      </c>
      <c r="P1288">
        <v>0</v>
      </c>
      <c r="Q1288" s="1">
        <v>0.503</v>
      </c>
      <c r="R1288" s="1">
        <v>0.153</v>
      </c>
      <c r="S1288" s="1">
        <v>0.251</v>
      </c>
      <c r="T1288" s="1">
        <v>0.33900000000000002</v>
      </c>
      <c r="U1288" s="1">
        <v>0.33500000000000002</v>
      </c>
      <c r="V1288" s="1">
        <v>166.15600000000001</v>
      </c>
      <c r="W1288">
        <v>4</v>
      </c>
    </row>
    <row r="1289" spans="1:23" x14ac:dyDescent="0.25">
      <c r="A1289" s="1" t="s">
        <v>16345</v>
      </c>
      <c r="B1289" s="1" t="s">
        <v>12154</v>
      </c>
      <c r="C1289" s="1" t="s">
        <v>4428</v>
      </c>
      <c r="D1289" s="1" t="s">
        <v>16346</v>
      </c>
      <c r="E1289" s="1" t="s">
        <v>683</v>
      </c>
      <c r="F1289" s="1" t="s">
        <v>16347</v>
      </c>
      <c r="G1289">
        <v>211693</v>
      </c>
      <c r="H1289">
        <v>49</v>
      </c>
      <c r="I1289" s="1" t="s">
        <v>11063</v>
      </c>
      <c r="J1289" s="11">
        <v>44729.706458333334</v>
      </c>
      <c r="K1289" s="1" t="s">
        <v>684</v>
      </c>
      <c r="L1289" s="1">
        <v>0.55600000000000005</v>
      </c>
      <c r="M1289" s="1">
        <v>0.873</v>
      </c>
      <c r="N1289">
        <v>1</v>
      </c>
      <c r="O1289" s="1">
        <v>-1.145</v>
      </c>
      <c r="P1289">
        <v>1</v>
      </c>
      <c r="Q1289" s="1">
        <v>0.16400000000000001</v>
      </c>
      <c r="R1289" s="1">
        <v>0.23699999999999999</v>
      </c>
      <c r="S1289" s="1">
        <v>0.26300000000000001</v>
      </c>
      <c r="T1289" s="1">
        <v>0.78</v>
      </c>
      <c r="U1289" s="1">
        <v>0.48499999999999999</v>
      </c>
      <c r="V1289" s="1">
        <v>127.99299999999999</v>
      </c>
      <c r="W1289">
        <v>4</v>
      </c>
    </row>
    <row r="1290" spans="1:23" x14ac:dyDescent="0.25">
      <c r="A1290" s="1" t="s">
        <v>16348</v>
      </c>
      <c r="B1290" s="1" t="s">
        <v>12154</v>
      </c>
      <c r="C1290" s="1" t="s">
        <v>4429</v>
      </c>
      <c r="D1290" s="1" t="s">
        <v>16346</v>
      </c>
      <c r="E1290" s="1" t="s">
        <v>683</v>
      </c>
      <c r="F1290" s="1" t="s">
        <v>16347</v>
      </c>
      <c r="G1290">
        <v>205160</v>
      </c>
      <c r="H1290">
        <v>43</v>
      </c>
      <c r="I1290" s="1" t="s">
        <v>11063</v>
      </c>
      <c r="J1290" s="11">
        <v>44729.706458333334</v>
      </c>
      <c r="K1290" s="1" t="s">
        <v>684</v>
      </c>
      <c r="L1290" s="1">
        <v>0.53800000000000003</v>
      </c>
      <c r="M1290" s="1">
        <v>0.94299999999999995</v>
      </c>
      <c r="N1290">
        <v>5</v>
      </c>
      <c r="O1290" s="1">
        <v>-0.90600000000000003</v>
      </c>
      <c r="P1290">
        <v>1</v>
      </c>
      <c r="Q1290" s="1">
        <v>0.26200000000000001</v>
      </c>
      <c r="R1290" s="1">
        <v>0.26200000000000001</v>
      </c>
      <c r="S1290" s="1">
        <v>0</v>
      </c>
      <c r="T1290" s="1">
        <v>0.28000000000000003</v>
      </c>
      <c r="U1290" s="1">
        <v>0.22900000000000001</v>
      </c>
      <c r="V1290" s="1">
        <v>173.93199999999999</v>
      </c>
      <c r="W1290">
        <v>4</v>
      </c>
    </row>
    <row r="1291" spans="1:23" x14ac:dyDescent="0.25">
      <c r="A1291" s="1" t="s">
        <v>16349</v>
      </c>
      <c r="B1291" s="1" t="s">
        <v>12154</v>
      </c>
      <c r="C1291" s="1" t="s">
        <v>4430</v>
      </c>
      <c r="D1291" s="1" t="s">
        <v>16346</v>
      </c>
      <c r="E1291" s="1" t="s">
        <v>683</v>
      </c>
      <c r="F1291" s="1" t="s">
        <v>16347</v>
      </c>
      <c r="G1291">
        <v>185400</v>
      </c>
      <c r="H1291">
        <v>39</v>
      </c>
      <c r="I1291" s="1" t="s">
        <v>11063</v>
      </c>
      <c r="J1291" s="11">
        <v>44729.706458333334</v>
      </c>
      <c r="K1291" s="1" t="s">
        <v>684</v>
      </c>
      <c r="L1291" s="1">
        <v>0.54500000000000004</v>
      </c>
      <c r="M1291" s="1">
        <v>0.92700000000000005</v>
      </c>
      <c r="N1291">
        <v>1</v>
      </c>
      <c r="O1291" s="1">
        <v>-1.7869999999999999</v>
      </c>
      <c r="P1291">
        <v>0</v>
      </c>
      <c r="Q1291" s="1">
        <v>0.66300000000000003</v>
      </c>
      <c r="R1291" s="1">
        <v>0.11</v>
      </c>
      <c r="S1291" s="1">
        <v>0.40200000000000002</v>
      </c>
      <c r="T1291" s="1">
        <v>0.29299999999999998</v>
      </c>
      <c r="U1291" s="1">
        <v>0.41</v>
      </c>
      <c r="V1291" s="1">
        <v>171.816</v>
      </c>
      <c r="W1291">
        <v>4</v>
      </c>
    </row>
    <row r="1292" spans="1:23" x14ac:dyDescent="0.25">
      <c r="A1292" s="1" t="s">
        <v>16350</v>
      </c>
      <c r="B1292" s="1" t="s">
        <v>16351</v>
      </c>
      <c r="C1292" s="1" t="s">
        <v>4431</v>
      </c>
      <c r="D1292" s="1" t="s">
        <v>16352</v>
      </c>
      <c r="E1292" s="1" t="s">
        <v>4432</v>
      </c>
      <c r="F1292" s="1" t="s">
        <v>16332</v>
      </c>
      <c r="G1292">
        <v>304326</v>
      </c>
      <c r="H1292">
        <v>0</v>
      </c>
      <c r="I1292" s="1" t="s">
        <v>11063</v>
      </c>
      <c r="J1292" s="11">
        <v>44729.706458333334</v>
      </c>
      <c r="K1292" s="1" t="s">
        <v>4433</v>
      </c>
      <c r="L1292" s="1">
        <v>0.65</v>
      </c>
      <c r="M1292" s="1">
        <v>0.66400000000000003</v>
      </c>
      <c r="N1292">
        <v>1</v>
      </c>
      <c r="O1292" s="1">
        <v>-5.5869999999999997</v>
      </c>
      <c r="P1292">
        <v>0</v>
      </c>
      <c r="Q1292" s="1">
        <v>0.34100000000000003</v>
      </c>
      <c r="R1292" s="1">
        <v>0.88300000000000001</v>
      </c>
      <c r="S1292" s="1">
        <v>0.86499999999999999</v>
      </c>
      <c r="T1292" s="1">
        <v>0.17100000000000001</v>
      </c>
      <c r="U1292" s="1">
        <v>0.51400000000000001</v>
      </c>
      <c r="V1292" s="1">
        <v>127.002</v>
      </c>
      <c r="W1292">
        <v>4</v>
      </c>
    </row>
    <row r="1293" spans="1:23" x14ac:dyDescent="0.25">
      <c r="A1293" s="1" t="s">
        <v>16353</v>
      </c>
      <c r="B1293" s="1" t="s">
        <v>16354</v>
      </c>
      <c r="C1293" s="1" t="s">
        <v>4434</v>
      </c>
      <c r="D1293" s="1" t="s">
        <v>16355</v>
      </c>
      <c r="E1293" s="1" t="s">
        <v>4435</v>
      </c>
      <c r="F1293" s="1" t="s">
        <v>16356</v>
      </c>
      <c r="G1293">
        <v>301874</v>
      </c>
      <c r="H1293">
        <v>0</v>
      </c>
      <c r="I1293" s="1" t="s">
        <v>11063</v>
      </c>
      <c r="J1293" s="11">
        <v>44729.706458333334</v>
      </c>
      <c r="K1293" s="1" t="s">
        <v>4433</v>
      </c>
      <c r="L1293" s="1">
        <v>0.76600000000000001</v>
      </c>
      <c r="M1293" s="1">
        <v>0.85799999999999998</v>
      </c>
      <c r="N1293">
        <v>3</v>
      </c>
      <c r="O1293" s="1">
        <v>-5.2249999999999996</v>
      </c>
      <c r="P1293">
        <v>0</v>
      </c>
      <c r="Q1293" s="1">
        <v>0.32600000000000001</v>
      </c>
      <c r="R1293" s="1">
        <v>0.158</v>
      </c>
      <c r="S1293" s="1">
        <v>0.55400000000000005</v>
      </c>
      <c r="T1293" s="1">
        <v>0.14799999999999999</v>
      </c>
      <c r="U1293" s="1">
        <v>0.313</v>
      </c>
      <c r="V1293" s="1">
        <v>127.971</v>
      </c>
      <c r="W1293">
        <v>4</v>
      </c>
    </row>
    <row r="1294" spans="1:23" x14ac:dyDescent="0.25">
      <c r="A1294" s="1" t="s">
        <v>16357</v>
      </c>
      <c r="B1294" s="1" t="s">
        <v>16351</v>
      </c>
      <c r="C1294" s="1" t="s">
        <v>4436</v>
      </c>
      <c r="D1294" s="1" t="s">
        <v>4437</v>
      </c>
      <c r="E1294" s="1" t="s">
        <v>4432</v>
      </c>
      <c r="F1294" s="1" t="s">
        <v>14607</v>
      </c>
      <c r="G1294">
        <v>410742</v>
      </c>
      <c r="H1294">
        <v>1</v>
      </c>
      <c r="I1294" s="1" t="s">
        <v>11063</v>
      </c>
      <c r="J1294" s="11">
        <v>44729.706458333334</v>
      </c>
      <c r="K1294" s="1" t="s">
        <v>4433</v>
      </c>
      <c r="L1294" s="1">
        <v>0.65300000000000002</v>
      </c>
      <c r="M1294" s="1">
        <v>0.66300000000000003</v>
      </c>
      <c r="N1294">
        <v>2</v>
      </c>
      <c r="O1294" s="1">
        <v>-5.6719999999999997</v>
      </c>
      <c r="P1294">
        <v>1</v>
      </c>
      <c r="Q1294" s="1">
        <v>0.22600000000000001</v>
      </c>
      <c r="R1294" s="1">
        <v>0.21299999999999999</v>
      </c>
      <c r="S1294" s="1">
        <v>0.61</v>
      </c>
      <c r="T1294" s="1">
        <v>0.92900000000000005</v>
      </c>
      <c r="U1294" s="1">
        <v>0.52600000000000002</v>
      </c>
      <c r="V1294" s="1">
        <v>128.02600000000001</v>
      </c>
      <c r="W1294">
        <v>4</v>
      </c>
    </row>
    <row r="1295" spans="1:23" x14ac:dyDescent="0.25">
      <c r="A1295" s="1" t="s">
        <v>16358</v>
      </c>
      <c r="B1295" s="1" t="s">
        <v>16351</v>
      </c>
      <c r="C1295" s="1" t="s">
        <v>4437</v>
      </c>
      <c r="D1295" s="1" t="s">
        <v>4437</v>
      </c>
      <c r="E1295" s="1" t="s">
        <v>4432</v>
      </c>
      <c r="F1295" s="1" t="s">
        <v>14607</v>
      </c>
      <c r="G1295">
        <v>298282</v>
      </c>
      <c r="H1295">
        <v>0</v>
      </c>
      <c r="I1295" s="1" t="s">
        <v>11063</v>
      </c>
      <c r="J1295" s="11">
        <v>44729.706458333334</v>
      </c>
      <c r="K1295" s="1" t="s">
        <v>4433</v>
      </c>
      <c r="L1295" s="1">
        <v>0.42799999999999999</v>
      </c>
      <c r="M1295" s="1">
        <v>0.69699999999999995</v>
      </c>
      <c r="N1295">
        <v>8</v>
      </c>
      <c r="O1295" s="1">
        <v>-6.4370000000000003</v>
      </c>
      <c r="P1295">
        <v>0</v>
      </c>
      <c r="Q1295" s="1">
        <v>0.5</v>
      </c>
      <c r="R1295" s="1">
        <v>0.39400000000000002</v>
      </c>
      <c r="S1295" s="1">
        <v>0.73099999999999998</v>
      </c>
      <c r="T1295" s="1">
        <v>0.152</v>
      </c>
      <c r="U1295" s="1">
        <v>0.17899999999999999</v>
      </c>
      <c r="V1295" s="1">
        <v>123.66</v>
      </c>
      <c r="W1295">
        <v>4</v>
      </c>
    </row>
    <row r="1296" spans="1:23" x14ac:dyDescent="0.25">
      <c r="A1296" s="1" t="s">
        <v>16359</v>
      </c>
      <c r="B1296" s="1" t="s">
        <v>16360</v>
      </c>
      <c r="C1296" s="1" t="s">
        <v>1594</v>
      </c>
      <c r="D1296" s="1" t="s">
        <v>16361</v>
      </c>
      <c r="E1296" s="1" t="s">
        <v>4438</v>
      </c>
      <c r="F1296" s="1" t="s">
        <v>16362</v>
      </c>
      <c r="G1296">
        <v>204280</v>
      </c>
      <c r="H1296">
        <v>53</v>
      </c>
      <c r="I1296" s="1" t="s">
        <v>11063</v>
      </c>
      <c r="J1296" s="11">
        <v>44729.706458333334</v>
      </c>
      <c r="K1296" s="1" t="s">
        <v>4439</v>
      </c>
      <c r="L1296" s="1">
        <v>0.57699999999999996</v>
      </c>
      <c r="M1296" s="1">
        <v>0.92200000000000004</v>
      </c>
      <c r="N1296">
        <v>8</v>
      </c>
      <c r="O1296" s="1">
        <v>-3.339</v>
      </c>
      <c r="P1296">
        <v>0</v>
      </c>
      <c r="Q1296" s="1">
        <v>0.44500000000000001</v>
      </c>
      <c r="R1296" s="1">
        <v>0.64700000000000002</v>
      </c>
      <c r="S1296" s="1">
        <v>0</v>
      </c>
      <c r="T1296" s="1">
        <v>0.98399999999999999</v>
      </c>
      <c r="U1296" s="1">
        <v>0.67900000000000005</v>
      </c>
      <c r="V1296" s="1">
        <v>142.03700000000001</v>
      </c>
      <c r="W1296">
        <v>4</v>
      </c>
    </row>
    <row r="1297" spans="1:23" x14ac:dyDescent="0.25">
      <c r="A1297" s="1" t="s">
        <v>16363</v>
      </c>
      <c r="B1297" s="1" t="s">
        <v>16364</v>
      </c>
      <c r="C1297" s="1" t="s">
        <v>4440</v>
      </c>
      <c r="D1297" s="1" t="s">
        <v>16365</v>
      </c>
      <c r="E1297" s="1" t="s">
        <v>4441</v>
      </c>
      <c r="F1297" s="1" t="s">
        <v>16366</v>
      </c>
      <c r="G1297">
        <v>338853</v>
      </c>
      <c r="H1297">
        <v>76</v>
      </c>
      <c r="I1297" s="1" t="s">
        <v>11063</v>
      </c>
      <c r="J1297" s="11">
        <v>44729.706458333334</v>
      </c>
      <c r="K1297" s="1" t="s">
        <v>4442</v>
      </c>
      <c r="L1297" s="1">
        <v>0.375</v>
      </c>
      <c r="M1297" s="1">
        <v>0.86199999999999999</v>
      </c>
      <c r="N1297">
        <v>11</v>
      </c>
      <c r="O1297" s="1">
        <v>-3.363</v>
      </c>
      <c r="P1297">
        <v>0</v>
      </c>
      <c r="Q1297" s="1">
        <v>0.255</v>
      </c>
      <c r="R1297" s="1">
        <v>0.71</v>
      </c>
      <c r="S1297" s="1">
        <v>0</v>
      </c>
      <c r="T1297" s="1">
        <v>0.21099999999999999</v>
      </c>
      <c r="U1297" s="1">
        <v>0.47799999999999998</v>
      </c>
      <c r="V1297" s="1">
        <v>159.84100000000001</v>
      </c>
      <c r="W1297">
        <v>4</v>
      </c>
    </row>
    <row r="1298" spans="1:23" x14ac:dyDescent="0.25">
      <c r="A1298" s="1" t="s">
        <v>16367</v>
      </c>
      <c r="B1298" s="1" t="s">
        <v>16368</v>
      </c>
      <c r="C1298" s="1" t="s">
        <v>4443</v>
      </c>
      <c r="D1298" s="1" t="s">
        <v>4443</v>
      </c>
      <c r="E1298" s="1" t="s">
        <v>4444</v>
      </c>
      <c r="F1298" s="1" t="s">
        <v>13773</v>
      </c>
      <c r="G1298">
        <v>251830</v>
      </c>
      <c r="H1298">
        <v>59</v>
      </c>
      <c r="I1298" s="1" t="s">
        <v>11063</v>
      </c>
      <c r="J1298" s="11">
        <v>44729.706458333334</v>
      </c>
      <c r="K1298" s="1" t="s">
        <v>4445</v>
      </c>
      <c r="L1298" s="1">
        <v>0.47399999999999998</v>
      </c>
      <c r="M1298" s="1">
        <v>0.79200000000000004</v>
      </c>
      <c r="N1298">
        <v>5</v>
      </c>
      <c r="O1298" s="1">
        <v>-3.302</v>
      </c>
      <c r="P1298">
        <v>1</v>
      </c>
      <c r="Q1298" s="1">
        <v>0.51</v>
      </c>
      <c r="R1298" s="1">
        <v>0.66200000000000003</v>
      </c>
      <c r="S1298" s="1">
        <v>0.109</v>
      </c>
      <c r="T1298" s="1">
        <v>0.27700000000000002</v>
      </c>
      <c r="U1298" s="1">
        <v>0.31</v>
      </c>
      <c r="V1298" s="1">
        <v>141.92599999999999</v>
      </c>
      <c r="W1298">
        <v>4</v>
      </c>
    </row>
    <row r="1299" spans="1:23" x14ac:dyDescent="0.25">
      <c r="A1299" s="1" t="s">
        <v>16369</v>
      </c>
      <c r="B1299" s="1" t="s">
        <v>16370</v>
      </c>
      <c r="C1299" s="1" t="s">
        <v>4446</v>
      </c>
      <c r="D1299" s="1" t="s">
        <v>16371</v>
      </c>
      <c r="E1299" s="1" t="s">
        <v>4447</v>
      </c>
      <c r="F1299" s="1" t="s">
        <v>13652</v>
      </c>
      <c r="G1299">
        <v>158406</v>
      </c>
      <c r="H1299">
        <v>42</v>
      </c>
      <c r="I1299" s="1" t="s">
        <v>11063</v>
      </c>
      <c r="J1299" s="11">
        <v>44729.706458333334</v>
      </c>
      <c r="K1299" s="1" t="s">
        <v>4448</v>
      </c>
      <c r="L1299" s="1">
        <v>0.59699999999999998</v>
      </c>
      <c r="M1299" s="1">
        <v>0.47699999999999998</v>
      </c>
      <c r="N1299">
        <v>11</v>
      </c>
      <c r="O1299" s="1">
        <v>-8.3529999999999998</v>
      </c>
      <c r="P1299">
        <v>1</v>
      </c>
      <c r="Q1299" s="1">
        <v>0.91700000000000004</v>
      </c>
      <c r="R1299" s="1">
        <v>0.79100000000000004</v>
      </c>
      <c r="S1299" s="1">
        <v>0</v>
      </c>
      <c r="T1299" s="1">
        <v>0.16400000000000001</v>
      </c>
      <c r="U1299" s="1">
        <v>0.19400000000000001</v>
      </c>
      <c r="V1299" s="1">
        <v>97.988</v>
      </c>
      <c r="W1299">
        <v>4</v>
      </c>
    </row>
    <row r="1300" spans="1:23" x14ac:dyDescent="0.25">
      <c r="A1300" s="1" t="s">
        <v>16372</v>
      </c>
      <c r="B1300" s="1" t="s">
        <v>16373</v>
      </c>
      <c r="C1300" s="1" t="s">
        <v>4449</v>
      </c>
      <c r="D1300" s="1" t="s">
        <v>16374</v>
      </c>
      <c r="E1300" s="1" t="s">
        <v>4450</v>
      </c>
      <c r="F1300" s="1" t="s">
        <v>16375</v>
      </c>
      <c r="G1300">
        <v>206423</v>
      </c>
      <c r="H1300">
        <v>51</v>
      </c>
      <c r="I1300" s="1" t="s">
        <v>11063</v>
      </c>
      <c r="J1300" s="11">
        <v>44729.706458333334</v>
      </c>
      <c r="K1300" s="1" t="s">
        <v>50</v>
      </c>
      <c r="L1300" s="1">
        <v>0.63300000000000001</v>
      </c>
      <c r="M1300" s="1">
        <v>0.53</v>
      </c>
      <c r="N1300">
        <v>11</v>
      </c>
      <c r="O1300" s="1">
        <v>-10.667999999999999</v>
      </c>
      <c r="P1300">
        <v>0</v>
      </c>
      <c r="Q1300" s="1">
        <v>0.75900000000000001</v>
      </c>
      <c r="R1300" s="1">
        <v>0.70099999999999996</v>
      </c>
      <c r="S1300" s="1">
        <v>0.25900000000000001</v>
      </c>
      <c r="T1300" s="1">
        <v>0.151</v>
      </c>
      <c r="U1300" s="1">
        <v>0.214</v>
      </c>
      <c r="V1300" s="1">
        <v>170.00899999999999</v>
      </c>
      <c r="W1300">
        <v>4</v>
      </c>
    </row>
    <row r="1301" spans="1:23" x14ac:dyDescent="0.25">
      <c r="A1301" s="1" t="s">
        <v>16376</v>
      </c>
      <c r="B1301" s="1" t="s">
        <v>16377</v>
      </c>
      <c r="C1301" s="1" t="s">
        <v>4451</v>
      </c>
      <c r="D1301" s="1" t="s">
        <v>8252</v>
      </c>
      <c r="E1301" s="1" t="s">
        <v>4452</v>
      </c>
      <c r="F1301" s="1" t="s">
        <v>15191</v>
      </c>
      <c r="G1301">
        <v>202640</v>
      </c>
      <c r="H1301">
        <v>49</v>
      </c>
      <c r="I1301" s="1" t="s">
        <v>11063</v>
      </c>
      <c r="J1301" s="11">
        <v>44729.706458333334</v>
      </c>
      <c r="K1301" s="1" t="s">
        <v>992</v>
      </c>
      <c r="L1301" s="1">
        <v>0.60699999999999998</v>
      </c>
      <c r="M1301" s="1">
        <v>0.41899999999999998</v>
      </c>
      <c r="N1301">
        <v>2</v>
      </c>
      <c r="O1301" s="1">
        <v>-8.9540000000000006</v>
      </c>
      <c r="P1301">
        <v>0</v>
      </c>
      <c r="Q1301" s="1">
        <v>0.13600000000000001</v>
      </c>
      <c r="R1301" s="1">
        <v>0.70599999999999996</v>
      </c>
      <c r="S1301" s="1">
        <v>0.21299999999999999</v>
      </c>
      <c r="T1301" s="1">
        <v>0.157</v>
      </c>
      <c r="U1301" s="1">
        <v>0.42099999999999999</v>
      </c>
      <c r="V1301" s="1">
        <v>166.00899999999999</v>
      </c>
      <c r="W1301">
        <v>4</v>
      </c>
    </row>
    <row r="1302" spans="1:23" x14ac:dyDescent="0.25">
      <c r="A1302" s="1" t="s">
        <v>16378</v>
      </c>
      <c r="B1302" s="1" t="s">
        <v>16379</v>
      </c>
      <c r="C1302" s="1" t="s">
        <v>4453</v>
      </c>
      <c r="D1302" s="1" t="s">
        <v>4453</v>
      </c>
      <c r="E1302" s="1" t="s">
        <v>4454</v>
      </c>
      <c r="F1302" s="1" t="s">
        <v>14755</v>
      </c>
      <c r="G1302">
        <v>261000</v>
      </c>
      <c r="H1302">
        <v>20</v>
      </c>
      <c r="I1302" s="1" t="s">
        <v>11063</v>
      </c>
      <c r="J1302" s="11">
        <v>44729.706458333334</v>
      </c>
      <c r="K1302" s="1" t="s">
        <v>4455</v>
      </c>
      <c r="L1302" s="1">
        <v>0.63</v>
      </c>
      <c r="M1302" s="1">
        <v>0.88100000000000001</v>
      </c>
      <c r="N1302">
        <v>1</v>
      </c>
      <c r="O1302" s="1">
        <v>-2.931</v>
      </c>
      <c r="P1302">
        <v>1</v>
      </c>
      <c r="Q1302" s="1">
        <v>0.74299999999999999</v>
      </c>
      <c r="R1302" s="1">
        <v>0.93799999999999994</v>
      </c>
      <c r="S1302" s="1">
        <v>0.17199999999999999</v>
      </c>
      <c r="T1302" s="1">
        <v>0.47</v>
      </c>
      <c r="U1302" s="1">
        <v>0.371</v>
      </c>
      <c r="V1302" s="1">
        <v>75.006</v>
      </c>
      <c r="W1302">
        <v>4</v>
      </c>
    </row>
    <row r="1303" spans="1:23" x14ac:dyDescent="0.25">
      <c r="A1303" s="1" t="s">
        <v>16380</v>
      </c>
      <c r="B1303" s="1" t="s">
        <v>16381</v>
      </c>
      <c r="C1303" s="1" t="s">
        <v>4456</v>
      </c>
      <c r="D1303" s="1" t="s">
        <v>16382</v>
      </c>
      <c r="E1303" s="1" t="s">
        <v>4457</v>
      </c>
      <c r="F1303" s="1" t="s">
        <v>16383</v>
      </c>
      <c r="G1303">
        <v>322594</v>
      </c>
      <c r="H1303">
        <v>24</v>
      </c>
      <c r="I1303" s="1" t="s">
        <v>11063</v>
      </c>
      <c r="J1303" s="11">
        <v>44729.706458333334</v>
      </c>
      <c r="K1303" s="1" t="s">
        <v>4458</v>
      </c>
      <c r="L1303" s="1">
        <v>0.57699999999999996</v>
      </c>
      <c r="M1303" s="1">
        <v>0.82599999999999996</v>
      </c>
      <c r="N1303">
        <v>10</v>
      </c>
      <c r="O1303" s="1">
        <v>-4.3979999999999997</v>
      </c>
      <c r="P1303">
        <v>0</v>
      </c>
      <c r="Q1303" s="1">
        <v>0.38</v>
      </c>
      <c r="R1303" s="1">
        <v>0.20100000000000001</v>
      </c>
      <c r="S1303" s="1">
        <v>0.54</v>
      </c>
      <c r="T1303" s="1">
        <v>0.874</v>
      </c>
      <c r="U1303" s="1">
        <v>0.58599999999999997</v>
      </c>
      <c r="V1303" s="1">
        <v>109.913</v>
      </c>
      <c r="W1303">
        <v>4</v>
      </c>
    </row>
    <row r="1304" spans="1:23" x14ac:dyDescent="0.25">
      <c r="A1304" s="1" t="s">
        <v>16384</v>
      </c>
      <c r="B1304" s="1" t="s">
        <v>16385</v>
      </c>
      <c r="C1304" s="1" t="s">
        <v>4459</v>
      </c>
      <c r="D1304" s="1" t="s">
        <v>4459</v>
      </c>
      <c r="E1304" s="1" t="s">
        <v>4460</v>
      </c>
      <c r="F1304" s="1" t="s">
        <v>16386</v>
      </c>
      <c r="G1304">
        <v>204460</v>
      </c>
      <c r="H1304">
        <v>30</v>
      </c>
      <c r="I1304" s="1" t="s">
        <v>11063</v>
      </c>
      <c r="J1304" s="11">
        <v>44729.706458333334</v>
      </c>
      <c r="K1304" s="1" t="s">
        <v>996</v>
      </c>
      <c r="L1304" s="1">
        <v>0.51900000000000002</v>
      </c>
      <c r="M1304" s="1">
        <v>0.77900000000000003</v>
      </c>
      <c r="N1304">
        <v>10</v>
      </c>
      <c r="O1304" s="1">
        <v>-4.9989999999999997</v>
      </c>
      <c r="P1304">
        <v>1</v>
      </c>
      <c r="Q1304" s="1">
        <v>0.379</v>
      </c>
      <c r="R1304" s="1">
        <v>0.76500000000000001</v>
      </c>
      <c r="S1304" s="1">
        <v>0.11799999999999999</v>
      </c>
      <c r="T1304" s="1">
        <v>0.26800000000000002</v>
      </c>
      <c r="U1304" s="1">
        <v>0.19500000000000001</v>
      </c>
      <c r="V1304" s="1">
        <v>154.91900000000001</v>
      </c>
      <c r="W1304">
        <v>4</v>
      </c>
    </row>
    <row r="1305" spans="1:23" x14ac:dyDescent="0.25">
      <c r="A1305" s="1" t="s">
        <v>16387</v>
      </c>
      <c r="B1305" s="1" t="s">
        <v>16388</v>
      </c>
      <c r="C1305" s="1" t="s">
        <v>4461</v>
      </c>
      <c r="D1305" s="1" t="s">
        <v>4461</v>
      </c>
      <c r="E1305" s="1" t="s">
        <v>4462</v>
      </c>
      <c r="F1305" s="1" t="s">
        <v>11391</v>
      </c>
      <c r="G1305">
        <v>294750</v>
      </c>
      <c r="H1305">
        <v>29</v>
      </c>
      <c r="I1305" s="1" t="s">
        <v>11063</v>
      </c>
      <c r="J1305" s="11">
        <v>44729.706458333334</v>
      </c>
      <c r="K1305" s="1" t="s">
        <v>50</v>
      </c>
      <c r="L1305" s="1">
        <v>0.312</v>
      </c>
      <c r="M1305" s="1">
        <v>0.64800000000000002</v>
      </c>
      <c r="N1305">
        <v>1</v>
      </c>
      <c r="O1305" s="1">
        <v>-7.1269999999999998</v>
      </c>
      <c r="P1305">
        <v>1</v>
      </c>
      <c r="Q1305" s="1">
        <v>0.34300000000000003</v>
      </c>
      <c r="R1305" s="1">
        <v>0.17799999999999999</v>
      </c>
      <c r="S1305" s="1">
        <v>0.35899999999999999</v>
      </c>
      <c r="T1305" s="1">
        <v>0.372</v>
      </c>
      <c r="U1305" s="1">
        <v>0.52100000000000002</v>
      </c>
      <c r="V1305" s="1">
        <v>79.308000000000007</v>
      </c>
      <c r="W1305">
        <v>4</v>
      </c>
    </row>
    <row r="1306" spans="1:23" x14ac:dyDescent="0.25">
      <c r="A1306" s="1" t="s">
        <v>16389</v>
      </c>
      <c r="B1306" s="1" t="s">
        <v>16390</v>
      </c>
      <c r="C1306" s="1" t="s">
        <v>1520</v>
      </c>
      <c r="D1306" s="1" t="s">
        <v>16391</v>
      </c>
      <c r="E1306" s="1" t="s">
        <v>4463</v>
      </c>
      <c r="F1306" s="1" t="s">
        <v>16392</v>
      </c>
      <c r="G1306">
        <v>198848</v>
      </c>
      <c r="H1306">
        <v>30</v>
      </c>
      <c r="I1306" s="1" t="s">
        <v>11063</v>
      </c>
      <c r="J1306" s="11">
        <v>44729.706458333334</v>
      </c>
      <c r="K1306" s="1" t="s">
        <v>50</v>
      </c>
      <c r="L1306" s="1">
        <v>0.64900000000000002</v>
      </c>
      <c r="M1306" s="1">
        <v>0.98699999999999999</v>
      </c>
      <c r="N1306">
        <v>8</v>
      </c>
      <c r="O1306" s="1">
        <v>-0.80700000000000005</v>
      </c>
      <c r="P1306">
        <v>0</v>
      </c>
      <c r="Q1306" s="1">
        <v>0.56000000000000005</v>
      </c>
      <c r="R1306" s="1">
        <v>0.13100000000000001</v>
      </c>
      <c r="S1306" s="1">
        <v>0.12</v>
      </c>
      <c r="T1306" s="1">
        <v>0.94799999999999995</v>
      </c>
      <c r="U1306" s="1">
        <v>0.64</v>
      </c>
      <c r="V1306" s="1">
        <v>140.02000000000001</v>
      </c>
      <c r="W1306">
        <v>4</v>
      </c>
    </row>
    <row r="1307" spans="1:23" x14ac:dyDescent="0.25">
      <c r="A1307" s="1" t="s">
        <v>16393</v>
      </c>
      <c r="B1307" s="1" t="s">
        <v>16394</v>
      </c>
      <c r="C1307" s="1" t="s">
        <v>2510</v>
      </c>
      <c r="D1307" s="1" t="s">
        <v>2510</v>
      </c>
      <c r="E1307" s="1" t="s">
        <v>4464</v>
      </c>
      <c r="F1307" s="1" t="s">
        <v>15856</v>
      </c>
      <c r="G1307">
        <v>248653</v>
      </c>
      <c r="H1307">
        <v>28</v>
      </c>
      <c r="I1307" s="1" t="s">
        <v>11063</v>
      </c>
      <c r="J1307" s="11">
        <v>44729.706458333334</v>
      </c>
      <c r="K1307" s="1" t="s">
        <v>50</v>
      </c>
      <c r="L1307" s="1">
        <v>0.45900000000000002</v>
      </c>
      <c r="M1307" s="1">
        <v>0.84399999999999997</v>
      </c>
      <c r="N1307">
        <v>3</v>
      </c>
      <c r="O1307" s="1">
        <v>-5.359</v>
      </c>
      <c r="P1307">
        <v>0</v>
      </c>
      <c r="Q1307" s="1">
        <v>0.97199999999999998</v>
      </c>
      <c r="R1307" s="1">
        <v>0.51500000000000001</v>
      </c>
      <c r="S1307" s="1">
        <v>0</v>
      </c>
      <c r="T1307" s="1">
        <v>0.14799999999999999</v>
      </c>
      <c r="U1307" s="1">
        <v>0.54300000000000004</v>
      </c>
      <c r="V1307" s="1">
        <v>77.521000000000001</v>
      </c>
      <c r="W1307">
        <v>4</v>
      </c>
    </row>
    <row r="1308" spans="1:23" x14ac:dyDescent="0.25">
      <c r="A1308" s="1" t="s">
        <v>16395</v>
      </c>
      <c r="B1308" s="1" t="s">
        <v>16396</v>
      </c>
      <c r="C1308" s="1" t="s">
        <v>4465</v>
      </c>
      <c r="D1308" s="1" t="s">
        <v>4465</v>
      </c>
      <c r="E1308" s="1" t="s">
        <v>4466</v>
      </c>
      <c r="F1308" s="1" t="s">
        <v>14734</v>
      </c>
      <c r="G1308">
        <v>270638</v>
      </c>
      <c r="H1308">
        <v>22</v>
      </c>
      <c r="I1308" s="1" t="s">
        <v>11063</v>
      </c>
      <c r="J1308" s="11">
        <v>44729.706458333334</v>
      </c>
      <c r="K1308" s="1" t="s">
        <v>50</v>
      </c>
      <c r="L1308" s="1">
        <v>0.64300000000000002</v>
      </c>
      <c r="M1308" s="1">
        <v>0.74</v>
      </c>
      <c r="N1308">
        <v>3</v>
      </c>
      <c r="O1308" s="1">
        <v>-6.64</v>
      </c>
      <c r="P1308">
        <v>0</v>
      </c>
      <c r="Q1308" s="1">
        <v>0.92500000000000004</v>
      </c>
      <c r="R1308" s="1">
        <v>0.21099999999999999</v>
      </c>
      <c r="S1308" s="1">
        <v>0.65400000000000003</v>
      </c>
      <c r="T1308" s="1">
        <v>0.129</v>
      </c>
      <c r="U1308" s="1">
        <v>0.78700000000000003</v>
      </c>
      <c r="V1308" s="1">
        <v>187.90799999999999</v>
      </c>
      <c r="W1308">
        <v>4</v>
      </c>
    </row>
    <row r="1309" spans="1:23" x14ac:dyDescent="0.25">
      <c r="A1309" s="1" t="s">
        <v>16397</v>
      </c>
      <c r="B1309" s="1" t="s">
        <v>16398</v>
      </c>
      <c r="C1309" s="1" t="s">
        <v>4467</v>
      </c>
      <c r="D1309" s="1" t="s">
        <v>16399</v>
      </c>
      <c r="E1309" s="1" t="s">
        <v>4468</v>
      </c>
      <c r="F1309" s="1" t="s">
        <v>11577</v>
      </c>
      <c r="G1309">
        <v>291393</v>
      </c>
      <c r="H1309">
        <v>26</v>
      </c>
      <c r="I1309" s="1" t="s">
        <v>11063</v>
      </c>
      <c r="J1309" s="11">
        <v>44729.706458333334</v>
      </c>
      <c r="K1309" s="1" t="s">
        <v>4469</v>
      </c>
      <c r="L1309" s="1">
        <v>0.48099999999999998</v>
      </c>
      <c r="M1309" s="1">
        <v>0.55400000000000005</v>
      </c>
      <c r="N1309">
        <v>11</v>
      </c>
      <c r="O1309" s="1">
        <v>-8.6549999999999994</v>
      </c>
      <c r="P1309">
        <v>0</v>
      </c>
      <c r="Q1309" s="1">
        <v>0.48499999999999999</v>
      </c>
      <c r="R1309" s="1">
        <v>0.374</v>
      </c>
      <c r="S1309" s="1">
        <v>0</v>
      </c>
      <c r="T1309" s="1">
        <v>0.97599999999999998</v>
      </c>
      <c r="U1309" s="1">
        <v>0.14599999999999999</v>
      </c>
      <c r="V1309" s="1">
        <v>127.92100000000001</v>
      </c>
      <c r="W1309">
        <v>4</v>
      </c>
    </row>
    <row r="1310" spans="1:23" x14ac:dyDescent="0.25">
      <c r="A1310" s="1" t="s">
        <v>16400</v>
      </c>
      <c r="B1310" s="1" t="s">
        <v>16401</v>
      </c>
      <c r="C1310" s="1" t="s">
        <v>4470</v>
      </c>
      <c r="D1310" s="1" t="s">
        <v>4470</v>
      </c>
      <c r="E1310" s="1" t="s">
        <v>4471</v>
      </c>
      <c r="F1310" s="1" t="s">
        <v>16402</v>
      </c>
      <c r="G1310">
        <v>165798</v>
      </c>
      <c r="H1310">
        <v>26</v>
      </c>
      <c r="I1310" s="1" t="s">
        <v>11063</v>
      </c>
      <c r="J1310" s="11">
        <v>44729.706458333334</v>
      </c>
      <c r="K1310" s="1" t="s">
        <v>4472</v>
      </c>
      <c r="L1310" s="1">
        <v>0.70099999999999996</v>
      </c>
      <c r="M1310" s="1">
        <v>0.89500000000000002</v>
      </c>
      <c r="N1310">
        <v>10</v>
      </c>
      <c r="O1310" s="1">
        <v>-2.516</v>
      </c>
      <c r="P1310">
        <v>1</v>
      </c>
      <c r="Q1310" s="1">
        <v>0.19500000000000001</v>
      </c>
      <c r="R1310" s="1">
        <v>0.11799999999999999</v>
      </c>
      <c r="S1310" s="1">
        <v>0.115</v>
      </c>
      <c r="T1310" s="1">
        <v>0.32400000000000001</v>
      </c>
      <c r="U1310" s="1">
        <v>0.36499999999999999</v>
      </c>
      <c r="V1310" s="1">
        <v>130.04</v>
      </c>
      <c r="W1310">
        <v>4</v>
      </c>
    </row>
    <row r="1311" spans="1:23" x14ac:dyDescent="0.25">
      <c r="A1311" s="1" t="s">
        <v>16403</v>
      </c>
      <c r="B1311" s="1" t="s">
        <v>16404</v>
      </c>
      <c r="C1311" s="1" t="s">
        <v>4473</v>
      </c>
      <c r="D1311" s="1" t="s">
        <v>16405</v>
      </c>
      <c r="E1311" s="1" t="s">
        <v>4474</v>
      </c>
      <c r="F1311" s="1" t="s">
        <v>16406</v>
      </c>
      <c r="G1311">
        <v>235229</v>
      </c>
      <c r="H1311">
        <v>11</v>
      </c>
      <c r="I1311" s="1" t="s">
        <v>11063</v>
      </c>
      <c r="J1311" s="11">
        <v>44729.706458333334</v>
      </c>
      <c r="K1311" s="1" t="s">
        <v>50</v>
      </c>
      <c r="L1311" s="1">
        <v>0.65100000000000002</v>
      </c>
      <c r="M1311" s="1">
        <v>0.86599999999999999</v>
      </c>
      <c r="N1311">
        <v>9</v>
      </c>
      <c r="O1311" s="1">
        <v>-3.9169999999999998</v>
      </c>
      <c r="P1311">
        <v>0</v>
      </c>
      <c r="Q1311" s="1">
        <v>0.35599999999999998</v>
      </c>
      <c r="R1311" s="1">
        <v>0.121</v>
      </c>
      <c r="S1311" s="1">
        <v>0.23</v>
      </c>
      <c r="T1311" s="1">
        <v>0.15</v>
      </c>
      <c r="U1311" s="1">
        <v>0.19400000000000001</v>
      </c>
      <c r="V1311" s="1">
        <v>105.01900000000001</v>
      </c>
      <c r="W1311">
        <v>4</v>
      </c>
    </row>
    <row r="1312" spans="1:23" x14ac:dyDescent="0.25">
      <c r="A1312" s="1" t="s">
        <v>16407</v>
      </c>
      <c r="B1312" s="1" t="s">
        <v>16408</v>
      </c>
      <c r="C1312" s="1" t="s">
        <v>3107</v>
      </c>
      <c r="D1312" s="1" t="s">
        <v>3107</v>
      </c>
      <c r="E1312" s="1" t="s">
        <v>4475</v>
      </c>
      <c r="F1312" s="1" t="s">
        <v>16409</v>
      </c>
      <c r="G1312">
        <v>288000</v>
      </c>
      <c r="H1312">
        <v>27</v>
      </c>
      <c r="I1312" s="1" t="s">
        <v>11063</v>
      </c>
      <c r="J1312" s="11">
        <v>44729.706458333334</v>
      </c>
      <c r="K1312" s="1" t="s">
        <v>2713</v>
      </c>
      <c r="L1312" s="1">
        <v>0.497</v>
      </c>
      <c r="M1312" s="1">
        <v>0.80100000000000005</v>
      </c>
      <c r="N1312">
        <v>9</v>
      </c>
      <c r="O1312" s="1">
        <v>-2.3410000000000002</v>
      </c>
      <c r="P1312">
        <v>0</v>
      </c>
      <c r="Q1312" s="1">
        <v>0.41699999999999998</v>
      </c>
      <c r="R1312" s="1">
        <v>0.35199999999999998</v>
      </c>
      <c r="S1312" s="1">
        <v>0.184</v>
      </c>
      <c r="T1312" s="1">
        <v>0.94899999999999995</v>
      </c>
      <c r="U1312" s="1">
        <v>0.23499999999999999</v>
      </c>
      <c r="V1312" s="1">
        <v>150.053</v>
      </c>
      <c r="W1312">
        <v>4</v>
      </c>
    </row>
    <row r="1313" spans="1:23" x14ac:dyDescent="0.25">
      <c r="A1313" s="1" t="s">
        <v>16410</v>
      </c>
      <c r="B1313" s="1" t="s">
        <v>16411</v>
      </c>
      <c r="C1313" s="1" t="s">
        <v>4476</v>
      </c>
      <c r="D1313" s="1" t="s">
        <v>16412</v>
      </c>
      <c r="E1313" s="1" t="s">
        <v>4477</v>
      </c>
      <c r="F1313" s="1" t="s">
        <v>13590</v>
      </c>
      <c r="G1313">
        <v>227500</v>
      </c>
      <c r="H1313">
        <v>26</v>
      </c>
      <c r="I1313" s="1" t="s">
        <v>11063</v>
      </c>
      <c r="J1313" s="11">
        <v>44729.706458333334</v>
      </c>
      <c r="K1313" s="1" t="s">
        <v>4478</v>
      </c>
      <c r="L1313" s="1">
        <v>0.51900000000000002</v>
      </c>
      <c r="M1313" s="1">
        <v>0.81200000000000006</v>
      </c>
      <c r="N1313">
        <v>11</v>
      </c>
      <c r="O1313" s="1">
        <v>-4.5730000000000004</v>
      </c>
      <c r="P1313">
        <v>0</v>
      </c>
      <c r="Q1313" s="1">
        <v>0.32300000000000001</v>
      </c>
      <c r="R1313" s="1">
        <v>0.36199999999999999</v>
      </c>
      <c r="S1313" s="1">
        <v>0.82299999999999995</v>
      </c>
      <c r="T1313" s="1">
        <v>0.25600000000000001</v>
      </c>
      <c r="U1313" s="1">
        <v>0.127</v>
      </c>
      <c r="V1313" s="1">
        <v>95.977999999999994</v>
      </c>
      <c r="W1313">
        <v>4</v>
      </c>
    </row>
    <row r="1314" spans="1:23" x14ac:dyDescent="0.25">
      <c r="A1314" s="1" t="s">
        <v>16413</v>
      </c>
      <c r="B1314" s="1" t="s">
        <v>16414</v>
      </c>
      <c r="C1314" s="1" t="s">
        <v>4479</v>
      </c>
      <c r="D1314" s="1" t="s">
        <v>16415</v>
      </c>
      <c r="E1314" s="1" t="s">
        <v>4480</v>
      </c>
      <c r="F1314" s="1" t="s">
        <v>14752</v>
      </c>
      <c r="G1314">
        <v>246888</v>
      </c>
      <c r="H1314">
        <v>28</v>
      </c>
      <c r="I1314" s="1" t="s">
        <v>11063</v>
      </c>
      <c r="J1314" s="11">
        <v>44729.706458333334</v>
      </c>
      <c r="K1314" s="1" t="s">
        <v>50</v>
      </c>
      <c r="L1314" s="1">
        <v>0.60199999999999998</v>
      </c>
      <c r="M1314" s="1">
        <v>0.627</v>
      </c>
      <c r="N1314">
        <v>1</v>
      </c>
      <c r="O1314" s="1">
        <v>-6.0940000000000003</v>
      </c>
      <c r="P1314">
        <v>1</v>
      </c>
      <c r="Q1314" s="1">
        <v>0.31</v>
      </c>
      <c r="R1314" s="1">
        <v>0.10299999999999999</v>
      </c>
      <c r="S1314" s="1">
        <v>0.216</v>
      </c>
      <c r="T1314" s="1">
        <v>0.152</v>
      </c>
      <c r="U1314" s="1">
        <v>0.18099999999999999</v>
      </c>
      <c r="V1314" s="1">
        <v>139.881</v>
      </c>
      <c r="W1314">
        <v>4</v>
      </c>
    </row>
    <row r="1315" spans="1:23" x14ac:dyDescent="0.25">
      <c r="A1315" s="1" t="s">
        <v>16416</v>
      </c>
      <c r="B1315" s="1" t="s">
        <v>16417</v>
      </c>
      <c r="C1315" s="1" t="s">
        <v>4481</v>
      </c>
      <c r="D1315" s="1" t="s">
        <v>16418</v>
      </c>
      <c r="E1315" s="1" t="s">
        <v>4482</v>
      </c>
      <c r="F1315" s="1" t="s">
        <v>11527</v>
      </c>
      <c r="G1315">
        <v>209397</v>
      </c>
      <c r="H1315">
        <v>25</v>
      </c>
      <c r="I1315" s="1" t="s">
        <v>11063</v>
      </c>
      <c r="J1315" s="11">
        <v>44729.706458333334</v>
      </c>
      <c r="K1315" s="1" t="s">
        <v>4483</v>
      </c>
      <c r="L1315" s="1">
        <v>0.38100000000000001</v>
      </c>
      <c r="M1315" s="1">
        <v>0.93200000000000005</v>
      </c>
      <c r="N1315">
        <v>6</v>
      </c>
      <c r="O1315" s="1">
        <v>-3.2050000000000001</v>
      </c>
      <c r="P1315">
        <v>0</v>
      </c>
      <c r="Q1315" s="1">
        <v>0.129</v>
      </c>
      <c r="R1315" s="1">
        <v>0.745</v>
      </c>
      <c r="S1315" s="1">
        <v>0.55900000000000005</v>
      </c>
      <c r="T1315" s="1">
        <v>0.104</v>
      </c>
      <c r="U1315" s="1">
        <v>0.27</v>
      </c>
      <c r="V1315" s="1">
        <v>113.486</v>
      </c>
      <c r="W1315">
        <v>5</v>
      </c>
    </row>
    <row r="1316" spans="1:23" x14ac:dyDescent="0.25">
      <c r="A1316" s="1" t="s">
        <v>16419</v>
      </c>
      <c r="B1316" s="1" t="s">
        <v>16420</v>
      </c>
      <c r="C1316" s="1" t="s">
        <v>4484</v>
      </c>
      <c r="D1316" s="1" t="s">
        <v>4484</v>
      </c>
      <c r="E1316" s="1" t="s">
        <v>4485</v>
      </c>
      <c r="F1316" s="1" t="s">
        <v>16421</v>
      </c>
      <c r="G1316">
        <v>218400</v>
      </c>
      <c r="H1316">
        <v>23</v>
      </c>
      <c r="I1316" s="1" t="s">
        <v>11063</v>
      </c>
      <c r="J1316" s="11">
        <v>44729.706458333334</v>
      </c>
      <c r="K1316" s="1" t="s">
        <v>4486</v>
      </c>
      <c r="L1316" s="1">
        <v>0.42899999999999999</v>
      </c>
      <c r="M1316" s="1">
        <v>0.91</v>
      </c>
      <c r="N1316">
        <v>8</v>
      </c>
      <c r="O1316" s="1">
        <v>-3.1930000000000001</v>
      </c>
      <c r="P1316">
        <v>1</v>
      </c>
      <c r="Q1316" s="1">
        <v>0.499</v>
      </c>
      <c r="R1316" s="1">
        <v>0.75</v>
      </c>
      <c r="S1316" s="1">
        <v>0.10199999999999999</v>
      </c>
      <c r="T1316" s="1">
        <v>0.108</v>
      </c>
      <c r="U1316" s="1">
        <v>0.35199999999999998</v>
      </c>
      <c r="V1316" s="1">
        <v>149.99</v>
      </c>
      <c r="W1316">
        <v>4</v>
      </c>
    </row>
    <row r="1317" spans="1:23" x14ac:dyDescent="0.25">
      <c r="A1317" s="1" t="s">
        <v>16422</v>
      </c>
      <c r="B1317" s="1" t="s">
        <v>16423</v>
      </c>
      <c r="C1317" s="1" t="s">
        <v>4487</v>
      </c>
      <c r="D1317" s="1" t="s">
        <v>4487</v>
      </c>
      <c r="E1317" s="1" t="s">
        <v>4488</v>
      </c>
      <c r="F1317" s="1" t="s">
        <v>14101</v>
      </c>
      <c r="G1317">
        <v>205241</v>
      </c>
      <c r="H1317">
        <v>32</v>
      </c>
      <c r="I1317" s="1" t="s">
        <v>11063</v>
      </c>
      <c r="J1317" s="11">
        <v>44729.706458333334</v>
      </c>
      <c r="K1317" s="1" t="s">
        <v>4489</v>
      </c>
      <c r="L1317" s="1">
        <v>0.39400000000000002</v>
      </c>
      <c r="M1317" s="1">
        <v>0.81599999999999995</v>
      </c>
      <c r="N1317">
        <v>0</v>
      </c>
      <c r="O1317" s="1">
        <v>-4.0190000000000001</v>
      </c>
      <c r="P1317">
        <v>0</v>
      </c>
      <c r="Q1317" s="1">
        <v>0.44</v>
      </c>
      <c r="R1317" s="1">
        <v>0.42099999999999999</v>
      </c>
      <c r="S1317" s="1">
        <v>0.80500000000000005</v>
      </c>
      <c r="T1317" s="1">
        <v>0.98199999999999998</v>
      </c>
      <c r="U1317" s="1">
        <v>0.13800000000000001</v>
      </c>
      <c r="V1317" s="1">
        <v>145.01</v>
      </c>
      <c r="W1317">
        <v>4</v>
      </c>
    </row>
    <row r="1318" spans="1:23" x14ac:dyDescent="0.25">
      <c r="A1318" s="1" t="s">
        <v>16424</v>
      </c>
      <c r="B1318" s="1" t="s">
        <v>16425</v>
      </c>
      <c r="C1318" s="1" t="s">
        <v>4490</v>
      </c>
      <c r="D1318" s="1" t="s">
        <v>4490</v>
      </c>
      <c r="E1318" s="1" t="s">
        <v>4491</v>
      </c>
      <c r="F1318" s="1" t="s">
        <v>16426</v>
      </c>
      <c r="G1318">
        <v>211267</v>
      </c>
      <c r="H1318">
        <v>41</v>
      </c>
      <c r="I1318" s="1" t="s">
        <v>11063</v>
      </c>
      <c r="J1318" s="11">
        <v>44729.706458333334</v>
      </c>
      <c r="K1318" s="1" t="s">
        <v>4492</v>
      </c>
      <c r="L1318" s="1">
        <v>0.54300000000000004</v>
      </c>
      <c r="M1318" s="1">
        <v>0.75900000000000001</v>
      </c>
      <c r="N1318">
        <v>4</v>
      </c>
      <c r="O1318" s="1">
        <v>-5.2759999999999998</v>
      </c>
      <c r="P1318">
        <v>0</v>
      </c>
      <c r="Q1318" s="1">
        <v>0.21</v>
      </c>
      <c r="R1318" s="1">
        <v>0.21</v>
      </c>
      <c r="S1318" s="1">
        <v>0</v>
      </c>
      <c r="T1318" s="1">
        <v>0.90800000000000003</v>
      </c>
      <c r="U1318" s="1">
        <v>0.34699999999999998</v>
      </c>
      <c r="V1318" s="1">
        <v>141.88200000000001</v>
      </c>
      <c r="W1318">
        <v>4</v>
      </c>
    </row>
    <row r="1319" spans="1:23" x14ac:dyDescent="0.25">
      <c r="A1319" s="1" t="s">
        <v>16427</v>
      </c>
      <c r="B1319" s="1" t="s">
        <v>16428</v>
      </c>
      <c r="C1319" s="1" t="s">
        <v>4493</v>
      </c>
      <c r="D1319" s="1" t="s">
        <v>4493</v>
      </c>
      <c r="E1319" s="1" t="s">
        <v>4494</v>
      </c>
      <c r="F1319" s="1" t="s">
        <v>15180</v>
      </c>
      <c r="G1319">
        <v>233924</v>
      </c>
      <c r="H1319">
        <v>47</v>
      </c>
      <c r="I1319" s="1" t="s">
        <v>11063</v>
      </c>
      <c r="J1319" s="11">
        <v>44729.706458333334</v>
      </c>
      <c r="K1319" s="1" t="s">
        <v>2713</v>
      </c>
      <c r="L1319" s="1">
        <v>0.53</v>
      </c>
      <c r="M1319" s="1">
        <v>0.78800000000000003</v>
      </c>
      <c r="N1319">
        <v>0</v>
      </c>
      <c r="O1319" s="1">
        <v>-4.8090000000000002</v>
      </c>
      <c r="P1319">
        <v>0</v>
      </c>
      <c r="Q1319" s="1">
        <v>0.44</v>
      </c>
      <c r="R1319" s="1">
        <v>0.124</v>
      </c>
      <c r="S1319" s="1">
        <v>0</v>
      </c>
      <c r="T1319" s="1">
        <v>0.111</v>
      </c>
      <c r="U1319" s="1">
        <v>0.36299999999999999</v>
      </c>
      <c r="V1319" s="1">
        <v>158.04900000000001</v>
      </c>
      <c r="W1319">
        <v>4</v>
      </c>
    </row>
    <row r="1320" spans="1:23" x14ac:dyDescent="0.25">
      <c r="A1320" s="1" t="s">
        <v>16429</v>
      </c>
      <c r="B1320" s="1" t="s">
        <v>16430</v>
      </c>
      <c r="C1320" s="1" t="s">
        <v>4495</v>
      </c>
      <c r="D1320" s="1" t="s">
        <v>16431</v>
      </c>
      <c r="E1320" s="1" t="s">
        <v>4496</v>
      </c>
      <c r="F1320" s="1" t="s">
        <v>14857</v>
      </c>
      <c r="G1320">
        <v>183750</v>
      </c>
      <c r="H1320">
        <v>40</v>
      </c>
      <c r="I1320" s="1" t="s">
        <v>11063</v>
      </c>
      <c r="J1320" s="11">
        <v>44729.706458333334</v>
      </c>
      <c r="K1320" s="1" t="s">
        <v>4497</v>
      </c>
      <c r="L1320" s="1">
        <v>0.58099999999999996</v>
      </c>
      <c r="M1320" s="1">
        <v>0.90400000000000003</v>
      </c>
      <c r="N1320">
        <v>4</v>
      </c>
      <c r="O1320" s="1">
        <v>-3.6720000000000002</v>
      </c>
      <c r="P1320">
        <v>1</v>
      </c>
      <c r="Q1320" s="1">
        <v>0.93100000000000005</v>
      </c>
      <c r="R1320" s="1">
        <v>0.45400000000000001</v>
      </c>
      <c r="S1320" s="1">
        <v>0</v>
      </c>
      <c r="T1320" s="1">
        <v>0.77900000000000003</v>
      </c>
      <c r="U1320" s="1">
        <v>0.32</v>
      </c>
      <c r="V1320" s="1">
        <v>127.902</v>
      </c>
      <c r="W1320">
        <v>4</v>
      </c>
    </row>
    <row r="1321" spans="1:23" x14ac:dyDescent="0.25">
      <c r="A1321" s="1" t="s">
        <v>16432</v>
      </c>
      <c r="B1321" s="1" t="s">
        <v>16433</v>
      </c>
      <c r="C1321" s="1" t="s">
        <v>4498</v>
      </c>
      <c r="D1321" s="1" t="s">
        <v>4498</v>
      </c>
      <c r="E1321" s="1" t="s">
        <v>4499</v>
      </c>
      <c r="F1321" s="1" t="s">
        <v>15781</v>
      </c>
      <c r="G1321">
        <v>287162</v>
      </c>
      <c r="H1321">
        <v>41</v>
      </c>
      <c r="I1321" s="1" t="s">
        <v>11063</v>
      </c>
      <c r="J1321" s="11">
        <v>44729.706458333334</v>
      </c>
      <c r="K1321" s="1" t="s">
        <v>4500</v>
      </c>
      <c r="L1321" s="1">
        <v>0.4</v>
      </c>
      <c r="M1321" s="1">
        <v>0.74</v>
      </c>
      <c r="N1321">
        <v>9</v>
      </c>
      <c r="O1321" s="1">
        <v>-3.5640000000000001</v>
      </c>
      <c r="P1321">
        <v>0</v>
      </c>
      <c r="Q1321" s="1">
        <v>0.11899999999999999</v>
      </c>
      <c r="R1321" s="1">
        <v>0.47399999999999998</v>
      </c>
      <c r="S1321" s="1">
        <v>0.104</v>
      </c>
      <c r="T1321" s="1">
        <v>0.67200000000000004</v>
      </c>
      <c r="U1321" s="1">
        <v>0.16900000000000001</v>
      </c>
      <c r="V1321" s="1">
        <v>169.94900000000001</v>
      </c>
      <c r="W1321">
        <v>4</v>
      </c>
    </row>
    <row r="1322" spans="1:23" x14ac:dyDescent="0.25">
      <c r="A1322" s="1" t="s">
        <v>16434</v>
      </c>
      <c r="B1322" s="1" t="s">
        <v>16433</v>
      </c>
      <c r="C1322" s="1" t="s">
        <v>4501</v>
      </c>
      <c r="D1322" s="1" t="s">
        <v>4498</v>
      </c>
      <c r="E1322" s="1" t="s">
        <v>4499</v>
      </c>
      <c r="F1322" s="1" t="s">
        <v>15781</v>
      </c>
      <c r="G1322">
        <v>210074</v>
      </c>
      <c r="H1322">
        <v>45</v>
      </c>
      <c r="I1322" s="1" t="s">
        <v>11063</v>
      </c>
      <c r="J1322" s="11">
        <v>44729.706458333334</v>
      </c>
      <c r="K1322" s="1" t="s">
        <v>4500</v>
      </c>
      <c r="L1322" s="1">
        <v>0.6</v>
      </c>
      <c r="M1322" s="1">
        <v>0.78200000000000003</v>
      </c>
      <c r="N1322">
        <v>9</v>
      </c>
      <c r="O1322" s="1">
        <v>-3.0329999999999999</v>
      </c>
      <c r="P1322">
        <v>0</v>
      </c>
      <c r="Q1322" s="1">
        <v>0.187</v>
      </c>
      <c r="R1322" s="1">
        <v>0.16800000000000001</v>
      </c>
      <c r="S1322" s="1">
        <v>0</v>
      </c>
      <c r="T1322" s="1">
        <v>0.443</v>
      </c>
      <c r="U1322" s="1">
        <v>0.49399999999999999</v>
      </c>
      <c r="V1322" s="1">
        <v>149.87700000000001</v>
      </c>
      <c r="W1322">
        <v>4</v>
      </c>
    </row>
    <row r="1323" spans="1:23" x14ac:dyDescent="0.25">
      <c r="A1323" s="1" t="s">
        <v>16435</v>
      </c>
      <c r="B1323" s="1" t="s">
        <v>14054</v>
      </c>
      <c r="C1323" s="1" t="s">
        <v>2446</v>
      </c>
      <c r="D1323" s="1" t="s">
        <v>14055</v>
      </c>
      <c r="E1323" s="1" t="s">
        <v>2447</v>
      </c>
      <c r="F1323" s="1" t="s">
        <v>13822</v>
      </c>
      <c r="G1323">
        <v>223080</v>
      </c>
      <c r="H1323">
        <v>34</v>
      </c>
      <c r="I1323" s="1" t="s">
        <v>11063</v>
      </c>
      <c r="J1323" s="11">
        <v>44729.706458333334</v>
      </c>
      <c r="K1323" s="1" t="s">
        <v>2448</v>
      </c>
      <c r="L1323" s="1">
        <v>0.872</v>
      </c>
      <c r="M1323" s="1">
        <v>0.872</v>
      </c>
      <c r="N1323">
        <v>1</v>
      </c>
      <c r="O1323" s="1">
        <v>-6.3280000000000003</v>
      </c>
      <c r="P1323">
        <v>1</v>
      </c>
      <c r="Q1323" s="1">
        <v>0.13900000000000001</v>
      </c>
      <c r="R1323" s="1">
        <v>0.47599999999999998</v>
      </c>
      <c r="S1323" s="1">
        <v>0.112</v>
      </c>
      <c r="T1323" s="1">
        <v>0.54300000000000004</v>
      </c>
      <c r="U1323" s="1">
        <v>0.80900000000000005</v>
      </c>
      <c r="V1323" s="1">
        <v>116.94799999999999</v>
      </c>
      <c r="W1323">
        <v>4</v>
      </c>
    </row>
    <row r="1324" spans="1:23" x14ac:dyDescent="0.25">
      <c r="A1324" s="1" t="s">
        <v>16436</v>
      </c>
      <c r="B1324" s="1" t="s">
        <v>16437</v>
      </c>
      <c r="C1324" s="1" t="s">
        <v>4502</v>
      </c>
      <c r="D1324" s="1" t="s">
        <v>11721</v>
      </c>
      <c r="E1324" s="1" t="s">
        <v>4503</v>
      </c>
      <c r="F1324" s="1" t="s">
        <v>11722</v>
      </c>
      <c r="G1324">
        <v>248000</v>
      </c>
      <c r="H1324">
        <v>43</v>
      </c>
      <c r="I1324" s="1" t="s">
        <v>11063</v>
      </c>
      <c r="J1324" s="11">
        <v>44729.706458333334</v>
      </c>
      <c r="K1324" s="1" t="s">
        <v>4504</v>
      </c>
      <c r="L1324" s="1">
        <v>0.35799999999999998</v>
      </c>
      <c r="M1324" s="1">
        <v>0.89600000000000002</v>
      </c>
      <c r="N1324">
        <v>4</v>
      </c>
      <c r="O1324" s="1">
        <v>-4.5469999999999997</v>
      </c>
      <c r="P1324">
        <v>0</v>
      </c>
      <c r="Q1324" s="1">
        <v>0.159</v>
      </c>
      <c r="R1324" s="1">
        <v>0.83</v>
      </c>
      <c r="S1324" s="1">
        <v>0.14000000000000001</v>
      </c>
      <c r="T1324" s="1">
        <v>0.372</v>
      </c>
      <c r="U1324" s="1">
        <v>0.1</v>
      </c>
      <c r="V1324" s="1">
        <v>75.191999999999993</v>
      </c>
      <c r="W1324">
        <v>4</v>
      </c>
    </row>
    <row r="1325" spans="1:23" x14ac:dyDescent="0.25">
      <c r="A1325" s="1" t="s">
        <v>16438</v>
      </c>
      <c r="B1325" s="1" t="s">
        <v>16439</v>
      </c>
      <c r="C1325" s="1" t="s">
        <v>4505</v>
      </c>
      <c r="D1325" s="1" t="s">
        <v>16440</v>
      </c>
      <c r="E1325" s="1" t="s">
        <v>4506</v>
      </c>
      <c r="F1325" s="1" t="s">
        <v>11677</v>
      </c>
      <c r="G1325">
        <v>190952</v>
      </c>
      <c r="H1325">
        <v>46</v>
      </c>
      <c r="I1325" s="1" t="s">
        <v>11063</v>
      </c>
      <c r="J1325" s="11">
        <v>44729.706458333334</v>
      </c>
      <c r="K1325" s="1" t="s">
        <v>2984</v>
      </c>
      <c r="L1325" s="1">
        <v>0.67200000000000004</v>
      </c>
      <c r="M1325" s="1">
        <v>0.75900000000000001</v>
      </c>
      <c r="N1325">
        <v>6</v>
      </c>
      <c r="O1325" s="1">
        <v>-6.92</v>
      </c>
      <c r="P1325">
        <v>0</v>
      </c>
      <c r="Q1325" s="1">
        <v>0.39400000000000002</v>
      </c>
      <c r="R1325" s="1">
        <v>0.94699999999999995</v>
      </c>
      <c r="S1325" s="1">
        <v>0</v>
      </c>
      <c r="T1325" s="1">
        <v>0.14199999999999999</v>
      </c>
      <c r="U1325" s="1">
        <v>0.624</v>
      </c>
      <c r="V1325" s="1">
        <v>125.989</v>
      </c>
      <c r="W1325">
        <v>4</v>
      </c>
    </row>
    <row r="1326" spans="1:23" x14ac:dyDescent="0.25">
      <c r="A1326" s="1" t="s">
        <v>16441</v>
      </c>
      <c r="B1326" s="1" t="s">
        <v>16442</v>
      </c>
      <c r="C1326" s="1" t="s">
        <v>4507</v>
      </c>
      <c r="D1326" s="1" t="s">
        <v>4507</v>
      </c>
      <c r="E1326" s="1" t="s">
        <v>4508</v>
      </c>
      <c r="F1326" s="1" t="s">
        <v>14767</v>
      </c>
      <c r="G1326">
        <v>202148</v>
      </c>
      <c r="H1326">
        <v>41</v>
      </c>
      <c r="I1326" s="1" t="s">
        <v>11063</v>
      </c>
      <c r="J1326" s="11">
        <v>44729.706458333334</v>
      </c>
      <c r="K1326" s="1" t="s">
        <v>4509</v>
      </c>
      <c r="L1326" s="1">
        <v>0.61199999999999999</v>
      </c>
      <c r="M1326" s="1">
        <v>0.88800000000000001</v>
      </c>
      <c r="N1326">
        <v>3</v>
      </c>
      <c r="O1326" s="1">
        <v>-3.7959999999999998</v>
      </c>
      <c r="P1326">
        <v>1</v>
      </c>
      <c r="Q1326" s="1">
        <v>0.60299999999999998</v>
      </c>
      <c r="R1326" s="1">
        <v>0.374</v>
      </c>
      <c r="S1326" s="1">
        <v>0.69499999999999995</v>
      </c>
      <c r="T1326" s="1">
        <v>0.123</v>
      </c>
      <c r="U1326" s="1">
        <v>0.189</v>
      </c>
      <c r="V1326" s="1">
        <v>127.92</v>
      </c>
      <c r="W1326">
        <v>4</v>
      </c>
    </row>
    <row r="1327" spans="1:23" x14ac:dyDescent="0.25">
      <c r="A1327" s="1" t="s">
        <v>16443</v>
      </c>
      <c r="B1327" s="1" t="s">
        <v>16444</v>
      </c>
      <c r="C1327" s="1" t="s">
        <v>4510</v>
      </c>
      <c r="D1327" s="1" t="s">
        <v>16445</v>
      </c>
      <c r="E1327" s="1" t="s">
        <v>4511</v>
      </c>
      <c r="F1327" s="1" t="s">
        <v>11319</v>
      </c>
      <c r="G1327">
        <v>279997</v>
      </c>
      <c r="H1327">
        <v>30</v>
      </c>
      <c r="I1327" s="1" t="s">
        <v>11063</v>
      </c>
      <c r="J1327" s="11">
        <v>44729.706458333334</v>
      </c>
      <c r="K1327" s="1" t="s">
        <v>4512</v>
      </c>
      <c r="L1327" s="1">
        <v>0.503</v>
      </c>
      <c r="M1327" s="1">
        <v>0.875</v>
      </c>
      <c r="N1327">
        <v>7</v>
      </c>
      <c r="O1327" s="1">
        <v>-4.391</v>
      </c>
      <c r="P1327">
        <v>0</v>
      </c>
      <c r="Q1327" s="1">
        <v>0.68400000000000005</v>
      </c>
      <c r="R1327" s="1">
        <v>0.68899999999999995</v>
      </c>
      <c r="S1327" s="1">
        <v>0.74</v>
      </c>
      <c r="T1327" s="1">
        <v>0.10100000000000001</v>
      </c>
      <c r="U1327" s="1">
        <v>0.18</v>
      </c>
      <c r="V1327" s="1">
        <v>147.98699999999999</v>
      </c>
      <c r="W1327">
        <v>4</v>
      </c>
    </row>
    <row r="1328" spans="1:23" x14ac:dyDescent="0.25">
      <c r="A1328" s="1" t="s">
        <v>16446</v>
      </c>
      <c r="B1328" s="1" t="s">
        <v>16447</v>
      </c>
      <c r="C1328" s="1" t="s">
        <v>4513</v>
      </c>
      <c r="D1328" s="1" t="s">
        <v>4513</v>
      </c>
      <c r="E1328" s="1" t="s">
        <v>4514</v>
      </c>
      <c r="F1328" s="1" t="s">
        <v>16448</v>
      </c>
      <c r="G1328">
        <v>196158</v>
      </c>
      <c r="H1328">
        <v>28</v>
      </c>
      <c r="I1328" s="1" t="s">
        <v>11063</v>
      </c>
      <c r="J1328" s="11">
        <v>44729.706458333334</v>
      </c>
      <c r="K1328" s="1" t="s">
        <v>3873</v>
      </c>
      <c r="L1328" s="1">
        <v>0.34499999999999997</v>
      </c>
      <c r="M1328" s="1">
        <v>0.71799999999999997</v>
      </c>
      <c r="N1328">
        <v>3</v>
      </c>
      <c r="O1328" s="1">
        <v>-5.5259999999999998</v>
      </c>
      <c r="P1328">
        <v>1</v>
      </c>
      <c r="Q1328" s="1">
        <v>0.71499999999999997</v>
      </c>
      <c r="R1328" s="1">
        <v>0.36699999999999999</v>
      </c>
      <c r="S1328" s="1">
        <v>0.628</v>
      </c>
      <c r="T1328" s="1">
        <v>0.13300000000000001</v>
      </c>
      <c r="U1328" s="1">
        <v>0.5</v>
      </c>
      <c r="V1328" s="1">
        <v>87.986000000000004</v>
      </c>
      <c r="W1328">
        <v>1</v>
      </c>
    </row>
    <row r="1329" spans="1:23" x14ac:dyDescent="0.25">
      <c r="A1329" s="1" t="s">
        <v>16449</v>
      </c>
      <c r="B1329" s="1" t="s">
        <v>16450</v>
      </c>
      <c r="C1329" s="1" t="s">
        <v>4515</v>
      </c>
      <c r="D1329" s="1" t="s">
        <v>4515</v>
      </c>
      <c r="E1329" s="1" t="s">
        <v>4516</v>
      </c>
      <c r="F1329" s="1" t="s">
        <v>16451</v>
      </c>
      <c r="G1329">
        <v>284551</v>
      </c>
      <c r="H1329">
        <v>30</v>
      </c>
      <c r="I1329" s="1" t="s">
        <v>11063</v>
      </c>
      <c r="J1329" s="11">
        <v>44729.706458333334</v>
      </c>
      <c r="K1329" s="1" t="s">
        <v>4517</v>
      </c>
      <c r="L1329" s="1">
        <v>0.57499999999999996</v>
      </c>
      <c r="M1329" s="1">
        <v>0.85399999999999998</v>
      </c>
      <c r="N1329">
        <v>8</v>
      </c>
      <c r="O1329" s="1">
        <v>-5.431</v>
      </c>
      <c r="P1329">
        <v>1</v>
      </c>
      <c r="Q1329" s="1">
        <v>0.502</v>
      </c>
      <c r="R1329" s="1">
        <v>0.13700000000000001</v>
      </c>
      <c r="S1329" s="1">
        <v>0.16300000000000001</v>
      </c>
      <c r="T1329" s="1">
        <v>0.33600000000000002</v>
      </c>
      <c r="U1329" s="1">
        <v>0.40699999999999997</v>
      </c>
      <c r="V1329" s="1">
        <v>125.041</v>
      </c>
      <c r="W1329">
        <v>4</v>
      </c>
    </row>
    <row r="1330" spans="1:23" x14ac:dyDescent="0.25">
      <c r="A1330" s="1" t="s">
        <v>16452</v>
      </c>
      <c r="B1330" s="1" t="s">
        <v>16453</v>
      </c>
      <c r="C1330" s="1" t="s">
        <v>4518</v>
      </c>
      <c r="D1330" s="1" t="s">
        <v>4518</v>
      </c>
      <c r="E1330" s="1" t="s">
        <v>4519</v>
      </c>
      <c r="F1330" s="1" t="s">
        <v>16454</v>
      </c>
      <c r="G1330">
        <v>190689</v>
      </c>
      <c r="H1330">
        <v>36</v>
      </c>
      <c r="I1330" s="1" t="s">
        <v>11063</v>
      </c>
      <c r="J1330" s="11">
        <v>44729.706458333334</v>
      </c>
      <c r="K1330" s="1" t="s">
        <v>3784</v>
      </c>
      <c r="L1330" s="1">
        <v>0.52700000000000002</v>
      </c>
      <c r="M1330" s="1">
        <v>0.89900000000000002</v>
      </c>
      <c r="N1330">
        <v>6</v>
      </c>
      <c r="O1330" s="1">
        <v>-5.0380000000000003</v>
      </c>
      <c r="P1330">
        <v>0</v>
      </c>
      <c r="Q1330" s="1">
        <v>0.73099999999999998</v>
      </c>
      <c r="R1330" s="1">
        <v>0.16800000000000001</v>
      </c>
      <c r="S1330" s="1">
        <v>0.29599999999999999</v>
      </c>
      <c r="T1330" s="1">
        <v>0.77300000000000002</v>
      </c>
      <c r="U1330" s="1">
        <v>0.314</v>
      </c>
      <c r="V1330" s="1">
        <v>146.048</v>
      </c>
      <c r="W1330">
        <v>4</v>
      </c>
    </row>
    <row r="1331" spans="1:23" x14ac:dyDescent="0.25">
      <c r="A1331" s="1" t="s">
        <v>16455</v>
      </c>
      <c r="B1331" s="1" t="s">
        <v>16456</v>
      </c>
      <c r="C1331" s="1" t="s">
        <v>4520</v>
      </c>
      <c r="D1331" s="1" t="s">
        <v>4520</v>
      </c>
      <c r="E1331" s="1" t="s">
        <v>4521</v>
      </c>
      <c r="F1331" s="1" t="s">
        <v>15168</v>
      </c>
      <c r="G1331">
        <v>211304</v>
      </c>
      <c r="H1331">
        <v>43</v>
      </c>
      <c r="I1331" s="1" t="s">
        <v>11063</v>
      </c>
      <c r="J1331" s="11">
        <v>44729.706458333334</v>
      </c>
      <c r="K1331" s="1" t="s">
        <v>50</v>
      </c>
      <c r="L1331" s="1">
        <v>0.59799999999999998</v>
      </c>
      <c r="M1331" s="1">
        <v>0.66500000000000004</v>
      </c>
      <c r="N1331">
        <v>6</v>
      </c>
      <c r="O1331" s="1">
        <v>-4.399</v>
      </c>
      <c r="P1331">
        <v>0</v>
      </c>
      <c r="Q1331" s="1">
        <v>0.90800000000000003</v>
      </c>
      <c r="R1331" s="1">
        <v>0.95799999999999996</v>
      </c>
      <c r="S1331" s="1">
        <v>0.13</v>
      </c>
      <c r="T1331" s="1">
        <v>0.106</v>
      </c>
      <c r="U1331" s="1">
        <v>0.183</v>
      </c>
      <c r="V1331" s="1">
        <v>92.072000000000003</v>
      </c>
      <c r="W1331">
        <v>4</v>
      </c>
    </row>
    <row r="1332" spans="1:23" x14ac:dyDescent="0.25">
      <c r="A1332" s="1" t="s">
        <v>16457</v>
      </c>
      <c r="B1332" s="1" t="s">
        <v>16458</v>
      </c>
      <c r="C1332" s="1" t="s">
        <v>4522</v>
      </c>
      <c r="D1332" s="1" t="s">
        <v>4522</v>
      </c>
      <c r="E1332" s="1" t="s">
        <v>4523</v>
      </c>
      <c r="F1332" s="1" t="s">
        <v>16459</v>
      </c>
      <c r="G1332">
        <v>234130</v>
      </c>
      <c r="H1332">
        <v>41</v>
      </c>
      <c r="I1332" s="1" t="s">
        <v>11063</v>
      </c>
      <c r="J1332" s="11">
        <v>44729.706458333334</v>
      </c>
      <c r="K1332" s="1" t="s">
        <v>2541</v>
      </c>
      <c r="L1332" s="1">
        <v>0.50900000000000001</v>
      </c>
      <c r="M1332" s="1">
        <v>0.50900000000000001</v>
      </c>
      <c r="N1332">
        <v>4</v>
      </c>
      <c r="O1332" s="1">
        <v>-10.090999999999999</v>
      </c>
      <c r="P1332">
        <v>0</v>
      </c>
      <c r="Q1332" s="1">
        <v>0.34499999999999997</v>
      </c>
      <c r="R1332" s="1">
        <v>0.17699999999999999</v>
      </c>
      <c r="S1332" s="1">
        <v>0.47899999999999998</v>
      </c>
      <c r="T1332" s="1">
        <v>0.191</v>
      </c>
      <c r="U1332" s="1">
        <v>0.72199999999999998</v>
      </c>
      <c r="V1332" s="1">
        <v>91.995000000000005</v>
      </c>
      <c r="W1332">
        <v>4</v>
      </c>
    </row>
    <row r="1333" spans="1:23" x14ac:dyDescent="0.25">
      <c r="A1333" s="1" t="s">
        <v>16460</v>
      </c>
      <c r="B1333" s="1" t="s">
        <v>16461</v>
      </c>
      <c r="C1333" s="1" t="s">
        <v>4524</v>
      </c>
      <c r="D1333" s="1" t="s">
        <v>16462</v>
      </c>
      <c r="E1333" s="1" t="s">
        <v>4525</v>
      </c>
      <c r="F1333" s="1" t="s">
        <v>16463</v>
      </c>
      <c r="G1333">
        <v>216000</v>
      </c>
      <c r="H1333">
        <v>24</v>
      </c>
      <c r="I1333" s="1" t="s">
        <v>11063</v>
      </c>
      <c r="J1333" s="11">
        <v>44729.706458333334</v>
      </c>
      <c r="K1333" s="1" t="s">
        <v>3046</v>
      </c>
      <c r="L1333" s="1">
        <v>0.52800000000000002</v>
      </c>
      <c r="M1333" s="1">
        <v>0.874</v>
      </c>
      <c r="N1333">
        <v>2</v>
      </c>
      <c r="O1333" s="1">
        <v>-4.4660000000000002</v>
      </c>
      <c r="P1333">
        <v>1</v>
      </c>
      <c r="Q1333" s="1">
        <v>0.67300000000000004</v>
      </c>
      <c r="R1333" s="1">
        <v>0.217</v>
      </c>
      <c r="S1333" s="1">
        <v>0.70799999999999996</v>
      </c>
      <c r="T1333" s="1">
        <v>0.23100000000000001</v>
      </c>
      <c r="U1333" s="1">
        <v>0.34200000000000003</v>
      </c>
      <c r="V1333" s="1">
        <v>139.988</v>
      </c>
      <c r="W1333">
        <v>4</v>
      </c>
    </row>
    <row r="1334" spans="1:23" x14ac:dyDescent="0.25">
      <c r="A1334" s="1" t="s">
        <v>16464</v>
      </c>
      <c r="B1334" s="1" t="s">
        <v>16465</v>
      </c>
      <c r="C1334" s="1" t="s">
        <v>4526</v>
      </c>
      <c r="D1334" s="1" t="s">
        <v>2145</v>
      </c>
      <c r="E1334" s="1" t="s">
        <v>4527</v>
      </c>
      <c r="F1334" s="1" t="s">
        <v>13692</v>
      </c>
      <c r="G1334">
        <v>242944</v>
      </c>
      <c r="H1334">
        <v>31</v>
      </c>
      <c r="I1334" s="1" t="s">
        <v>11063</v>
      </c>
      <c r="J1334" s="11">
        <v>44729.706458333334</v>
      </c>
      <c r="K1334" s="1" t="s">
        <v>2147</v>
      </c>
      <c r="L1334" s="1">
        <v>0.47</v>
      </c>
      <c r="M1334" s="1">
        <v>0.84599999999999997</v>
      </c>
      <c r="N1334">
        <v>11</v>
      </c>
      <c r="O1334" s="1">
        <v>-4.5439999999999996</v>
      </c>
      <c r="P1334">
        <v>0</v>
      </c>
      <c r="Q1334" s="1">
        <v>0.63700000000000001</v>
      </c>
      <c r="R1334" s="1">
        <v>0.66300000000000003</v>
      </c>
      <c r="S1334" s="1">
        <v>0.23799999999999999</v>
      </c>
      <c r="T1334" s="1">
        <v>0.19900000000000001</v>
      </c>
      <c r="U1334" s="1">
        <v>0.50800000000000001</v>
      </c>
      <c r="V1334" s="1">
        <v>162.79499999999999</v>
      </c>
      <c r="W1334">
        <v>4</v>
      </c>
    </row>
    <row r="1335" spans="1:23" x14ac:dyDescent="0.25">
      <c r="A1335" s="1" t="s">
        <v>16466</v>
      </c>
      <c r="B1335" s="1" t="s">
        <v>16467</v>
      </c>
      <c r="C1335" s="1" t="s">
        <v>4528</v>
      </c>
      <c r="D1335" s="1" t="s">
        <v>4528</v>
      </c>
      <c r="E1335" s="1" t="s">
        <v>4529</v>
      </c>
      <c r="F1335" s="1" t="s">
        <v>15304</v>
      </c>
      <c r="G1335">
        <v>217361</v>
      </c>
      <c r="H1335">
        <v>41</v>
      </c>
      <c r="I1335" s="1" t="s">
        <v>11063</v>
      </c>
      <c r="J1335" s="11">
        <v>44729.706458333334</v>
      </c>
      <c r="K1335" s="1" t="s">
        <v>1053</v>
      </c>
      <c r="L1335" s="1">
        <v>0.41399999999999998</v>
      </c>
      <c r="M1335" s="1">
        <v>0.64100000000000001</v>
      </c>
      <c r="N1335">
        <v>4</v>
      </c>
      <c r="O1335" s="1">
        <v>-2.8119999999999998</v>
      </c>
      <c r="P1335">
        <v>0</v>
      </c>
      <c r="Q1335" s="1">
        <v>0.186</v>
      </c>
      <c r="R1335" s="1">
        <v>0.61499999999999999</v>
      </c>
      <c r="S1335" s="1">
        <v>0</v>
      </c>
      <c r="T1335" s="1">
        <v>0.98599999999999999</v>
      </c>
      <c r="U1335" s="1">
        <v>0.55200000000000005</v>
      </c>
      <c r="V1335" s="1">
        <v>79.194000000000003</v>
      </c>
      <c r="W1335">
        <v>4</v>
      </c>
    </row>
    <row r="1336" spans="1:23" x14ac:dyDescent="0.25">
      <c r="A1336" s="1" t="s">
        <v>16468</v>
      </c>
      <c r="B1336" s="1" t="s">
        <v>14891</v>
      </c>
      <c r="C1336" s="1" t="s">
        <v>4530</v>
      </c>
      <c r="D1336" s="1" t="s">
        <v>4530</v>
      </c>
      <c r="E1336" s="1" t="s">
        <v>3171</v>
      </c>
      <c r="F1336" s="1" t="s">
        <v>13644</v>
      </c>
      <c r="G1336">
        <v>227833</v>
      </c>
      <c r="H1336">
        <v>30</v>
      </c>
      <c r="I1336" s="1" t="s">
        <v>11063</v>
      </c>
      <c r="J1336" s="11">
        <v>44729.706458333334</v>
      </c>
      <c r="K1336" s="1" t="s">
        <v>3172</v>
      </c>
      <c r="L1336" s="1">
        <v>0.49099999999999999</v>
      </c>
      <c r="M1336" s="1">
        <v>0.69499999999999995</v>
      </c>
      <c r="N1336">
        <v>2</v>
      </c>
      <c r="O1336" s="1">
        <v>-5.1050000000000004</v>
      </c>
      <c r="P1336">
        <v>0</v>
      </c>
      <c r="Q1336" s="1">
        <v>0.92200000000000004</v>
      </c>
      <c r="R1336" s="1">
        <v>0.29599999999999999</v>
      </c>
      <c r="S1336" s="1">
        <v>0.30299999999999999</v>
      </c>
      <c r="T1336" s="1">
        <v>0.38200000000000001</v>
      </c>
      <c r="U1336" s="1">
        <v>0.61199999999999999</v>
      </c>
      <c r="V1336" s="1">
        <v>180.005</v>
      </c>
      <c r="W1336">
        <v>4</v>
      </c>
    </row>
    <row r="1337" spans="1:23" x14ac:dyDescent="0.25">
      <c r="A1337" s="1" t="s">
        <v>16469</v>
      </c>
      <c r="B1337" s="1" t="s">
        <v>16470</v>
      </c>
      <c r="C1337" s="1" t="s">
        <v>4531</v>
      </c>
      <c r="D1337" s="1" t="s">
        <v>4531</v>
      </c>
      <c r="E1337" s="1" t="s">
        <v>4532</v>
      </c>
      <c r="F1337" s="1" t="s">
        <v>16471</v>
      </c>
      <c r="G1337">
        <v>229480</v>
      </c>
      <c r="H1337">
        <v>45</v>
      </c>
      <c r="I1337" s="1" t="s">
        <v>11063</v>
      </c>
      <c r="J1337" s="11">
        <v>44729.706458333334</v>
      </c>
      <c r="K1337" s="1" t="s">
        <v>50</v>
      </c>
      <c r="L1337" s="1">
        <v>0.80900000000000005</v>
      </c>
      <c r="M1337" s="1">
        <v>0.79600000000000004</v>
      </c>
      <c r="N1337">
        <v>10</v>
      </c>
      <c r="O1337" s="1">
        <v>-7.5510000000000002</v>
      </c>
      <c r="P1337">
        <v>0</v>
      </c>
      <c r="Q1337" s="1">
        <v>0.73099999999999998</v>
      </c>
      <c r="R1337" s="1">
        <v>0.83399999999999996</v>
      </c>
      <c r="S1337" s="1">
        <v>0.61699999999999999</v>
      </c>
      <c r="T1337" s="1">
        <v>0.48</v>
      </c>
      <c r="U1337" s="1">
        <v>0.218</v>
      </c>
      <c r="V1337" s="1">
        <v>124.012</v>
      </c>
      <c r="W1337">
        <v>4</v>
      </c>
    </row>
    <row r="1338" spans="1:23" x14ac:dyDescent="0.25">
      <c r="A1338" s="1" t="s">
        <v>16472</v>
      </c>
      <c r="B1338" s="1" t="s">
        <v>16473</v>
      </c>
      <c r="C1338" s="1" t="s">
        <v>4533</v>
      </c>
      <c r="D1338" s="1" t="s">
        <v>4533</v>
      </c>
      <c r="E1338" s="1" t="s">
        <v>4534</v>
      </c>
      <c r="F1338" s="1" t="s">
        <v>11647</v>
      </c>
      <c r="G1338">
        <v>225542</v>
      </c>
      <c r="H1338">
        <v>31</v>
      </c>
      <c r="I1338" s="1" t="s">
        <v>11063</v>
      </c>
      <c r="J1338" s="11">
        <v>44729.706458333334</v>
      </c>
      <c r="K1338" s="1" t="s">
        <v>50</v>
      </c>
      <c r="L1338" s="1">
        <v>0.41599999999999998</v>
      </c>
      <c r="M1338" s="1">
        <v>0.77800000000000002</v>
      </c>
      <c r="N1338">
        <v>0</v>
      </c>
      <c r="O1338" s="1">
        <v>-4.907</v>
      </c>
      <c r="P1338">
        <v>0</v>
      </c>
      <c r="Q1338" s="1">
        <v>0.46700000000000003</v>
      </c>
      <c r="R1338" s="1">
        <v>0.59699999999999998</v>
      </c>
      <c r="S1338" s="1">
        <v>0.71299999999999997</v>
      </c>
      <c r="T1338" s="1">
        <v>0.12</v>
      </c>
      <c r="U1338" s="1">
        <v>0.17599999999999999</v>
      </c>
      <c r="V1338" s="1">
        <v>165.97499999999999</v>
      </c>
      <c r="W1338">
        <v>4</v>
      </c>
    </row>
    <row r="1339" spans="1:23" x14ac:dyDescent="0.25">
      <c r="A1339" s="1" t="s">
        <v>16474</v>
      </c>
      <c r="B1339" s="1" t="s">
        <v>16475</v>
      </c>
      <c r="C1339" s="1" t="s">
        <v>4535</v>
      </c>
      <c r="D1339" s="1" t="s">
        <v>16476</v>
      </c>
      <c r="E1339" s="1" t="s">
        <v>4536</v>
      </c>
      <c r="F1339" s="1" t="s">
        <v>16477</v>
      </c>
      <c r="G1339">
        <v>186000</v>
      </c>
      <c r="H1339">
        <v>49</v>
      </c>
      <c r="I1339" s="1" t="s">
        <v>11063</v>
      </c>
      <c r="J1339" s="11">
        <v>44729.706458333334</v>
      </c>
      <c r="K1339" s="1" t="s">
        <v>4537</v>
      </c>
      <c r="L1339" s="1">
        <v>0.48499999999999999</v>
      </c>
      <c r="M1339" s="1">
        <v>0.84499999999999997</v>
      </c>
      <c r="N1339">
        <v>1</v>
      </c>
      <c r="O1339" s="1">
        <v>-4.6790000000000003</v>
      </c>
      <c r="P1339">
        <v>0</v>
      </c>
      <c r="Q1339" s="1">
        <v>0.193</v>
      </c>
      <c r="R1339" s="1">
        <v>0.246</v>
      </c>
      <c r="S1339" s="1">
        <v>0.93400000000000005</v>
      </c>
      <c r="T1339" s="1">
        <v>0.27500000000000002</v>
      </c>
      <c r="U1339" s="1">
        <v>0.74099999999999999</v>
      </c>
      <c r="V1339" s="1">
        <v>160.083</v>
      </c>
      <c r="W1339">
        <v>4</v>
      </c>
    </row>
    <row r="1340" spans="1:23" x14ac:dyDescent="0.25">
      <c r="A1340" s="1" t="s">
        <v>16478</v>
      </c>
      <c r="B1340" s="1" t="s">
        <v>16479</v>
      </c>
      <c r="C1340" s="1" t="s">
        <v>4538</v>
      </c>
      <c r="D1340" s="1" t="s">
        <v>16480</v>
      </c>
      <c r="E1340" s="1" t="s">
        <v>4539</v>
      </c>
      <c r="F1340" s="1" t="s">
        <v>16481</v>
      </c>
      <c r="G1340">
        <v>218293</v>
      </c>
      <c r="H1340">
        <v>63</v>
      </c>
      <c r="I1340" s="1" t="s">
        <v>11063</v>
      </c>
      <c r="J1340" s="11">
        <v>44729.706458333334</v>
      </c>
      <c r="K1340" s="1" t="s">
        <v>4540</v>
      </c>
      <c r="L1340" s="1">
        <v>0.28699999999999998</v>
      </c>
      <c r="M1340" s="1">
        <v>0.29199999999999998</v>
      </c>
      <c r="N1340">
        <v>9</v>
      </c>
      <c r="O1340" s="1">
        <v>-19.285</v>
      </c>
      <c r="P1340">
        <v>1</v>
      </c>
      <c r="Q1340" s="1">
        <v>0.54100000000000004</v>
      </c>
      <c r="R1340" s="1">
        <v>0.96799999999999997</v>
      </c>
      <c r="S1340" s="1">
        <v>0.97799999999999998</v>
      </c>
      <c r="T1340" s="1">
        <v>0.9</v>
      </c>
      <c r="U1340" s="1">
        <v>0.34599999999999997</v>
      </c>
      <c r="V1340" s="1">
        <v>145.703</v>
      </c>
      <c r="W1340">
        <v>4</v>
      </c>
    </row>
    <row r="1341" spans="1:23" x14ac:dyDescent="0.25">
      <c r="A1341" s="1" t="s">
        <v>16482</v>
      </c>
      <c r="B1341" s="1" t="s">
        <v>14091</v>
      </c>
      <c r="C1341" s="1" t="s">
        <v>4541</v>
      </c>
      <c r="D1341" s="1" t="s">
        <v>4541</v>
      </c>
      <c r="E1341" s="1" t="s">
        <v>2475</v>
      </c>
      <c r="F1341" s="1" t="s">
        <v>13922</v>
      </c>
      <c r="G1341">
        <v>224720</v>
      </c>
      <c r="H1341">
        <v>49</v>
      </c>
      <c r="I1341" s="1" t="s">
        <v>11063</v>
      </c>
      <c r="J1341" s="11">
        <v>44729.706458333334</v>
      </c>
      <c r="K1341" s="1" t="s">
        <v>2476</v>
      </c>
      <c r="L1341" s="1">
        <v>0.54500000000000004</v>
      </c>
      <c r="M1341" s="1">
        <v>0.752</v>
      </c>
      <c r="N1341">
        <v>2</v>
      </c>
      <c r="O1341" s="1">
        <v>-6.7450000000000001</v>
      </c>
      <c r="P1341">
        <v>1</v>
      </c>
      <c r="Q1341" s="1">
        <v>0.36199999999999999</v>
      </c>
      <c r="R1341" s="1">
        <v>0.72299999999999998</v>
      </c>
      <c r="S1341" s="1">
        <v>0.13600000000000001</v>
      </c>
      <c r="T1341" s="1">
        <v>0.13800000000000001</v>
      </c>
      <c r="U1341" s="1">
        <v>0.23200000000000001</v>
      </c>
      <c r="V1341" s="1">
        <v>132.03299999999999</v>
      </c>
      <c r="W1341">
        <v>4</v>
      </c>
    </row>
    <row r="1342" spans="1:23" x14ac:dyDescent="0.25">
      <c r="A1342" s="1" t="s">
        <v>16483</v>
      </c>
      <c r="B1342" s="1" t="s">
        <v>14091</v>
      </c>
      <c r="C1342" s="1" t="s">
        <v>4542</v>
      </c>
      <c r="D1342" s="1" t="s">
        <v>4541</v>
      </c>
      <c r="E1342" s="1" t="s">
        <v>2475</v>
      </c>
      <c r="F1342" s="1" t="s">
        <v>13922</v>
      </c>
      <c r="G1342">
        <v>230160</v>
      </c>
      <c r="H1342">
        <v>54</v>
      </c>
      <c r="I1342" s="1" t="s">
        <v>11063</v>
      </c>
      <c r="J1342" s="11">
        <v>44729.706458333334</v>
      </c>
      <c r="K1342" s="1" t="s">
        <v>2476</v>
      </c>
      <c r="L1342" s="1">
        <v>0.54200000000000004</v>
      </c>
      <c r="M1342" s="1">
        <v>0.81399999999999995</v>
      </c>
      <c r="N1342">
        <v>5</v>
      </c>
      <c r="O1342" s="1">
        <v>-4.7590000000000003</v>
      </c>
      <c r="P1342">
        <v>0</v>
      </c>
      <c r="Q1342" s="1">
        <v>0.38600000000000001</v>
      </c>
      <c r="R1342" s="1">
        <v>0.53200000000000003</v>
      </c>
      <c r="S1342" s="1">
        <v>0.48099999999999998</v>
      </c>
      <c r="T1342" s="1">
        <v>0.85199999999999998</v>
      </c>
      <c r="U1342" s="1">
        <v>0.52600000000000002</v>
      </c>
      <c r="V1342" s="1">
        <v>146.00200000000001</v>
      </c>
      <c r="W1342">
        <v>4</v>
      </c>
    </row>
    <row r="1343" spans="1:23" x14ac:dyDescent="0.25">
      <c r="A1343" s="1" t="s">
        <v>16484</v>
      </c>
      <c r="B1343" s="1" t="s">
        <v>14091</v>
      </c>
      <c r="C1343" s="1" t="s">
        <v>4543</v>
      </c>
      <c r="D1343" s="1" t="s">
        <v>16485</v>
      </c>
      <c r="E1343" s="1" t="s">
        <v>2475</v>
      </c>
      <c r="F1343" s="1" t="s">
        <v>16486</v>
      </c>
      <c r="G1343">
        <v>190000</v>
      </c>
      <c r="H1343">
        <v>43</v>
      </c>
      <c r="I1343" s="1" t="s">
        <v>11063</v>
      </c>
      <c r="J1343" s="11">
        <v>44729.706458333334</v>
      </c>
      <c r="K1343" s="1" t="s">
        <v>2476</v>
      </c>
      <c r="L1343" s="1">
        <v>0.64700000000000002</v>
      </c>
      <c r="M1343" s="1">
        <v>0.72499999999999998</v>
      </c>
      <c r="N1343">
        <v>8</v>
      </c>
      <c r="O1343" s="1">
        <v>-5.7169999999999996</v>
      </c>
      <c r="P1343">
        <v>1</v>
      </c>
      <c r="Q1343" s="1">
        <v>0.55300000000000005</v>
      </c>
      <c r="R1343" s="1">
        <v>0.2</v>
      </c>
      <c r="S1343" s="1">
        <v>0.83399999999999996</v>
      </c>
      <c r="T1343" s="1">
        <v>0.10299999999999999</v>
      </c>
      <c r="U1343" s="1">
        <v>0.46400000000000002</v>
      </c>
      <c r="V1343" s="1">
        <v>130.05199999999999</v>
      </c>
      <c r="W1343">
        <v>4</v>
      </c>
    </row>
    <row r="1344" spans="1:23" x14ac:dyDescent="0.25">
      <c r="A1344" s="1" t="s">
        <v>16487</v>
      </c>
      <c r="B1344" s="1" t="s">
        <v>14091</v>
      </c>
      <c r="C1344" s="1" t="s">
        <v>4544</v>
      </c>
      <c r="D1344" s="1" t="s">
        <v>4541</v>
      </c>
      <c r="E1344" s="1" t="s">
        <v>2475</v>
      </c>
      <c r="F1344" s="1" t="s">
        <v>13922</v>
      </c>
      <c r="G1344">
        <v>213266</v>
      </c>
      <c r="H1344">
        <v>70</v>
      </c>
      <c r="I1344" s="1" t="s">
        <v>11063</v>
      </c>
      <c r="J1344" s="11">
        <v>44729.706458333334</v>
      </c>
      <c r="K1344" s="1" t="s">
        <v>2476</v>
      </c>
      <c r="L1344" s="1">
        <v>0.50600000000000001</v>
      </c>
      <c r="M1344" s="1">
        <v>0.95899999999999996</v>
      </c>
      <c r="N1344">
        <v>5</v>
      </c>
      <c r="O1344" s="1">
        <v>-5.2640000000000002</v>
      </c>
      <c r="P1344">
        <v>0</v>
      </c>
      <c r="Q1344" s="1">
        <v>0.10199999999999999</v>
      </c>
      <c r="R1344" s="1">
        <v>0.84</v>
      </c>
      <c r="S1344" s="1">
        <v>0.65500000000000003</v>
      </c>
      <c r="T1344" s="1">
        <v>0.13500000000000001</v>
      </c>
      <c r="U1344" s="1">
        <v>0.34</v>
      </c>
      <c r="V1344" s="1">
        <v>133.99600000000001</v>
      </c>
      <c r="W1344">
        <v>4</v>
      </c>
    </row>
    <row r="1345" spans="1:23" x14ac:dyDescent="0.25">
      <c r="A1345" s="1" t="s">
        <v>16488</v>
      </c>
      <c r="B1345" s="1" t="s">
        <v>16489</v>
      </c>
      <c r="C1345" s="1" t="s">
        <v>4545</v>
      </c>
      <c r="D1345" s="1" t="s">
        <v>16490</v>
      </c>
      <c r="E1345" s="1" t="s">
        <v>4546</v>
      </c>
      <c r="F1345" s="1" t="s">
        <v>16192</v>
      </c>
      <c r="G1345">
        <v>162461</v>
      </c>
      <c r="H1345">
        <v>39</v>
      </c>
      <c r="I1345" s="1" t="s">
        <v>11063</v>
      </c>
      <c r="J1345" s="11">
        <v>44729.706458333334</v>
      </c>
      <c r="K1345" s="1" t="s">
        <v>4547</v>
      </c>
      <c r="L1345" s="1">
        <v>0.59099999999999997</v>
      </c>
      <c r="M1345" s="1">
        <v>0.93100000000000005</v>
      </c>
      <c r="N1345">
        <v>3</v>
      </c>
      <c r="O1345" s="1">
        <v>-2.867</v>
      </c>
      <c r="P1345">
        <v>1</v>
      </c>
      <c r="Q1345" s="1">
        <v>0.96699999999999997</v>
      </c>
      <c r="R1345" s="1">
        <v>0.76300000000000001</v>
      </c>
      <c r="S1345" s="1">
        <v>0.216</v>
      </c>
      <c r="T1345" s="1">
        <v>0.153</v>
      </c>
      <c r="U1345" s="1">
        <v>0.17</v>
      </c>
      <c r="V1345" s="1">
        <v>129.97499999999999</v>
      </c>
      <c r="W1345">
        <v>4</v>
      </c>
    </row>
    <row r="1346" spans="1:23" x14ac:dyDescent="0.25">
      <c r="A1346" s="1" t="s">
        <v>16491</v>
      </c>
      <c r="B1346" s="1" t="s">
        <v>16492</v>
      </c>
      <c r="C1346" s="1" t="s">
        <v>4548</v>
      </c>
      <c r="D1346" s="1" t="s">
        <v>4548</v>
      </c>
      <c r="E1346" s="1" t="s">
        <v>4549</v>
      </c>
      <c r="F1346" s="1" t="s">
        <v>16493</v>
      </c>
      <c r="G1346">
        <v>170962</v>
      </c>
      <c r="H1346">
        <v>30</v>
      </c>
      <c r="I1346" s="1" t="s">
        <v>11063</v>
      </c>
      <c r="J1346" s="11">
        <v>44729.706458333334</v>
      </c>
      <c r="K1346" s="1" t="s">
        <v>4550</v>
      </c>
      <c r="L1346" s="1">
        <v>0.78400000000000003</v>
      </c>
      <c r="M1346" s="1">
        <v>0.63500000000000001</v>
      </c>
      <c r="N1346">
        <v>6</v>
      </c>
      <c r="O1346" s="1">
        <v>-4.9349999999999996</v>
      </c>
      <c r="P1346">
        <v>0</v>
      </c>
      <c r="Q1346" s="1">
        <v>0.48099999999999998</v>
      </c>
      <c r="R1346" s="1">
        <v>0.153</v>
      </c>
      <c r="S1346" s="1">
        <v>0.23400000000000001</v>
      </c>
      <c r="T1346" s="1">
        <v>0.111</v>
      </c>
      <c r="U1346" s="1">
        <v>0.76800000000000002</v>
      </c>
      <c r="V1346" s="1">
        <v>125.989</v>
      </c>
      <c r="W1346">
        <v>4</v>
      </c>
    </row>
    <row r="1347" spans="1:23" x14ac:dyDescent="0.25">
      <c r="A1347" s="1" t="s">
        <v>16494</v>
      </c>
      <c r="B1347" s="1" t="s">
        <v>16495</v>
      </c>
      <c r="C1347" s="1" t="s">
        <v>4551</v>
      </c>
      <c r="D1347" s="1" t="s">
        <v>5012</v>
      </c>
      <c r="E1347" s="1" t="s">
        <v>4552</v>
      </c>
      <c r="F1347" s="1" t="s">
        <v>13789</v>
      </c>
      <c r="G1347">
        <v>257147</v>
      </c>
      <c r="H1347">
        <v>76</v>
      </c>
      <c r="I1347" s="1" t="s">
        <v>11063</v>
      </c>
      <c r="J1347" s="11">
        <v>44729.706458333334</v>
      </c>
      <c r="K1347" s="1" t="s">
        <v>4553</v>
      </c>
      <c r="L1347" s="1">
        <v>0.57899999999999996</v>
      </c>
      <c r="M1347" s="1">
        <v>0.60099999999999998</v>
      </c>
      <c r="N1347">
        <v>8</v>
      </c>
      <c r="O1347" s="1">
        <v>-10.492000000000001</v>
      </c>
      <c r="P1347">
        <v>1</v>
      </c>
      <c r="Q1347" s="1">
        <v>0.32200000000000001</v>
      </c>
      <c r="R1347" s="1">
        <v>0.67300000000000004</v>
      </c>
      <c r="S1347" s="1">
        <v>0.41399999999999998</v>
      </c>
      <c r="T1347" s="1">
        <v>0.77800000000000002</v>
      </c>
      <c r="U1347" s="1">
        <v>0.39200000000000002</v>
      </c>
      <c r="V1347" s="1">
        <v>140.01900000000001</v>
      </c>
      <c r="W1347">
        <v>4</v>
      </c>
    </row>
    <row r="1348" spans="1:23" x14ac:dyDescent="0.25">
      <c r="A1348" s="1" t="s">
        <v>16496</v>
      </c>
      <c r="B1348" s="1" t="s">
        <v>16497</v>
      </c>
      <c r="C1348" s="1" t="s">
        <v>4554</v>
      </c>
      <c r="D1348" s="1" t="s">
        <v>4554</v>
      </c>
      <c r="E1348" s="1" t="s">
        <v>4555</v>
      </c>
      <c r="F1348" s="1" t="s">
        <v>11395</v>
      </c>
      <c r="G1348">
        <v>212303</v>
      </c>
      <c r="H1348">
        <v>46</v>
      </c>
      <c r="I1348" s="1" t="s">
        <v>11063</v>
      </c>
      <c r="J1348" s="11">
        <v>44729.706458333334</v>
      </c>
      <c r="K1348" s="1" t="s">
        <v>4556</v>
      </c>
      <c r="L1348" s="1">
        <v>0.71799999999999997</v>
      </c>
      <c r="M1348" s="1">
        <v>0.78600000000000003</v>
      </c>
      <c r="N1348">
        <v>0</v>
      </c>
      <c r="O1348" s="1">
        <v>-4.1929999999999996</v>
      </c>
      <c r="P1348">
        <v>0</v>
      </c>
      <c r="Q1348" s="1">
        <v>0.47599999999999998</v>
      </c>
      <c r="R1348" s="1">
        <v>0.18099999999999999</v>
      </c>
      <c r="S1348" s="1">
        <v>0</v>
      </c>
      <c r="T1348" s="1">
        <v>0.106</v>
      </c>
      <c r="U1348" s="1">
        <v>0.75600000000000001</v>
      </c>
      <c r="V1348" s="1">
        <v>102.01900000000001</v>
      </c>
      <c r="W1348">
        <v>4</v>
      </c>
    </row>
    <row r="1349" spans="1:23" x14ac:dyDescent="0.25">
      <c r="A1349" s="1" t="s">
        <v>16498</v>
      </c>
      <c r="B1349" s="1" t="s">
        <v>16499</v>
      </c>
      <c r="C1349" s="1" t="s">
        <v>4557</v>
      </c>
      <c r="D1349" s="1" t="s">
        <v>4557</v>
      </c>
      <c r="E1349" s="1" t="s">
        <v>4558</v>
      </c>
      <c r="F1349" s="1" t="s">
        <v>15573</v>
      </c>
      <c r="G1349">
        <v>177900</v>
      </c>
      <c r="H1349">
        <v>41</v>
      </c>
      <c r="I1349" s="1" t="s">
        <v>11063</v>
      </c>
      <c r="J1349" s="11">
        <v>44729.706458333334</v>
      </c>
      <c r="K1349" s="1" t="s">
        <v>4559</v>
      </c>
      <c r="L1349" s="1">
        <v>0.76700000000000002</v>
      </c>
      <c r="M1349" s="1">
        <v>0.77400000000000002</v>
      </c>
      <c r="N1349">
        <v>9</v>
      </c>
      <c r="O1349" s="1">
        <v>-4.657</v>
      </c>
      <c r="P1349">
        <v>0</v>
      </c>
      <c r="Q1349" s="1">
        <v>0.83399999999999996</v>
      </c>
      <c r="R1349" s="1">
        <v>0.153</v>
      </c>
      <c r="S1349" s="1">
        <v>0.54200000000000004</v>
      </c>
      <c r="T1349" s="1">
        <v>0.28100000000000003</v>
      </c>
      <c r="U1349" s="1">
        <v>0.57599999999999996</v>
      </c>
      <c r="V1349" s="1">
        <v>100.026</v>
      </c>
      <c r="W1349">
        <v>4</v>
      </c>
    </row>
    <row r="1350" spans="1:23" x14ac:dyDescent="0.25">
      <c r="A1350" s="1" t="s">
        <v>16500</v>
      </c>
      <c r="B1350" s="1" t="s">
        <v>16501</v>
      </c>
      <c r="C1350" s="1" t="s">
        <v>4560</v>
      </c>
      <c r="D1350" s="1" t="s">
        <v>4560</v>
      </c>
      <c r="E1350" s="1" t="s">
        <v>4561</v>
      </c>
      <c r="F1350" s="1" t="s">
        <v>16502</v>
      </c>
      <c r="G1350">
        <v>276000</v>
      </c>
      <c r="H1350">
        <v>48</v>
      </c>
      <c r="I1350" s="1" t="s">
        <v>11063</v>
      </c>
      <c r="J1350" s="11">
        <v>44729.706458333334</v>
      </c>
      <c r="K1350" s="1" t="s">
        <v>4562</v>
      </c>
      <c r="L1350" s="1">
        <v>0.5</v>
      </c>
      <c r="M1350" s="1">
        <v>0.871</v>
      </c>
      <c r="N1350">
        <v>0</v>
      </c>
      <c r="O1350" s="1">
        <v>-3.9239999999999999</v>
      </c>
      <c r="P1350">
        <v>1</v>
      </c>
      <c r="Q1350" s="1">
        <v>0.55300000000000005</v>
      </c>
      <c r="R1350" s="1">
        <v>0.56499999999999995</v>
      </c>
      <c r="S1350" s="1">
        <v>0.114</v>
      </c>
      <c r="T1350" s="1">
        <v>0.32700000000000001</v>
      </c>
      <c r="U1350" s="1">
        <v>0.35699999999999998</v>
      </c>
      <c r="V1350" s="1">
        <v>87.509</v>
      </c>
      <c r="W1350">
        <v>4</v>
      </c>
    </row>
    <row r="1351" spans="1:23" x14ac:dyDescent="0.25">
      <c r="A1351" s="1" t="s">
        <v>16503</v>
      </c>
      <c r="B1351" s="1" t="s">
        <v>16504</v>
      </c>
      <c r="C1351" s="1" t="s">
        <v>4563</v>
      </c>
      <c r="D1351" s="1" t="s">
        <v>4563</v>
      </c>
      <c r="E1351" s="1" t="s">
        <v>4564</v>
      </c>
      <c r="F1351" s="1" t="s">
        <v>16505</v>
      </c>
      <c r="G1351">
        <v>250908</v>
      </c>
      <c r="H1351">
        <v>32</v>
      </c>
      <c r="I1351" s="1" t="s">
        <v>11063</v>
      </c>
      <c r="J1351" s="11">
        <v>44729.706458333334</v>
      </c>
      <c r="K1351" s="1" t="s">
        <v>4565</v>
      </c>
      <c r="L1351" s="1">
        <v>0.63900000000000001</v>
      </c>
      <c r="M1351" s="1">
        <v>0.72</v>
      </c>
      <c r="N1351">
        <v>2</v>
      </c>
      <c r="O1351" s="1">
        <v>-3.9780000000000002</v>
      </c>
      <c r="P1351">
        <v>0</v>
      </c>
      <c r="Q1351" s="1">
        <v>0.503</v>
      </c>
      <c r="R1351" s="1">
        <v>0.72899999999999998</v>
      </c>
      <c r="S1351" s="1">
        <v>0.35</v>
      </c>
      <c r="T1351" s="1">
        <v>0.10100000000000001</v>
      </c>
      <c r="U1351" s="1">
        <v>0.23599999999999999</v>
      </c>
      <c r="V1351" s="1">
        <v>110.036</v>
      </c>
      <c r="W1351">
        <v>4</v>
      </c>
    </row>
    <row r="1352" spans="1:23" x14ac:dyDescent="0.25">
      <c r="A1352" s="1" t="s">
        <v>16506</v>
      </c>
      <c r="B1352" s="1" t="s">
        <v>16507</v>
      </c>
      <c r="C1352" s="1" t="s">
        <v>4566</v>
      </c>
      <c r="D1352" s="1" t="s">
        <v>16508</v>
      </c>
      <c r="E1352" s="1" t="s">
        <v>4567</v>
      </c>
      <c r="F1352" s="1" t="s">
        <v>16509</v>
      </c>
      <c r="G1352">
        <v>206896</v>
      </c>
      <c r="H1352">
        <v>46</v>
      </c>
      <c r="I1352" s="1" t="s">
        <v>11063</v>
      </c>
      <c r="J1352" s="11">
        <v>44729.706458333334</v>
      </c>
      <c r="K1352" s="1" t="s">
        <v>4568</v>
      </c>
      <c r="L1352" s="1">
        <v>0.55700000000000005</v>
      </c>
      <c r="M1352" s="1">
        <v>0.86399999999999999</v>
      </c>
      <c r="N1352">
        <v>6</v>
      </c>
      <c r="O1352" s="1">
        <v>-5.9249999999999998</v>
      </c>
      <c r="P1352">
        <v>0</v>
      </c>
      <c r="Q1352" s="1">
        <v>0.93300000000000005</v>
      </c>
      <c r="R1352" s="1">
        <v>0.14399999999999999</v>
      </c>
      <c r="S1352" s="1">
        <v>0.67800000000000005</v>
      </c>
      <c r="T1352" s="1">
        <v>0.111</v>
      </c>
      <c r="U1352" s="1">
        <v>0.378</v>
      </c>
      <c r="V1352" s="1">
        <v>144.98699999999999</v>
      </c>
      <c r="W1352">
        <v>4</v>
      </c>
    </row>
    <row r="1353" spans="1:23" x14ac:dyDescent="0.25">
      <c r="A1353" s="1" t="s">
        <v>16510</v>
      </c>
      <c r="B1353" s="1" t="s">
        <v>16511</v>
      </c>
      <c r="C1353" s="1" t="s">
        <v>4569</v>
      </c>
      <c r="D1353" s="1" t="s">
        <v>16512</v>
      </c>
      <c r="E1353" s="1" t="s">
        <v>4570</v>
      </c>
      <c r="F1353" s="1" t="s">
        <v>16513</v>
      </c>
      <c r="G1353">
        <v>202401</v>
      </c>
      <c r="H1353">
        <v>39</v>
      </c>
      <c r="I1353" s="1" t="s">
        <v>11063</v>
      </c>
      <c r="J1353" s="11">
        <v>44729.706458333334</v>
      </c>
      <c r="K1353" s="1" t="s">
        <v>4571</v>
      </c>
      <c r="L1353" s="1">
        <v>0.67300000000000004</v>
      </c>
      <c r="M1353" s="1">
        <v>0.82199999999999995</v>
      </c>
      <c r="N1353">
        <v>4</v>
      </c>
      <c r="O1353" s="1">
        <v>-6.0030000000000001</v>
      </c>
      <c r="P1353">
        <v>0</v>
      </c>
      <c r="Q1353" s="1">
        <v>0.627</v>
      </c>
      <c r="R1353" s="1">
        <v>0.36799999999999999</v>
      </c>
      <c r="S1353" s="1">
        <v>0.121</v>
      </c>
      <c r="T1353" s="1">
        <v>0.314</v>
      </c>
      <c r="U1353" s="1">
        <v>0.114</v>
      </c>
      <c r="V1353" s="1">
        <v>150.02099999999999</v>
      </c>
      <c r="W1353">
        <v>4</v>
      </c>
    </row>
    <row r="1354" spans="1:23" x14ac:dyDescent="0.25">
      <c r="A1354" s="1" t="s">
        <v>16514</v>
      </c>
      <c r="B1354" s="1" t="s">
        <v>14733</v>
      </c>
      <c r="C1354" s="1" t="s">
        <v>4572</v>
      </c>
      <c r="D1354" s="1" t="s">
        <v>4572</v>
      </c>
      <c r="E1354" s="1" t="s">
        <v>3028</v>
      </c>
      <c r="F1354" s="1" t="s">
        <v>11689</v>
      </c>
      <c r="G1354">
        <v>207912</v>
      </c>
      <c r="H1354">
        <v>29</v>
      </c>
      <c r="I1354" s="1" t="s">
        <v>11063</v>
      </c>
      <c r="J1354" s="11">
        <v>44729.706458333334</v>
      </c>
      <c r="K1354" s="1" t="s">
        <v>2939</v>
      </c>
      <c r="L1354" s="1">
        <v>0.65</v>
      </c>
      <c r="M1354" s="1">
        <v>0.74299999999999999</v>
      </c>
      <c r="N1354">
        <v>11</v>
      </c>
      <c r="O1354" s="1">
        <v>-7.7009999999999996</v>
      </c>
      <c r="P1354">
        <v>1</v>
      </c>
      <c r="Q1354" s="1">
        <v>0.33600000000000002</v>
      </c>
      <c r="R1354" s="1">
        <v>0.121</v>
      </c>
      <c r="S1354" s="1">
        <v>0.183</v>
      </c>
      <c r="T1354" s="1">
        <v>0.13</v>
      </c>
      <c r="U1354" s="1">
        <v>0.34499999999999997</v>
      </c>
      <c r="V1354" s="1">
        <v>100.033</v>
      </c>
      <c r="W1354">
        <v>4</v>
      </c>
    </row>
    <row r="1355" spans="1:23" x14ac:dyDescent="0.25">
      <c r="A1355" s="1" t="s">
        <v>16515</v>
      </c>
      <c r="B1355" s="1" t="s">
        <v>13702</v>
      </c>
      <c r="C1355" s="1" t="s">
        <v>4573</v>
      </c>
      <c r="D1355" s="1" t="s">
        <v>4573</v>
      </c>
      <c r="E1355" s="1" t="s">
        <v>2155</v>
      </c>
      <c r="F1355" s="1" t="s">
        <v>11383</v>
      </c>
      <c r="G1355">
        <v>182400</v>
      </c>
      <c r="H1355">
        <v>55</v>
      </c>
      <c r="I1355" s="1" t="s">
        <v>11063</v>
      </c>
      <c r="J1355" s="11">
        <v>44729.706458333334</v>
      </c>
      <c r="K1355" s="1" t="s">
        <v>332</v>
      </c>
      <c r="L1355" s="1">
        <v>0.74199999999999999</v>
      </c>
      <c r="M1355" s="1">
        <v>0.59699999999999998</v>
      </c>
      <c r="N1355">
        <v>1</v>
      </c>
      <c r="O1355" s="1">
        <v>-9.4049999999999994</v>
      </c>
      <c r="P1355">
        <v>0</v>
      </c>
      <c r="Q1355" s="1">
        <v>0.307</v>
      </c>
      <c r="R1355" s="1">
        <v>0.29699999999999999</v>
      </c>
      <c r="S1355" s="1">
        <v>0.83599999999999997</v>
      </c>
      <c r="T1355" s="1">
        <v>0.114</v>
      </c>
      <c r="U1355" s="1">
        <v>0.121</v>
      </c>
      <c r="V1355" s="1">
        <v>100.056</v>
      </c>
      <c r="W1355">
        <v>4</v>
      </c>
    </row>
    <row r="1356" spans="1:23" x14ac:dyDescent="0.25">
      <c r="A1356" s="1" t="s">
        <v>16516</v>
      </c>
      <c r="B1356" s="1" t="s">
        <v>13702</v>
      </c>
      <c r="C1356" s="1" t="s">
        <v>3424</v>
      </c>
      <c r="D1356" s="1" t="s">
        <v>3424</v>
      </c>
      <c r="E1356" s="1" t="s">
        <v>2155</v>
      </c>
      <c r="F1356" s="1" t="s">
        <v>15441</v>
      </c>
      <c r="G1356">
        <v>161652</v>
      </c>
      <c r="H1356">
        <v>64</v>
      </c>
      <c r="I1356" s="1" t="s">
        <v>11063</v>
      </c>
      <c r="J1356" s="11">
        <v>44729.706458333334</v>
      </c>
      <c r="K1356" s="1" t="s">
        <v>332</v>
      </c>
      <c r="L1356" s="1">
        <v>0.72</v>
      </c>
      <c r="M1356" s="1">
        <v>0.65600000000000003</v>
      </c>
      <c r="N1356">
        <v>0</v>
      </c>
      <c r="O1356" s="1">
        <v>-7.9939999999999998</v>
      </c>
      <c r="P1356">
        <v>0</v>
      </c>
      <c r="Q1356" s="1">
        <v>0.13700000000000001</v>
      </c>
      <c r="R1356" s="1">
        <v>0.17</v>
      </c>
      <c r="S1356" s="1">
        <v>0.29499999999999998</v>
      </c>
      <c r="T1356" s="1">
        <v>0.52700000000000002</v>
      </c>
      <c r="U1356" s="1">
        <v>0.39800000000000002</v>
      </c>
      <c r="V1356" s="1">
        <v>121.005</v>
      </c>
      <c r="W1356">
        <v>4</v>
      </c>
    </row>
    <row r="1357" spans="1:23" x14ac:dyDescent="0.25">
      <c r="A1357" s="1" t="s">
        <v>16517</v>
      </c>
      <c r="B1357" s="1" t="s">
        <v>16518</v>
      </c>
      <c r="C1357" s="1" t="s">
        <v>4574</v>
      </c>
      <c r="D1357" s="1" t="s">
        <v>4574</v>
      </c>
      <c r="E1357" s="1" t="s">
        <v>4575</v>
      </c>
      <c r="F1357" s="1" t="s">
        <v>16519</v>
      </c>
      <c r="G1357">
        <v>152553</v>
      </c>
      <c r="H1357">
        <v>64</v>
      </c>
      <c r="I1357" s="1" t="s">
        <v>11063</v>
      </c>
      <c r="J1357" s="11">
        <v>44729.706458333334</v>
      </c>
      <c r="K1357" s="1" t="s">
        <v>332</v>
      </c>
      <c r="L1357" s="1">
        <v>0.65400000000000003</v>
      </c>
      <c r="M1357" s="1">
        <v>0.58299999999999996</v>
      </c>
      <c r="N1357">
        <v>8</v>
      </c>
      <c r="O1357" s="1">
        <v>-8.8059999999999992</v>
      </c>
      <c r="P1357">
        <v>1</v>
      </c>
      <c r="Q1357" s="1">
        <v>0.29399999999999998</v>
      </c>
      <c r="R1357" s="1">
        <v>0.37</v>
      </c>
      <c r="S1357" s="1">
        <v>0</v>
      </c>
      <c r="T1357" s="1">
        <v>0.89400000000000002</v>
      </c>
      <c r="U1357" s="1">
        <v>0.63200000000000001</v>
      </c>
      <c r="V1357" s="1">
        <v>93.872</v>
      </c>
      <c r="W1357">
        <v>4</v>
      </c>
    </row>
    <row r="1358" spans="1:23" x14ac:dyDescent="0.25">
      <c r="A1358" s="1" t="s">
        <v>16520</v>
      </c>
      <c r="B1358" s="1" t="s">
        <v>16521</v>
      </c>
      <c r="C1358" s="1" t="s">
        <v>4576</v>
      </c>
      <c r="D1358" s="1" t="s">
        <v>4576</v>
      </c>
      <c r="E1358" s="1" t="s">
        <v>4577</v>
      </c>
      <c r="F1358" s="1" t="s">
        <v>16522</v>
      </c>
      <c r="G1358">
        <v>166153</v>
      </c>
      <c r="H1358">
        <v>53</v>
      </c>
      <c r="I1358" s="1" t="s">
        <v>11063</v>
      </c>
      <c r="J1358" s="11">
        <v>44729.706458333334</v>
      </c>
      <c r="K1358" s="1" t="s">
        <v>4578</v>
      </c>
      <c r="L1358" s="1">
        <v>0.57199999999999995</v>
      </c>
      <c r="M1358" s="1">
        <v>0.84399999999999997</v>
      </c>
      <c r="N1358">
        <v>10</v>
      </c>
      <c r="O1358" s="1">
        <v>-2.798</v>
      </c>
      <c r="P1358">
        <v>0</v>
      </c>
      <c r="Q1358" s="1">
        <v>0.29699999999999999</v>
      </c>
      <c r="R1358" s="1">
        <v>0.28699999999999998</v>
      </c>
      <c r="S1358" s="1">
        <v>0</v>
      </c>
      <c r="T1358" s="1">
        <v>0.1</v>
      </c>
      <c r="U1358" s="1">
        <v>0.55500000000000005</v>
      </c>
      <c r="V1358" s="1">
        <v>78.102999999999994</v>
      </c>
      <c r="W1358">
        <v>4</v>
      </c>
    </row>
    <row r="1359" spans="1:23" x14ac:dyDescent="0.25">
      <c r="A1359" s="1" t="s">
        <v>16523</v>
      </c>
      <c r="B1359" s="1" t="s">
        <v>16524</v>
      </c>
      <c r="C1359" s="1" t="s">
        <v>3422</v>
      </c>
      <c r="D1359" s="1" t="s">
        <v>3422</v>
      </c>
      <c r="E1359" s="1" t="s">
        <v>4579</v>
      </c>
      <c r="F1359" s="1" t="s">
        <v>16525</v>
      </c>
      <c r="G1359">
        <v>209829</v>
      </c>
      <c r="H1359">
        <v>66</v>
      </c>
      <c r="I1359" s="1" t="s">
        <v>11063</v>
      </c>
      <c r="J1359" s="11">
        <v>44729.706458333334</v>
      </c>
      <c r="K1359" s="1" t="s">
        <v>4580</v>
      </c>
      <c r="L1359" s="1">
        <v>0.58099999999999996</v>
      </c>
      <c r="M1359" s="1">
        <v>0.58499999999999996</v>
      </c>
      <c r="N1359">
        <v>1</v>
      </c>
      <c r="O1359" s="1">
        <v>-1.87</v>
      </c>
      <c r="P1359">
        <v>1</v>
      </c>
      <c r="Q1359" s="1">
        <v>0.36899999999999999</v>
      </c>
      <c r="R1359" s="1">
        <v>0.27</v>
      </c>
      <c r="S1359" s="1">
        <v>0.64800000000000002</v>
      </c>
      <c r="T1359" s="1">
        <v>0.17899999999999999</v>
      </c>
      <c r="U1359" s="1">
        <v>0.63</v>
      </c>
      <c r="V1359" s="1">
        <v>67.442999999999998</v>
      </c>
      <c r="W1359">
        <v>3</v>
      </c>
    </row>
    <row r="1360" spans="1:23" x14ac:dyDescent="0.25">
      <c r="A1360" s="1" t="s">
        <v>16526</v>
      </c>
      <c r="B1360" s="1" t="s">
        <v>16527</v>
      </c>
      <c r="C1360" s="1" t="s">
        <v>4581</v>
      </c>
      <c r="D1360" s="1" t="s">
        <v>16528</v>
      </c>
      <c r="E1360" s="1" t="s">
        <v>4582</v>
      </c>
      <c r="F1360" s="1" t="s">
        <v>16529</v>
      </c>
      <c r="G1360">
        <v>346693</v>
      </c>
      <c r="H1360">
        <v>62</v>
      </c>
      <c r="I1360" s="1" t="s">
        <v>11063</v>
      </c>
      <c r="J1360" s="11">
        <v>44729.706458333334</v>
      </c>
      <c r="K1360" s="1" t="s">
        <v>4583</v>
      </c>
      <c r="L1360" s="1">
        <v>0.46700000000000003</v>
      </c>
      <c r="M1360" s="1">
        <v>0.77400000000000002</v>
      </c>
      <c r="N1360">
        <v>9</v>
      </c>
      <c r="O1360" s="1">
        <v>-6.569</v>
      </c>
      <c r="P1360">
        <v>0</v>
      </c>
      <c r="Q1360" s="1">
        <v>0.48499999999999999</v>
      </c>
      <c r="R1360" s="1">
        <v>0.61599999999999999</v>
      </c>
      <c r="S1360" s="1">
        <v>0.28899999999999998</v>
      </c>
      <c r="T1360" s="1">
        <v>0.108</v>
      </c>
      <c r="U1360" s="1">
        <v>0.91600000000000004</v>
      </c>
      <c r="V1360" s="1">
        <v>135.006</v>
      </c>
      <c r="W1360">
        <v>4</v>
      </c>
    </row>
    <row r="1361" spans="1:23" x14ac:dyDescent="0.25">
      <c r="A1361" s="1" t="s">
        <v>16530</v>
      </c>
      <c r="B1361" s="1" t="s">
        <v>16531</v>
      </c>
      <c r="C1361" s="1" t="s">
        <v>4584</v>
      </c>
      <c r="D1361" s="1" t="s">
        <v>16532</v>
      </c>
      <c r="E1361" s="1" t="s">
        <v>4585</v>
      </c>
      <c r="F1361" s="1" t="s">
        <v>14603</v>
      </c>
      <c r="G1361">
        <v>169186</v>
      </c>
      <c r="H1361">
        <v>1</v>
      </c>
      <c r="I1361" s="1" t="s">
        <v>11063</v>
      </c>
      <c r="J1361" s="11">
        <v>44729.706458333334</v>
      </c>
      <c r="K1361" s="1" t="s">
        <v>1045</v>
      </c>
      <c r="L1361" s="1">
        <v>0.623</v>
      </c>
      <c r="M1361" s="1">
        <v>0.34599999999999997</v>
      </c>
      <c r="N1361">
        <v>2</v>
      </c>
      <c r="O1361" s="1">
        <v>-9.8810000000000002</v>
      </c>
      <c r="P1361">
        <v>0</v>
      </c>
      <c r="Q1361" s="1">
        <v>0.68200000000000005</v>
      </c>
      <c r="R1361" s="1">
        <v>0.89600000000000002</v>
      </c>
      <c r="S1361" s="1">
        <v>0</v>
      </c>
      <c r="T1361" s="1">
        <v>0.11600000000000001</v>
      </c>
      <c r="U1361" s="1">
        <v>0.185</v>
      </c>
      <c r="V1361" s="1">
        <v>84.620999999999995</v>
      </c>
      <c r="W1361">
        <v>5</v>
      </c>
    </row>
    <row r="1362" spans="1:23" x14ac:dyDescent="0.25">
      <c r="A1362" s="1" t="s">
        <v>11584</v>
      </c>
      <c r="B1362" s="1" t="s">
        <v>11585</v>
      </c>
      <c r="C1362" s="1" t="s">
        <v>4586</v>
      </c>
      <c r="D1362" s="1" t="s">
        <v>11586</v>
      </c>
      <c r="E1362" s="1" t="s">
        <v>308</v>
      </c>
      <c r="F1362" s="1" t="s">
        <v>11587</v>
      </c>
      <c r="G1362">
        <v>373626</v>
      </c>
      <c r="H1362">
        <v>76</v>
      </c>
      <c r="I1362" s="1" t="s">
        <v>11063</v>
      </c>
      <c r="J1362" s="11">
        <v>44729.706458333334</v>
      </c>
      <c r="K1362" s="1" t="s">
        <v>4587</v>
      </c>
      <c r="L1362" s="1">
        <v>0.72199999999999998</v>
      </c>
      <c r="M1362" s="1">
        <v>0.68700000000000006</v>
      </c>
      <c r="N1362">
        <v>0</v>
      </c>
      <c r="O1362" s="1">
        <v>-5.1890000000000001</v>
      </c>
      <c r="P1362">
        <v>1</v>
      </c>
      <c r="Q1362" s="1">
        <v>0.55600000000000005</v>
      </c>
      <c r="R1362" s="1">
        <v>0.94899999999999995</v>
      </c>
      <c r="S1362" s="1">
        <v>0.41299999999999998</v>
      </c>
      <c r="T1362" s="1">
        <v>0.46200000000000002</v>
      </c>
      <c r="U1362" s="1">
        <v>0.61899999999999999</v>
      </c>
      <c r="V1362" s="1">
        <v>128.01300000000001</v>
      </c>
      <c r="W1362">
        <v>4</v>
      </c>
    </row>
    <row r="1363" spans="1:23" x14ac:dyDescent="0.25">
      <c r="A1363" s="1" t="s">
        <v>16533</v>
      </c>
      <c r="B1363" s="1" t="s">
        <v>16534</v>
      </c>
      <c r="C1363" s="1" t="s">
        <v>4588</v>
      </c>
      <c r="D1363" s="1" t="s">
        <v>16535</v>
      </c>
      <c r="E1363" s="1" t="s">
        <v>4589</v>
      </c>
      <c r="F1363" s="1" t="s">
        <v>11387</v>
      </c>
      <c r="G1363">
        <v>295293</v>
      </c>
      <c r="H1363">
        <v>73</v>
      </c>
      <c r="I1363" s="1" t="s">
        <v>11063</v>
      </c>
      <c r="J1363" s="11">
        <v>44729.706458333334</v>
      </c>
      <c r="K1363" s="1" t="s">
        <v>4590</v>
      </c>
      <c r="L1363" s="1">
        <v>0.627</v>
      </c>
      <c r="M1363" s="1">
        <v>0.58899999999999997</v>
      </c>
      <c r="N1363">
        <v>0</v>
      </c>
      <c r="O1363" s="1">
        <v>-9.0559999999999992</v>
      </c>
      <c r="P1363">
        <v>1</v>
      </c>
      <c r="Q1363" s="1">
        <v>0.40500000000000003</v>
      </c>
      <c r="R1363" s="1">
        <v>0.497</v>
      </c>
      <c r="S1363" s="1">
        <v>0.70499999999999996</v>
      </c>
      <c r="T1363" s="1">
        <v>0.32400000000000001</v>
      </c>
      <c r="U1363" s="1">
        <v>0.247</v>
      </c>
      <c r="V1363" s="1">
        <v>115.28400000000001</v>
      </c>
      <c r="W1363">
        <v>4</v>
      </c>
    </row>
    <row r="1364" spans="1:23" x14ac:dyDescent="0.25">
      <c r="A1364" s="1" t="s">
        <v>16536</v>
      </c>
      <c r="B1364" s="1" t="s">
        <v>16527</v>
      </c>
      <c r="C1364" s="1" t="s">
        <v>4591</v>
      </c>
      <c r="D1364" s="1" t="s">
        <v>16528</v>
      </c>
      <c r="E1364" s="1" t="s">
        <v>4582</v>
      </c>
      <c r="F1364" s="1" t="s">
        <v>16529</v>
      </c>
      <c r="G1364">
        <v>304840</v>
      </c>
      <c r="H1364">
        <v>76</v>
      </c>
      <c r="I1364" s="1" t="s">
        <v>11063</v>
      </c>
      <c r="J1364" s="11">
        <v>44729.706458333334</v>
      </c>
      <c r="K1364" s="1" t="s">
        <v>4583</v>
      </c>
      <c r="L1364" s="1">
        <v>0.60199999999999998</v>
      </c>
      <c r="M1364" s="1">
        <v>0.90500000000000003</v>
      </c>
      <c r="N1364">
        <v>2</v>
      </c>
      <c r="O1364" s="1">
        <v>-4.0460000000000003</v>
      </c>
      <c r="P1364">
        <v>1</v>
      </c>
      <c r="Q1364" s="1">
        <v>0.77500000000000002</v>
      </c>
      <c r="R1364" s="1">
        <v>0.20200000000000001</v>
      </c>
      <c r="S1364" s="1">
        <v>0.64</v>
      </c>
      <c r="T1364" s="1">
        <v>0.11700000000000001</v>
      </c>
      <c r="U1364" s="1">
        <v>0.41099999999999998</v>
      </c>
      <c r="V1364" s="1">
        <v>128.01900000000001</v>
      </c>
      <c r="W1364">
        <v>4</v>
      </c>
    </row>
    <row r="1365" spans="1:23" x14ac:dyDescent="0.25">
      <c r="A1365" s="1" t="s">
        <v>16537</v>
      </c>
      <c r="B1365" s="1" t="s">
        <v>16538</v>
      </c>
      <c r="C1365" s="1" t="s">
        <v>4592</v>
      </c>
      <c r="D1365" s="1" t="s">
        <v>4592</v>
      </c>
      <c r="E1365" s="1" t="s">
        <v>4593</v>
      </c>
      <c r="F1365" s="1" t="s">
        <v>16539</v>
      </c>
      <c r="G1365">
        <v>198900</v>
      </c>
      <c r="H1365">
        <v>0</v>
      </c>
      <c r="I1365" s="1" t="s">
        <v>11063</v>
      </c>
      <c r="J1365" s="11">
        <v>44729.706458333334</v>
      </c>
      <c r="K1365" s="1" t="s">
        <v>3326</v>
      </c>
      <c r="L1365" s="1">
        <v>0.42499999999999999</v>
      </c>
      <c r="M1365" s="1">
        <v>0.78300000000000003</v>
      </c>
      <c r="N1365">
        <v>11</v>
      </c>
      <c r="O1365" s="1">
        <v>-5.8579999999999997</v>
      </c>
      <c r="P1365">
        <v>0</v>
      </c>
      <c r="Q1365" s="1">
        <v>0.60399999999999998</v>
      </c>
      <c r="R1365" s="1">
        <v>0.76900000000000002</v>
      </c>
      <c r="S1365" s="1">
        <v>0</v>
      </c>
      <c r="T1365" s="1">
        <v>0.24299999999999999</v>
      </c>
      <c r="U1365" s="1">
        <v>0.23599999999999999</v>
      </c>
      <c r="V1365" s="1">
        <v>150.00299999999999</v>
      </c>
      <c r="W1365">
        <v>4</v>
      </c>
    </row>
    <row r="1366" spans="1:23" x14ac:dyDescent="0.25">
      <c r="A1366" s="1" t="s">
        <v>16540</v>
      </c>
      <c r="B1366" s="1" t="s">
        <v>16541</v>
      </c>
      <c r="C1366" s="1" t="s">
        <v>4594</v>
      </c>
      <c r="D1366" s="1" t="s">
        <v>4594</v>
      </c>
      <c r="E1366" s="1" t="s">
        <v>4595</v>
      </c>
      <c r="F1366" s="1" t="s">
        <v>14969</v>
      </c>
      <c r="G1366">
        <v>196022</v>
      </c>
      <c r="H1366">
        <v>38</v>
      </c>
      <c r="I1366" s="1" t="s">
        <v>11063</v>
      </c>
      <c r="J1366" s="11">
        <v>44729.706458333334</v>
      </c>
      <c r="K1366" s="1" t="s">
        <v>933</v>
      </c>
      <c r="L1366" s="1">
        <v>0.36499999999999999</v>
      </c>
      <c r="M1366" s="1">
        <v>0.89500000000000002</v>
      </c>
      <c r="N1366">
        <v>10</v>
      </c>
      <c r="O1366" s="1">
        <v>-3.5129999999999999</v>
      </c>
      <c r="P1366">
        <v>1</v>
      </c>
      <c r="Q1366" s="1">
        <v>0.33700000000000002</v>
      </c>
      <c r="R1366" s="1">
        <v>0.16300000000000001</v>
      </c>
      <c r="S1366" s="1">
        <v>0</v>
      </c>
      <c r="T1366" s="1">
        <v>0.14000000000000001</v>
      </c>
      <c r="U1366" s="1">
        <v>0.42399999999999999</v>
      </c>
      <c r="V1366" s="1">
        <v>175.34800000000001</v>
      </c>
      <c r="W1366">
        <v>4</v>
      </c>
    </row>
    <row r="1367" spans="1:23" x14ac:dyDescent="0.25">
      <c r="A1367" s="1" t="s">
        <v>16542</v>
      </c>
      <c r="B1367" s="1" t="s">
        <v>16543</v>
      </c>
      <c r="C1367" s="1" t="s">
        <v>4596</v>
      </c>
      <c r="D1367" s="1" t="s">
        <v>16544</v>
      </c>
      <c r="E1367" s="1" t="s">
        <v>4597</v>
      </c>
      <c r="F1367" s="1" t="s">
        <v>16021</v>
      </c>
      <c r="G1367">
        <v>223796</v>
      </c>
      <c r="H1367">
        <v>36</v>
      </c>
      <c r="I1367" s="1" t="s">
        <v>11063</v>
      </c>
      <c r="J1367" s="11">
        <v>44729.706458333334</v>
      </c>
      <c r="K1367" s="1" t="s">
        <v>3697</v>
      </c>
      <c r="L1367" s="1">
        <v>0.374</v>
      </c>
      <c r="M1367" s="1">
        <v>0.85599999999999998</v>
      </c>
      <c r="N1367">
        <v>8</v>
      </c>
      <c r="O1367" s="1">
        <v>-4.1840000000000002</v>
      </c>
      <c r="P1367">
        <v>1</v>
      </c>
      <c r="Q1367" s="1">
        <v>0.253</v>
      </c>
      <c r="R1367" s="1">
        <v>0.17699999999999999</v>
      </c>
      <c r="S1367" s="1">
        <v>0.23799999999999999</v>
      </c>
      <c r="T1367" s="1">
        <v>0.58099999999999996</v>
      </c>
      <c r="U1367" s="1">
        <v>0.32900000000000001</v>
      </c>
      <c r="V1367" s="1">
        <v>147.68899999999999</v>
      </c>
      <c r="W1367">
        <v>4</v>
      </c>
    </row>
    <row r="1368" spans="1:23" x14ac:dyDescent="0.25">
      <c r="A1368" s="1" t="s">
        <v>16545</v>
      </c>
      <c r="B1368" s="1" t="s">
        <v>14504</v>
      </c>
      <c r="C1368" s="1" t="s">
        <v>4598</v>
      </c>
      <c r="D1368" s="1" t="s">
        <v>14505</v>
      </c>
      <c r="E1368" s="1" t="s">
        <v>2837</v>
      </c>
      <c r="F1368" s="1" t="s">
        <v>14506</v>
      </c>
      <c r="G1368">
        <v>174760</v>
      </c>
      <c r="H1368">
        <v>80</v>
      </c>
      <c r="I1368" s="1" t="s">
        <v>11063</v>
      </c>
      <c r="J1368" s="11">
        <v>44729.706458333334</v>
      </c>
      <c r="K1368" s="1" t="s">
        <v>2178</v>
      </c>
      <c r="L1368" s="1">
        <v>0.61399999999999999</v>
      </c>
      <c r="M1368" s="1">
        <v>0.93400000000000005</v>
      </c>
      <c r="N1368">
        <v>9</v>
      </c>
      <c r="O1368" s="1">
        <v>-3.7090000000000001</v>
      </c>
      <c r="P1368">
        <v>0</v>
      </c>
      <c r="Q1368" s="1">
        <v>0.7</v>
      </c>
      <c r="R1368" s="1">
        <v>0.69699999999999995</v>
      </c>
      <c r="S1368" s="1">
        <v>0</v>
      </c>
      <c r="T1368" s="1">
        <v>0.121</v>
      </c>
      <c r="U1368" s="1">
        <v>0.436</v>
      </c>
      <c r="V1368" s="1">
        <v>116.001</v>
      </c>
      <c r="W1368">
        <v>4</v>
      </c>
    </row>
    <row r="1369" spans="1:23" x14ac:dyDescent="0.25">
      <c r="A1369" s="1" t="s">
        <v>16546</v>
      </c>
      <c r="B1369" s="1" t="s">
        <v>16547</v>
      </c>
      <c r="C1369" s="1" t="s">
        <v>4599</v>
      </c>
      <c r="D1369" s="1" t="s">
        <v>16548</v>
      </c>
      <c r="E1369" s="1" t="s">
        <v>4600</v>
      </c>
      <c r="F1369" s="1" t="s">
        <v>16549</v>
      </c>
      <c r="G1369">
        <v>177560</v>
      </c>
      <c r="H1369">
        <v>67</v>
      </c>
      <c r="I1369" s="1" t="s">
        <v>11063</v>
      </c>
      <c r="J1369" s="11">
        <v>44729.706458333334</v>
      </c>
      <c r="K1369" s="1" t="s">
        <v>4601</v>
      </c>
      <c r="L1369" s="1">
        <v>0.65400000000000003</v>
      </c>
      <c r="M1369" s="1">
        <v>0.83199999999999996</v>
      </c>
      <c r="N1369">
        <v>7</v>
      </c>
      <c r="O1369" s="1">
        <v>-4.1639999999999997</v>
      </c>
      <c r="P1369">
        <v>0</v>
      </c>
      <c r="Q1369" s="1">
        <v>0.29299999999999998</v>
      </c>
      <c r="R1369" s="1">
        <v>0.126</v>
      </c>
      <c r="S1369" s="1">
        <v>0.90100000000000002</v>
      </c>
      <c r="T1369" s="1">
        <v>0.10199999999999999</v>
      </c>
      <c r="U1369" s="1">
        <v>0.40699999999999997</v>
      </c>
      <c r="V1369" s="1">
        <v>123.002</v>
      </c>
      <c r="W1369">
        <v>4</v>
      </c>
    </row>
    <row r="1370" spans="1:23" x14ac:dyDescent="0.25">
      <c r="A1370" s="1" t="s">
        <v>16550</v>
      </c>
      <c r="B1370" s="1" t="s">
        <v>12634</v>
      </c>
      <c r="C1370" s="1" t="s">
        <v>4602</v>
      </c>
      <c r="D1370" s="1" t="s">
        <v>13554</v>
      </c>
      <c r="E1370" s="1" t="s">
        <v>1512</v>
      </c>
      <c r="F1370" s="1" t="s">
        <v>13555</v>
      </c>
      <c r="G1370">
        <v>194490</v>
      </c>
      <c r="H1370">
        <v>64</v>
      </c>
      <c r="I1370" s="1" t="s">
        <v>11063</v>
      </c>
      <c r="J1370" s="11">
        <v>44729.706458333334</v>
      </c>
      <c r="K1370" s="1" t="s">
        <v>1513</v>
      </c>
      <c r="L1370" s="1">
        <v>0.60199999999999998</v>
      </c>
      <c r="M1370" s="1">
        <v>0.89200000000000002</v>
      </c>
      <c r="N1370">
        <v>10</v>
      </c>
      <c r="O1370" s="1">
        <v>-3.66</v>
      </c>
      <c r="P1370">
        <v>0</v>
      </c>
      <c r="Q1370" s="1">
        <v>0.67200000000000004</v>
      </c>
      <c r="R1370" s="1">
        <v>0.39300000000000002</v>
      </c>
      <c r="S1370" s="1">
        <v>0.81299999999999994</v>
      </c>
      <c r="T1370" s="1">
        <v>0.30399999999999999</v>
      </c>
      <c r="U1370" s="1">
        <v>0.56999999999999995</v>
      </c>
      <c r="V1370" s="1">
        <v>102.047</v>
      </c>
      <c r="W1370">
        <v>4</v>
      </c>
    </row>
    <row r="1371" spans="1:23" x14ac:dyDescent="0.25">
      <c r="A1371" s="1" t="s">
        <v>16551</v>
      </c>
      <c r="B1371" s="1" t="s">
        <v>16552</v>
      </c>
      <c r="C1371" s="1" t="s">
        <v>4603</v>
      </c>
      <c r="D1371" s="1" t="s">
        <v>16553</v>
      </c>
      <c r="E1371" s="1" t="s">
        <v>4604</v>
      </c>
      <c r="F1371" s="1" t="s">
        <v>11498</v>
      </c>
      <c r="G1371">
        <v>208729</v>
      </c>
      <c r="H1371">
        <v>27</v>
      </c>
      <c r="I1371" s="1" t="s">
        <v>11063</v>
      </c>
      <c r="J1371" s="11">
        <v>44729.706458333334</v>
      </c>
      <c r="K1371" s="1" t="s">
        <v>50</v>
      </c>
      <c r="L1371" s="1">
        <v>0.28499999999999998</v>
      </c>
      <c r="M1371" s="1">
        <v>0.56799999999999995</v>
      </c>
      <c r="N1371">
        <v>6</v>
      </c>
      <c r="O1371" s="1">
        <v>-7.3070000000000004</v>
      </c>
      <c r="P1371">
        <v>0</v>
      </c>
      <c r="Q1371" s="1">
        <v>0.30099999999999999</v>
      </c>
      <c r="R1371" s="1">
        <v>0.12</v>
      </c>
      <c r="S1371" s="1">
        <v>0.186</v>
      </c>
      <c r="T1371" s="1">
        <v>0.112</v>
      </c>
      <c r="U1371" s="1">
        <v>0.35099999999999998</v>
      </c>
      <c r="V1371" s="1">
        <v>168.05799999999999</v>
      </c>
      <c r="W1371">
        <v>3</v>
      </c>
    </row>
    <row r="1372" spans="1:23" x14ac:dyDescent="0.25">
      <c r="A1372" s="1" t="s">
        <v>16554</v>
      </c>
      <c r="B1372" s="1" t="s">
        <v>16555</v>
      </c>
      <c r="C1372" s="1" t="s">
        <v>4605</v>
      </c>
      <c r="D1372" s="1" t="s">
        <v>4605</v>
      </c>
      <c r="E1372" s="1" t="s">
        <v>4606</v>
      </c>
      <c r="F1372" s="1" t="s">
        <v>15736</v>
      </c>
      <c r="G1372">
        <v>270315</v>
      </c>
      <c r="H1372">
        <v>33</v>
      </c>
      <c r="I1372" s="1" t="s">
        <v>11063</v>
      </c>
      <c r="J1372" s="11">
        <v>44729.706458333334</v>
      </c>
      <c r="K1372" s="1" t="s">
        <v>2668</v>
      </c>
      <c r="L1372" s="1">
        <v>0.71899999999999997</v>
      </c>
      <c r="M1372" s="1">
        <v>0.45900000000000002</v>
      </c>
      <c r="N1372">
        <v>0</v>
      </c>
      <c r="O1372" s="1">
        <v>-12.874000000000001</v>
      </c>
      <c r="P1372">
        <v>1</v>
      </c>
      <c r="Q1372" s="1">
        <v>0.99199999999999999</v>
      </c>
      <c r="R1372" s="1">
        <v>0.13100000000000001</v>
      </c>
      <c r="S1372" s="1">
        <v>0.161</v>
      </c>
      <c r="T1372" s="1">
        <v>0.877</v>
      </c>
      <c r="U1372" s="1">
        <v>0.85899999999999999</v>
      </c>
      <c r="V1372" s="1">
        <v>95.021000000000001</v>
      </c>
      <c r="W1372">
        <v>4</v>
      </c>
    </row>
    <row r="1373" spans="1:23" x14ac:dyDescent="0.25">
      <c r="A1373" s="1" t="s">
        <v>16556</v>
      </c>
      <c r="B1373" s="1" t="s">
        <v>16557</v>
      </c>
      <c r="C1373" s="1" t="s">
        <v>4607</v>
      </c>
      <c r="D1373" s="1" t="s">
        <v>16535</v>
      </c>
      <c r="E1373" s="1" t="s">
        <v>4608</v>
      </c>
      <c r="F1373" s="1" t="s">
        <v>11387</v>
      </c>
      <c r="G1373">
        <v>221240</v>
      </c>
      <c r="H1373">
        <v>73</v>
      </c>
      <c r="I1373" s="1" t="s">
        <v>11063</v>
      </c>
      <c r="J1373" s="11">
        <v>44729.706458333334</v>
      </c>
      <c r="K1373" s="1" t="s">
        <v>4609</v>
      </c>
      <c r="L1373" s="1">
        <v>0.88</v>
      </c>
      <c r="M1373" s="1">
        <v>0.443</v>
      </c>
      <c r="N1373">
        <v>11</v>
      </c>
      <c r="O1373" s="1">
        <v>-6.359</v>
      </c>
      <c r="P1373">
        <v>0</v>
      </c>
      <c r="Q1373" s="1">
        <v>0.65300000000000002</v>
      </c>
      <c r="R1373" s="1">
        <v>0.46200000000000002</v>
      </c>
      <c r="S1373" s="1">
        <v>0.71299999999999997</v>
      </c>
      <c r="T1373" s="1">
        <v>0.122</v>
      </c>
      <c r="U1373" s="1">
        <v>0.80300000000000005</v>
      </c>
      <c r="V1373" s="1">
        <v>138.018</v>
      </c>
      <c r="W1373">
        <v>4</v>
      </c>
    </row>
    <row r="1374" spans="1:23" x14ac:dyDescent="0.25">
      <c r="A1374" s="1" t="s">
        <v>16558</v>
      </c>
      <c r="B1374" s="1" t="s">
        <v>16559</v>
      </c>
      <c r="C1374" s="1" t="s">
        <v>4610</v>
      </c>
      <c r="D1374" s="1" t="s">
        <v>16560</v>
      </c>
      <c r="E1374" s="1" t="s">
        <v>4611</v>
      </c>
      <c r="F1374" s="1" t="s">
        <v>16561</v>
      </c>
      <c r="G1374">
        <v>227342</v>
      </c>
      <c r="H1374">
        <v>36</v>
      </c>
      <c r="I1374" s="1" t="s">
        <v>11063</v>
      </c>
      <c r="J1374" s="11">
        <v>44729.706458333334</v>
      </c>
      <c r="K1374" s="1" t="s">
        <v>4612</v>
      </c>
      <c r="L1374" s="1">
        <v>0.626</v>
      </c>
      <c r="M1374" s="1">
        <v>0.94299999999999995</v>
      </c>
      <c r="N1374">
        <v>6</v>
      </c>
      <c r="O1374" s="1">
        <v>-3.6560000000000001</v>
      </c>
      <c r="P1374">
        <v>0</v>
      </c>
      <c r="Q1374" s="1">
        <v>0.66500000000000004</v>
      </c>
      <c r="R1374" s="1">
        <v>0.29899999999999999</v>
      </c>
      <c r="S1374" s="1">
        <v>0.112</v>
      </c>
      <c r="T1374" s="1">
        <v>0.28000000000000003</v>
      </c>
      <c r="U1374" s="1">
        <v>0.70899999999999996</v>
      </c>
      <c r="V1374" s="1">
        <v>143.988</v>
      </c>
      <c r="W1374">
        <v>4</v>
      </c>
    </row>
    <row r="1375" spans="1:23" x14ac:dyDescent="0.25">
      <c r="A1375" s="1" t="s">
        <v>16562</v>
      </c>
      <c r="B1375" s="1" t="s">
        <v>16563</v>
      </c>
      <c r="C1375" s="1" t="s">
        <v>4613</v>
      </c>
      <c r="D1375" s="1" t="s">
        <v>16564</v>
      </c>
      <c r="E1375" s="1" t="s">
        <v>4614</v>
      </c>
      <c r="F1375" s="1" t="s">
        <v>16565</v>
      </c>
      <c r="G1375">
        <v>156839</v>
      </c>
      <c r="H1375">
        <v>39</v>
      </c>
      <c r="I1375" s="1" t="s">
        <v>11063</v>
      </c>
      <c r="J1375" s="11">
        <v>44729.706458333334</v>
      </c>
      <c r="K1375" s="1" t="s">
        <v>4615</v>
      </c>
      <c r="L1375" s="1">
        <v>0.65400000000000003</v>
      </c>
      <c r="M1375" s="1">
        <v>0.78200000000000003</v>
      </c>
      <c r="N1375">
        <v>4</v>
      </c>
      <c r="O1375" s="1">
        <v>-5.1790000000000003</v>
      </c>
      <c r="P1375">
        <v>0</v>
      </c>
      <c r="Q1375" s="1">
        <v>0.49399999999999999</v>
      </c>
      <c r="R1375" s="1">
        <v>0.66800000000000004</v>
      </c>
      <c r="S1375" s="1">
        <v>0</v>
      </c>
      <c r="T1375" s="1">
        <v>0.30299999999999999</v>
      </c>
      <c r="U1375" s="1">
        <v>0.34899999999999998</v>
      </c>
      <c r="V1375" s="1">
        <v>150.078</v>
      </c>
      <c r="W1375">
        <v>4</v>
      </c>
    </row>
    <row r="1376" spans="1:23" x14ac:dyDescent="0.25">
      <c r="A1376" s="1" t="s">
        <v>16566</v>
      </c>
      <c r="B1376" s="1" t="s">
        <v>16567</v>
      </c>
      <c r="C1376" s="1" t="s">
        <v>4616</v>
      </c>
      <c r="D1376" s="1" t="s">
        <v>16568</v>
      </c>
      <c r="E1376" s="1" t="s">
        <v>4617</v>
      </c>
      <c r="F1376" s="1" t="s">
        <v>16569</v>
      </c>
      <c r="G1376">
        <v>211776</v>
      </c>
      <c r="H1376">
        <v>64</v>
      </c>
      <c r="I1376" s="1" t="s">
        <v>11063</v>
      </c>
      <c r="J1376" s="11">
        <v>44729.706458333334</v>
      </c>
      <c r="K1376" s="1" t="s">
        <v>4618</v>
      </c>
      <c r="L1376" s="1">
        <v>0.82899999999999996</v>
      </c>
      <c r="M1376" s="1">
        <v>0.69499999999999995</v>
      </c>
      <c r="N1376">
        <v>1</v>
      </c>
      <c r="O1376" s="1">
        <v>-5.5609999999999999</v>
      </c>
      <c r="P1376">
        <v>1</v>
      </c>
      <c r="Q1376" s="1">
        <v>0.47299999999999998</v>
      </c>
      <c r="R1376" s="1">
        <v>0.95599999999999996</v>
      </c>
      <c r="S1376" s="1">
        <v>0.17799999999999999</v>
      </c>
      <c r="T1376" s="1">
        <v>0.112</v>
      </c>
      <c r="U1376" s="1">
        <v>0.36899999999999999</v>
      </c>
      <c r="V1376" s="1">
        <v>102.018</v>
      </c>
      <c r="W1376">
        <v>4</v>
      </c>
    </row>
    <row r="1377" spans="1:23" x14ac:dyDescent="0.25">
      <c r="A1377" s="1" t="s">
        <v>16570</v>
      </c>
      <c r="B1377" s="1" t="s">
        <v>16571</v>
      </c>
      <c r="C1377" s="1" t="s">
        <v>4619</v>
      </c>
      <c r="D1377" s="1" t="s">
        <v>16572</v>
      </c>
      <c r="E1377" s="1" t="s">
        <v>4620</v>
      </c>
      <c r="F1377" s="1" t="s">
        <v>16573</v>
      </c>
      <c r="G1377">
        <v>237640</v>
      </c>
      <c r="H1377">
        <v>73</v>
      </c>
      <c r="I1377" s="1" t="s">
        <v>11063</v>
      </c>
      <c r="J1377" s="11">
        <v>44729.706458333334</v>
      </c>
      <c r="K1377" s="1" t="s">
        <v>4621</v>
      </c>
      <c r="L1377" s="1">
        <v>0.85099999999999998</v>
      </c>
      <c r="M1377" s="1">
        <v>0.629</v>
      </c>
      <c r="N1377">
        <v>1</v>
      </c>
      <c r="O1377" s="1">
        <v>-8.3849999999999998</v>
      </c>
      <c r="P1377">
        <v>1</v>
      </c>
      <c r="Q1377" s="1">
        <v>0.17499999999999999</v>
      </c>
      <c r="R1377" s="1">
        <v>0.70499999999999996</v>
      </c>
      <c r="S1377" s="1">
        <v>0.372</v>
      </c>
      <c r="T1377" s="1">
        <v>0.746</v>
      </c>
      <c r="U1377" s="1">
        <v>0.78900000000000003</v>
      </c>
      <c r="V1377" s="1">
        <v>125.98399999999999</v>
      </c>
      <c r="W1377">
        <v>4</v>
      </c>
    </row>
    <row r="1378" spans="1:23" x14ac:dyDescent="0.25">
      <c r="A1378" s="1" t="s">
        <v>16574</v>
      </c>
      <c r="B1378" s="1" t="s">
        <v>16575</v>
      </c>
      <c r="C1378" s="1" t="s">
        <v>4622</v>
      </c>
      <c r="D1378" s="1" t="s">
        <v>4622</v>
      </c>
      <c r="E1378" s="1" t="s">
        <v>4623</v>
      </c>
      <c r="F1378" s="1" t="s">
        <v>11758</v>
      </c>
      <c r="G1378">
        <v>193375</v>
      </c>
      <c r="H1378">
        <v>37</v>
      </c>
      <c r="I1378" s="1" t="s">
        <v>11063</v>
      </c>
      <c r="J1378" s="11">
        <v>44729.706458333334</v>
      </c>
      <c r="K1378" s="1" t="s">
        <v>4624</v>
      </c>
      <c r="L1378" s="1">
        <v>0.67400000000000004</v>
      </c>
      <c r="M1378" s="1">
        <v>0.93200000000000005</v>
      </c>
      <c r="N1378">
        <v>6</v>
      </c>
      <c r="O1378" s="1">
        <v>-4.4740000000000002</v>
      </c>
      <c r="P1378">
        <v>1</v>
      </c>
      <c r="Q1378" s="1">
        <v>0.52900000000000003</v>
      </c>
      <c r="R1378" s="1">
        <v>0.63100000000000001</v>
      </c>
      <c r="S1378" s="1">
        <v>0.33600000000000002</v>
      </c>
      <c r="T1378" s="1">
        <v>0.54800000000000004</v>
      </c>
      <c r="U1378" s="1">
        <v>0.55600000000000005</v>
      </c>
      <c r="V1378" s="1">
        <v>122.065</v>
      </c>
      <c r="W1378">
        <v>4</v>
      </c>
    </row>
    <row r="1379" spans="1:23" x14ac:dyDescent="0.25">
      <c r="A1379" s="1" t="s">
        <v>16576</v>
      </c>
      <c r="B1379" s="1" t="s">
        <v>16577</v>
      </c>
      <c r="C1379" s="1" t="s">
        <v>4625</v>
      </c>
      <c r="D1379" s="1" t="s">
        <v>4625</v>
      </c>
      <c r="E1379" s="1" t="s">
        <v>4626</v>
      </c>
      <c r="F1379" s="1" t="s">
        <v>15956</v>
      </c>
      <c r="G1379">
        <v>193668</v>
      </c>
      <c r="H1379">
        <v>27</v>
      </c>
      <c r="I1379" s="1" t="s">
        <v>11063</v>
      </c>
      <c r="J1379" s="11">
        <v>44729.706458333334</v>
      </c>
      <c r="K1379" s="1" t="s">
        <v>4627</v>
      </c>
      <c r="L1379" s="1">
        <v>0.40600000000000003</v>
      </c>
      <c r="M1379" s="1">
        <v>0.75700000000000001</v>
      </c>
      <c r="N1379">
        <v>0</v>
      </c>
      <c r="O1379" s="1">
        <v>-6.8579999999999997</v>
      </c>
      <c r="P1379">
        <v>0</v>
      </c>
      <c r="Q1379" s="1">
        <v>0.55700000000000005</v>
      </c>
      <c r="R1379" s="1">
        <v>0.747</v>
      </c>
      <c r="S1379" s="1">
        <v>0</v>
      </c>
      <c r="T1379" s="1">
        <v>0.104</v>
      </c>
      <c r="U1379" s="1">
        <v>0.112</v>
      </c>
      <c r="V1379" s="1">
        <v>167.65299999999999</v>
      </c>
      <c r="W1379">
        <v>4</v>
      </c>
    </row>
    <row r="1380" spans="1:23" x14ac:dyDescent="0.25">
      <c r="A1380" s="1" t="s">
        <v>16578</v>
      </c>
      <c r="B1380" s="1" t="s">
        <v>16579</v>
      </c>
      <c r="C1380" s="1" t="s">
        <v>4628</v>
      </c>
      <c r="D1380" s="1" t="s">
        <v>3794</v>
      </c>
      <c r="E1380" s="1" t="s">
        <v>4629</v>
      </c>
      <c r="F1380" s="1" t="s">
        <v>14343</v>
      </c>
      <c r="G1380">
        <v>291450</v>
      </c>
      <c r="H1380">
        <v>45</v>
      </c>
      <c r="I1380" s="1" t="s">
        <v>11063</v>
      </c>
      <c r="J1380" s="11">
        <v>44729.706458333334</v>
      </c>
      <c r="K1380" s="1" t="s">
        <v>4630</v>
      </c>
      <c r="L1380" s="1">
        <v>0.71</v>
      </c>
      <c r="M1380" s="1">
        <v>0.45800000000000002</v>
      </c>
      <c r="N1380">
        <v>10</v>
      </c>
      <c r="O1380" s="1">
        <v>-9.9290000000000003</v>
      </c>
      <c r="P1380">
        <v>1</v>
      </c>
      <c r="Q1380" s="1">
        <v>0.874</v>
      </c>
      <c r="R1380" s="1">
        <v>0.23100000000000001</v>
      </c>
      <c r="S1380" s="1">
        <v>0.19500000000000001</v>
      </c>
      <c r="T1380" s="1">
        <v>0.1</v>
      </c>
      <c r="U1380" s="1">
        <v>0.26200000000000001</v>
      </c>
      <c r="V1380" s="1">
        <v>113.95</v>
      </c>
      <c r="W1380">
        <v>4</v>
      </c>
    </row>
    <row r="1381" spans="1:23" x14ac:dyDescent="0.25">
      <c r="A1381" s="1" t="s">
        <v>16580</v>
      </c>
      <c r="B1381" s="1" t="s">
        <v>16581</v>
      </c>
      <c r="C1381" s="1" t="s">
        <v>4631</v>
      </c>
      <c r="D1381" s="1" t="s">
        <v>16582</v>
      </c>
      <c r="E1381" s="1" t="s">
        <v>4632</v>
      </c>
      <c r="F1381" s="1" t="s">
        <v>15276</v>
      </c>
      <c r="G1381">
        <v>163342</v>
      </c>
      <c r="H1381">
        <v>31</v>
      </c>
      <c r="I1381" s="1" t="s">
        <v>11063</v>
      </c>
      <c r="J1381" s="11">
        <v>44729.706458333334</v>
      </c>
      <c r="K1381" s="1" t="s">
        <v>992</v>
      </c>
      <c r="L1381" s="1">
        <v>0.34499999999999997</v>
      </c>
      <c r="M1381" s="1">
        <v>0.45200000000000001</v>
      </c>
      <c r="N1381">
        <v>2</v>
      </c>
      <c r="O1381" s="1">
        <v>-10.278</v>
      </c>
      <c r="P1381">
        <v>0</v>
      </c>
      <c r="Q1381" s="1">
        <v>0.94799999999999995</v>
      </c>
      <c r="R1381" s="1">
        <v>0.27600000000000002</v>
      </c>
      <c r="S1381" s="1">
        <v>0.112</v>
      </c>
      <c r="T1381" s="1">
        <v>0.126</v>
      </c>
      <c r="U1381" s="1">
        <v>0.63800000000000001</v>
      </c>
      <c r="V1381" s="1">
        <v>190.042</v>
      </c>
      <c r="W1381">
        <v>4</v>
      </c>
    </row>
    <row r="1382" spans="1:23" x14ac:dyDescent="0.25">
      <c r="A1382" s="1" t="s">
        <v>16583</v>
      </c>
      <c r="B1382" s="1" t="s">
        <v>16584</v>
      </c>
      <c r="C1382" s="1" t="s">
        <v>4633</v>
      </c>
      <c r="D1382" s="1" t="s">
        <v>4633</v>
      </c>
      <c r="E1382" s="1" t="s">
        <v>4634</v>
      </c>
      <c r="F1382" s="1" t="s">
        <v>14563</v>
      </c>
      <c r="G1382">
        <v>218490</v>
      </c>
      <c r="H1382">
        <v>31</v>
      </c>
      <c r="I1382" s="1" t="s">
        <v>11063</v>
      </c>
      <c r="J1382" s="11">
        <v>44729.706458333334</v>
      </c>
      <c r="K1382" s="1" t="s">
        <v>4635</v>
      </c>
      <c r="L1382" s="1">
        <v>0.73</v>
      </c>
      <c r="M1382" s="1">
        <v>0.53</v>
      </c>
      <c r="N1382">
        <v>0</v>
      </c>
      <c r="O1382" s="1">
        <v>-9.9949999999999992</v>
      </c>
      <c r="P1382">
        <v>1</v>
      </c>
      <c r="Q1382" s="1">
        <v>0.51700000000000002</v>
      </c>
      <c r="R1382" s="1">
        <v>0.26100000000000001</v>
      </c>
      <c r="S1382" s="1">
        <v>0.157</v>
      </c>
      <c r="T1382" s="1">
        <v>0.311</v>
      </c>
      <c r="U1382" s="1">
        <v>0.6</v>
      </c>
      <c r="V1382" s="1">
        <v>106.008</v>
      </c>
      <c r="W1382">
        <v>4</v>
      </c>
    </row>
    <row r="1383" spans="1:23" x14ac:dyDescent="0.25">
      <c r="A1383" s="1" t="s">
        <v>16585</v>
      </c>
      <c r="B1383" s="1" t="s">
        <v>14083</v>
      </c>
      <c r="C1383" s="1" t="s">
        <v>4636</v>
      </c>
      <c r="D1383" s="1" t="s">
        <v>4636</v>
      </c>
      <c r="E1383" s="1" t="s">
        <v>2471</v>
      </c>
      <c r="F1383" s="1" t="s">
        <v>16586</v>
      </c>
      <c r="G1383">
        <v>257684</v>
      </c>
      <c r="H1383">
        <v>29</v>
      </c>
      <c r="I1383" s="1" t="s">
        <v>11063</v>
      </c>
      <c r="J1383" s="11">
        <v>44729.706458333334</v>
      </c>
      <c r="K1383" s="1" t="s">
        <v>2405</v>
      </c>
      <c r="L1383" s="1">
        <v>0.41299999999999998</v>
      </c>
      <c r="M1383" s="1">
        <v>0.63800000000000001</v>
      </c>
      <c r="N1383">
        <v>6</v>
      </c>
      <c r="O1383" s="1">
        <v>-6.3440000000000003</v>
      </c>
      <c r="P1383">
        <v>1</v>
      </c>
      <c r="Q1383" s="1">
        <v>0.159</v>
      </c>
      <c r="R1383" s="1">
        <v>0.28199999999999997</v>
      </c>
      <c r="S1383" s="1">
        <v>0.13500000000000001</v>
      </c>
      <c r="T1383" s="1">
        <v>0.188</v>
      </c>
      <c r="U1383" s="1">
        <v>0.35099999999999998</v>
      </c>
      <c r="V1383" s="1">
        <v>93.988</v>
      </c>
      <c r="W1383">
        <v>4</v>
      </c>
    </row>
    <row r="1384" spans="1:23" x14ac:dyDescent="0.25">
      <c r="A1384" s="1" t="s">
        <v>16587</v>
      </c>
      <c r="B1384" s="1" t="s">
        <v>16588</v>
      </c>
      <c r="C1384" s="1" t="s">
        <v>4637</v>
      </c>
      <c r="D1384" s="1" t="s">
        <v>16589</v>
      </c>
      <c r="E1384" s="1" t="s">
        <v>4638</v>
      </c>
      <c r="F1384" s="1" t="s">
        <v>14841</v>
      </c>
      <c r="G1384">
        <v>266400</v>
      </c>
      <c r="H1384">
        <v>38</v>
      </c>
      <c r="I1384" s="1" t="s">
        <v>11063</v>
      </c>
      <c r="J1384" s="11">
        <v>44729.706458333334</v>
      </c>
      <c r="K1384" s="1" t="s">
        <v>4639</v>
      </c>
      <c r="L1384" s="1">
        <v>0.75700000000000001</v>
      </c>
      <c r="M1384" s="1">
        <v>0.74</v>
      </c>
      <c r="N1384">
        <v>5</v>
      </c>
      <c r="O1384" s="1">
        <v>-7.093</v>
      </c>
      <c r="P1384">
        <v>1</v>
      </c>
      <c r="Q1384" s="1">
        <v>0.78200000000000003</v>
      </c>
      <c r="R1384" s="1">
        <v>0.59</v>
      </c>
      <c r="S1384" s="1">
        <v>0.55500000000000005</v>
      </c>
      <c r="T1384" s="1">
        <v>0.52500000000000002</v>
      </c>
      <c r="U1384" s="1">
        <v>0.45700000000000002</v>
      </c>
      <c r="V1384" s="1">
        <v>100.01600000000001</v>
      </c>
      <c r="W1384">
        <v>4</v>
      </c>
    </row>
    <row r="1385" spans="1:23" x14ac:dyDescent="0.25">
      <c r="A1385" s="1" t="s">
        <v>16590</v>
      </c>
      <c r="B1385" s="1" t="s">
        <v>16591</v>
      </c>
      <c r="C1385" s="1" t="s">
        <v>4640</v>
      </c>
      <c r="D1385" s="1" t="s">
        <v>16592</v>
      </c>
      <c r="E1385" s="1" t="s">
        <v>4641</v>
      </c>
      <c r="F1385" s="1" t="s">
        <v>14499</v>
      </c>
      <c r="G1385">
        <v>211428</v>
      </c>
      <c r="H1385">
        <v>32</v>
      </c>
      <c r="I1385" s="1" t="s">
        <v>11063</v>
      </c>
      <c r="J1385" s="11">
        <v>44729.706458333334</v>
      </c>
      <c r="K1385" s="1" t="s">
        <v>4642</v>
      </c>
      <c r="L1385" s="1">
        <v>0.46899999999999997</v>
      </c>
      <c r="M1385" s="1">
        <v>0.63700000000000001</v>
      </c>
      <c r="N1385">
        <v>6</v>
      </c>
      <c r="O1385" s="1">
        <v>-8.952</v>
      </c>
      <c r="P1385">
        <v>0</v>
      </c>
      <c r="Q1385" s="1">
        <v>0.376</v>
      </c>
      <c r="R1385" s="1">
        <v>0.372</v>
      </c>
      <c r="S1385" s="1">
        <v>0.38900000000000001</v>
      </c>
      <c r="T1385" s="1">
        <v>0.98199999999999998</v>
      </c>
      <c r="U1385" s="1">
        <v>0.20100000000000001</v>
      </c>
      <c r="V1385" s="1">
        <v>105.03700000000001</v>
      </c>
      <c r="W1385">
        <v>4</v>
      </c>
    </row>
    <row r="1386" spans="1:23" x14ac:dyDescent="0.25">
      <c r="A1386" s="1" t="s">
        <v>16593</v>
      </c>
      <c r="B1386" s="1" t="s">
        <v>16594</v>
      </c>
      <c r="C1386" s="1" t="s">
        <v>4643</v>
      </c>
      <c r="D1386" s="1" t="s">
        <v>4643</v>
      </c>
      <c r="E1386" s="1" t="s">
        <v>4644</v>
      </c>
      <c r="F1386" s="1" t="s">
        <v>15350</v>
      </c>
      <c r="G1386">
        <v>144391</v>
      </c>
      <c r="H1386">
        <v>71</v>
      </c>
      <c r="I1386" s="1" t="s">
        <v>11063</v>
      </c>
      <c r="J1386" s="11">
        <v>44729.706458333334</v>
      </c>
      <c r="K1386" s="1" t="s">
        <v>4645</v>
      </c>
      <c r="L1386" s="1">
        <v>0.85899999999999999</v>
      </c>
      <c r="M1386" s="1">
        <v>0.55800000000000005</v>
      </c>
      <c r="N1386">
        <v>7</v>
      </c>
      <c r="O1386" s="1">
        <v>-8.9909999999999997</v>
      </c>
      <c r="P1386">
        <v>0</v>
      </c>
      <c r="Q1386" s="1">
        <v>0.90200000000000002</v>
      </c>
      <c r="R1386" s="1">
        <v>0.65900000000000003</v>
      </c>
      <c r="S1386" s="1">
        <v>0.32400000000000001</v>
      </c>
      <c r="T1386" s="1">
        <v>0.124</v>
      </c>
      <c r="U1386" s="1">
        <v>0.35699999999999998</v>
      </c>
      <c r="V1386" s="1">
        <v>114.97799999999999</v>
      </c>
      <c r="W1386">
        <v>4</v>
      </c>
    </row>
    <row r="1387" spans="1:23" x14ac:dyDescent="0.25">
      <c r="A1387" s="1" t="s">
        <v>16595</v>
      </c>
      <c r="B1387" s="1" t="s">
        <v>16596</v>
      </c>
      <c r="C1387" s="1" t="s">
        <v>4646</v>
      </c>
      <c r="D1387" s="1" t="s">
        <v>4646</v>
      </c>
      <c r="E1387" s="1" t="s">
        <v>4647</v>
      </c>
      <c r="F1387" s="1" t="s">
        <v>16597</v>
      </c>
      <c r="G1387">
        <v>192197</v>
      </c>
      <c r="H1387">
        <v>47</v>
      </c>
      <c r="I1387" s="1" t="s">
        <v>11063</v>
      </c>
      <c r="J1387" s="11">
        <v>44729.706458333334</v>
      </c>
      <c r="K1387" s="1" t="s">
        <v>4648</v>
      </c>
      <c r="L1387" s="1">
        <v>0.66800000000000004</v>
      </c>
      <c r="M1387" s="1">
        <v>0.72599999999999998</v>
      </c>
      <c r="N1387">
        <v>9</v>
      </c>
      <c r="O1387" s="1">
        <v>-4.9219999999999997</v>
      </c>
      <c r="P1387">
        <v>0</v>
      </c>
      <c r="Q1387" s="1">
        <v>0.53700000000000003</v>
      </c>
      <c r="R1387" s="1">
        <v>0.35699999999999998</v>
      </c>
      <c r="S1387" s="1">
        <v>0.155</v>
      </c>
      <c r="T1387" s="1">
        <v>0.23200000000000001</v>
      </c>
      <c r="U1387" s="1">
        <v>0.68400000000000005</v>
      </c>
      <c r="V1387" s="1">
        <v>127.97</v>
      </c>
      <c r="W1387">
        <v>4</v>
      </c>
    </row>
    <row r="1388" spans="1:23" x14ac:dyDescent="0.25">
      <c r="A1388" s="1" t="s">
        <v>16598</v>
      </c>
      <c r="B1388" s="1" t="s">
        <v>13734</v>
      </c>
      <c r="C1388" s="1" t="s">
        <v>2184</v>
      </c>
      <c r="D1388" s="1" t="s">
        <v>13731</v>
      </c>
      <c r="E1388" s="1" t="s">
        <v>2185</v>
      </c>
      <c r="F1388" s="1" t="s">
        <v>13732</v>
      </c>
      <c r="G1388">
        <v>311866</v>
      </c>
      <c r="H1388">
        <v>36</v>
      </c>
      <c r="I1388" s="1" t="s">
        <v>11063</v>
      </c>
      <c r="J1388" s="11">
        <v>44729.706458333334</v>
      </c>
      <c r="K1388" s="1" t="s">
        <v>2186</v>
      </c>
      <c r="L1388" s="1">
        <v>0.61699999999999999</v>
      </c>
      <c r="M1388" s="1">
        <v>0.71699999999999997</v>
      </c>
      <c r="N1388">
        <v>10</v>
      </c>
      <c r="O1388" s="1">
        <v>-7.8579999999999997</v>
      </c>
      <c r="P1388">
        <v>0</v>
      </c>
      <c r="Q1388" s="1">
        <v>0.153</v>
      </c>
      <c r="R1388" s="1">
        <v>0.56399999999999995</v>
      </c>
      <c r="S1388" s="1">
        <v>0</v>
      </c>
      <c r="T1388" s="1">
        <v>0.40799999999999997</v>
      </c>
      <c r="U1388" s="1">
        <v>0.49</v>
      </c>
      <c r="V1388" s="1">
        <v>103.992</v>
      </c>
      <c r="W1388">
        <v>4</v>
      </c>
    </row>
    <row r="1389" spans="1:23" x14ac:dyDescent="0.25">
      <c r="A1389" s="1" t="s">
        <v>16599</v>
      </c>
      <c r="B1389" s="1" t="s">
        <v>13734</v>
      </c>
      <c r="C1389" s="1" t="s">
        <v>4649</v>
      </c>
      <c r="D1389" s="1" t="s">
        <v>16600</v>
      </c>
      <c r="E1389" s="1" t="s">
        <v>2185</v>
      </c>
      <c r="F1389" s="1" t="s">
        <v>16601</v>
      </c>
      <c r="G1389">
        <v>292093</v>
      </c>
      <c r="H1389">
        <v>78</v>
      </c>
      <c r="I1389" s="1" t="s">
        <v>11063</v>
      </c>
      <c r="J1389" s="11">
        <v>44729.706458333334</v>
      </c>
      <c r="K1389" s="1" t="s">
        <v>2186</v>
      </c>
      <c r="L1389" s="1">
        <v>0.54200000000000004</v>
      </c>
      <c r="M1389" s="1">
        <v>0.91400000000000003</v>
      </c>
      <c r="N1389">
        <v>0</v>
      </c>
      <c r="O1389" s="1">
        <v>-4.7469999999999999</v>
      </c>
      <c r="P1389">
        <v>0</v>
      </c>
      <c r="Q1389" s="1">
        <v>0.113</v>
      </c>
      <c r="R1389" s="1">
        <v>0.161</v>
      </c>
      <c r="S1389" s="1">
        <v>0</v>
      </c>
      <c r="T1389" s="1">
        <v>0.74399999999999999</v>
      </c>
      <c r="U1389" s="1">
        <v>0.57599999999999996</v>
      </c>
      <c r="V1389" s="1">
        <v>153.99299999999999</v>
      </c>
      <c r="W1389">
        <v>4</v>
      </c>
    </row>
    <row r="1390" spans="1:23" x14ac:dyDescent="0.25">
      <c r="A1390" s="1" t="s">
        <v>16602</v>
      </c>
      <c r="B1390" s="1" t="s">
        <v>16603</v>
      </c>
      <c r="C1390" s="1" t="s">
        <v>4650</v>
      </c>
      <c r="D1390" s="1" t="s">
        <v>4650</v>
      </c>
      <c r="E1390" s="1" t="s">
        <v>4651</v>
      </c>
      <c r="F1390" s="1" t="s">
        <v>16604</v>
      </c>
      <c r="G1390">
        <v>211975</v>
      </c>
      <c r="H1390">
        <v>51</v>
      </c>
      <c r="I1390" s="1" t="s">
        <v>11063</v>
      </c>
      <c r="J1390" s="11">
        <v>44729.706458333334</v>
      </c>
      <c r="K1390" s="1" t="s">
        <v>4652</v>
      </c>
      <c r="L1390" s="1">
        <v>0.69899999999999995</v>
      </c>
      <c r="M1390" s="1">
        <v>0.88300000000000001</v>
      </c>
      <c r="N1390">
        <v>5</v>
      </c>
      <c r="O1390" s="1">
        <v>-3.226</v>
      </c>
      <c r="P1390">
        <v>0</v>
      </c>
      <c r="Q1390" s="1">
        <v>0.219</v>
      </c>
      <c r="R1390" s="1">
        <v>0.28799999999999998</v>
      </c>
      <c r="S1390" s="1">
        <v>0</v>
      </c>
      <c r="T1390" s="1">
        <v>0.81699999999999995</v>
      </c>
      <c r="U1390" s="1">
        <v>0.499</v>
      </c>
      <c r="V1390" s="1">
        <v>127.961</v>
      </c>
      <c r="W1390">
        <v>4</v>
      </c>
    </row>
    <row r="1391" spans="1:23" x14ac:dyDescent="0.25">
      <c r="A1391" s="1" t="s">
        <v>16605</v>
      </c>
      <c r="B1391" s="1" t="s">
        <v>16606</v>
      </c>
      <c r="C1391" s="1" t="s">
        <v>4653</v>
      </c>
      <c r="D1391" s="1" t="s">
        <v>7175</v>
      </c>
      <c r="E1391" s="1" t="s">
        <v>4654</v>
      </c>
      <c r="F1391" s="1" t="s">
        <v>14780</v>
      </c>
      <c r="G1391">
        <v>286666</v>
      </c>
      <c r="H1391">
        <v>26</v>
      </c>
      <c r="I1391" s="1" t="s">
        <v>11063</v>
      </c>
      <c r="J1391" s="11">
        <v>44729.706458333334</v>
      </c>
      <c r="K1391" s="1" t="s">
        <v>50</v>
      </c>
      <c r="L1391" s="1">
        <v>0.56499999999999995</v>
      </c>
      <c r="M1391" s="1">
        <v>0.52700000000000002</v>
      </c>
      <c r="N1391">
        <v>6</v>
      </c>
      <c r="O1391" s="1">
        <v>-9.0690000000000008</v>
      </c>
      <c r="P1391">
        <v>1</v>
      </c>
      <c r="Q1391" s="1">
        <v>0.32500000000000001</v>
      </c>
      <c r="R1391" s="1">
        <v>0.874</v>
      </c>
      <c r="S1391" s="1">
        <v>0.16</v>
      </c>
      <c r="T1391" s="1">
        <v>0.99</v>
      </c>
      <c r="U1391" s="1">
        <v>0.39900000000000002</v>
      </c>
      <c r="V1391" s="1">
        <v>143.91999999999999</v>
      </c>
      <c r="W1391">
        <v>4</v>
      </c>
    </row>
    <row r="1392" spans="1:23" x14ac:dyDescent="0.25">
      <c r="A1392" s="1" t="s">
        <v>16607</v>
      </c>
      <c r="B1392" s="1" t="s">
        <v>16608</v>
      </c>
      <c r="C1392" s="1" t="s">
        <v>4655</v>
      </c>
      <c r="D1392" s="1" t="s">
        <v>16609</v>
      </c>
      <c r="E1392" s="1" t="s">
        <v>4656</v>
      </c>
      <c r="F1392" s="1" t="s">
        <v>16610</v>
      </c>
      <c r="G1392">
        <v>186000</v>
      </c>
      <c r="H1392">
        <v>30</v>
      </c>
      <c r="I1392" s="1" t="s">
        <v>11063</v>
      </c>
      <c r="J1392" s="11">
        <v>44729.706458333334</v>
      </c>
      <c r="K1392" s="1" t="s">
        <v>4657</v>
      </c>
      <c r="L1392" s="1">
        <v>0.69899999999999995</v>
      </c>
      <c r="M1392" s="1">
        <v>0.9</v>
      </c>
      <c r="N1392">
        <v>5</v>
      </c>
      <c r="O1392" s="1">
        <v>-6.4409999999999998</v>
      </c>
      <c r="P1392">
        <v>0</v>
      </c>
      <c r="Q1392" s="1">
        <v>0.14199999999999999</v>
      </c>
      <c r="R1392" s="1">
        <v>0.58799999999999997</v>
      </c>
      <c r="S1392" s="1">
        <v>0.27700000000000002</v>
      </c>
      <c r="T1392" s="1">
        <v>0.35499999999999998</v>
      </c>
      <c r="U1392" s="1">
        <v>0.21099999999999999</v>
      </c>
      <c r="V1392" s="1">
        <v>120.005</v>
      </c>
      <c r="W1392">
        <v>4</v>
      </c>
    </row>
    <row r="1393" spans="1:23" x14ac:dyDescent="0.25">
      <c r="A1393" s="1" t="s">
        <v>16611</v>
      </c>
      <c r="B1393" s="1" t="s">
        <v>16612</v>
      </c>
      <c r="C1393" s="1" t="s">
        <v>4658</v>
      </c>
      <c r="D1393" s="1" t="s">
        <v>4658</v>
      </c>
      <c r="E1393" s="1" t="s">
        <v>4659</v>
      </c>
      <c r="F1393" s="1" t="s">
        <v>14535</v>
      </c>
      <c r="G1393">
        <v>224571</v>
      </c>
      <c r="H1393">
        <v>35</v>
      </c>
      <c r="I1393" s="1" t="s">
        <v>11063</v>
      </c>
      <c r="J1393" s="11">
        <v>44729.706458333334</v>
      </c>
      <c r="K1393" s="1" t="s">
        <v>994</v>
      </c>
      <c r="L1393" s="1">
        <v>0.77200000000000002</v>
      </c>
      <c r="M1393" s="1">
        <v>0.56200000000000006</v>
      </c>
      <c r="N1393">
        <v>1</v>
      </c>
      <c r="O1393" s="1">
        <v>-7.4669999999999996</v>
      </c>
      <c r="P1393">
        <v>1</v>
      </c>
      <c r="Q1393" s="1">
        <v>0.41799999999999998</v>
      </c>
      <c r="R1393" s="1">
        <v>0.17399999999999999</v>
      </c>
      <c r="S1393" s="1">
        <v>0.70499999999999996</v>
      </c>
      <c r="T1393" s="1">
        <v>0.88700000000000001</v>
      </c>
      <c r="U1393" s="1">
        <v>0.41299999999999998</v>
      </c>
      <c r="V1393" s="1">
        <v>140.06</v>
      </c>
      <c r="W1393">
        <v>4</v>
      </c>
    </row>
    <row r="1394" spans="1:23" x14ac:dyDescent="0.25">
      <c r="A1394" s="1" t="s">
        <v>16613</v>
      </c>
      <c r="B1394" s="1" t="s">
        <v>16614</v>
      </c>
      <c r="C1394" s="1" t="s">
        <v>4660</v>
      </c>
      <c r="D1394" s="1" t="s">
        <v>16615</v>
      </c>
      <c r="E1394" s="1" t="s">
        <v>4661</v>
      </c>
      <c r="F1394" s="1" t="s">
        <v>16616</v>
      </c>
      <c r="G1394">
        <v>195200</v>
      </c>
      <c r="H1394">
        <v>39</v>
      </c>
      <c r="I1394" s="1" t="s">
        <v>11063</v>
      </c>
      <c r="J1394" s="11">
        <v>44729.706458333334</v>
      </c>
      <c r="K1394" s="1" t="s">
        <v>4662</v>
      </c>
      <c r="L1394" s="1">
        <v>0.59099999999999997</v>
      </c>
      <c r="M1394" s="1">
        <v>0.77900000000000003</v>
      </c>
      <c r="N1394">
        <v>8</v>
      </c>
      <c r="O1394" s="1">
        <v>-5.7670000000000003</v>
      </c>
      <c r="P1394">
        <v>1</v>
      </c>
      <c r="Q1394" s="1">
        <v>0.38100000000000001</v>
      </c>
      <c r="R1394" s="1">
        <v>0.94099999999999995</v>
      </c>
      <c r="S1394" s="1">
        <v>0.51400000000000001</v>
      </c>
      <c r="T1394" s="1">
        <v>0.113</v>
      </c>
      <c r="U1394" s="1">
        <v>0.36399999999999999</v>
      </c>
      <c r="V1394" s="1">
        <v>150.02099999999999</v>
      </c>
      <c r="W1394">
        <v>4</v>
      </c>
    </row>
    <row r="1395" spans="1:23" x14ac:dyDescent="0.25">
      <c r="A1395" s="1" t="s">
        <v>16617</v>
      </c>
      <c r="B1395" s="1" t="s">
        <v>16618</v>
      </c>
      <c r="C1395" s="1" t="s">
        <v>4663</v>
      </c>
      <c r="D1395" s="1" t="s">
        <v>4663</v>
      </c>
      <c r="E1395" s="1" t="s">
        <v>4664</v>
      </c>
      <c r="F1395" s="1" t="s">
        <v>16619</v>
      </c>
      <c r="G1395">
        <v>232109</v>
      </c>
      <c r="H1395">
        <v>34</v>
      </c>
      <c r="I1395" s="1" t="s">
        <v>11063</v>
      </c>
      <c r="J1395" s="11">
        <v>44729.706458333334</v>
      </c>
      <c r="K1395" s="1" t="s">
        <v>4665</v>
      </c>
      <c r="L1395" s="1">
        <v>0.42699999999999999</v>
      </c>
      <c r="M1395" s="1">
        <v>0.95599999999999996</v>
      </c>
      <c r="N1395">
        <v>0</v>
      </c>
      <c r="O1395" s="1">
        <v>-1.2050000000000001</v>
      </c>
      <c r="P1395">
        <v>0</v>
      </c>
      <c r="Q1395" s="1">
        <v>0.71399999999999997</v>
      </c>
      <c r="R1395" s="1">
        <v>0.88900000000000001</v>
      </c>
      <c r="S1395" s="1">
        <v>0.151</v>
      </c>
      <c r="T1395" s="1">
        <v>0.16500000000000001</v>
      </c>
      <c r="U1395" s="1">
        <v>0.19500000000000001</v>
      </c>
      <c r="V1395" s="1">
        <v>152.029</v>
      </c>
      <c r="W1395">
        <v>4</v>
      </c>
    </row>
    <row r="1396" spans="1:23" x14ac:dyDescent="0.25">
      <c r="A1396" s="1" t="s">
        <v>16620</v>
      </c>
      <c r="B1396" s="1" t="s">
        <v>16621</v>
      </c>
      <c r="C1396" s="1" t="s">
        <v>4666</v>
      </c>
      <c r="D1396" s="1" t="s">
        <v>4666</v>
      </c>
      <c r="E1396" s="1" t="s">
        <v>4667</v>
      </c>
      <c r="F1396" s="1" t="s">
        <v>14073</v>
      </c>
      <c r="G1396">
        <v>194000</v>
      </c>
      <c r="H1396">
        <v>37</v>
      </c>
      <c r="I1396" s="1" t="s">
        <v>11063</v>
      </c>
      <c r="J1396" s="11">
        <v>44729.706458333334</v>
      </c>
      <c r="K1396" s="1" t="s">
        <v>50</v>
      </c>
      <c r="L1396" s="1">
        <v>0.58699999999999997</v>
      </c>
      <c r="M1396" s="1">
        <v>0.45500000000000002</v>
      </c>
      <c r="N1396">
        <v>5</v>
      </c>
      <c r="O1396" s="1">
        <v>-11.044</v>
      </c>
      <c r="P1396">
        <v>1</v>
      </c>
      <c r="Q1396" s="1">
        <v>0.83799999999999997</v>
      </c>
      <c r="R1396" s="1">
        <v>0.38100000000000001</v>
      </c>
      <c r="S1396" s="1">
        <v>0.28899999999999998</v>
      </c>
      <c r="T1396" s="1">
        <v>0.11</v>
      </c>
      <c r="U1396" s="1">
        <v>0.377</v>
      </c>
      <c r="V1396" s="1">
        <v>119.75700000000001</v>
      </c>
      <c r="W1396">
        <v>4</v>
      </c>
    </row>
    <row r="1397" spans="1:23" x14ac:dyDescent="0.25">
      <c r="A1397" s="1" t="s">
        <v>16622</v>
      </c>
      <c r="B1397" s="1" t="s">
        <v>16623</v>
      </c>
      <c r="C1397" s="1" t="s">
        <v>4668</v>
      </c>
      <c r="D1397" s="1" t="s">
        <v>4668</v>
      </c>
      <c r="E1397" s="1" t="s">
        <v>4669</v>
      </c>
      <c r="F1397" s="1" t="s">
        <v>13520</v>
      </c>
      <c r="G1397">
        <v>216282</v>
      </c>
      <c r="H1397">
        <v>34</v>
      </c>
      <c r="I1397" s="1" t="s">
        <v>11063</v>
      </c>
      <c r="J1397" s="11">
        <v>44729.706458333334</v>
      </c>
      <c r="K1397" s="1" t="s">
        <v>4670</v>
      </c>
      <c r="L1397" s="1">
        <v>0.59699999999999998</v>
      </c>
      <c r="M1397" s="1">
        <v>0.39</v>
      </c>
      <c r="N1397">
        <v>1</v>
      </c>
      <c r="O1397" s="1">
        <v>-9.93</v>
      </c>
      <c r="P1397">
        <v>0</v>
      </c>
      <c r="Q1397" s="1">
        <v>0.70599999999999996</v>
      </c>
      <c r="R1397" s="1">
        <v>0.46200000000000002</v>
      </c>
      <c r="S1397" s="1">
        <v>0.28199999999999997</v>
      </c>
      <c r="T1397" s="1">
        <v>0.59499999999999997</v>
      </c>
      <c r="U1397" s="1">
        <v>0.34200000000000003</v>
      </c>
      <c r="V1397" s="1">
        <v>119.124</v>
      </c>
      <c r="W1397">
        <v>4</v>
      </c>
    </row>
    <row r="1398" spans="1:23" x14ac:dyDescent="0.25">
      <c r="A1398" s="1" t="s">
        <v>16624</v>
      </c>
      <c r="B1398" s="1" t="s">
        <v>16625</v>
      </c>
      <c r="C1398" s="1" t="s">
        <v>4671</v>
      </c>
      <c r="D1398" s="1" t="s">
        <v>4671</v>
      </c>
      <c r="E1398" s="1" t="s">
        <v>4672</v>
      </c>
      <c r="F1398" s="1" t="s">
        <v>16626</v>
      </c>
      <c r="G1398">
        <v>218666</v>
      </c>
      <c r="H1398">
        <v>34</v>
      </c>
      <c r="I1398" s="1" t="s">
        <v>11063</v>
      </c>
      <c r="J1398" s="11">
        <v>44729.706458333334</v>
      </c>
      <c r="K1398" s="1" t="s">
        <v>4673</v>
      </c>
      <c r="L1398" s="1">
        <v>0.48899999999999999</v>
      </c>
      <c r="M1398" s="1">
        <v>0.75700000000000001</v>
      </c>
      <c r="N1398">
        <v>1</v>
      </c>
      <c r="O1398" s="1">
        <v>-5.2290000000000001</v>
      </c>
      <c r="P1398">
        <v>1</v>
      </c>
      <c r="Q1398" s="1">
        <v>0.66</v>
      </c>
      <c r="R1398" s="1">
        <v>0.11600000000000001</v>
      </c>
      <c r="S1398" s="1">
        <v>0.32700000000000001</v>
      </c>
      <c r="T1398" s="1">
        <v>0.754</v>
      </c>
      <c r="U1398" s="1">
        <v>0.254</v>
      </c>
      <c r="V1398" s="1">
        <v>89.944000000000003</v>
      </c>
      <c r="W1398">
        <v>4</v>
      </c>
    </row>
    <row r="1399" spans="1:23" x14ac:dyDescent="0.25">
      <c r="A1399" s="1" t="s">
        <v>16627</v>
      </c>
      <c r="B1399" s="1" t="s">
        <v>16628</v>
      </c>
      <c r="C1399" s="1" t="s">
        <v>4674</v>
      </c>
      <c r="D1399" s="1" t="s">
        <v>16629</v>
      </c>
      <c r="E1399" s="1" t="s">
        <v>4675</v>
      </c>
      <c r="F1399" s="1" t="s">
        <v>16630</v>
      </c>
      <c r="G1399">
        <v>266451</v>
      </c>
      <c r="H1399">
        <v>37</v>
      </c>
      <c r="I1399" s="1" t="s">
        <v>11063</v>
      </c>
      <c r="J1399" s="11">
        <v>44729.706458333334</v>
      </c>
      <c r="K1399" s="1" t="s">
        <v>4676</v>
      </c>
      <c r="L1399" s="1">
        <v>0.52300000000000002</v>
      </c>
      <c r="M1399" s="1">
        <v>0.50700000000000001</v>
      </c>
      <c r="N1399">
        <v>1</v>
      </c>
      <c r="O1399" s="1">
        <v>-8.4550000000000001</v>
      </c>
      <c r="P1399">
        <v>0</v>
      </c>
      <c r="Q1399" s="1">
        <v>0.34599999999999997</v>
      </c>
      <c r="R1399" s="1">
        <v>0.629</v>
      </c>
      <c r="S1399" s="1">
        <v>0.14099999999999999</v>
      </c>
      <c r="T1399" s="1">
        <v>0.90900000000000003</v>
      </c>
      <c r="U1399" s="1">
        <v>0.13900000000000001</v>
      </c>
      <c r="V1399" s="1">
        <v>93.027000000000001</v>
      </c>
      <c r="W1399">
        <v>4</v>
      </c>
    </row>
    <row r="1400" spans="1:23" x14ac:dyDescent="0.25">
      <c r="A1400" s="1" t="s">
        <v>16631</v>
      </c>
      <c r="B1400" s="1" t="s">
        <v>16632</v>
      </c>
      <c r="C1400" s="1" t="s">
        <v>4677</v>
      </c>
      <c r="D1400" s="1" t="s">
        <v>4677</v>
      </c>
      <c r="E1400" s="1" t="s">
        <v>4678</v>
      </c>
      <c r="F1400" s="1" t="s">
        <v>16633</v>
      </c>
      <c r="G1400">
        <v>185379</v>
      </c>
      <c r="H1400">
        <v>35</v>
      </c>
      <c r="I1400" s="1" t="s">
        <v>11063</v>
      </c>
      <c r="J1400" s="11">
        <v>44729.706458333334</v>
      </c>
      <c r="K1400" s="1" t="s">
        <v>4679</v>
      </c>
      <c r="L1400" s="1">
        <v>0.43099999999999999</v>
      </c>
      <c r="M1400" s="1">
        <v>0.93600000000000005</v>
      </c>
      <c r="N1400">
        <v>2</v>
      </c>
      <c r="O1400" s="1">
        <v>-5.7510000000000003</v>
      </c>
      <c r="P1400">
        <v>1</v>
      </c>
      <c r="Q1400" s="1">
        <v>0.59199999999999997</v>
      </c>
      <c r="R1400" s="1">
        <v>0.34699999999999998</v>
      </c>
      <c r="S1400" s="1">
        <v>0.18</v>
      </c>
      <c r="T1400" s="1">
        <v>0.65600000000000003</v>
      </c>
      <c r="U1400" s="1">
        <v>0.54800000000000004</v>
      </c>
      <c r="V1400" s="1">
        <v>145.167</v>
      </c>
      <c r="W1400">
        <v>3</v>
      </c>
    </row>
    <row r="1401" spans="1:23" x14ac:dyDescent="0.25">
      <c r="A1401" s="1" t="s">
        <v>16634</v>
      </c>
      <c r="B1401" s="1" t="s">
        <v>16635</v>
      </c>
      <c r="C1401" s="1" t="s">
        <v>4680</v>
      </c>
      <c r="D1401" s="1" t="s">
        <v>4680</v>
      </c>
      <c r="E1401" s="1" t="s">
        <v>4681</v>
      </c>
      <c r="F1401" s="1" t="s">
        <v>16636</v>
      </c>
      <c r="G1401">
        <v>178050</v>
      </c>
      <c r="H1401">
        <v>28</v>
      </c>
      <c r="I1401" s="1" t="s">
        <v>11063</v>
      </c>
      <c r="J1401" s="11">
        <v>44729.706458333334</v>
      </c>
      <c r="K1401" s="1" t="s">
        <v>992</v>
      </c>
      <c r="L1401" s="1">
        <v>0.496</v>
      </c>
      <c r="M1401" s="1">
        <v>0.60699999999999998</v>
      </c>
      <c r="N1401">
        <v>4</v>
      </c>
      <c r="O1401" s="1">
        <v>-6.9089999999999998</v>
      </c>
      <c r="P1401">
        <v>0</v>
      </c>
      <c r="Q1401" s="1">
        <v>0.74199999999999999</v>
      </c>
      <c r="R1401" s="1">
        <v>0.91100000000000003</v>
      </c>
      <c r="S1401" s="1">
        <v>0</v>
      </c>
      <c r="T1401" s="1">
        <v>0.223</v>
      </c>
      <c r="U1401" s="1">
        <v>0.17399999999999999</v>
      </c>
      <c r="V1401" s="1">
        <v>150.006</v>
      </c>
      <c r="W1401">
        <v>4</v>
      </c>
    </row>
    <row r="1402" spans="1:23" x14ac:dyDescent="0.25">
      <c r="A1402" s="1" t="s">
        <v>16637</v>
      </c>
      <c r="B1402" s="1" t="s">
        <v>15563</v>
      </c>
      <c r="C1402" s="1" t="s">
        <v>72</v>
      </c>
      <c r="D1402" s="1" t="s">
        <v>72</v>
      </c>
      <c r="E1402" s="1" t="s">
        <v>3783</v>
      </c>
      <c r="F1402" s="1" t="s">
        <v>16638</v>
      </c>
      <c r="G1402">
        <v>195953</v>
      </c>
      <c r="H1402">
        <v>40</v>
      </c>
      <c r="I1402" s="1" t="s">
        <v>11063</v>
      </c>
      <c r="J1402" s="11">
        <v>44729.706458333334</v>
      </c>
      <c r="K1402" s="1" t="s">
        <v>3784</v>
      </c>
      <c r="L1402" s="1">
        <v>0.502</v>
      </c>
      <c r="M1402" s="1">
        <v>0.91700000000000004</v>
      </c>
      <c r="N1402">
        <v>7</v>
      </c>
      <c r="O1402" s="1">
        <v>-4.2160000000000002</v>
      </c>
      <c r="P1402">
        <v>0</v>
      </c>
      <c r="Q1402" s="1">
        <v>0.73199999999999998</v>
      </c>
      <c r="R1402" s="1">
        <v>0.44800000000000001</v>
      </c>
      <c r="S1402" s="1">
        <v>0.1</v>
      </c>
      <c r="T1402" s="1">
        <v>0.13900000000000001</v>
      </c>
      <c r="U1402" s="1">
        <v>0.13</v>
      </c>
      <c r="V1402" s="1">
        <v>75.997</v>
      </c>
      <c r="W1402">
        <v>4</v>
      </c>
    </row>
    <row r="1403" spans="1:23" x14ac:dyDescent="0.25">
      <c r="A1403" s="1" t="s">
        <v>16639</v>
      </c>
      <c r="B1403" s="1" t="s">
        <v>16640</v>
      </c>
      <c r="C1403" s="1" t="s">
        <v>4682</v>
      </c>
      <c r="D1403" s="1" t="s">
        <v>6488</v>
      </c>
      <c r="E1403" s="1" t="s">
        <v>4683</v>
      </c>
      <c r="F1403" s="1" t="s">
        <v>15406</v>
      </c>
      <c r="G1403">
        <v>336000</v>
      </c>
      <c r="H1403">
        <v>38</v>
      </c>
      <c r="I1403" s="1" t="s">
        <v>11063</v>
      </c>
      <c r="J1403" s="11">
        <v>44729.706458333334</v>
      </c>
      <c r="K1403" s="1" t="s">
        <v>998</v>
      </c>
      <c r="L1403" s="1">
        <v>0.52700000000000002</v>
      </c>
      <c r="M1403" s="1">
        <v>0.65900000000000003</v>
      </c>
      <c r="N1403">
        <v>2</v>
      </c>
      <c r="O1403" s="1">
        <v>-6.5339999999999998</v>
      </c>
      <c r="P1403">
        <v>1</v>
      </c>
      <c r="Q1403" s="1">
        <v>0.34200000000000003</v>
      </c>
      <c r="R1403" s="1">
        <v>0.65700000000000003</v>
      </c>
      <c r="S1403" s="1">
        <v>0.73599999999999999</v>
      </c>
      <c r="T1403" s="1">
        <v>0.95099999999999996</v>
      </c>
      <c r="U1403" s="1">
        <v>0.126</v>
      </c>
      <c r="V1403" s="1">
        <v>100.01</v>
      </c>
      <c r="W1403">
        <v>4</v>
      </c>
    </row>
    <row r="1404" spans="1:23" x14ac:dyDescent="0.25">
      <c r="A1404" s="1" t="s">
        <v>16641</v>
      </c>
      <c r="B1404" s="1" t="s">
        <v>16642</v>
      </c>
      <c r="C1404" s="1" t="s">
        <v>4684</v>
      </c>
      <c r="D1404" s="1" t="s">
        <v>16643</v>
      </c>
      <c r="E1404" s="1" t="s">
        <v>4685</v>
      </c>
      <c r="F1404" s="1" t="s">
        <v>16644</v>
      </c>
      <c r="G1404">
        <v>223953</v>
      </c>
      <c r="H1404">
        <v>35</v>
      </c>
      <c r="I1404" s="1" t="s">
        <v>11063</v>
      </c>
      <c r="J1404" s="11">
        <v>44729.706458333334</v>
      </c>
      <c r="K1404" s="1" t="s">
        <v>933</v>
      </c>
      <c r="L1404" s="1">
        <v>0.53200000000000003</v>
      </c>
      <c r="M1404" s="1">
        <v>0.71</v>
      </c>
      <c r="N1404">
        <v>11</v>
      </c>
      <c r="O1404" s="1">
        <v>-3.7850000000000001</v>
      </c>
      <c r="P1404">
        <v>0</v>
      </c>
      <c r="Q1404" s="1">
        <v>0.33800000000000002</v>
      </c>
      <c r="R1404" s="1">
        <v>0.48799999999999999</v>
      </c>
      <c r="S1404" s="1">
        <v>0.13500000000000001</v>
      </c>
      <c r="T1404" s="1">
        <v>0.67600000000000005</v>
      </c>
      <c r="U1404" s="1">
        <v>0.439</v>
      </c>
      <c r="V1404" s="1">
        <v>172.142</v>
      </c>
      <c r="W1404">
        <v>4</v>
      </c>
    </row>
    <row r="1405" spans="1:23" x14ac:dyDescent="0.25">
      <c r="A1405" s="1" t="s">
        <v>16645</v>
      </c>
      <c r="B1405" s="1" t="s">
        <v>16646</v>
      </c>
      <c r="C1405" s="1" t="s">
        <v>4686</v>
      </c>
      <c r="D1405" s="1" t="s">
        <v>4686</v>
      </c>
      <c r="E1405" s="1" t="s">
        <v>4687</v>
      </c>
      <c r="F1405" s="1" t="s">
        <v>16096</v>
      </c>
      <c r="G1405">
        <v>199500</v>
      </c>
      <c r="H1405">
        <v>34</v>
      </c>
      <c r="I1405" s="1" t="s">
        <v>11063</v>
      </c>
      <c r="J1405" s="11">
        <v>44729.706458333334</v>
      </c>
      <c r="K1405" s="1" t="s">
        <v>50</v>
      </c>
      <c r="L1405" s="1">
        <v>0.45700000000000002</v>
      </c>
      <c r="M1405" s="1">
        <v>0.78</v>
      </c>
      <c r="N1405">
        <v>8</v>
      </c>
      <c r="O1405" s="1">
        <v>-4.9349999999999996</v>
      </c>
      <c r="P1405">
        <v>0</v>
      </c>
      <c r="Q1405" s="1">
        <v>0.55300000000000005</v>
      </c>
      <c r="R1405" s="1">
        <v>0.20300000000000001</v>
      </c>
      <c r="S1405" s="1">
        <v>0.41399999999999998</v>
      </c>
      <c r="T1405" s="1">
        <v>0.53100000000000003</v>
      </c>
      <c r="U1405" s="1">
        <v>0.33</v>
      </c>
      <c r="V1405" s="1">
        <v>160.005</v>
      </c>
      <c r="W1405">
        <v>4</v>
      </c>
    </row>
    <row r="1406" spans="1:23" x14ac:dyDescent="0.25">
      <c r="A1406" s="1" t="s">
        <v>16647</v>
      </c>
      <c r="B1406" s="1" t="s">
        <v>16648</v>
      </c>
      <c r="C1406" s="1" t="s">
        <v>4688</v>
      </c>
      <c r="D1406" s="1" t="s">
        <v>4688</v>
      </c>
      <c r="E1406" s="1" t="s">
        <v>4689</v>
      </c>
      <c r="F1406" s="1" t="s">
        <v>14847</v>
      </c>
      <c r="G1406">
        <v>200824</v>
      </c>
      <c r="H1406">
        <v>33</v>
      </c>
      <c r="I1406" s="1" t="s">
        <v>11063</v>
      </c>
      <c r="J1406" s="11">
        <v>44729.706458333334</v>
      </c>
      <c r="K1406" s="1" t="s">
        <v>4690</v>
      </c>
      <c r="L1406" s="1">
        <v>0.55700000000000005</v>
      </c>
      <c r="M1406" s="1">
        <v>0.755</v>
      </c>
      <c r="N1406">
        <v>4</v>
      </c>
      <c r="O1406" s="1">
        <v>-6.944</v>
      </c>
      <c r="P1406">
        <v>0</v>
      </c>
      <c r="Q1406" s="1">
        <v>0.14599999999999999</v>
      </c>
      <c r="R1406" s="1">
        <v>0.497</v>
      </c>
      <c r="S1406" s="1">
        <v>0</v>
      </c>
      <c r="T1406" s="1">
        <v>0.14099999999999999</v>
      </c>
      <c r="U1406" s="1">
        <v>0.38400000000000001</v>
      </c>
      <c r="V1406" s="1">
        <v>169.89599999999999</v>
      </c>
      <c r="W1406">
        <v>4</v>
      </c>
    </row>
    <row r="1407" spans="1:23" x14ac:dyDescent="0.25">
      <c r="A1407" s="1" t="s">
        <v>16649</v>
      </c>
      <c r="B1407" s="1" t="s">
        <v>16650</v>
      </c>
      <c r="C1407" s="1" t="s">
        <v>4691</v>
      </c>
      <c r="D1407" s="1" t="s">
        <v>16651</v>
      </c>
      <c r="E1407" s="1" t="s">
        <v>4692</v>
      </c>
      <c r="F1407" s="1" t="s">
        <v>16471</v>
      </c>
      <c r="G1407">
        <v>211706</v>
      </c>
      <c r="H1407">
        <v>43</v>
      </c>
      <c r="I1407" s="1" t="s">
        <v>11063</v>
      </c>
      <c r="J1407" s="11">
        <v>44729.706458333334</v>
      </c>
      <c r="K1407" s="1" t="s">
        <v>4693</v>
      </c>
      <c r="L1407" s="1">
        <v>0.66600000000000004</v>
      </c>
      <c r="M1407" s="1">
        <v>0.67200000000000004</v>
      </c>
      <c r="N1407">
        <v>5</v>
      </c>
      <c r="O1407" s="1">
        <v>-7.3730000000000002</v>
      </c>
      <c r="P1407">
        <v>0</v>
      </c>
      <c r="Q1407" s="1">
        <v>0.58399999999999996</v>
      </c>
      <c r="R1407" s="1">
        <v>0.22700000000000001</v>
      </c>
      <c r="S1407" s="1">
        <v>0.14099999999999999</v>
      </c>
      <c r="T1407" s="1">
        <v>0.316</v>
      </c>
      <c r="U1407" s="1">
        <v>0.22900000000000001</v>
      </c>
      <c r="V1407" s="1">
        <v>100.027</v>
      </c>
      <c r="W1407">
        <v>4</v>
      </c>
    </row>
    <row r="1408" spans="1:23" x14ac:dyDescent="0.25">
      <c r="A1408" s="1" t="s">
        <v>16652</v>
      </c>
      <c r="B1408" s="1" t="s">
        <v>16653</v>
      </c>
      <c r="C1408" s="1" t="s">
        <v>4694</v>
      </c>
      <c r="D1408" s="1" t="s">
        <v>4694</v>
      </c>
      <c r="E1408" s="1" t="s">
        <v>4695</v>
      </c>
      <c r="F1408" s="1" t="s">
        <v>11527</v>
      </c>
      <c r="G1408">
        <v>199208</v>
      </c>
      <c r="H1408">
        <v>38</v>
      </c>
      <c r="I1408" s="1" t="s">
        <v>11063</v>
      </c>
      <c r="J1408" s="11">
        <v>44729.706458333334</v>
      </c>
      <c r="K1408" s="1" t="s">
        <v>996</v>
      </c>
      <c r="L1408" s="1">
        <v>0.34699999999999998</v>
      </c>
      <c r="M1408" s="1">
        <v>0.64500000000000002</v>
      </c>
      <c r="N1408">
        <v>9</v>
      </c>
      <c r="O1408" s="1">
        <v>-7.1550000000000002</v>
      </c>
      <c r="P1408">
        <v>0</v>
      </c>
      <c r="Q1408" s="1">
        <v>0.755</v>
      </c>
      <c r="R1408" s="1">
        <v>0.67900000000000005</v>
      </c>
      <c r="S1408" s="1">
        <v>0.61099999999999999</v>
      </c>
      <c r="T1408" s="1">
        <v>0.88800000000000001</v>
      </c>
      <c r="U1408" s="1">
        <v>0.20499999999999999</v>
      </c>
      <c r="V1408" s="1">
        <v>148.35400000000001</v>
      </c>
      <c r="W1408">
        <v>4</v>
      </c>
    </row>
    <row r="1409" spans="1:23" x14ac:dyDescent="0.25">
      <c r="A1409" s="1" t="s">
        <v>11588</v>
      </c>
      <c r="B1409" s="1" t="s">
        <v>11589</v>
      </c>
      <c r="C1409" s="1" t="s">
        <v>310</v>
      </c>
      <c r="D1409" s="1" t="s">
        <v>310</v>
      </c>
      <c r="E1409" s="1" t="s">
        <v>311</v>
      </c>
      <c r="F1409" s="1" t="s">
        <v>11471</v>
      </c>
      <c r="G1409">
        <v>285596</v>
      </c>
      <c r="H1409">
        <v>69</v>
      </c>
      <c r="I1409" s="1" t="s">
        <v>11063</v>
      </c>
      <c r="J1409" s="11">
        <v>44729.706458333334</v>
      </c>
      <c r="K1409" s="1" t="s">
        <v>312</v>
      </c>
      <c r="L1409" s="1">
        <v>0.63600000000000001</v>
      </c>
      <c r="M1409" s="1">
        <v>0.76100000000000001</v>
      </c>
      <c r="N1409">
        <v>9</v>
      </c>
      <c r="O1409" s="1">
        <v>-7.7519999999999998</v>
      </c>
      <c r="P1409">
        <v>0</v>
      </c>
      <c r="Q1409" s="1">
        <v>0.35</v>
      </c>
      <c r="R1409" s="1">
        <v>0.377</v>
      </c>
      <c r="S1409" s="1">
        <v>0.78400000000000003</v>
      </c>
      <c r="T1409" s="1">
        <v>0.85099999999999998</v>
      </c>
      <c r="U1409" s="1">
        <v>0.46300000000000002</v>
      </c>
      <c r="V1409" s="1">
        <v>120.837</v>
      </c>
      <c r="W1409">
        <v>4</v>
      </c>
    </row>
    <row r="1410" spans="1:23" x14ac:dyDescent="0.25">
      <c r="A1410" s="1" t="s">
        <v>16654</v>
      </c>
      <c r="B1410" s="1" t="s">
        <v>16655</v>
      </c>
      <c r="C1410" s="1" t="s">
        <v>4696</v>
      </c>
      <c r="D1410" s="1" t="s">
        <v>16656</v>
      </c>
      <c r="E1410" s="1" t="s">
        <v>4697</v>
      </c>
      <c r="F1410" s="1" t="s">
        <v>15934</v>
      </c>
      <c r="G1410">
        <v>215625</v>
      </c>
      <c r="H1410">
        <v>46</v>
      </c>
      <c r="I1410" s="1" t="s">
        <v>11063</v>
      </c>
      <c r="J1410" s="11">
        <v>44729.706458333334</v>
      </c>
      <c r="K1410" s="1" t="s">
        <v>4698</v>
      </c>
      <c r="L1410" s="1">
        <v>0.505</v>
      </c>
      <c r="M1410" s="1">
        <v>0.65200000000000002</v>
      </c>
      <c r="N1410">
        <v>7</v>
      </c>
      <c r="O1410" s="1">
        <v>-11.864000000000001</v>
      </c>
      <c r="P1410">
        <v>1</v>
      </c>
      <c r="Q1410" s="1">
        <v>0.45900000000000002</v>
      </c>
      <c r="R1410" s="1">
        <v>0.29299999999999998</v>
      </c>
      <c r="S1410" s="1">
        <v>0.80700000000000005</v>
      </c>
      <c r="T1410" s="1">
        <v>0.78</v>
      </c>
      <c r="U1410" s="1">
        <v>0.36499999999999999</v>
      </c>
      <c r="V1410" s="1">
        <v>128.00399999999999</v>
      </c>
      <c r="W1410">
        <v>4</v>
      </c>
    </row>
    <row r="1411" spans="1:23" x14ac:dyDescent="0.25">
      <c r="A1411" s="1" t="s">
        <v>16657</v>
      </c>
      <c r="B1411" s="1" t="s">
        <v>16658</v>
      </c>
      <c r="C1411" s="1" t="s">
        <v>4699</v>
      </c>
      <c r="D1411" s="1" t="s">
        <v>16659</v>
      </c>
      <c r="E1411" s="1" t="s">
        <v>4700</v>
      </c>
      <c r="F1411" s="1" t="s">
        <v>16660</v>
      </c>
      <c r="G1411">
        <v>210866</v>
      </c>
      <c r="H1411">
        <v>40</v>
      </c>
      <c r="I1411" s="1" t="s">
        <v>11063</v>
      </c>
      <c r="J1411" s="11">
        <v>44729.706458333334</v>
      </c>
      <c r="K1411" s="1" t="s">
        <v>1045</v>
      </c>
      <c r="L1411" s="1">
        <v>0.60199999999999998</v>
      </c>
      <c r="M1411" s="1">
        <v>0.82299999999999995</v>
      </c>
      <c r="N1411">
        <v>8</v>
      </c>
      <c r="O1411" s="1">
        <v>-5.056</v>
      </c>
      <c r="P1411">
        <v>1</v>
      </c>
      <c r="Q1411" s="1">
        <v>0.16400000000000001</v>
      </c>
      <c r="R1411" s="1">
        <v>0.65700000000000003</v>
      </c>
      <c r="S1411" s="1">
        <v>0</v>
      </c>
      <c r="T1411" s="1">
        <v>0.105</v>
      </c>
      <c r="U1411" s="1">
        <v>0.65100000000000002</v>
      </c>
      <c r="V1411" s="1">
        <v>129.97999999999999</v>
      </c>
      <c r="W1411">
        <v>4</v>
      </c>
    </row>
    <row r="1412" spans="1:23" x14ac:dyDescent="0.25">
      <c r="A1412" s="1" t="s">
        <v>16661</v>
      </c>
      <c r="B1412" s="1" t="s">
        <v>16662</v>
      </c>
      <c r="C1412" s="1" t="s">
        <v>4701</v>
      </c>
      <c r="D1412" s="1" t="s">
        <v>4701</v>
      </c>
      <c r="E1412" s="1" t="s">
        <v>4702</v>
      </c>
      <c r="F1412" s="1" t="s">
        <v>11569</v>
      </c>
      <c r="G1412">
        <v>165779</v>
      </c>
      <c r="H1412">
        <v>64</v>
      </c>
      <c r="I1412" s="1" t="s">
        <v>11063</v>
      </c>
      <c r="J1412" s="11">
        <v>44729.706458333334</v>
      </c>
      <c r="K1412" s="1" t="s">
        <v>4703</v>
      </c>
      <c r="L1412" s="1">
        <v>0.52600000000000002</v>
      </c>
      <c r="M1412" s="1">
        <v>0.66700000000000004</v>
      </c>
      <c r="N1412">
        <v>9</v>
      </c>
      <c r="O1412" s="1">
        <v>-5.4509999999999996</v>
      </c>
      <c r="P1412">
        <v>1</v>
      </c>
      <c r="Q1412" s="1">
        <v>0.437</v>
      </c>
      <c r="R1412" s="1">
        <v>0.505</v>
      </c>
      <c r="S1412" s="1">
        <v>0</v>
      </c>
      <c r="T1412" s="1">
        <v>0.32100000000000001</v>
      </c>
      <c r="U1412" s="1">
        <v>0.43</v>
      </c>
      <c r="V1412" s="1">
        <v>155.08500000000001</v>
      </c>
      <c r="W1412">
        <v>4</v>
      </c>
    </row>
    <row r="1413" spans="1:23" x14ac:dyDescent="0.25">
      <c r="A1413" s="1" t="s">
        <v>16663</v>
      </c>
      <c r="B1413" s="1" t="s">
        <v>16664</v>
      </c>
      <c r="C1413" s="1" t="s">
        <v>4704</v>
      </c>
      <c r="D1413" s="1" t="s">
        <v>16665</v>
      </c>
      <c r="E1413" s="1" t="s">
        <v>4705</v>
      </c>
      <c r="F1413" s="1" t="s">
        <v>16666</v>
      </c>
      <c r="G1413">
        <v>189693</v>
      </c>
      <c r="H1413">
        <v>72</v>
      </c>
      <c r="I1413" s="1" t="s">
        <v>11063</v>
      </c>
      <c r="J1413" s="11">
        <v>44729.706458333334</v>
      </c>
      <c r="K1413" s="1" t="s">
        <v>4706</v>
      </c>
      <c r="L1413" s="1">
        <v>0.54900000000000004</v>
      </c>
      <c r="M1413" s="1">
        <v>0.754</v>
      </c>
      <c r="N1413">
        <v>6</v>
      </c>
      <c r="O1413" s="1">
        <v>-4.0110000000000001</v>
      </c>
      <c r="P1413">
        <v>0</v>
      </c>
      <c r="Q1413" s="1">
        <v>0.40699999999999997</v>
      </c>
      <c r="R1413" s="1">
        <v>0.67500000000000004</v>
      </c>
      <c r="S1413" s="1">
        <v>0.624</v>
      </c>
      <c r="T1413" s="1">
        <v>0.91200000000000003</v>
      </c>
      <c r="U1413" s="1">
        <v>0.82799999999999996</v>
      </c>
      <c r="V1413" s="1">
        <v>139.05199999999999</v>
      </c>
      <c r="W1413">
        <v>4</v>
      </c>
    </row>
    <row r="1414" spans="1:23" x14ac:dyDescent="0.25">
      <c r="A1414" s="1" t="s">
        <v>16667</v>
      </c>
      <c r="B1414" s="1" t="s">
        <v>16668</v>
      </c>
      <c r="C1414" s="1" t="s">
        <v>4707</v>
      </c>
      <c r="D1414" s="1" t="s">
        <v>16669</v>
      </c>
      <c r="E1414" s="1" t="s">
        <v>4708</v>
      </c>
      <c r="F1414" s="1" t="s">
        <v>16670</v>
      </c>
      <c r="G1414">
        <v>239600</v>
      </c>
      <c r="H1414">
        <v>84</v>
      </c>
      <c r="I1414" s="1" t="s">
        <v>11063</v>
      </c>
      <c r="J1414" s="11">
        <v>44729.706458333334</v>
      </c>
      <c r="K1414" s="1" t="s">
        <v>4709</v>
      </c>
      <c r="L1414" s="1">
        <v>0.73299999999999998</v>
      </c>
      <c r="M1414" s="1">
        <v>0.71</v>
      </c>
      <c r="N1414">
        <v>5</v>
      </c>
      <c r="O1414" s="1">
        <v>-5.8490000000000002</v>
      </c>
      <c r="P1414">
        <v>0</v>
      </c>
      <c r="Q1414" s="1">
        <v>0.29199999999999998</v>
      </c>
      <c r="R1414" s="1">
        <v>0.14499999999999999</v>
      </c>
      <c r="S1414" s="1">
        <v>0.115</v>
      </c>
      <c r="T1414" s="1">
        <v>0.95599999999999996</v>
      </c>
      <c r="U1414" s="1">
        <v>0.96499999999999997</v>
      </c>
      <c r="V1414" s="1">
        <v>127.97499999999999</v>
      </c>
      <c r="W1414">
        <v>4</v>
      </c>
    </row>
    <row r="1415" spans="1:23" x14ac:dyDescent="0.25">
      <c r="A1415" s="1" t="s">
        <v>16671</v>
      </c>
      <c r="B1415" s="1" t="s">
        <v>11591</v>
      </c>
      <c r="C1415" s="1" t="s">
        <v>4710</v>
      </c>
      <c r="D1415" s="1" t="s">
        <v>11592</v>
      </c>
      <c r="E1415" s="1" t="s">
        <v>314</v>
      </c>
      <c r="F1415" s="1" t="s">
        <v>11593</v>
      </c>
      <c r="G1415">
        <v>261000</v>
      </c>
      <c r="H1415">
        <v>72</v>
      </c>
      <c r="I1415" s="1" t="s">
        <v>11063</v>
      </c>
      <c r="J1415" s="11">
        <v>44729.706458333334</v>
      </c>
      <c r="K1415" s="1" t="s">
        <v>4711</v>
      </c>
      <c r="L1415" s="1">
        <v>0.438</v>
      </c>
      <c r="M1415" s="1">
        <v>0.94</v>
      </c>
      <c r="N1415">
        <v>2</v>
      </c>
      <c r="O1415" s="1">
        <v>-3.2490000000000001</v>
      </c>
      <c r="P1415">
        <v>1</v>
      </c>
      <c r="Q1415" s="1">
        <v>0.45200000000000001</v>
      </c>
      <c r="R1415" s="1">
        <v>0.874</v>
      </c>
      <c r="S1415" s="1">
        <v>0.77700000000000002</v>
      </c>
      <c r="T1415" s="1">
        <v>0.3</v>
      </c>
      <c r="U1415" s="1">
        <v>0.42099999999999999</v>
      </c>
      <c r="V1415" s="1">
        <v>100.99</v>
      </c>
      <c r="W1415">
        <v>3</v>
      </c>
    </row>
    <row r="1416" spans="1:23" x14ac:dyDescent="0.25">
      <c r="A1416" s="1" t="s">
        <v>11590</v>
      </c>
      <c r="B1416" s="1" t="s">
        <v>11591</v>
      </c>
      <c r="C1416" s="1" t="s">
        <v>313</v>
      </c>
      <c r="D1416" s="1" t="s">
        <v>11592</v>
      </c>
      <c r="E1416" s="1" t="s">
        <v>314</v>
      </c>
      <c r="F1416" s="1" t="s">
        <v>11593</v>
      </c>
      <c r="G1416">
        <v>229640</v>
      </c>
      <c r="H1416">
        <v>77</v>
      </c>
      <c r="I1416" s="1" t="s">
        <v>11063</v>
      </c>
      <c r="J1416" s="11">
        <v>44729.706458333334</v>
      </c>
      <c r="K1416" s="1" t="s">
        <v>4711</v>
      </c>
      <c r="L1416" s="1">
        <v>0.76300000000000001</v>
      </c>
      <c r="M1416" s="1">
        <v>0.80300000000000005</v>
      </c>
      <c r="N1416">
        <v>1</v>
      </c>
      <c r="O1416" s="1">
        <v>-3.7130000000000001</v>
      </c>
      <c r="P1416">
        <v>1</v>
      </c>
      <c r="Q1416" s="1">
        <v>0.35099999999999998</v>
      </c>
      <c r="R1416" s="1">
        <v>0.70899999999999996</v>
      </c>
      <c r="S1416" s="1">
        <v>0.28499999999999998</v>
      </c>
      <c r="T1416" s="1">
        <v>0.34799999999999998</v>
      </c>
      <c r="U1416" s="1">
        <v>0.56100000000000005</v>
      </c>
      <c r="V1416" s="1">
        <v>103.04</v>
      </c>
      <c r="W1416">
        <v>3</v>
      </c>
    </row>
    <row r="1417" spans="1:23" x14ac:dyDescent="0.25">
      <c r="A1417" s="1" t="s">
        <v>16672</v>
      </c>
      <c r="B1417" s="1" t="s">
        <v>11591</v>
      </c>
      <c r="C1417" s="1" t="s">
        <v>3562</v>
      </c>
      <c r="D1417" s="1" t="s">
        <v>11592</v>
      </c>
      <c r="E1417" s="1" t="s">
        <v>314</v>
      </c>
      <c r="F1417" s="1" t="s">
        <v>11593</v>
      </c>
      <c r="G1417">
        <v>302840</v>
      </c>
      <c r="H1417">
        <v>79</v>
      </c>
      <c r="I1417" s="1" t="s">
        <v>11063</v>
      </c>
      <c r="J1417" s="11">
        <v>44729.706458333334</v>
      </c>
      <c r="K1417" s="1" t="s">
        <v>4711</v>
      </c>
      <c r="L1417" s="1">
        <v>0.45100000000000001</v>
      </c>
      <c r="M1417" s="1">
        <v>0.93100000000000005</v>
      </c>
      <c r="N1417">
        <v>9</v>
      </c>
      <c r="O1417" s="1">
        <v>-3.871</v>
      </c>
      <c r="P1417">
        <v>1</v>
      </c>
      <c r="Q1417" s="1">
        <v>0.71899999999999997</v>
      </c>
      <c r="R1417" s="1">
        <v>0.76</v>
      </c>
      <c r="S1417" s="1">
        <v>0.49</v>
      </c>
      <c r="T1417" s="1">
        <v>0.36099999999999999</v>
      </c>
      <c r="U1417" s="1">
        <v>0.17199999999999999</v>
      </c>
      <c r="V1417" s="1">
        <v>122.961</v>
      </c>
      <c r="W1417">
        <v>4</v>
      </c>
    </row>
    <row r="1418" spans="1:23" x14ac:dyDescent="0.25">
      <c r="A1418" s="1" t="s">
        <v>16673</v>
      </c>
      <c r="B1418" s="1" t="s">
        <v>16674</v>
      </c>
      <c r="C1418" s="1" t="s">
        <v>4712</v>
      </c>
      <c r="D1418" s="1" t="s">
        <v>16675</v>
      </c>
      <c r="E1418" s="1" t="s">
        <v>4713</v>
      </c>
      <c r="F1418" s="1" t="s">
        <v>15101</v>
      </c>
      <c r="G1418">
        <v>230400</v>
      </c>
      <c r="H1418">
        <v>46</v>
      </c>
      <c r="I1418" s="1" t="s">
        <v>11063</v>
      </c>
      <c r="J1418" s="11">
        <v>44729.706458333334</v>
      </c>
      <c r="K1418" s="1" t="s">
        <v>999</v>
      </c>
      <c r="L1418" s="1">
        <v>0.53900000000000003</v>
      </c>
      <c r="M1418" s="1">
        <v>0.65200000000000002</v>
      </c>
      <c r="N1418">
        <v>4</v>
      </c>
      <c r="O1418" s="1">
        <v>-5.8239999999999998</v>
      </c>
      <c r="P1418">
        <v>0</v>
      </c>
      <c r="Q1418" s="1">
        <v>0.107</v>
      </c>
      <c r="R1418" s="1">
        <v>0.109</v>
      </c>
      <c r="S1418" s="1">
        <v>0.17499999999999999</v>
      </c>
      <c r="T1418" s="1">
        <v>0.33300000000000002</v>
      </c>
      <c r="U1418" s="1">
        <v>0.34399999999999997</v>
      </c>
      <c r="V1418" s="1">
        <v>89.998000000000005</v>
      </c>
      <c r="W1418">
        <v>4</v>
      </c>
    </row>
    <row r="1419" spans="1:23" x14ac:dyDescent="0.25">
      <c r="A1419" s="1" t="s">
        <v>16676</v>
      </c>
      <c r="B1419" s="1" t="s">
        <v>11133</v>
      </c>
      <c r="C1419" s="1" t="s">
        <v>4714</v>
      </c>
      <c r="D1419" s="1" t="s">
        <v>4714</v>
      </c>
      <c r="E1419" s="1" t="s">
        <v>2088</v>
      </c>
      <c r="F1419" s="1" t="s">
        <v>16677</v>
      </c>
      <c r="G1419">
        <v>198857</v>
      </c>
      <c r="H1419">
        <v>59</v>
      </c>
      <c r="I1419" s="1" t="s">
        <v>11063</v>
      </c>
      <c r="J1419" s="11">
        <v>44729.706458333334</v>
      </c>
      <c r="K1419" s="1" t="s">
        <v>2089</v>
      </c>
      <c r="L1419" s="1">
        <v>0.67600000000000005</v>
      </c>
      <c r="M1419" s="1">
        <v>0.78700000000000003</v>
      </c>
      <c r="N1419">
        <v>1</v>
      </c>
      <c r="O1419" s="1">
        <v>-7.4530000000000003</v>
      </c>
      <c r="P1419">
        <v>1</v>
      </c>
      <c r="Q1419" s="1">
        <v>0.308</v>
      </c>
      <c r="R1419" s="1">
        <v>0.54100000000000004</v>
      </c>
      <c r="S1419" s="1">
        <v>0</v>
      </c>
      <c r="T1419" s="1">
        <v>0.43099999999999999</v>
      </c>
      <c r="U1419" s="1">
        <v>0.499</v>
      </c>
      <c r="V1419" s="1">
        <v>139.958</v>
      </c>
      <c r="W1419">
        <v>4</v>
      </c>
    </row>
    <row r="1420" spans="1:23" x14ac:dyDescent="0.25">
      <c r="A1420" s="1" t="s">
        <v>16678</v>
      </c>
      <c r="B1420" s="1" t="s">
        <v>16679</v>
      </c>
      <c r="C1420" s="1" t="s">
        <v>4715</v>
      </c>
      <c r="D1420" s="1" t="s">
        <v>16332</v>
      </c>
      <c r="E1420" s="1" t="s">
        <v>4716</v>
      </c>
      <c r="F1420" s="1" t="s">
        <v>16680</v>
      </c>
      <c r="G1420">
        <v>395294</v>
      </c>
      <c r="H1420">
        <v>46</v>
      </c>
      <c r="I1420" s="1" t="s">
        <v>11063</v>
      </c>
      <c r="J1420" s="11">
        <v>44729.706458333334</v>
      </c>
      <c r="K1420" s="1" t="s">
        <v>4717</v>
      </c>
      <c r="L1420" s="1">
        <v>0.45600000000000002</v>
      </c>
      <c r="M1420" s="1">
        <v>0.67200000000000004</v>
      </c>
      <c r="N1420">
        <v>7</v>
      </c>
      <c r="O1420" s="1">
        <v>-10.430999999999999</v>
      </c>
      <c r="P1420">
        <v>0</v>
      </c>
      <c r="Q1420" s="1">
        <v>0.317</v>
      </c>
      <c r="R1420" s="1">
        <v>0.72799999999999998</v>
      </c>
      <c r="S1420" s="1">
        <v>0.45100000000000001</v>
      </c>
      <c r="T1420" s="1">
        <v>0.72399999999999998</v>
      </c>
      <c r="U1420" s="1">
        <v>0.54100000000000004</v>
      </c>
      <c r="V1420" s="1">
        <v>102.005</v>
      </c>
      <c r="W1420">
        <v>4</v>
      </c>
    </row>
    <row r="1421" spans="1:23" x14ac:dyDescent="0.25">
      <c r="A1421" s="1" t="s">
        <v>16681</v>
      </c>
      <c r="B1421" s="1" t="s">
        <v>16682</v>
      </c>
      <c r="C1421" s="1" t="s">
        <v>4718</v>
      </c>
      <c r="D1421" s="1" t="s">
        <v>4718</v>
      </c>
      <c r="E1421" s="1" t="s">
        <v>4719</v>
      </c>
      <c r="F1421" s="1" t="s">
        <v>16683</v>
      </c>
      <c r="G1421">
        <v>195380</v>
      </c>
      <c r="H1421">
        <v>27</v>
      </c>
      <c r="I1421" s="1" t="s">
        <v>11063</v>
      </c>
      <c r="J1421" s="11">
        <v>44729.706458333334</v>
      </c>
      <c r="K1421" s="1" t="s">
        <v>50</v>
      </c>
      <c r="L1421" s="1">
        <v>0.54700000000000004</v>
      </c>
      <c r="M1421" s="1">
        <v>0.73599999999999999</v>
      </c>
      <c r="N1421">
        <v>6</v>
      </c>
      <c r="O1421" s="1">
        <v>-5.141</v>
      </c>
      <c r="P1421">
        <v>1</v>
      </c>
      <c r="Q1421" s="1">
        <v>0.93300000000000005</v>
      </c>
      <c r="R1421" s="1">
        <v>0.16700000000000001</v>
      </c>
      <c r="S1421" s="1">
        <v>0.246</v>
      </c>
      <c r="T1421" s="1">
        <v>0.873</v>
      </c>
      <c r="U1421" s="1">
        <v>0.17399999999999999</v>
      </c>
      <c r="V1421" s="1">
        <v>145.05799999999999</v>
      </c>
      <c r="W1421">
        <v>4</v>
      </c>
    </row>
    <row r="1422" spans="1:23" x14ac:dyDescent="0.25">
      <c r="A1422" s="1" t="s">
        <v>16684</v>
      </c>
      <c r="B1422" s="1" t="s">
        <v>16685</v>
      </c>
      <c r="C1422" s="1" t="s">
        <v>4720</v>
      </c>
      <c r="D1422" s="1" t="s">
        <v>4720</v>
      </c>
      <c r="E1422" s="1" t="s">
        <v>4721</v>
      </c>
      <c r="F1422" s="1" t="s">
        <v>16686</v>
      </c>
      <c r="G1422">
        <v>233142</v>
      </c>
      <c r="H1422">
        <v>31</v>
      </c>
      <c r="I1422" s="1" t="s">
        <v>11063</v>
      </c>
      <c r="J1422" s="11">
        <v>44729.706458333334</v>
      </c>
      <c r="K1422" s="1" t="s">
        <v>4722</v>
      </c>
      <c r="L1422" s="1">
        <v>0.48499999999999999</v>
      </c>
      <c r="M1422" s="1">
        <v>0.67300000000000004</v>
      </c>
      <c r="N1422">
        <v>9</v>
      </c>
      <c r="O1422" s="1">
        <v>-6.04</v>
      </c>
      <c r="P1422">
        <v>1</v>
      </c>
      <c r="Q1422" s="1">
        <v>0.40899999999999997</v>
      </c>
      <c r="R1422" s="1">
        <v>0.16700000000000001</v>
      </c>
      <c r="S1422" s="1">
        <v>0.22900000000000001</v>
      </c>
      <c r="T1422" s="1">
        <v>0.18099999999999999</v>
      </c>
      <c r="U1422" s="1">
        <v>0.746</v>
      </c>
      <c r="V1422" s="1">
        <v>139.99600000000001</v>
      </c>
      <c r="W1422">
        <v>4</v>
      </c>
    </row>
    <row r="1423" spans="1:23" x14ac:dyDescent="0.25">
      <c r="A1423" s="1" t="s">
        <v>16687</v>
      </c>
      <c r="B1423" s="1" t="s">
        <v>16688</v>
      </c>
      <c r="C1423" s="1" t="s">
        <v>4723</v>
      </c>
      <c r="D1423" s="1" t="s">
        <v>4723</v>
      </c>
      <c r="E1423" s="1" t="s">
        <v>4364</v>
      </c>
      <c r="F1423" s="1" t="s">
        <v>14748</v>
      </c>
      <c r="G1423">
        <v>253750</v>
      </c>
      <c r="H1423">
        <v>32</v>
      </c>
      <c r="I1423" s="1" t="s">
        <v>11063</v>
      </c>
      <c r="J1423" s="11">
        <v>44729.706458333334</v>
      </c>
      <c r="K1423" s="1" t="s">
        <v>922</v>
      </c>
      <c r="L1423" s="1">
        <v>0.46600000000000003</v>
      </c>
      <c r="M1423" s="1">
        <v>0.67200000000000004</v>
      </c>
      <c r="N1423">
        <v>11</v>
      </c>
      <c r="O1423" s="1">
        <v>-6.7069999999999999</v>
      </c>
      <c r="P1423">
        <v>1</v>
      </c>
      <c r="Q1423" s="1">
        <v>0.40799999999999997</v>
      </c>
      <c r="R1423" s="1">
        <v>0.29099999999999998</v>
      </c>
      <c r="S1423" s="1">
        <v>0.39800000000000002</v>
      </c>
      <c r="T1423" s="1">
        <v>0.159</v>
      </c>
      <c r="U1423" s="1">
        <v>0.32900000000000001</v>
      </c>
      <c r="V1423" s="1">
        <v>143.86799999999999</v>
      </c>
      <c r="W1423">
        <v>4</v>
      </c>
    </row>
    <row r="1424" spans="1:23" x14ac:dyDescent="0.25">
      <c r="A1424" s="1" t="s">
        <v>16689</v>
      </c>
      <c r="B1424" s="1" t="s">
        <v>16690</v>
      </c>
      <c r="C1424" s="1" t="s">
        <v>4724</v>
      </c>
      <c r="D1424" s="1" t="s">
        <v>4724</v>
      </c>
      <c r="E1424" s="1" t="s">
        <v>4725</v>
      </c>
      <c r="F1424" s="1" t="s">
        <v>16691</v>
      </c>
      <c r="G1424">
        <v>218666</v>
      </c>
      <c r="H1424">
        <v>32</v>
      </c>
      <c r="I1424" s="1" t="s">
        <v>11063</v>
      </c>
      <c r="J1424" s="11">
        <v>44729.706458333334</v>
      </c>
      <c r="K1424" s="1" t="s">
        <v>4726</v>
      </c>
      <c r="L1424" s="1">
        <v>0.53200000000000003</v>
      </c>
      <c r="M1424" s="1">
        <v>0.76400000000000001</v>
      </c>
      <c r="N1424">
        <v>6</v>
      </c>
      <c r="O1424" s="1">
        <v>-5.0359999999999996</v>
      </c>
      <c r="P1424">
        <v>1</v>
      </c>
      <c r="Q1424" s="1">
        <v>0.48199999999999998</v>
      </c>
      <c r="R1424" s="1">
        <v>0.19400000000000001</v>
      </c>
      <c r="S1424" s="1">
        <v>0.22</v>
      </c>
      <c r="T1424" s="1">
        <v>0.109</v>
      </c>
      <c r="U1424" s="1">
        <v>0.41299999999999998</v>
      </c>
      <c r="V1424" s="1">
        <v>180.01300000000001</v>
      </c>
      <c r="W1424">
        <v>4</v>
      </c>
    </row>
    <row r="1425" spans="1:23" x14ac:dyDescent="0.25">
      <c r="A1425" s="1" t="s">
        <v>16692</v>
      </c>
      <c r="B1425" s="1" t="s">
        <v>16693</v>
      </c>
      <c r="C1425" s="1" t="s">
        <v>4727</v>
      </c>
      <c r="D1425" s="1" t="s">
        <v>5630</v>
      </c>
      <c r="E1425" s="1" t="s">
        <v>4728</v>
      </c>
      <c r="F1425" s="1" t="s">
        <v>16694</v>
      </c>
      <c r="G1425">
        <v>251200</v>
      </c>
      <c r="H1425">
        <v>21</v>
      </c>
      <c r="I1425" s="1" t="s">
        <v>11063</v>
      </c>
      <c r="J1425" s="11">
        <v>44729.706458333334</v>
      </c>
      <c r="K1425" s="1" t="s">
        <v>2713</v>
      </c>
      <c r="L1425" s="1">
        <v>0.46600000000000003</v>
      </c>
      <c r="M1425" s="1">
        <v>0.81</v>
      </c>
      <c r="N1425">
        <v>11</v>
      </c>
      <c r="O1425" s="1">
        <v>-3.5249999999999999</v>
      </c>
      <c r="P1425">
        <v>1</v>
      </c>
      <c r="Q1425" s="1">
        <v>0.45600000000000002</v>
      </c>
      <c r="R1425" s="1">
        <v>0.125</v>
      </c>
      <c r="S1425" s="1">
        <v>0.10199999999999999</v>
      </c>
      <c r="T1425" s="1">
        <v>0.72199999999999998</v>
      </c>
      <c r="U1425" s="1">
        <v>0.187</v>
      </c>
      <c r="V1425" s="1">
        <v>149.971</v>
      </c>
      <c r="W1425">
        <v>4</v>
      </c>
    </row>
    <row r="1426" spans="1:23" x14ac:dyDescent="0.25">
      <c r="A1426" s="1" t="s">
        <v>16695</v>
      </c>
      <c r="B1426" s="1" t="s">
        <v>16696</v>
      </c>
      <c r="C1426" s="1" t="s">
        <v>4729</v>
      </c>
      <c r="D1426" s="1" t="s">
        <v>4729</v>
      </c>
      <c r="E1426" s="1" t="s">
        <v>4730</v>
      </c>
      <c r="F1426" s="1" t="s">
        <v>14073</v>
      </c>
      <c r="G1426">
        <v>209523</v>
      </c>
      <c r="H1426">
        <v>42</v>
      </c>
      <c r="I1426" s="1" t="s">
        <v>11063</v>
      </c>
      <c r="J1426" s="11">
        <v>44729.706458333334</v>
      </c>
      <c r="K1426" s="1" t="s">
        <v>933</v>
      </c>
      <c r="L1426" s="1">
        <v>0.57299999999999995</v>
      </c>
      <c r="M1426" s="1">
        <v>0.90100000000000002</v>
      </c>
      <c r="N1426">
        <v>1</v>
      </c>
      <c r="O1426" s="1">
        <v>-2.9089999999999998</v>
      </c>
      <c r="P1426">
        <v>0</v>
      </c>
      <c r="Q1426" s="1">
        <v>0.39800000000000002</v>
      </c>
      <c r="R1426" s="1">
        <v>0.6</v>
      </c>
      <c r="S1426" s="1">
        <v>0</v>
      </c>
      <c r="T1426" s="1">
        <v>0.104</v>
      </c>
      <c r="U1426" s="1">
        <v>0.58299999999999996</v>
      </c>
      <c r="V1426" s="1">
        <v>125.95099999999999</v>
      </c>
      <c r="W1426">
        <v>4</v>
      </c>
    </row>
    <row r="1427" spans="1:23" x14ac:dyDescent="0.25">
      <c r="A1427" s="1" t="s">
        <v>16697</v>
      </c>
      <c r="B1427" s="1" t="s">
        <v>16698</v>
      </c>
      <c r="C1427" s="1" t="s">
        <v>4731</v>
      </c>
      <c r="D1427" s="1" t="s">
        <v>4731</v>
      </c>
      <c r="E1427" s="1" t="s">
        <v>4732</v>
      </c>
      <c r="F1427" s="1" t="s">
        <v>16699</v>
      </c>
      <c r="G1427">
        <v>227253</v>
      </c>
      <c r="H1427">
        <v>39</v>
      </c>
      <c r="I1427" s="1" t="s">
        <v>11063</v>
      </c>
      <c r="J1427" s="11">
        <v>44729.706458333334</v>
      </c>
      <c r="K1427" s="1" t="s">
        <v>50</v>
      </c>
      <c r="L1427" s="1">
        <v>0.45100000000000001</v>
      </c>
      <c r="M1427" s="1">
        <v>0.75</v>
      </c>
      <c r="N1427">
        <v>1</v>
      </c>
      <c r="O1427" s="1">
        <v>-6.7530000000000001</v>
      </c>
      <c r="P1427">
        <v>0</v>
      </c>
      <c r="Q1427" s="1">
        <v>0.53800000000000003</v>
      </c>
      <c r="R1427" s="1">
        <v>0.13300000000000001</v>
      </c>
      <c r="S1427" s="1">
        <v>0</v>
      </c>
      <c r="T1427" s="1">
        <v>0.94</v>
      </c>
      <c r="U1427" s="1">
        <v>0.39100000000000001</v>
      </c>
      <c r="V1427" s="1">
        <v>149.88999999999999</v>
      </c>
      <c r="W1427">
        <v>4</v>
      </c>
    </row>
    <row r="1428" spans="1:23" x14ac:dyDescent="0.25">
      <c r="A1428" s="1" t="s">
        <v>16700</v>
      </c>
      <c r="B1428" s="1" t="s">
        <v>15084</v>
      </c>
      <c r="C1428" s="1" t="s">
        <v>4733</v>
      </c>
      <c r="D1428" s="1" t="s">
        <v>4733</v>
      </c>
      <c r="E1428" s="1" t="s">
        <v>3346</v>
      </c>
      <c r="F1428" s="1" t="s">
        <v>14847</v>
      </c>
      <c r="G1428">
        <v>222857</v>
      </c>
      <c r="H1428">
        <v>35</v>
      </c>
      <c r="I1428" s="1" t="s">
        <v>11063</v>
      </c>
      <c r="J1428" s="11">
        <v>44729.706458333334</v>
      </c>
      <c r="K1428" s="1" t="s">
        <v>3347</v>
      </c>
      <c r="L1428" s="1">
        <v>0.54300000000000004</v>
      </c>
      <c r="M1428" s="1">
        <v>0.65100000000000002</v>
      </c>
      <c r="N1428">
        <v>8</v>
      </c>
      <c r="O1428" s="1">
        <v>-7.7770000000000001</v>
      </c>
      <c r="P1428">
        <v>1</v>
      </c>
      <c r="Q1428" s="1">
        <v>0.33900000000000002</v>
      </c>
      <c r="R1428" s="1">
        <v>0.28999999999999998</v>
      </c>
      <c r="S1428" s="1">
        <v>0.64500000000000002</v>
      </c>
      <c r="T1428" s="1">
        <v>0.96599999999999997</v>
      </c>
      <c r="U1428" s="1">
        <v>0.251</v>
      </c>
      <c r="V1428" s="1">
        <v>140.066</v>
      </c>
      <c r="W1428">
        <v>4</v>
      </c>
    </row>
    <row r="1429" spans="1:23" x14ac:dyDescent="0.25">
      <c r="A1429" s="1" t="s">
        <v>16701</v>
      </c>
      <c r="B1429" s="1" t="s">
        <v>16702</v>
      </c>
      <c r="C1429" s="1" t="s">
        <v>4734</v>
      </c>
      <c r="D1429" s="1" t="s">
        <v>16703</v>
      </c>
      <c r="E1429" s="1" t="s">
        <v>4735</v>
      </c>
      <c r="F1429" s="1" t="s">
        <v>14443</v>
      </c>
      <c r="G1429">
        <v>206262</v>
      </c>
      <c r="H1429">
        <v>33</v>
      </c>
      <c r="I1429" s="1" t="s">
        <v>11063</v>
      </c>
      <c r="J1429" s="11">
        <v>44729.706458333334</v>
      </c>
      <c r="K1429" s="1" t="s">
        <v>4736</v>
      </c>
      <c r="L1429" s="1">
        <v>0.64200000000000002</v>
      </c>
      <c r="M1429" s="1">
        <v>0.84499999999999997</v>
      </c>
      <c r="N1429">
        <v>2</v>
      </c>
      <c r="O1429" s="1">
        <v>-2.9449999999999998</v>
      </c>
      <c r="P1429">
        <v>1</v>
      </c>
      <c r="Q1429" s="1">
        <v>0.315</v>
      </c>
      <c r="R1429" s="1">
        <v>0.111</v>
      </c>
      <c r="S1429" s="1">
        <v>0.95799999999999996</v>
      </c>
      <c r="T1429" s="1">
        <v>0.35899999999999999</v>
      </c>
      <c r="U1429" s="1">
        <v>0.126</v>
      </c>
      <c r="V1429" s="1">
        <v>100.006</v>
      </c>
      <c r="W1429">
        <v>4</v>
      </c>
    </row>
    <row r="1430" spans="1:23" x14ac:dyDescent="0.25">
      <c r="A1430" s="1" t="s">
        <v>16704</v>
      </c>
      <c r="B1430" s="1" t="s">
        <v>16705</v>
      </c>
      <c r="C1430" s="1" t="s">
        <v>4737</v>
      </c>
      <c r="D1430" s="1" t="s">
        <v>4737</v>
      </c>
      <c r="E1430" s="1" t="s">
        <v>4738</v>
      </c>
      <c r="F1430" s="1" t="s">
        <v>16706</v>
      </c>
      <c r="G1430">
        <v>247383</v>
      </c>
      <c r="H1430">
        <v>45</v>
      </c>
      <c r="I1430" s="1" t="s">
        <v>11063</v>
      </c>
      <c r="J1430" s="11">
        <v>44729.706458333334</v>
      </c>
      <c r="K1430" s="1" t="s">
        <v>4739</v>
      </c>
      <c r="L1430" s="1">
        <v>0.314</v>
      </c>
      <c r="M1430" s="1">
        <v>0.55600000000000005</v>
      </c>
      <c r="N1430">
        <v>6</v>
      </c>
      <c r="O1430" s="1">
        <v>-6.3730000000000002</v>
      </c>
      <c r="P1430">
        <v>0</v>
      </c>
      <c r="Q1430" s="1">
        <v>0.49199999999999999</v>
      </c>
      <c r="R1430" s="1">
        <v>0.18</v>
      </c>
      <c r="S1430" s="1">
        <v>0</v>
      </c>
      <c r="T1430" s="1">
        <v>0.104</v>
      </c>
      <c r="U1430" s="1">
        <v>0.21</v>
      </c>
      <c r="V1430" s="1">
        <v>166.95400000000001</v>
      </c>
      <c r="W1430">
        <v>4</v>
      </c>
    </row>
    <row r="1431" spans="1:23" x14ac:dyDescent="0.25">
      <c r="A1431" s="1" t="s">
        <v>16707</v>
      </c>
      <c r="B1431" s="1" t="s">
        <v>16708</v>
      </c>
      <c r="C1431" s="1" t="s">
        <v>4740</v>
      </c>
      <c r="D1431" s="1" t="s">
        <v>4740</v>
      </c>
      <c r="E1431" s="1" t="s">
        <v>4741</v>
      </c>
      <c r="F1431" s="1" t="s">
        <v>16709</v>
      </c>
      <c r="G1431">
        <v>207775</v>
      </c>
      <c r="H1431">
        <v>63</v>
      </c>
      <c r="I1431" s="1" t="s">
        <v>11063</v>
      </c>
      <c r="J1431" s="11">
        <v>44729.706458333334</v>
      </c>
      <c r="K1431" s="1" t="s">
        <v>4742</v>
      </c>
      <c r="L1431" s="1">
        <v>0.47399999999999998</v>
      </c>
      <c r="M1431" s="1">
        <v>0.53700000000000003</v>
      </c>
      <c r="N1431">
        <v>2</v>
      </c>
      <c r="O1431" s="1">
        <v>-6.77</v>
      </c>
      <c r="P1431">
        <v>1</v>
      </c>
      <c r="Q1431" s="1">
        <v>0.64900000000000002</v>
      </c>
      <c r="R1431" s="1">
        <v>0.75800000000000001</v>
      </c>
      <c r="S1431" s="1">
        <v>0</v>
      </c>
      <c r="T1431" s="1">
        <v>0.316</v>
      </c>
      <c r="U1431" s="1">
        <v>0.33500000000000002</v>
      </c>
      <c r="V1431" s="1">
        <v>90.102999999999994</v>
      </c>
      <c r="W1431">
        <v>4</v>
      </c>
    </row>
    <row r="1432" spans="1:23" x14ac:dyDescent="0.25">
      <c r="A1432" s="1" t="s">
        <v>16710</v>
      </c>
      <c r="B1432" s="1" t="s">
        <v>16711</v>
      </c>
      <c r="C1432" s="1" t="s">
        <v>4743</v>
      </c>
      <c r="D1432" s="1" t="s">
        <v>4743</v>
      </c>
      <c r="E1432" s="1" t="s">
        <v>4744</v>
      </c>
      <c r="F1432" s="1" t="s">
        <v>15459</v>
      </c>
      <c r="G1432">
        <v>181424</v>
      </c>
      <c r="H1432">
        <v>43</v>
      </c>
      <c r="I1432" s="1" t="s">
        <v>11063</v>
      </c>
      <c r="J1432" s="11">
        <v>44729.706458333334</v>
      </c>
      <c r="K1432" s="1" t="s">
        <v>981</v>
      </c>
      <c r="L1432" s="1">
        <v>0.63700000000000001</v>
      </c>
      <c r="M1432" s="1">
        <v>0.71599999999999997</v>
      </c>
      <c r="N1432">
        <v>5</v>
      </c>
      <c r="O1432" s="1">
        <v>-6.1349999999999998</v>
      </c>
      <c r="P1432">
        <v>0</v>
      </c>
      <c r="Q1432" s="1">
        <v>0.32600000000000001</v>
      </c>
      <c r="R1432" s="1">
        <v>0.36399999999999999</v>
      </c>
      <c r="S1432" s="1">
        <v>0.32500000000000001</v>
      </c>
      <c r="T1432" s="1">
        <v>0.13400000000000001</v>
      </c>
      <c r="U1432" s="1">
        <v>0.187</v>
      </c>
      <c r="V1432" s="1">
        <v>122.009</v>
      </c>
      <c r="W1432">
        <v>4</v>
      </c>
    </row>
    <row r="1433" spans="1:23" x14ac:dyDescent="0.25">
      <c r="A1433" s="1" t="s">
        <v>11776</v>
      </c>
      <c r="B1433" s="1" t="s">
        <v>11777</v>
      </c>
      <c r="C1433" s="1" t="s">
        <v>466</v>
      </c>
      <c r="D1433" s="1" t="s">
        <v>11778</v>
      </c>
      <c r="E1433" s="1" t="s">
        <v>467</v>
      </c>
      <c r="F1433" s="1" t="s">
        <v>11779</v>
      </c>
      <c r="G1433">
        <v>191428</v>
      </c>
      <c r="H1433">
        <v>30</v>
      </c>
      <c r="I1433" s="1" t="s">
        <v>11063</v>
      </c>
      <c r="J1433" s="11">
        <v>44729.706458333334</v>
      </c>
      <c r="K1433" s="1" t="s">
        <v>50</v>
      </c>
      <c r="L1433" s="1">
        <v>0.60899999999999999</v>
      </c>
      <c r="M1433" s="1">
        <v>0.58499999999999996</v>
      </c>
      <c r="N1433">
        <v>10</v>
      </c>
      <c r="O1433" s="1">
        <v>-6.673</v>
      </c>
      <c r="P1433">
        <v>0</v>
      </c>
      <c r="Q1433" s="1">
        <v>0.18</v>
      </c>
      <c r="R1433" s="1">
        <v>0.14099999999999999</v>
      </c>
      <c r="S1433" s="1">
        <v>0.28000000000000003</v>
      </c>
      <c r="T1433" s="1">
        <v>0.92900000000000005</v>
      </c>
      <c r="U1433" s="1">
        <v>0.3</v>
      </c>
      <c r="V1433" s="1">
        <v>168.09800000000001</v>
      </c>
      <c r="W1433">
        <v>4</v>
      </c>
    </row>
    <row r="1434" spans="1:23" x14ac:dyDescent="0.25">
      <c r="A1434" s="1" t="s">
        <v>16712</v>
      </c>
      <c r="B1434" s="1" t="s">
        <v>16713</v>
      </c>
      <c r="C1434" s="1" t="s">
        <v>4745</v>
      </c>
      <c r="D1434" s="1" t="s">
        <v>16714</v>
      </c>
      <c r="E1434" s="1" t="s">
        <v>4746</v>
      </c>
      <c r="F1434" s="1" t="s">
        <v>11391</v>
      </c>
      <c r="G1434">
        <v>170421</v>
      </c>
      <c r="H1434">
        <v>0</v>
      </c>
      <c r="I1434" s="1" t="s">
        <v>11063</v>
      </c>
      <c r="J1434" s="11">
        <v>44729.706458333334</v>
      </c>
      <c r="K1434" s="1" t="s">
        <v>3898</v>
      </c>
      <c r="L1434" s="1">
        <v>0.43</v>
      </c>
      <c r="M1434" s="1">
        <v>0.871</v>
      </c>
      <c r="N1434">
        <v>3</v>
      </c>
      <c r="O1434" s="1">
        <v>-2.0049999999999999</v>
      </c>
      <c r="P1434">
        <v>1</v>
      </c>
      <c r="Q1434" s="1">
        <v>0.498</v>
      </c>
      <c r="R1434" s="1">
        <v>0.435</v>
      </c>
      <c r="S1434" s="1">
        <v>0.879</v>
      </c>
      <c r="T1434" s="1">
        <v>0.14899999999999999</v>
      </c>
      <c r="U1434" s="1">
        <v>0.11600000000000001</v>
      </c>
      <c r="V1434" s="1">
        <v>82.798000000000002</v>
      </c>
      <c r="W1434">
        <v>4</v>
      </c>
    </row>
    <row r="1435" spans="1:23" x14ac:dyDescent="0.25">
      <c r="A1435" s="1" t="s">
        <v>16715</v>
      </c>
      <c r="B1435" s="1" t="s">
        <v>16716</v>
      </c>
      <c r="C1435" s="1" t="s">
        <v>4747</v>
      </c>
      <c r="D1435" s="1" t="s">
        <v>16717</v>
      </c>
      <c r="E1435" s="1" t="s">
        <v>4748</v>
      </c>
      <c r="F1435" s="1" t="s">
        <v>11696</v>
      </c>
      <c r="G1435">
        <v>210012</v>
      </c>
      <c r="H1435">
        <v>33</v>
      </c>
      <c r="I1435" s="1" t="s">
        <v>11063</v>
      </c>
      <c r="J1435" s="11">
        <v>44729.706458333334</v>
      </c>
      <c r="K1435" s="1" t="s">
        <v>4749</v>
      </c>
      <c r="L1435" s="1">
        <v>0.54500000000000004</v>
      </c>
      <c r="M1435" s="1">
        <v>0.82699999999999996</v>
      </c>
      <c r="N1435">
        <v>11</v>
      </c>
      <c r="O1435" s="1">
        <v>-3.6160000000000001</v>
      </c>
      <c r="P1435">
        <v>0</v>
      </c>
      <c r="Q1435" s="1">
        <v>0.38300000000000001</v>
      </c>
      <c r="R1435" s="1">
        <v>0.30299999999999999</v>
      </c>
      <c r="S1435" s="1">
        <v>0.17199999999999999</v>
      </c>
      <c r="T1435" s="1">
        <v>0.35499999999999998</v>
      </c>
      <c r="U1435" s="1">
        <v>0.48699999999999999</v>
      </c>
      <c r="V1435" s="1">
        <v>76.012</v>
      </c>
      <c r="W1435">
        <v>4</v>
      </c>
    </row>
    <row r="1436" spans="1:23" x14ac:dyDescent="0.25">
      <c r="A1436" s="1" t="s">
        <v>16718</v>
      </c>
      <c r="B1436" s="1" t="s">
        <v>15645</v>
      </c>
      <c r="C1436" s="1" t="s">
        <v>4750</v>
      </c>
      <c r="D1436" s="1" t="s">
        <v>4750</v>
      </c>
      <c r="E1436" s="1" t="s">
        <v>3850</v>
      </c>
      <c r="F1436" s="1" t="s">
        <v>15294</v>
      </c>
      <c r="G1436">
        <v>220804</v>
      </c>
      <c r="H1436">
        <v>34</v>
      </c>
      <c r="I1436" s="1" t="s">
        <v>11063</v>
      </c>
      <c r="J1436" s="11">
        <v>44729.706458333334</v>
      </c>
      <c r="K1436" s="1" t="s">
        <v>933</v>
      </c>
      <c r="L1436" s="1">
        <v>0.40899999999999997</v>
      </c>
      <c r="M1436" s="1">
        <v>0.622</v>
      </c>
      <c r="N1436">
        <v>8</v>
      </c>
      <c r="O1436" s="1">
        <v>-6.5279999999999996</v>
      </c>
      <c r="P1436">
        <v>1</v>
      </c>
      <c r="Q1436" s="1">
        <v>0.44400000000000001</v>
      </c>
      <c r="R1436" s="1">
        <v>0.63400000000000001</v>
      </c>
      <c r="S1436" s="1">
        <v>0.218</v>
      </c>
      <c r="T1436" s="1">
        <v>0.157</v>
      </c>
      <c r="U1436" s="1">
        <v>0.625</v>
      </c>
      <c r="V1436" s="1">
        <v>150.268</v>
      </c>
      <c r="W1436">
        <v>4</v>
      </c>
    </row>
    <row r="1437" spans="1:23" x14ac:dyDescent="0.25">
      <c r="A1437" s="1" t="s">
        <v>16719</v>
      </c>
      <c r="B1437" s="1" t="s">
        <v>16720</v>
      </c>
      <c r="C1437" s="1" t="s">
        <v>4751</v>
      </c>
      <c r="D1437" s="1" t="s">
        <v>4751</v>
      </c>
      <c r="E1437" s="1" t="s">
        <v>4752</v>
      </c>
      <c r="F1437" s="1" t="s">
        <v>11689</v>
      </c>
      <c r="G1437">
        <v>225168</v>
      </c>
      <c r="H1437">
        <v>38</v>
      </c>
      <c r="I1437" s="1" t="s">
        <v>11063</v>
      </c>
      <c r="J1437" s="11">
        <v>44729.706458333334</v>
      </c>
      <c r="K1437" s="1" t="s">
        <v>4753</v>
      </c>
      <c r="L1437" s="1">
        <v>0.63700000000000001</v>
      </c>
      <c r="M1437" s="1">
        <v>0.6</v>
      </c>
      <c r="N1437">
        <v>6</v>
      </c>
      <c r="O1437" s="1">
        <v>-5.5949999999999998</v>
      </c>
      <c r="P1437">
        <v>1</v>
      </c>
      <c r="Q1437" s="1">
        <v>0.41299999999999998</v>
      </c>
      <c r="R1437" s="1">
        <v>0.79900000000000004</v>
      </c>
      <c r="S1437" s="1">
        <v>0</v>
      </c>
      <c r="T1437" s="1">
        <v>0.111</v>
      </c>
      <c r="U1437" s="1">
        <v>0.40300000000000002</v>
      </c>
      <c r="V1437" s="1">
        <v>75.504999999999995</v>
      </c>
      <c r="W1437">
        <v>4</v>
      </c>
    </row>
    <row r="1438" spans="1:23" x14ac:dyDescent="0.25">
      <c r="A1438" s="1" t="s">
        <v>16721</v>
      </c>
      <c r="B1438" s="1" t="s">
        <v>16722</v>
      </c>
      <c r="C1438" s="1" t="s">
        <v>4658</v>
      </c>
      <c r="D1438" s="1" t="s">
        <v>4658</v>
      </c>
      <c r="E1438" s="1" t="s">
        <v>4754</v>
      </c>
      <c r="F1438" s="1" t="s">
        <v>16723</v>
      </c>
      <c r="G1438">
        <v>184682</v>
      </c>
      <c r="H1438">
        <v>0</v>
      </c>
      <c r="I1438" s="1" t="s">
        <v>11063</v>
      </c>
      <c r="J1438" s="11">
        <v>44729.706458333334</v>
      </c>
      <c r="K1438" s="1" t="s">
        <v>3326</v>
      </c>
      <c r="L1438" s="1">
        <v>0.58399999999999996</v>
      </c>
      <c r="M1438" s="1">
        <v>0.57999999999999996</v>
      </c>
      <c r="N1438">
        <v>11</v>
      </c>
      <c r="O1438" s="1">
        <v>-5.7240000000000002</v>
      </c>
      <c r="P1438">
        <v>0</v>
      </c>
      <c r="Q1438" s="1">
        <v>0.45500000000000002</v>
      </c>
      <c r="R1438" s="1">
        <v>0.41699999999999998</v>
      </c>
      <c r="S1438" s="1">
        <v>0</v>
      </c>
      <c r="T1438" s="1">
        <v>0.106</v>
      </c>
      <c r="U1438" s="1">
        <v>0.13800000000000001</v>
      </c>
      <c r="V1438" s="1">
        <v>130.029</v>
      </c>
      <c r="W1438">
        <v>4</v>
      </c>
    </row>
    <row r="1439" spans="1:23" x14ac:dyDescent="0.25">
      <c r="A1439" s="1" t="s">
        <v>16724</v>
      </c>
      <c r="B1439" s="1" t="s">
        <v>16725</v>
      </c>
      <c r="C1439" s="1" t="s">
        <v>4755</v>
      </c>
      <c r="D1439" s="1" t="s">
        <v>4755</v>
      </c>
      <c r="E1439" s="1" t="s">
        <v>4756</v>
      </c>
      <c r="F1439" s="1" t="s">
        <v>14139</v>
      </c>
      <c r="G1439">
        <v>256000</v>
      </c>
      <c r="H1439">
        <v>29</v>
      </c>
      <c r="I1439" s="1" t="s">
        <v>11063</v>
      </c>
      <c r="J1439" s="11">
        <v>44729.706458333334</v>
      </c>
      <c r="K1439" s="1" t="s">
        <v>933</v>
      </c>
      <c r="L1439" s="1">
        <v>0.49099999999999999</v>
      </c>
      <c r="M1439" s="1">
        <v>0.93700000000000006</v>
      </c>
      <c r="N1439">
        <v>7</v>
      </c>
      <c r="O1439" s="1">
        <v>-1.5229999999999999</v>
      </c>
      <c r="P1439">
        <v>0</v>
      </c>
      <c r="Q1439" s="1">
        <v>0.71799999999999997</v>
      </c>
      <c r="R1439" s="1">
        <v>0.26200000000000001</v>
      </c>
      <c r="S1439" s="1">
        <v>0</v>
      </c>
      <c r="T1439" s="1">
        <v>0.25</v>
      </c>
      <c r="U1439" s="1">
        <v>0.36099999999999999</v>
      </c>
      <c r="V1439" s="1">
        <v>105.03</v>
      </c>
      <c r="W1439">
        <v>4</v>
      </c>
    </row>
    <row r="1440" spans="1:23" x14ac:dyDescent="0.25">
      <c r="A1440" s="1" t="s">
        <v>16726</v>
      </c>
      <c r="B1440" s="1" t="s">
        <v>16727</v>
      </c>
      <c r="C1440" s="1" t="s">
        <v>4757</v>
      </c>
      <c r="D1440" s="1" t="s">
        <v>4062</v>
      </c>
      <c r="E1440" s="1" t="s">
        <v>4758</v>
      </c>
      <c r="F1440" s="1" t="s">
        <v>11492</v>
      </c>
      <c r="G1440">
        <v>237115</v>
      </c>
      <c r="H1440">
        <v>16</v>
      </c>
      <c r="I1440" s="1" t="s">
        <v>11063</v>
      </c>
      <c r="J1440" s="11">
        <v>44729.706458333334</v>
      </c>
      <c r="K1440" s="1" t="s">
        <v>4759</v>
      </c>
      <c r="L1440" s="1">
        <v>0.749</v>
      </c>
      <c r="M1440" s="1">
        <v>0.45100000000000001</v>
      </c>
      <c r="N1440">
        <v>6</v>
      </c>
      <c r="O1440" s="1">
        <v>-6.7590000000000003</v>
      </c>
      <c r="P1440">
        <v>0</v>
      </c>
      <c r="Q1440" s="1">
        <v>0.25900000000000001</v>
      </c>
      <c r="R1440" s="1">
        <v>0.249</v>
      </c>
      <c r="S1440" s="1">
        <v>0</v>
      </c>
      <c r="T1440" s="1">
        <v>0.56899999999999995</v>
      </c>
      <c r="U1440" s="1">
        <v>0.308</v>
      </c>
      <c r="V1440" s="1">
        <v>110.044</v>
      </c>
      <c r="W1440">
        <v>4</v>
      </c>
    </row>
    <row r="1441" spans="1:23" x14ac:dyDescent="0.25">
      <c r="A1441" s="1" t="s">
        <v>16728</v>
      </c>
      <c r="B1441" s="1" t="s">
        <v>16729</v>
      </c>
      <c r="C1441" s="1" t="s">
        <v>2566</v>
      </c>
      <c r="D1441" s="1" t="s">
        <v>2566</v>
      </c>
      <c r="E1441" s="1" t="s">
        <v>4760</v>
      </c>
      <c r="F1441" s="1" t="s">
        <v>15273</v>
      </c>
      <c r="G1441">
        <v>213071</v>
      </c>
      <c r="H1441">
        <v>35</v>
      </c>
      <c r="I1441" s="1" t="s">
        <v>11063</v>
      </c>
      <c r="J1441" s="11">
        <v>44729.706458333334</v>
      </c>
      <c r="K1441" s="1" t="s">
        <v>933</v>
      </c>
      <c r="L1441" s="1">
        <v>0.54500000000000004</v>
      </c>
      <c r="M1441" s="1">
        <v>0.51900000000000002</v>
      </c>
      <c r="N1441">
        <v>0</v>
      </c>
      <c r="O1441" s="1">
        <v>-9.0960000000000001</v>
      </c>
      <c r="P1441">
        <v>1</v>
      </c>
      <c r="Q1441" s="1">
        <v>0.377</v>
      </c>
      <c r="R1441" s="1">
        <v>0.33300000000000002</v>
      </c>
      <c r="S1441" s="1">
        <v>0.747</v>
      </c>
      <c r="T1441" s="1">
        <v>0.108</v>
      </c>
      <c r="U1441" s="1">
        <v>0.71599999999999997</v>
      </c>
      <c r="V1441" s="1">
        <v>104.96</v>
      </c>
      <c r="W1441">
        <v>4</v>
      </c>
    </row>
    <row r="1442" spans="1:23" x14ac:dyDescent="0.25">
      <c r="A1442" s="1" t="s">
        <v>16730</v>
      </c>
      <c r="B1442" s="1" t="s">
        <v>16731</v>
      </c>
      <c r="C1442" s="1" t="s">
        <v>4761</v>
      </c>
      <c r="D1442" s="1" t="s">
        <v>4761</v>
      </c>
      <c r="E1442" s="1" t="s">
        <v>4762</v>
      </c>
      <c r="F1442" s="1" t="s">
        <v>16732</v>
      </c>
      <c r="G1442">
        <v>238799</v>
      </c>
      <c r="H1442">
        <v>36</v>
      </c>
      <c r="I1442" s="1" t="s">
        <v>11063</v>
      </c>
      <c r="J1442" s="11">
        <v>44729.706458333334</v>
      </c>
      <c r="K1442" s="1" t="s">
        <v>2541</v>
      </c>
      <c r="L1442" s="1">
        <v>0.69199999999999995</v>
      </c>
      <c r="M1442" s="1">
        <v>0.72899999999999998</v>
      </c>
      <c r="N1442">
        <v>11</v>
      </c>
      <c r="O1442" s="1">
        <v>-4.08</v>
      </c>
      <c r="P1442">
        <v>0</v>
      </c>
      <c r="Q1442" s="1">
        <v>0.32200000000000001</v>
      </c>
      <c r="R1442" s="1">
        <v>0.23899999999999999</v>
      </c>
      <c r="S1442" s="1">
        <v>0.17599999999999999</v>
      </c>
      <c r="T1442" s="1">
        <v>0.218</v>
      </c>
      <c r="U1442" s="1">
        <v>0.23</v>
      </c>
      <c r="V1442" s="1">
        <v>95.012</v>
      </c>
      <c r="W1442">
        <v>4</v>
      </c>
    </row>
    <row r="1443" spans="1:23" x14ac:dyDescent="0.25">
      <c r="A1443" s="1" t="s">
        <v>16733</v>
      </c>
      <c r="B1443" s="1" t="s">
        <v>16734</v>
      </c>
      <c r="C1443" s="1" t="s">
        <v>4763</v>
      </c>
      <c r="D1443" s="1" t="s">
        <v>16735</v>
      </c>
      <c r="E1443" s="1" t="s">
        <v>4764</v>
      </c>
      <c r="F1443" s="1" t="s">
        <v>16736</v>
      </c>
      <c r="G1443">
        <v>217798</v>
      </c>
      <c r="H1443">
        <v>32</v>
      </c>
      <c r="I1443" s="1" t="s">
        <v>11063</v>
      </c>
      <c r="J1443" s="11">
        <v>44729.706458333334</v>
      </c>
      <c r="K1443" s="1" t="s">
        <v>4765</v>
      </c>
      <c r="L1443" s="1">
        <v>0.63500000000000001</v>
      </c>
      <c r="M1443" s="1">
        <v>0.52800000000000002</v>
      </c>
      <c r="N1443">
        <v>6</v>
      </c>
      <c r="O1443" s="1">
        <v>-8.4489999999999998</v>
      </c>
      <c r="P1443">
        <v>1</v>
      </c>
      <c r="Q1443" s="1">
        <v>0.35199999999999998</v>
      </c>
      <c r="R1443" s="1">
        <v>0.14499999999999999</v>
      </c>
      <c r="S1443" s="1">
        <v>0.18099999999999999</v>
      </c>
      <c r="T1443" s="1">
        <v>0.81399999999999995</v>
      </c>
      <c r="U1443" s="1">
        <v>0.14199999999999999</v>
      </c>
      <c r="V1443" s="1">
        <v>97.018000000000001</v>
      </c>
      <c r="W1443">
        <v>4</v>
      </c>
    </row>
    <row r="1444" spans="1:23" x14ac:dyDescent="0.25">
      <c r="A1444" s="1" t="s">
        <v>16737</v>
      </c>
      <c r="B1444" s="1" t="s">
        <v>16738</v>
      </c>
      <c r="C1444" s="1" t="s">
        <v>4766</v>
      </c>
      <c r="D1444" s="1" t="s">
        <v>16739</v>
      </c>
      <c r="E1444" s="1" t="s">
        <v>4767</v>
      </c>
      <c r="F1444" s="1" t="s">
        <v>16736</v>
      </c>
      <c r="G1444">
        <v>246460</v>
      </c>
      <c r="H1444">
        <v>41</v>
      </c>
      <c r="I1444" s="1" t="s">
        <v>11063</v>
      </c>
      <c r="J1444" s="11">
        <v>44729.706458333334</v>
      </c>
      <c r="K1444" s="1" t="s">
        <v>4768</v>
      </c>
      <c r="L1444" s="1">
        <v>0.52800000000000002</v>
      </c>
      <c r="M1444" s="1">
        <v>0.69099999999999995</v>
      </c>
      <c r="N1444">
        <v>0</v>
      </c>
      <c r="O1444" s="1">
        <v>-6.1710000000000003</v>
      </c>
      <c r="P1444">
        <v>1</v>
      </c>
      <c r="Q1444" s="1">
        <v>0.90600000000000003</v>
      </c>
      <c r="R1444" s="1">
        <v>0.248</v>
      </c>
      <c r="S1444" s="1">
        <v>0.16800000000000001</v>
      </c>
      <c r="T1444" s="1">
        <v>0.13200000000000001</v>
      </c>
      <c r="U1444" s="1">
        <v>0.183</v>
      </c>
      <c r="V1444" s="1">
        <v>112.759</v>
      </c>
      <c r="W1444">
        <v>3</v>
      </c>
    </row>
    <row r="1445" spans="1:23" x14ac:dyDescent="0.25">
      <c r="A1445" s="1" t="s">
        <v>16740</v>
      </c>
      <c r="B1445" s="1" t="s">
        <v>16741</v>
      </c>
      <c r="C1445" s="1" t="s">
        <v>4453</v>
      </c>
      <c r="D1445" s="1" t="s">
        <v>4453</v>
      </c>
      <c r="E1445" s="1" t="s">
        <v>4769</v>
      </c>
      <c r="F1445" s="1" t="s">
        <v>13644</v>
      </c>
      <c r="G1445">
        <v>185390</v>
      </c>
      <c r="H1445">
        <v>63</v>
      </c>
      <c r="I1445" s="1" t="s">
        <v>11063</v>
      </c>
      <c r="J1445" s="11">
        <v>44729.706458333334</v>
      </c>
      <c r="K1445" s="1" t="s">
        <v>4770</v>
      </c>
      <c r="L1445" s="1">
        <v>0.67100000000000004</v>
      </c>
      <c r="M1445" s="1">
        <v>0.94899999999999995</v>
      </c>
      <c r="N1445">
        <v>7</v>
      </c>
      <c r="O1445" s="1">
        <v>-2.44</v>
      </c>
      <c r="P1445">
        <v>0</v>
      </c>
      <c r="Q1445" s="1">
        <v>0.82899999999999996</v>
      </c>
      <c r="R1445" s="1">
        <v>0.37</v>
      </c>
      <c r="S1445" s="1">
        <v>0.38300000000000001</v>
      </c>
      <c r="T1445" s="1">
        <v>0.374</v>
      </c>
      <c r="U1445" s="1">
        <v>0.72399999999999998</v>
      </c>
      <c r="V1445" s="1">
        <v>128.02799999999999</v>
      </c>
      <c r="W1445">
        <v>4</v>
      </c>
    </row>
    <row r="1446" spans="1:23" x14ac:dyDescent="0.25">
      <c r="A1446" s="1" t="s">
        <v>16742</v>
      </c>
      <c r="B1446" s="1" t="s">
        <v>16743</v>
      </c>
      <c r="C1446" s="1" t="s">
        <v>4771</v>
      </c>
      <c r="D1446" s="1" t="s">
        <v>16744</v>
      </c>
      <c r="E1446" s="1" t="s">
        <v>4772</v>
      </c>
      <c r="F1446" s="1" t="s">
        <v>16745</v>
      </c>
      <c r="G1446">
        <v>219200</v>
      </c>
      <c r="H1446">
        <v>35</v>
      </c>
      <c r="I1446" s="1" t="s">
        <v>11063</v>
      </c>
      <c r="J1446" s="11">
        <v>44729.706458333334</v>
      </c>
      <c r="K1446" s="1" t="s">
        <v>50</v>
      </c>
      <c r="L1446" s="1">
        <v>0.44500000000000001</v>
      </c>
      <c r="M1446" s="1">
        <v>0.753</v>
      </c>
      <c r="N1446">
        <v>7</v>
      </c>
      <c r="O1446" s="1">
        <v>-5.6849999999999996</v>
      </c>
      <c r="P1446">
        <v>0</v>
      </c>
      <c r="Q1446" s="1">
        <v>0.69599999999999995</v>
      </c>
      <c r="R1446" s="1">
        <v>0.96199999999999997</v>
      </c>
      <c r="S1446" s="1">
        <v>0.59899999999999998</v>
      </c>
      <c r="T1446" s="1">
        <v>0.105</v>
      </c>
      <c r="U1446" s="1">
        <v>0.153</v>
      </c>
      <c r="V1446" s="1">
        <v>149.63499999999999</v>
      </c>
      <c r="W1446">
        <v>4</v>
      </c>
    </row>
    <row r="1447" spans="1:23" x14ac:dyDescent="0.25">
      <c r="A1447" s="1" t="s">
        <v>16746</v>
      </c>
      <c r="B1447" s="1" t="s">
        <v>16747</v>
      </c>
      <c r="C1447" s="1" t="s">
        <v>4773</v>
      </c>
      <c r="D1447" s="1" t="s">
        <v>4773</v>
      </c>
      <c r="E1447" s="1" t="s">
        <v>4774</v>
      </c>
      <c r="F1447" s="1" t="s">
        <v>15379</v>
      </c>
      <c r="G1447">
        <v>198285</v>
      </c>
      <c r="H1447">
        <v>67</v>
      </c>
      <c r="I1447" s="1" t="s">
        <v>11063</v>
      </c>
      <c r="J1447" s="11">
        <v>44729.706458333334</v>
      </c>
      <c r="K1447" s="1" t="s">
        <v>4775</v>
      </c>
      <c r="L1447" s="1">
        <v>0.78400000000000003</v>
      </c>
      <c r="M1447" s="1">
        <v>0.75700000000000001</v>
      </c>
      <c r="N1447">
        <v>8</v>
      </c>
      <c r="O1447" s="1">
        <v>-3.9119999999999999</v>
      </c>
      <c r="P1447">
        <v>1</v>
      </c>
      <c r="Q1447" s="1">
        <v>0.38400000000000001</v>
      </c>
      <c r="R1447" s="1">
        <v>0.495</v>
      </c>
      <c r="S1447" s="1">
        <v>0.11799999999999999</v>
      </c>
      <c r="T1447" s="1">
        <v>0.14199999999999999</v>
      </c>
      <c r="U1447" s="1">
        <v>0.58699999999999997</v>
      </c>
      <c r="V1447" s="1">
        <v>104.996</v>
      </c>
      <c r="W1447">
        <v>4</v>
      </c>
    </row>
    <row r="1448" spans="1:23" x14ac:dyDescent="0.25">
      <c r="A1448" s="1" t="s">
        <v>16748</v>
      </c>
      <c r="B1448" s="1" t="s">
        <v>16749</v>
      </c>
      <c r="C1448" s="1" t="s">
        <v>4776</v>
      </c>
      <c r="D1448" s="1" t="s">
        <v>4776</v>
      </c>
      <c r="E1448" s="1" t="s">
        <v>4777</v>
      </c>
      <c r="F1448" s="1" t="s">
        <v>16750</v>
      </c>
      <c r="G1448">
        <v>205950</v>
      </c>
      <c r="H1448">
        <v>34</v>
      </c>
      <c r="I1448" s="1" t="s">
        <v>11063</v>
      </c>
      <c r="J1448" s="11">
        <v>44729.706458333334</v>
      </c>
      <c r="K1448" s="1" t="s">
        <v>4778</v>
      </c>
      <c r="L1448" s="1">
        <v>0.57899999999999996</v>
      </c>
      <c r="M1448" s="1">
        <v>0.88800000000000001</v>
      </c>
      <c r="N1448">
        <v>7</v>
      </c>
      <c r="O1448" s="1">
        <v>-3.4980000000000002</v>
      </c>
      <c r="P1448">
        <v>0</v>
      </c>
      <c r="Q1448" s="1">
        <v>0.29599999999999999</v>
      </c>
      <c r="R1448" s="1">
        <v>0.30399999999999999</v>
      </c>
      <c r="S1448" s="1">
        <v>0.11700000000000001</v>
      </c>
      <c r="T1448" s="1">
        <v>0.10299999999999999</v>
      </c>
      <c r="U1448" s="1">
        <v>0.28999999999999998</v>
      </c>
      <c r="V1448" s="1">
        <v>99.986999999999995</v>
      </c>
      <c r="W1448">
        <v>4</v>
      </c>
    </row>
    <row r="1449" spans="1:23" x14ac:dyDescent="0.25">
      <c r="A1449" s="1" t="s">
        <v>16751</v>
      </c>
      <c r="B1449" s="1" t="s">
        <v>16752</v>
      </c>
      <c r="C1449" s="1" t="s">
        <v>4779</v>
      </c>
      <c r="D1449" s="1" t="s">
        <v>16753</v>
      </c>
      <c r="E1449" s="1" t="s">
        <v>4780</v>
      </c>
      <c r="F1449" s="1" t="s">
        <v>16754</v>
      </c>
      <c r="G1449">
        <v>200883</v>
      </c>
      <c r="H1449">
        <v>32</v>
      </c>
      <c r="I1449" s="1" t="s">
        <v>11063</v>
      </c>
      <c r="J1449" s="11">
        <v>44729.706458333334</v>
      </c>
      <c r="K1449" s="1" t="s">
        <v>4781</v>
      </c>
      <c r="L1449" s="1">
        <v>0.69099999999999995</v>
      </c>
      <c r="M1449" s="1">
        <v>0.93</v>
      </c>
      <c r="N1449">
        <v>3</v>
      </c>
      <c r="O1449" s="1">
        <v>-3.698</v>
      </c>
      <c r="P1449">
        <v>1</v>
      </c>
      <c r="Q1449" s="1">
        <v>0.753</v>
      </c>
      <c r="R1449" s="1">
        <v>0.64</v>
      </c>
      <c r="S1449" s="1">
        <v>0.152</v>
      </c>
      <c r="T1449" s="1">
        <v>0.11700000000000001</v>
      </c>
      <c r="U1449" s="1">
        <v>0.189</v>
      </c>
      <c r="V1449" s="1">
        <v>128.02600000000001</v>
      </c>
      <c r="W1449">
        <v>4</v>
      </c>
    </row>
    <row r="1450" spans="1:23" x14ac:dyDescent="0.25">
      <c r="A1450" s="1" t="s">
        <v>16755</v>
      </c>
      <c r="B1450" s="1" t="s">
        <v>16756</v>
      </c>
      <c r="C1450" s="1" t="s">
        <v>4782</v>
      </c>
      <c r="D1450" s="1" t="s">
        <v>4126</v>
      </c>
      <c r="E1450" s="1" t="s">
        <v>4783</v>
      </c>
      <c r="F1450" s="1" t="s">
        <v>16757</v>
      </c>
      <c r="G1450">
        <v>221421</v>
      </c>
      <c r="H1450">
        <v>50</v>
      </c>
      <c r="I1450" s="1" t="s">
        <v>11063</v>
      </c>
      <c r="J1450" s="11">
        <v>44729.706458333334</v>
      </c>
      <c r="K1450" s="1" t="s">
        <v>4784</v>
      </c>
      <c r="L1450" s="1">
        <v>0.72299999999999998</v>
      </c>
      <c r="M1450" s="1">
        <v>0.60199999999999998</v>
      </c>
      <c r="N1450">
        <v>6</v>
      </c>
      <c r="O1450" s="1">
        <v>-10.573</v>
      </c>
      <c r="P1450">
        <v>0</v>
      </c>
      <c r="Q1450" s="1">
        <v>0.45100000000000001</v>
      </c>
      <c r="R1450" s="1">
        <v>0.14299999999999999</v>
      </c>
      <c r="S1450" s="1">
        <v>0.60699999999999998</v>
      </c>
      <c r="T1450" s="1">
        <v>0.29899999999999999</v>
      </c>
      <c r="U1450" s="1">
        <v>0.56100000000000005</v>
      </c>
      <c r="V1450" s="1">
        <v>124.006</v>
      </c>
      <c r="W1450">
        <v>4</v>
      </c>
    </row>
    <row r="1451" spans="1:23" x14ac:dyDescent="0.25">
      <c r="A1451" s="1" t="s">
        <v>16758</v>
      </c>
      <c r="B1451" s="1" t="s">
        <v>16759</v>
      </c>
      <c r="C1451" s="1" t="s">
        <v>4785</v>
      </c>
      <c r="D1451" s="1" t="s">
        <v>4785</v>
      </c>
      <c r="E1451" s="1" t="s">
        <v>4786</v>
      </c>
      <c r="F1451" s="1" t="s">
        <v>16760</v>
      </c>
      <c r="G1451">
        <v>202285</v>
      </c>
      <c r="H1451">
        <v>42</v>
      </c>
      <c r="I1451" s="1" t="s">
        <v>11063</v>
      </c>
      <c r="J1451" s="11">
        <v>44729.706458333334</v>
      </c>
      <c r="K1451" s="1" t="s">
        <v>1053</v>
      </c>
      <c r="L1451" s="1">
        <v>0.47199999999999998</v>
      </c>
      <c r="M1451" s="1">
        <v>0.91100000000000003</v>
      </c>
      <c r="N1451">
        <v>5</v>
      </c>
      <c r="O1451" s="1">
        <v>-6.4630000000000001</v>
      </c>
      <c r="P1451">
        <v>0</v>
      </c>
      <c r="Q1451" s="1">
        <v>0.90800000000000003</v>
      </c>
      <c r="R1451" s="1">
        <v>0.11899999999999999</v>
      </c>
      <c r="S1451" s="1">
        <v>0.66800000000000004</v>
      </c>
      <c r="T1451" s="1">
        <v>0.126</v>
      </c>
      <c r="U1451" s="1">
        <v>0.14000000000000001</v>
      </c>
      <c r="V1451" s="1">
        <v>175.09200000000001</v>
      </c>
      <c r="W1451">
        <v>4</v>
      </c>
    </row>
    <row r="1452" spans="1:23" x14ac:dyDescent="0.25">
      <c r="A1452" s="1" t="s">
        <v>16761</v>
      </c>
      <c r="B1452" s="1" t="s">
        <v>13679</v>
      </c>
      <c r="C1452" s="1" t="s">
        <v>4787</v>
      </c>
      <c r="D1452" s="1" t="s">
        <v>4787</v>
      </c>
      <c r="E1452" s="1" t="s">
        <v>2136</v>
      </c>
      <c r="F1452" s="1" t="s">
        <v>16762</v>
      </c>
      <c r="G1452">
        <v>219428</v>
      </c>
      <c r="H1452">
        <v>59</v>
      </c>
      <c r="I1452" s="1" t="s">
        <v>11063</v>
      </c>
      <c r="J1452" s="11">
        <v>44729.706458333334</v>
      </c>
      <c r="K1452" s="1" t="s">
        <v>2137</v>
      </c>
      <c r="L1452" s="1">
        <v>0.433</v>
      </c>
      <c r="M1452" s="1">
        <v>0.75800000000000001</v>
      </c>
      <c r="N1452">
        <v>2</v>
      </c>
      <c r="O1452" s="1">
        <v>-5.7359999999999998</v>
      </c>
      <c r="P1452">
        <v>1</v>
      </c>
      <c r="Q1452" s="1">
        <v>0.66200000000000003</v>
      </c>
      <c r="R1452" s="1">
        <v>0.40899999999999997</v>
      </c>
      <c r="S1452" s="1">
        <v>0.26400000000000001</v>
      </c>
      <c r="T1452" s="1">
        <v>0.10199999999999999</v>
      </c>
      <c r="U1452" s="1">
        <v>0.22</v>
      </c>
      <c r="V1452" s="1">
        <v>87.402000000000001</v>
      </c>
      <c r="W1452">
        <v>4</v>
      </c>
    </row>
    <row r="1453" spans="1:23" x14ac:dyDescent="0.25">
      <c r="A1453" s="1" t="s">
        <v>16763</v>
      </c>
      <c r="B1453" s="1" t="s">
        <v>16764</v>
      </c>
      <c r="C1453" s="1" t="s">
        <v>4788</v>
      </c>
      <c r="D1453" s="1" t="s">
        <v>16765</v>
      </c>
      <c r="E1453" s="1" t="s">
        <v>4789</v>
      </c>
      <c r="F1453" s="1" t="s">
        <v>11399</v>
      </c>
      <c r="G1453">
        <v>235906</v>
      </c>
      <c r="H1453">
        <v>63</v>
      </c>
      <c r="I1453" s="1" t="s">
        <v>11063</v>
      </c>
      <c r="J1453" s="11">
        <v>44729.706458333334</v>
      </c>
      <c r="K1453" s="1" t="s">
        <v>4790</v>
      </c>
      <c r="L1453" s="1">
        <v>0.70599999999999996</v>
      </c>
      <c r="M1453" s="1">
        <v>0.55300000000000005</v>
      </c>
      <c r="N1453">
        <v>3</v>
      </c>
      <c r="O1453" s="1">
        <v>-8.0559999999999992</v>
      </c>
      <c r="P1453">
        <v>0</v>
      </c>
      <c r="Q1453" s="1">
        <v>0.112</v>
      </c>
      <c r="R1453" s="1">
        <v>0.26300000000000001</v>
      </c>
      <c r="S1453" s="1">
        <v>0.34399999999999997</v>
      </c>
      <c r="T1453" s="1">
        <v>0.111</v>
      </c>
      <c r="U1453" s="1">
        <v>0.39200000000000002</v>
      </c>
      <c r="V1453" s="1">
        <v>102.996</v>
      </c>
      <c r="W1453">
        <v>4</v>
      </c>
    </row>
    <row r="1454" spans="1:23" x14ac:dyDescent="0.25">
      <c r="A1454" s="1" t="s">
        <v>16766</v>
      </c>
      <c r="B1454" s="1" t="s">
        <v>16767</v>
      </c>
      <c r="C1454" s="1" t="s">
        <v>4791</v>
      </c>
      <c r="D1454" s="1" t="s">
        <v>4791</v>
      </c>
      <c r="E1454" s="1" t="s">
        <v>4792</v>
      </c>
      <c r="F1454" s="1" t="s">
        <v>11527</v>
      </c>
      <c r="G1454">
        <v>248373</v>
      </c>
      <c r="H1454">
        <v>46</v>
      </c>
      <c r="I1454" s="1" t="s">
        <v>11063</v>
      </c>
      <c r="J1454" s="11">
        <v>44729.706458333334</v>
      </c>
      <c r="K1454" s="1" t="s">
        <v>270</v>
      </c>
      <c r="L1454" s="1">
        <v>0.67100000000000004</v>
      </c>
      <c r="M1454" s="1">
        <v>0.45200000000000001</v>
      </c>
      <c r="N1454">
        <v>1</v>
      </c>
      <c r="O1454" s="1">
        <v>-10.147</v>
      </c>
      <c r="P1454">
        <v>1</v>
      </c>
      <c r="Q1454" s="1">
        <v>0.104</v>
      </c>
      <c r="R1454" s="1">
        <v>0.16700000000000001</v>
      </c>
      <c r="S1454" s="1">
        <v>0</v>
      </c>
      <c r="T1454" s="1">
        <v>0.13500000000000001</v>
      </c>
      <c r="U1454" s="1">
        <v>0.214</v>
      </c>
      <c r="V1454" s="1">
        <v>120.078</v>
      </c>
      <c r="W1454">
        <v>4</v>
      </c>
    </row>
    <row r="1455" spans="1:23" x14ac:dyDescent="0.25">
      <c r="A1455" s="1" t="s">
        <v>16768</v>
      </c>
      <c r="B1455" s="1" t="s">
        <v>11526</v>
      </c>
      <c r="C1455" s="1" t="s">
        <v>4793</v>
      </c>
      <c r="D1455" s="1" t="s">
        <v>16769</v>
      </c>
      <c r="E1455" s="1" t="s">
        <v>269</v>
      </c>
      <c r="F1455" s="1" t="s">
        <v>15616</v>
      </c>
      <c r="G1455">
        <v>303386</v>
      </c>
      <c r="H1455">
        <v>50</v>
      </c>
      <c r="I1455" s="1" t="s">
        <v>11063</v>
      </c>
      <c r="J1455" s="11">
        <v>44729.706458333334</v>
      </c>
      <c r="K1455" s="1" t="s">
        <v>270</v>
      </c>
      <c r="L1455" s="1">
        <v>0.77100000000000002</v>
      </c>
      <c r="M1455" s="1">
        <v>0.35899999999999999</v>
      </c>
      <c r="N1455">
        <v>0</v>
      </c>
      <c r="O1455" s="1">
        <v>-11.401999999999999</v>
      </c>
      <c r="P1455">
        <v>1</v>
      </c>
      <c r="Q1455" s="1">
        <v>0.252</v>
      </c>
      <c r="R1455" s="1">
        <v>0.49199999999999999</v>
      </c>
      <c r="S1455" s="1">
        <v>0</v>
      </c>
      <c r="T1455" s="1">
        <v>0.79200000000000004</v>
      </c>
      <c r="U1455" s="1">
        <v>0.17100000000000001</v>
      </c>
      <c r="V1455" s="1">
        <v>139.971</v>
      </c>
      <c r="W1455">
        <v>4</v>
      </c>
    </row>
    <row r="1456" spans="1:23" x14ac:dyDescent="0.25">
      <c r="A1456" s="1" t="s">
        <v>16770</v>
      </c>
      <c r="B1456" s="1" t="s">
        <v>16771</v>
      </c>
      <c r="C1456" s="1" t="s">
        <v>4794</v>
      </c>
      <c r="D1456" s="1" t="s">
        <v>4794</v>
      </c>
      <c r="E1456" s="1" t="s">
        <v>4795</v>
      </c>
      <c r="F1456" s="1" t="s">
        <v>13934</v>
      </c>
      <c r="G1456">
        <v>180000</v>
      </c>
      <c r="H1456">
        <v>26</v>
      </c>
      <c r="I1456" s="1" t="s">
        <v>11063</v>
      </c>
      <c r="J1456" s="11">
        <v>44729.706458333334</v>
      </c>
      <c r="K1456" s="1" t="s">
        <v>4796</v>
      </c>
      <c r="L1456" s="1">
        <v>0.74199999999999999</v>
      </c>
      <c r="M1456" s="1">
        <v>0.55500000000000005</v>
      </c>
      <c r="N1456">
        <v>8</v>
      </c>
      <c r="O1456" s="1">
        <v>-6.2009999999999996</v>
      </c>
      <c r="P1456">
        <v>0</v>
      </c>
      <c r="Q1456" s="1">
        <v>0.34300000000000003</v>
      </c>
      <c r="R1456" s="1">
        <v>0.27</v>
      </c>
      <c r="S1456" s="1">
        <v>0</v>
      </c>
      <c r="T1456" s="1">
        <v>0.83599999999999997</v>
      </c>
      <c r="U1456" s="1">
        <v>0.36399999999999999</v>
      </c>
      <c r="V1456" s="1">
        <v>112.057</v>
      </c>
      <c r="W1456">
        <v>4</v>
      </c>
    </row>
    <row r="1457" spans="1:23" x14ac:dyDescent="0.25">
      <c r="A1457" s="1" t="s">
        <v>16772</v>
      </c>
      <c r="B1457" s="1" t="s">
        <v>16773</v>
      </c>
      <c r="C1457" s="1" t="s">
        <v>4797</v>
      </c>
      <c r="D1457" s="1" t="s">
        <v>4797</v>
      </c>
      <c r="E1457" s="1" t="s">
        <v>4798</v>
      </c>
      <c r="F1457" s="1" t="s">
        <v>16774</v>
      </c>
      <c r="G1457">
        <v>184032</v>
      </c>
      <c r="H1457">
        <v>37</v>
      </c>
      <c r="I1457" s="1" t="s">
        <v>11063</v>
      </c>
      <c r="J1457" s="11">
        <v>44729.706458333334</v>
      </c>
      <c r="K1457" s="1" t="s">
        <v>4799</v>
      </c>
      <c r="L1457" s="1">
        <v>0.442</v>
      </c>
      <c r="M1457" s="1">
        <v>0.93899999999999995</v>
      </c>
      <c r="N1457">
        <v>7</v>
      </c>
      <c r="O1457" s="1">
        <v>-4.3899999999999997</v>
      </c>
      <c r="P1457">
        <v>0</v>
      </c>
      <c r="Q1457" s="1">
        <v>0.55900000000000005</v>
      </c>
      <c r="R1457" s="1">
        <v>0.34599999999999997</v>
      </c>
      <c r="S1457" s="1">
        <v>0.21</v>
      </c>
      <c r="T1457" s="1">
        <v>0.17199999999999999</v>
      </c>
      <c r="U1457" s="1">
        <v>0.80700000000000005</v>
      </c>
      <c r="V1457" s="1">
        <v>75.025999999999996</v>
      </c>
      <c r="W1457">
        <v>4</v>
      </c>
    </row>
    <row r="1458" spans="1:23" x14ac:dyDescent="0.25">
      <c r="A1458" s="1" t="s">
        <v>16775</v>
      </c>
      <c r="B1458" s="1" t="s">
        <v>16776</v>
      </c>
      <c r="C1458" s="1" t="s">
        <v>4800</v>
      </c>
      <c r="D1458" s="1" t="s">
        <v>4800</v>
      </c>
      <c r="E1458" s="1" t="s">
        <v>4801</v>
      </c>
      <c r="F1458" s="1" t="s">
        <v>11715</v>
      </c>
      <c r="G1458">
        <v>164137</v>
      </c>
      <c r="H1458">
        <v>28</v>
      </c>
      <c r="I1458" s="1" t="s">
        <v>11063</v>
      </c>
      <c r="J1458" s="11">
        <v>44729.706458333334</v>
      </c>
      <c r="K1458" s="1" t="s">
        <v>1066</v>
      </c>
      <c r="L1458" s="1">
        <v>0.56599999999999995</v>
      </c>
      <c r="M1458" s="1">
        <v>0.67300000000000004</v>
      </c>
      <c r="N1458">
        <v>7</v>
      </c>
      <c r="O1458" s="1">
        <v>-3.3090000000000002</v>
      </c>
      <c r="P1458">
        <v>0</v>
      </c>
      <c r="Q1458" s="1">
        <v>0.54300000000000004</v>
      </c>
      <c r="R1458" s="1">
        <v>0.30299999999999999</v>
      </c>
      <c r="S1458" s="1">
        <v>0</v>
      </c>
      <c r="T1458" s="1">
        <v>0.27100000000000002</v>
      </c>
      <c r="U1458" s="1">
        <v>0.45</v>
      </c>
      <c r="V1458" s="1">
        <v>86.998000000000005</v>
      </c>
      <c r="W1458">
        <v>4</v>
      </c>
    </row>
    <row r="1459" spans="1:23" x14ac:dyDescent="0.25">
      <c r="A1459" s="1" t="s">
        <v>16777</v>
      </c>
      <c r="B1459" s="1" t="s">
        <v>16778</v>
      </c>
      <c r="C1459" s="1" t="s">
        <v>4802</v>
      </c>
      <c r="D1459" s="1" t="s">
        <v>16779</v>
      </c>
      <c r="E1459" s="1" t="s">
        <v>4803</v>
      </c>
      <c r="F1459" s="1" t="s">
        <v>16780</v>
      </c>
      <c r="G1459">
        <v>222075</v>
      </c>
      <c r="H1459">
        <v>30</v>
      </c>
      <c r="I1459" s="1" t="s">
        <v>11063</v>
      </c>
      <c r="J1459" s="11">
        <v>44729.706458333334</v>
      </c>
      <c r="K1459" s="1" t="s">
        <v>100</v>
      </c>
      <c r="L1459" s="1">
        <v>0.52900000000000003</v>
      </c>
      <c r="M1459" s="1">
        <v>0.95499999999999996</v>
      </c>
      <c r="N1459">
        <v>10</v>
      </c>
      <c r="O1459" s="1">
        <v>-2.59</v>
      </c>
      <c r="P1459">
        <v>0</v>
      </c>
      <c r="Q1459" s="1">
        <v>0.79400000000000004</v>
      </c>
      <c r="R1459" s="1">
        <v>0.34399999999999997</v>
      </c>
      <c r="S1459" s="1">
        <v>0.45500000000000002</v>
      </c>
      <c r="T1459" s="1">
        <v>0.35299999999999998</v>
      </c>
      <c r="U1459" s="1">
        <v>0.89300000000000002</v>
      </c>
      <c r="V1459" s="1">
        <v>125.988</v>
      </c>
      <c r="W1459">
        <v>4</v>
      </c>
    </row>
    <row r="1460" spans="1:23" x14ac:dyDescent="0.25">
      <c r="A1460" s="1" t="s">
        <v>16781</v>
      </c>
      <c r="B1460" s="1" t="s">
        <v>16782</v>
      </c>
      <c r="C1460" s="1" t="s">
        <v>4804</v>
      </c>
      <c r="D1460" s="1" t="s">
        <v>4804</v>
      </c>
      <c r="E1460" s="1" t="s">
        <v>4805</v>
      </c>
      <c r="F1460" s="1" t="s">
        <v>11530</v>
      </c>
      <c r="G1460">
        <v>242074</v>
      </c>
      <c r="H1460">
        <v>30</v>
      </c>
      <c r="I1460" s="1" t="s">
        <v>11063</v>
      </c>
      <c r="J1460" s="11">
        <v>44729.706458333334</v>
      </c>
      <c r="K1460" s="1" t="s">
        <v>3911</v>
      </c>
      <c r="L1460" s="1">
        <v>0.70299999999999996</v>
      </c>
      <c r="M1460" s="1">
        <v>0.71799999999999997</v>
      </c>
      <c r="N1460">
        <v>5</v>
      </c>
      <c r="O1460" s="1">
        <v>-5.3979999999999997</v>
      </c>
      <c r="P1460">
        <v>1</v>
      </c>
      <c r="Q1460" s="1">
        <v>0.153</v>
      </c>
      <c r="R1460" s="1">
        <v>0.41599999999999998</v>
      </c>
      <c r="S1460" s="1">
        <v>0</v>
      </c>
      <c r="T1460" s="1">
        <v>0.98699999999999999</v>
      </c>
      <c r="U1460" s="1">
        <v>0.10199999999999999</v>
      </c>
      <c r="V1460" s="1">
        <v>115.991</v>
      </c>
      <c r="W1460">
        <v>4</v>
      </c>
    </row>
    <row r="1461" spans="1:23" x14ac:dyDescent="0.25">
      <c r="A1461" s="1" t="s">
        <v>16783</v>
      </c>
      <c r="B1461" s="1" t="s">
        <v>16784</v>
      </c>
      <c r="C1461" s="1" t="s">
        <v>4806</v>
      </c>
      <c r="D1461" s="1" t="s">
        <v>4806</v>
      </c>
      <c r="E1461" s="1" t="s">
        <v>4807</v>
      </c>
      <c r="F1461" s="1" t="s">
        <v>16785</v>
      </c>
      <c r="G1461">
        <v>194608</v>
      </c>
      <c r="H1461">
        <v>28</v>
      </c>
      <c r="I1461" s="1" t="s">
        <v>11063</v>
      </c>
      <c r="J1461" s="11">
        <v>44729.706458333334</v>
      </c>
      <c r="K1461" s="1" t="s">
        <v>4808</v>
      </c>
      <c r="L1461" s="1">
        <v>0.65400000000000003</v>
      </c>
      <c r="M1461" s="1">
        <v>0.82699999999999996</v>
      </c>
      <c r="N1461">
        <v>4</v>
      </c>
      <c r="O1461" s="1">
        <v>-2.2469999999999999</v>
      </c>
      <c r="P1461">
        <v>0</v>
      </c>
      <c r="Q1461" s="1">
        <v>0.52400000000000002</v>
      </c>
      <c r="R1461" s="1">
        <v>0.58799999999999997</v>
      </c>
      <c r="S1461" s="1">
        <v>0.57299999999999995</v>
      </c>
      <c r="T1461" s="1">
        <v>0.871</v>
      </c>
      <c r="U1461" s="1">
        <v>0.51600000000000001</v>
      </c>
      <c r="V1461" s="1">
        <v>150.10599999999999</v>
      </c>
      <c r="W1461">
        <v>4</v>
      </c>
    </row>
    <row r="1462" spans="1:23" x14ac:dyDescent="0.25">
      <c r="A1462" s="1" t="s">
        <v>16786</v>
      </c>
      <c r="B1462" s="1" t="s">
        <v>16787</v>
      </c>
      <c r="C1462" s="1" t="s">
        <v>4809</v>
      </c>
      <c r="D1462" s="1" t="s">
        <v>4809</v>
      </c>
      <c r="E1462" s="1" t="s">
        <v>4810</v>
      </c>
      <c r="F1462" s="1" t="s">
        <v>16788</v>
      </c>
      <c r="G1462">
        <v>228631</v>
      </c>
      <c r="H1462">
        <v>32</v>
      </c>
      <c r="I1462" s="1" t="s">
        <v>11063</v>
      </c>
      <c r="J1462" s="11">
        <v>44729.706458333334</v>
      </c>
      <c r="K1462" s="1" t="s">
        <v>50</v>
      </c>
      <c r="L1462" s="1">
        <v>0.55200000000000005</v>
      </c>
      <c r="M1462" s="1">
        <v>0.57199999999999995</v>
      </c>
      <c r="N1462">
        <v>5</v>
      </c>
      <c r="O1462" s="1">
        <v>-5.26</v>
      </c>
      <c r="P1462">
        <v>0</v>
      </c>
      <c r="Q1462" s="1">
        <v>0.41599999999999998</v>
      </c>
      <c r="R1462" s="1">
        <v>0.42299999999999999</v>
      </c>
      <c r="S1462" s="1">
        <v>0.44700000000000001</v>
      </c>
      <c r="T1462" s="1">
        <v>0.14399999999999999</v>
      </c>
      <c r="U1462" s="1">
        <v>0.23899999999999999</v>
      </c>
      <c r="V1462" s="1">
        <v>94.757999999999996</v>
      </c>
      <c r="W1462">
        <v>4</v>
      </c>
    </row>
    <row r="1463" spans="1:23" x14ac:dyDescent="0.25">
      <c r="A1463" s="1" t="s">
        <v>16789</v>
      </c>
      <c r="B1463" s="1" t="s">
        <v>16790</v>
      </c>
      <c r="C1463" s="1" t="s">
        <v>4811</v>
      </c>
      <c r="D1463" s="1" t="s">
        <v>4811</v>
      </c>
      <c r="E1463" s="1" t="s">
        <v>4812</v>
      </c>
      <c r="F1463" s="1" t="s">
        <v>11612</v>
      </c>
      <c r="G1463">
        <v>220708</v>
      </c>
      <c r="H1463">
        <v>22</v>
      </c>
      <c r="I1463" s="1" t="s">
        <v>11063</v>
      </c>
      <c r="J1463" s="11">
        <v>44729.706458333334</v>
      </c>
      <c r="K1463" s="1" t="s">
        <v>50</v>
      </c>
      <c r="L1463" s="1">
        <v>0.73299999999999998</v>
      </c>
      <c r="M1463" s="1">
        <v>0.72199999999999998</v>
      </c>
      <c r="N1463">
        <v>1</v>
      </c>
      <c r="O1463" s="1">
        <v>-6.0880000000000001</v>
      </c>
      <c r="P1463">
        <v>1</v>
      </c>
      <c r="Q1463" s="1">
        <v>0.77400000000000002</v>
      </c>
      <c r="R1463" s="1">
        <v>0.53600000000000003</v>
      </c>
      <c r="S1463" s="1">
        <v>0.86399999999999999</v>
      </c>
      <c r="T1463" s="1">
        <v>0.60499999999999998</v>
      </c>
      <c r="U1463" s="1">
        <v>0.38600000000000001</v>
      </c>
      <c r="V1463" s="1">
        <v>137.06399999999999</v>
      </c>
      <c r="W1463">
        <v>4</v>
      </c>
    </row>
    <row r="1464" spans="1:23" x14ac:dyDescent="0.25">
      <c r="A1464" s="1" t="s">
        <v>16791</v>
      </c>
      <c r="B1464" s="1" t="s">
        <v>16792</v>
      </c>
      <c r="C1464" s="1" t="s">
        <v>4813</v>
      </c>
      <c r="D1464" s="1" t="s">
        <v>16793</v>
      </c>
      <c r="E1464" s="1" t="s">
        <v>4814</v>
      </c>
      <c r="F1464" s="1" t="s">
        <v>16794</v>
      </c>
      <c r="G1464">
        <v>237073</v>
      </c>
      <c r="H1464">
        <v>31</v>
      </c>
      <c r="I1464" s="1" t="s">
        <v>11063</v>
      </c>
      <c r="J1464" s="11">
        <v>44729.706458333334</v>
      </c>
      <c r="K1464" s="1" t="s">
        <v>4815</v>
      </c>
      <c r="L1464" s="1">
        <v>0.50800000000000001</v>
      </c>
      <c r="M1464" s="1">
        <v>0.72099999999999997</v>
      </c>
      <c r="N1464">
        <v>1</v>
      </c>
      <c r="O1464" s="1">
        <v>-5.2329999999999997</v>
      </c>
      <c r="P1464">
        <v>0</v>
      </c>
      <c r="Q1464" s="1">
        <v>0.50700000000000001</v>
      </c>
      <c r="R1464" s="1">
        <v>0.27300000000000002</v>
      </c>
      <c r="S1464" s="1">
        <v>0.11</v>
      </c>
      <c r="T1464" s="1">
        <v>0.20899999999999999</v>
      </c>
      <c r="U1464" s="1">
        <v>0.17699999999999999</v>
      </c>
      <c r="V1464" s="1">
        <v>164.131</v>
      </c>
      <c r="W1464">
        <v>4</v>
      </c>
    </row>
    <row r="1465" spans="1:23" x14ac:dyDescent="0.25">
      <c r="A1465" s="1" t="s">
        <v>16795</v>
      </c>
      <c r="B1465" s="1" t="s">
        <v>16796</v>
      </c>
      <c r="C1465" s="1" t="s">
        <v>4816</v>
      </c>
      <c r="D1465" s="1" t="s">
        <v>11071</v>
      </c>
      <c r="E1465" s="1" t="s">
        <v>4817</v>
      </c>
      <c r="F1465" s="1" t="s">
        <v>11621</v>
      </c>
      <c r="G1465">
        <v>498960</v>
      </c>
      <c r="H1465">
        <v>60</v>
      </c>
      <c r="I1465" s="1" t="s">
        <v>11063</v>
      </c>
      <c r="J1465" s="11">
        <v>44729.706458333334</v>
      </c>
      <c r="K1465" s="1" t="s">
        <v>2736</v>
      </c>
      <c r="L1465" s="1">
        <v>0.28999999999999998</v>
      </c>
      <c r="M1465" s="1">
        <v>0.41199999999999998</v>
      </c>
      <c r="N1465">
        <v>6</v>
      </c>
      <c r="O1465" s="1">
        <v>-12.659000000000001</v>
      </c>
      <c r="P1465">
        <v>0</v>
      </c>
      <c r="Q1465" s="1">
        <v>0.45800000000000002</v>
      </c>
      <c r="R1465" s="1">
        <v>0.47699999999999998</v>
      </c>
      <c r="S1465" s="1">
        <v>0.83899999999999997</v>
      </c>
      <c r="T1465" s="1">
        <v>0.79</v>
      </c>
      <c r="U1465" s="1">
        <v>0.12</v>
      </c>
      <c r="V1465" s="1">
        <v>90.539000000000001</v>
      </c>
      <c r="W1465">
        <v>4</v>
      </c>
    </row>
    <row r="1466" spans="1:23" x14ac:dyDescent="0.25">
      <c r="A1466" s="1" t="s">
        <v>16797</v>
      </c>
      <c r="B1466" s="1" t="s">
        <v>16798</v>
      </c>
      <c r="C1466" s="1" t="s">
        <v>4818</v>
      </c>
      <c r="D1466" s="1" t="s">
        <v>16799</v>
      </c>
      <c r="E1466" s="1" t="s">
        <v>4819</v>
      </c>
      <c r="F1466" s="1" t="s">
        <v>16196</v>
      </c>
      <c r="G1466">
        <v>242859</v>
      </c>
      <c r="H1466">
        <v>61</v>
      </c>
      <c r="I1466" s="1" t="s">
        <v>11063</v>
      </c>
      <c r="J1466" s="11">
        <v>44729.706458333334</v>
      </c>
      <c r="K1466" s="1" t="s">
        <v>4820</v>
      </c>
      <c r="L1466" s="1">
        <v>0.60099999999999998</v>
      </c>
      <c r="M1466" s="1">
        <v>0.499</v>
      </c>
      <c r="N1466">
        <v>6</v>
      </c>
      <c r="O1466" s="1">
        <v>-11.131</v>
      </c>
      <c r="P1466">
        <v>1</v>
      </c>
      <c r="Q1466" s="1">
        <v>0.34300000000000003</v>
      </c>
      <c r="R1466" s="1">
        <v>0.81499999999999995</v>
      </c>
      <c r="S1466" s="1">
        <v>0.71199999999999997</v>
      </c>
      <c r="T1466" s="1">
        <v>0.109</v>
      </c>
      <c r="U1466" s="1">
        <v>0.53100000000000003</v>
      </c>
      <c r="V1466" s="1">
        <v>96.980999999999995</v>
      </c>
      <c r="W1466">
        <v>4</v>
      </c>
    </row>
    <row r="1467" spans="1:23" x14ac:dyDescent="0.25">
      <c r="A1467" s="1" t="s">
        <v>16800</v>
      </c>
      <c r="B1467" s="1" t="s">
        <v>16801</v>
      </c>
      <c r="C1467" s="1" t="s">
        <v>4821</v>
      </c>
      <c r="D1467" s="1" t="s">
        <v>4821</v>
      </c>
      <c r="E1467" s="1" t="s">
        <v>4822</v>
      </c>
      <c r="F1467" s="1" t="s">
        <v>14124</v>
      </c>
      <c r="G1467">
        <v>191007</v>
      </c>
      <c r="H1467">
        <v>35</v>
      </c>
      <c r="I1467" s="1" t="s">
        <v>11063</v>
      </c>
      <c r="J1467" s="11">
        <v>44729.706458333334</v>
      </c>
      <c r="K1467" s="1" t="s">
        <v>4823</v>
      </c>
      <c r="L1467" s="1">
        <v>0.60199999999999998</v>
      </c>
      <c r="M1467" s="1">
        <v>0.90100000000000002</v>
      </c>
      <c r="N1467">
        <v>8</v>
      </c>
      <c r="O1467" s="1">
        <v>-3.8420000000000001</v>
      </c>
      <c r="P1467">
        <v>0</v>
      </c>
      <c r="Q1467" s="1">
        <v>0.85399999999999998</v>
      </c>
      <c r="R1467" s="1">
        <v>0.104</v>
      </c>
      <c r="S1467" s="1">
        <v>0.67700000000000005</v>
      </c>
      <c r="T1467" s="1">
        <v>0.79900000000000004</v>
      </c>
      <c r="U1467" s="1">
        <v>0.36199999999999999</v>
      </c>
      <c r="V1467" s="1">
        <v>94.57</v>
      </c>
      <c r="W1467">
        <v>4</v>
      </c>
    </row>
    <row r="1468" spans="1:23" x14ac:dyDescent="0.25">
      <c r="A1468" s="1" t="s">
        <v>16802</v>
      </c>
      <c r="B1468" s="1" t="s">
        <v>16803</v>
      </c>
      <c r="C1468" s="1" t="s">
        <v>4824</v>
      </c>
      <c r="D1468" s="1" t="s">
        <v>11191</v>
      </c>
      <c r="E1468" s="1" t="s">
        <v>4825</v>
      </c>
      <c r="F1468" s="1" t="s">
        <v>11620</v>
      </c>
      <c r="G1468">
        <v>237000</v>
      </c>
      <c r="H1468">
        <v>59</v>
      </c>
      <c r="I1468" s="1" t="s">
        <v>11063</v>
      </c>
      <c r="J1468" s="11">
        <v>44729.706458333334</v>
      </c>
      <c r="K1468" s="1" t="s">
        <v>4826</v>
      </c>
      <c r="L1468" s="1">
        <v>0.48499999999999999</v>
      </c>
      <c r="M1468" s="1">
        <v>0.92800000000000005</v>
      </c>
      <c r="N1468">
        <v>10</v>
      </c>
      <c r="O1468" s="1">
        <v>-3.4510000000000001</v>
      </c>
      <c r="P1468">
        <v>0</v>
      </c>
      <c r="Q1468" s="1">
        <v>0.44500000000000001</v>
      </c>
      <c r="R1468" s="1">
        <v>0.13400000000000001</v>
      </c>
      <c r="S1468" s="1">
        <v>0.29199999999999998</v>
      </c>
      <c r="T1468" s="1">
        <v>0.217</v>
      </c>
      <c r="U1468" s="1">
        <v>0.34799999999999998</v>
      </c>
      <c r="V1468" s="1">
        <v>160.16499999999999</v>
      </c>
      <c r="W1468">
        <v>4</v>
      </c>
    </row>
    <row r="1469" spans="1:23" x14ac:dyDescent="0.25">
      <c r="A1469" s="1" t="s">
        <v>16804</v>
      </c>
      <c r="B1469" s="1" t="s">
        <v>16805</v>
      </c>
      <c r="C1469" s="1" t="s">
        <v>4827</v>
      </c>
      <c r="D1469" s="1" t="s">
        <v>11191</v>
      </c>
      <c r="E1469" s="1" t="s">
        <v>4828</v>
      </c>
      <c r="F1469" s="1" t="s">
        <v>11620</v>
      </c>
      <c r="G1469">
        <v>210000</v>
      </c>
      <c r="H1469">
        <v>57</v>
      </c>
      <c r="I1469" s="1" t="s">
        <v>11063</v>
      </c>
      <c r="J1469" s="11">
        <v>44729.706458333334</v>
      </c>
      <c r="K1469" s="1" t="s">
        <v>4829</v>
      </c>
      <c r="L1469" s="1">
        <v>0.54200000000000004</v>
      </c>
      <c r="M1469" s="1">
        <v>0.879</v>
      </c>
      <c r="N1469">
        <v>6</v>
      </c>
      <c r="O1469" s="1">
        <v>-1.427</v>
      </c>
      <c r="P1469">
        <v>0</v>
      </c>
      <c r="Q1469" s="1">
        <v>0.92100000000000004</v>
      </c>
      <c r="R1469" s="1">
        <v>0.52300000000000002</v>
      </c>
      <c r="S1469" s="1">
        <v>0</v>
      </c>
      <c r="T1469" s="1">
        <v>0.17100000000000001</v>
      </c>
      <c r="U1469" s="1">
        <v>0.11799999999999999</v>
      </c>
      <c r="V1469" s="1">
        <v>159.88800000000001</v>
      </c>
      <c r="W1469">
        <v>4</v>
      </c>
    </row>
    <row r="1470" spans="1:23" x14ac:dyDescent="0.25">
      <c r="A1470" s="1" t="s">
        <v>16806</v>
      </c>
      <c r="B1470" s="1" t="s">
        <v>16807</v>
      </c>
      <c r="C1470" s="1" t="s">
        <v>4830</v>
      </c>
      <c r="D1470" s="1" t="s">
        <v>16808</v>
      </c>
      <c r="E1470" s="1" t="s">
        <v>4831</v>
      </c>
      <c r="F1470" s="1" t="s">
        <v>16332</v>
      </c>
      <c r="G1470">
        <v>237381</v>
      </c>
      <c r="H1470">
        <v>58</v>
      </c>
      <c r="I1470" s="1" t="s">
        <v>11063</v>
      </c>
      <c r="J1470" s="11">
        <v>44729.706458333334</v>
      </c>
      <c r="K1470" s="1" t="s">
        <v>4832</v>
      </c>
      <c r="L1470" s="1">
        <v>0.47399999999999998</v>
      </c>
      <c r="M1470" s="1">
        <v>0.95099999999999996</v>
      </c>
      <c r="N1470">
        <v>5</v>
      </c>
      <c r="O1470" s="1" t="s">
        <v>4833</v>
      </c>
      <c r="P1470">
        <v>1</v>
      </c>
      <c r="Q1470" s="1">
        <v>0.70099999999999996</v>
      </c>
      <c r="R1470" s="1">
        <v>0.30299999999999999</v>
      </c>
      <c r="S1470" s="1">
        <v>0.56999999999999995</v>
      </c>
      <c r="T1470" s="1">
        <v>0.67200000000000004</v>
      </c>
      <c r="U1470" s="1">
        <v>0.77500000000000002</v>
      </c>
      <c r="V1470" s="1">
        <v>174.119</v>
      </c>
      <c r="W1470">
        <v>4</v>
      </c>
    </row>
    <row r="1471" spans="1:23" x14ac:dyDescent="0.25">
      <c r="A1471" s="1" t="s">
        <v>16809</v>
      </c>
      <c r="B1471" s="1" t="s">
        <v>16810</v>
      </c>
      <c r="C1471" s="1" t="s">
        <v>4834</v>
      </c>
      <c r="D1471" s="1" t="s">
        <v>16811</v>
      </c>
      <c r="E1471" s="1" t="s">
        <v>4835</v>
      </c>
      <c r="F1471" s="1" t="s">
        <v>14841</v>
      </c>
      <c r="G1471">
        <v>188251</v>
      </c>
      <c r="H1471">
        <v>44</v>
      </c>
      <c r="I1471" s="1" t="s">
        <v>11063</v>
      </c>
      <c r="J1471" s="11">
        <v>44729.706458333334</v>
      </c>
      <c r="K1471" s="1" t="s">
        <v>4836</v>
      </c>
      <c r="L1471" s="1">
        <v>0.57899999999999996</v>
      </c>
      <c r="M1471" s="1">
        <v>0.79900000000000004</v>
      </c>
      <c r="N1471">
        <v>5</v>
      </c>
      <c r="O1471" s="1">
        <v>-3.0539999999999998</v>
      </c>
      <c r="P1471">
        <v>1</v>
      </c>
      <c r="Q1471" s="1">
        <v>0.32100000000000001</v>
      </c>
      <c r="R1471" s="1">
        <v>0.13500000000000001</v>
      </c>
      <c r="S1471" s="1">
        <v>0</v>
      </c>
      <c r="T1471" s="1">
        <v>0.17799999999999999</v>
      </c>
      <c r="U1471" s="1">
        <v>0.432</v>
      </c>
      <c r="V1471" s="1">
        <v>124.014</v>
      </c>
      <c r="W1471">
        <v>4</v>
      </c>
    </row>
    <row r="1472" spans="1:23" x14ac:dyDescent="0.25">
      <c r="A1472" s="1" t="s">
        <v>16812</v>
      </c>
      <c r="B1472" s="1" t="s">
        <v>16813</v>
      </c>
      <c r="C1472" s="1" t="s">
        <v>4837</v>
      </c>
      <c r="D1472" s="1" t="s">
        <v>16814</v>
      </c>
      <c r="E1472" s="1" t="s">
        <v>4838</v>
      </c>
      <c r="F1472" s="1" t="s">
        <v>16815</v>
      </c>
      <c r="G1472">
        <v>209800</v>
      </c>
      <c r="H1472">
        <v>66</v>
      </c>
      <c r="I1472" s="1" t="s">
        <v>11063</v>
      </c>
      <c r="J1472" s="11">
        <v>44729.706458333334</v>
      </c>
      <c r="K1472" s="1" t="s">
        <v>4839</v>
      </c>
      <c r="L1472" s="1">
        <v>0.76700000000000002</v>
      </c>
      <c r="M1472" s="1">
        <v>0.88100000000000001</v>
      </c>
      <c r="N1472">
        <v>9</v>
      </c>
      <c r="O1472" s="1">
        <v>-3.988</v>
      </c>
      <c r="P1472">
        <v>1</v>
      </c>
      <c r="Q1472" s="1">
        <v>0.30099999999999999</v>
      </c>
      <c r="R1472" s="1">
        <v>0.13300000000000001</v>
      </c>
      <c r="S1472" s="1">
        <v>0.13900000000000001</v>
      </c>
      <c r="T1472" s="1">
        <v>0.55100000000000005</v>
      </c>
      <c r="U1472" s="1">
        <v>0.96099999999999997</v>
      </c>
      <c r="V1472" s="1">
        <v>130.018</v>
      </c>
      <c r="W1472">
        <v>4</v>
      </c>
    </row>
    <row r="1473" spans="1:23" x14ac:dyDescent="0.25">
      <c r="A1473" s="1" t="s">
        <v>16816</v>
      </c>
      <c r="B1473" s="1" t="s">
        <v>11529</v>
      </c>
      <c r="C1473" s="1" t="s">
        <v>4840</v>
      </c>
      <c r="D1473" s="1" t="s">
        <v>6600</v>
      </c>
      <c r="E1473" s="1" t="s">
        <v>272</v>
      </c>
      <c r="F1473" s="1" t="s">
        <v>11530</v>
      </c>
      <c r="G1473">
        <v>206506</v>
      </c>
      <c r="H1473">
        <v>57</v>
      </c>
      <c r="I1473" s="1" t="s">
        <v>11063</v>
      </c>
      <c r="J1473" s="11">
        <v>44729.706458333334</v>
      </c>
      <c r="K1473" s="1" t="s">
        <v>270</v>
      </c>
      <c r="L1473" s="1">
        <v>0.73199999999999998</v>
      </c>
      <c r="M1473" s="1">
        <v>0.50800000000000001</v>
      </c>
      <c r="N1473">
        <v>0</v>
      </c>
      <c r="O1473" s="1">
        <v>-6.7169999999999996</v>
      </c>
      <c r="P1473">
        <v>1</v>
      </c>
      <c r="Q1473" s="1">
        <v>0.378</v>
      </c>
      <c r="R1473" s="1">
        <v>0.45400000000000001</v>
      </c>
      <c r="S1473" s="1">
        <v>0</v>
      </c>
      <c r="T1473" s="1">
        <v>0.93300000000000005</v>
      </c>
      <c r="U1473" s="1">
        <v>0.34499999999999997</v>
      </c>
      <c r="V1473" s="1">
        <v>125.964</v>
      </c>
      <c r="W1473">
        <v>4</v>
      </c>
    </row>
    <row r="1474" spans="1:23" x14ac:dyDescent="0.25">
      <c r="A1474" s="1" t="s">
        <v>16817</v>
      </c>
      <c r="B1474" s="1" t="s">
        <v>16818</v>
      </c>
      <c r="C1474" s="1" t="s">
        <v>4841</v>
      </c>
      <c r="D1474" s="1" t="s">
        <v>4841</v>
      </c>
      <c r="E1474" s="1" t="s">
        <v>4842</v>
      </c>
      <c r="F1474" s="1" t="s">
        <v>11630</v>
      </c>
      <c r="G1474">
        <v>225413</v>
      </c>
      <c r="H1474">
        <v>61</v>
      </c>
      <c r="I1474" s="1" t="s">
        <v>11063</v>
      </c>
      <c r="J1474" s="11">
        <v>44729.706458333334</v>
      </c>
      <c r="K1474" s="1" t="s">
        <v>270</v>
      </c>
      <c r="L1474" s="1">
        <v>0.81599999999999995</v>
      </c>
      <c r="M1474" s="1">
        <v>0.47799999999999998</v>
      </c>
      <c r="N1474">
        <v>11</v>
      </c>
      <c r="O1474" s="1">
        <v>-8.5129999999999999</v>
      </c>
      <c r="P1474">
        <v>1</v>
      </c>
      <c r="Q1474" s="1">
        <v>0.65500000000000003</v>
      </c>
      <c r="R1474" s="1">
        <v>0.41599999999999998</v>
      </c>
      <c r="S1474" s="1">
        <v>0</v>
      </c>
      <c r="T1474" s="1">
        <v>0.12</v>
      </c>
      <c r="U1474" s="1">
        <v>0.65600000000000003</v>
      </c>
      <c r="V1474" s="1">
        <v>110.589</v>
      </c>
      <c r="W1474">
        <v>4</v>
      </c>
    </row>
    <row r="1475" spans="1:23" x14ac:dyDescent="0.25">
      <c r="A1475" s="1" t="s">
        <v>16819</v>
      </c>
      <c r="B1475" s="1" t="s">
        <v>16820</v>
      </c>
      <c r="C1475" s="1" t="s">
        <v>4843</v>
      </c>
      <c r="D1475" s="1" t="s">
        <v>4843</v>
      </c>
      <c r="E1475" s="1" t="s">
        <v>4844</v>
      </c>
      <c r="F1475" s="1" t="s">
        <v>16821</v>
      </c>
      <c r="G1475">
        <v>214693</v>
      </c>
      <c r="H1475">
        <v>63</v>
      </c>
      <c r="I1475" s="1" t="s">
        <v>11063</v>
      </c>
      <c r="J1475" s="11">
        <v>44729.706458333334</v>
      </c>
      <c r="K1475" s="1" t="s">
        <v>4845</v>
      </c>
      <c r="L1475" s="1">
        <v>0.65700000000000003</v>
      </c>
      <c r="M1475" s="1">
        <v>0.70299999999999996</v>
      </c>
      <c r="N1475">
        <v>1</v>
      </c>
      <c r="O1475" s="1">
        <v>-3.4020000000000001</v>
      </c>
      <c r="P1475">
        <v>1</v>
      </c>
      <c r="Q1475" s="1">
        <v>0.753</v>
      </c>
      <c r="R1475" s="1">
        <v>0.222</v>
      </c>
      <c r="S1475" s="1">
        <v>0</v>
      </c>
      <c r="T1475" s="1">
        <v>0.25600000000000001</v>
      </c>
      <c r="U1475" s="1">
        <v>0.33800000000000002</v>
      </c>
      <c r="V1475" s="1">
        <v>122.381</v>
      </c>
      <c r="W1475">
        <v>4</v>
      </c>
    </row>
    <row r="1476" spans="1:23" x14ac:dyDescent="0.25">
      <c r="A1476" s="1" t="s">
        <v>16822</v>
      </c>
      <c r="B1476" s="1" t="s">
        <v>16823</v>
      </c>
      <c r="C1476" s="1" t="s">
        <v>4846</v>
      </c>
      <c r="D1476" s="1" t="s">
        <v>15249</v>
      </c>
      <c r="E1476" s="1" t="s">
        <v>4847</v>
      </c>
      <c r="F1476" s="1" t="s">
        <v>15250</v>
      </c>
      <c r="G1476">
        <v>156910</v>
      </c>
      <c r="H1476">
        <v>68</v>
      </c>
      <c r="I1476" s="1" t="s">
        <v>11063</v>
      </c>
      <c r="J1476" s="11">
        <v>44729.706458333334</v>
      </c>
      <c r="K1476" s="1" t="s">
        <v>4848</v>
      </c>
      <c r="L1476" s="1">
        <v>0.86799999999999999</v>
      </c>
      <c r="M1476" s="1">
        <v>0.69299999999999995</v>
      </c>
      <c r="N1476">
        <v>6</v>
      </c>
      <c r="O1476" s="1">
        <v>-7.0519999999999996</v>
      </c>
      <c r="P1476">
        <v>0</v>
      </c>
      <c r="Q1476" s="1">
        <v>0.18099999999999999</v>
      </c>
      <c r="R1476" s="1">
        <v>0.59699999999999998</v>
      </c>
      <c r="S1476" s="1">
        <v>0.39900000000000002</v>
      </c>
      <c r="T1476" s="1">
        <v>0.106</v>
      </c>
      <c r="U1476" s="1">
        <v>0.39600000000000002</v>
      </c>
      <c r="V1476" s="1">
        <v>114.999</v>
      </c>
      <c r="W1476">
        <v>4</v>
      </c>
    </row>
    <row r="1477" spans="1:23" x14ac:dyDescent="0.25">
      <c r="A1477" s="1" t="s">
        <v>16824</v>
      </c>
      <c r="B1477" s="1" t="s">
        <v>15248</v>
      </c>
      <c r="C1477" s="1" t="s">
        <v>4849</v>
      </c>
      <c r="D1477" s="1" t="s">
        <v>15249</v>
      </c>
      <c r="E1477" s="1" t="s">
        <v>3496</v>
      </c>
      <c r="F1477" s="1" t="s">
        <v>15250</v>
      </c>
      <c r="G1477">
        <v>193829</v>
      </c>
      <c r="H1477">
        <v>62</v>
      </c>
      <c r="I1477" s="1" t="s">
        <v>11063</v>
      </c>
      <c r="J1477" s="11">
        <v>44729.706458333334</v>
      </c>
      <c r="K1477" s="1" t="s">
        <v>1922</v>
      </c>
      <c r="L1477" s="1">
        <v>0.64700000000000002</v>
      </c>
      <c r="M1477" s="1">
        <v>0.84399999999999997</v>
      </c>
      <c r="N1477">
        <v>0</v>
      </c>
      <c r="O1477" s="1">
        <v>-3.7559999999999998</v>
      </c>
      <c r="P1477">
        <v>1</v>
      </c>
      <c r="Q1477" s="1">
        <v>0.45700000000000002</v>
      </c>
      <c r="R1477" s="1">
        <v>0.13700000000000001</v>
      </c>
      <c r="S1477" s="1">
        <v>0.65800000000000003</v>
      </c>
      <c r="T1477" s="1">
        <v>0.10199999999999999</v>
      </c>
      <c r="U1477" s="1">
        <v>0.746</v>
      </c>
      <c r="V1477" s="1">
        <v>146.96700000000001</v>
      </c>
      <c r="W1477">
        <v>4</v>
      </c>
    </row>
    <row r="1478" spans="1:23" x14ac:dyDescent="0.25">
      <c r="A1478" s="1" t="s">
        <v>16825</v>
      </c>
      <c r="B1478" s="1" t="s">
        <v>15248</v>
      </c>
      <c r="C1478" s="1" t="s">
        <v>4850</v>
      </c>
      <c r="D1478" s="1" t="s">
        <v>15253</v>
      </c>
      <c r="E1478" s="1" t="s">
        <v>3496</v>
      </c>
      <c r="F1478" s="1" t="s">
        <v>11356</v>
      </c>
      <c r="G1478">
        <v>228976</v>
      </c>
      <c r="H1478">
        <v>61</v>
      </c>
      <c r="I1478" s="1" t="s">
        <v>11063</v>
      </c>
      <c r="J1478" s="11">
        <v>44729.706458333334</v>
      </c>
      <c r="K1478" s="1" t="s">
        <v>1922</v>
      </c>
      <c r="L1478" s="1">
        <v>0.58899999999999997</v>
      </c>
      <c r="M1478" s="1">
        <v>0.57799999999999996</v>
      </c>
      <c r="N1478">
        <v>8</v>
      </c>
      <c r="O1478" s="1">
        <v>-5.6260000000000003</v>
      </c>
      <c r="P1478">
        <v>0</v>
      </c>
      <c r="Q1478" s="1">
        <v>0.45400000000000001</v>
      </c>
      <c r="R1478" s="1">
        <v>0.23200000000000001</v>
      </c>
      <c r="S1478" s="1">
        <v>0</v>
      </c>
      <c r="T1478" s="1">
        <v>0.98399999999999999</v>
      </c>
      <c r="U1478" s="1">
        <v>0.38</v>
      </c>
      <c r="V1478" s="1">
        <v>135.77000000000001</v>
      </c>
      <c r="W1478">
        <v>4</v>
      </c>
    </row>
    <row r="1479" spans="1:23" x14ac:dyDescent="0.25">
      <c r="A1479" s="1" t="s">
        <v>16826</v>
      </c>
      <c r="B1479" s="1" t="s">
        <v>15248</v>
      </c>
      <c r="C1479" s="1" t="s">
        <v>4851</v>
      </c>
      <c r="D1479" s="1" t="s">
        <v>15253</v>
      </c>
      <c r="E1479" s="1" t="s">
        <v>3496</v>
      </c>
      <c r="F1479" s="1" t="s">
        <v>11356</v>
      </c>
      <c r="G1479">
        <v>187957</v>
      </c>
      <c r="H1479">
        <v>66</v>
      </c>
      <c r="I1479" s="1" t="s">
        <v>11063</v>
      </c>
      <c r="J1479" s="11">
        <v>44729.706458333334</v>
      </c>
      <c r="K1479" s="1" t="s">
        <v>1922</v>
      </c>
      <c r="L1479" s="1">
        <v>0.53200000000000003</v>
      </c>
      <c r="M1479" s="1">
        <v>0.86799999999999999</v>
      </c>
      <c r="N1479">
        <v>3</v>
      </c>
      <c r="O1479" s="1">
        <v>-4.2300000000000004</v>
      </c>
      <c r="P1479">
        <v>0</v>
      </c>
      <c r="Q1479" s="1">
        <v>0.90800000000000003</v>
      </c>
      <c r="R1479" s="1">
        <v>0.11</v>
      </c>
      <c r="S1479" s="1">
        <v>0</v>
      </c>
      <c r="T1479" s="1">
        <v>0.58399999999999996</v>
      </c>
      <c r="U1479" s="1">
        <v>0.52900000000000003</v>
      </c>
      <c r="V1479" s="1">
        <v>110.127</v>
      </c>
      <c r="W1479">
        <v>4</v>
      </c>
    </row>
    <row r="1480" spans="1:23" x14ac:dyDescent="0.25">
      <c r="A1480" s="1" t="s">
        <v>16827</v>
      </c>
      <c r="B1480" s="1" t="s">
        <v>16828</v>
      </c>
      <c r="C1480" s="1" t="s">
        <v>4852</v>
      </c>
      <c r="D1480" s="1" t="s">
        <v>4852</v>
      </c>
      <c r="E1480" s="1" t="s">
        <v>4853</v>
      </c>
      <c r="F1480" s="1" t="s">
        <v>15619</v>
      </c>
      <c r="G1480">
        <v>268105</v>
      </c>
      <c r="H1480">
        <v>68</v>
      </c>
      <c r="I1480" s="1" t="s">
        <v>11063</v>
      </c>
      <c r="J1480" s="11">
        <v>44729.706458333334</v>
      </c>
      <c r="K1480" s="1" t="s">
        <v>4854</v>
      </c>
      <c r="L1480" s="1">
        <v>0.433</v>
      </c>
      <c r="M1480" s="1">
        <v>0.72399999999999998</v>
      </c>
      <c r="N1480">
        <v>5</v>
      </c>
      <c r="O1480" s="1">
        <v>-6.1260000000000003</v>
      </c>
      <c r="P1480">
        <v>0</v>
      </c>
      <c r="Q1480" s="1">
        <v>0.372</v>
      </c>
      <c r="R1480" s="1">
        <v>0.1</v>
      </c>
      <c r="S1480" s="1">
        <v>0</v>
      </c>
      <c r="T1480" s="1">
        <v>0.91800000000000004</v>
      </c>
      <c r="U1480" s="1">
        <v>0.68899999999999995</v>
      </c>
      <c r="V1480" s="1">
        <v>174.006</v>
      </c>
      <c r="W1480">
        <v>4</v>
      </c>
    </row>
    <row r="1481" spans="1:23" x14ac:dyDescent="0.25">
      <c r="A1481" s="1" t="s">
        <v>16829</v>
      </c>
      <c r="B1481" s="1" t="s">
        <v>15348</v>
      </c>
      <c r="C1481" s="1" t="s">
        <v>4855</v>
      </c>
      <c r="D1481" s="1" t="s">
        <v>16830</v>
      </c>
      <c r="E1481" s="1" t="s">
        <v>3586</v>
      </c>
      <c r="F1481" s="1" t="s">
        <v>14558</v>
      </c>
      <c r="G1481">
        <v>219146</v>
      </c>
      <c r="H1481">
        <v>77</v>
      </c>
      <c r="I1481" s="1" t="s">
        <v>11063</v>
      </c>
      <c r="J1481" s="11">
        <v>44729.706458333334</v>
      </c>
      <c r="K1481" s="1" t="s">
        <v>3587</v>
      </c>
      <c r="L1481" s="1">
        <v>0.56100000000000005</v>
      </c>
      <c r="M1481" s="1">
        <v>0.84799999999999998</v>
      </c>
      <c r="N1481">
        <v>2</v>
      </c>
      <c r="O1481" s="1">
        <v>-15.099</v>
      </c>
      <c r="P1481">
        <v>1</v>
      </c>
      <c r="Q1481" s="1">
        <v>0.40400000000000003</v>
      </c>
      <c r="R1481" s="1">
        <v>0.91300000000000003</v>
      </c>
      <c r="S1481" s="1">
        <v>0.26200000000000001</v>
      </c>
      <c r="T1481" s="1">
        <v>0.112</v>
      </c>
      <c r="U1481" s="1">
        <v>0.20599999999999999</v>
      </c>
      <c r="V1481" s="1">
        <v>102.128</v>
      </c>
      <c r="W1481">
        <v>4</v>
      </c>
    </row>
    <row r="1482" spans="1:23" x14ac:dyDescent="0.25">
      <c r="A1482" s="1" t="s">
        <v>16831</v>
      </c>
      <c r="B1482" s="1" t="s">
        <v>16832</v>
      </c>
      <c r="C1482" s="1" t="s">
        <v>4856</v>
      </c>
      <c r="D1482" s="1" t="s">
        <v>4856</v>
      </c>
      <c r="E1482" s="1" t="s">
        <v>4857</v>
      </c>
      <c r="F1482" s="1" t="s">
        <v>15194</v>
      </c>
      <c r="G1482">
        <v>193433</v>
      </c>
      <c r="H1482">
        <v>41</v>
      </c>
      <c r="I1482" s="1" t="s">
        <v>11063</v>
      </c>
      <c r="J1482" s="11">
        <v>44729.706458333334</v>
      </c>
      <c r="K1482" s="1" t="s">
        <v>4492</v>
      </c>
      <c r="L1482" s="1">
        <v>0.51</v>
      </c>
      <c r="M1482" s="1">
        <v>0.80600000000000005</v>
      </c>
      <c r="N1482">
        <v>11</v>
      </c>
      <c r="O1482" s="1">
        <v>-3.0419999999999998</v>
      </c>
      <c r="P1482">
        <v>0</v>
      </c>
      <c r="Q1482" s="1">
        <v>0.58299999999999996</v>
      </c>
      <c r="R1482" s="1">
        <v>0.39600000000000002</v>
      </c>
      <c r="S1482" s="1">
        <v>0</v>
      </c>
      <c r="T1482" s="1">
        <v>0.91800000000000004</v>
      </c>
      <c r="U1482" s="1">
        <v>0.219</v>
      </c>
      <c r="V1482" s="1">
        <v>127.91500000000001</v>
      </c>
      <c r="W1482">
        <v>4</v>
      </c>
    </row>
    <row r="1483" spans="1:23" x14ac:dyDescent="0.25">
      <c r="A1483" s="1" t="s">
        <v>16833</v>
      </c>
      <c r="B1483" s="1" t="s">
        <v>16834</v>
      </c>
      <c r="C1483" s="1" t="s">
        <v>4858</v>
      </c>
      <c r="D1483" s="1" t="s">
        <v>4858</v>
      </c>
      <c r="E1483" s="1" t="s">
        <v>4859</v>
      </c>
      <c r="F1483" s="1" t="s">
        <v>16835</v>
      </c>
      <c r="G1483">
        <v>269035</v>
      </c>
      <c r="H1483">
        <v>32</v>
      </c>
      <c r="I1483" s="1" t="s">
        <v>11063</v>
      </c>
      <c r="J1483" s="11">
        <v>44729.706458333334</v>
      </c>
      <c r="K1483" s="1" t="s">
        <v>3911</v>
      </c>
      <c r="L1483" s="1">
        <v>0.66300000000000003</v>
      </c>
      <c r="M1483" s="1">
        <v>0.80200000000000005</v>
      </c>
      <c r="N1483">
        <v>8</v>
      </c>
      <c r="O1483" s="1">
        <v>-5.9</v>
      </c>
      <c r="P1483">
        <v>0</v>
      </c>
      <c r="Q1483" s="1">
        <v>0.68600000000000005</v>
      </c>
      <c r="R1483" s="1">
        <v>0.156</v>
      </c>
      <c r="S1483" s="1">
        <v>0.125</v>
      </c>
      <c r="T1483" s="1">
        <v>0.73199999999999998</v>
      </c>
      <c r="U1483" s="1">
        <v>0.25</v>
      </c>
      <c r="V1483" s="1">
        <v>117.002</v>
      </c>
      <c r="W1483">
        <v>4</v>
      </c>
    </row>
    <row r="1484" spans="1:23" x14ac:dyDescent="0.25">
      <c r="A1484" s="1" t="s">
        <v>16836</v>
      </c>
      <c r="B1484" s="1" t="s">
        <v>16837</v>
      </c>
      <c r="C1484" s="1" t="s">
        <v>4860</v>
      </c>
      <c r="D1484" s="1" t="s">
        <v>4860</v>
      </c>
      <c r="E1484" s="1" t="s">
        <v>4861</v>
      </c>
      <c r="F1484" s="1" t="s">
        <v>16838</v>
      </c>
      <c r="G1484">
        <v>191578</v>
      </c>
      <c r="H1484">
        <v>41</v>
      </c>
      <c r="I1484" s="1" t="s">
        <v>11063</v>
      </c>
      <c r="J1484" s="11">
        <v>44729.706458333334</v>
      </c>
      <c r="K1484" s="1" t="s">
        <v>50</v>
      </c>
      <c r="L1484" s="1">
        <v>0.53900000000000003</v>
      </c>
      <c r="M1484" s="1">
        <v>0.62</v>
      </c>
      <c r="N1484">
        <v>0</v>
      </c>
      <c r="O1484" s="1">
        <v>-8.5129999999999999</v>
      </c>
      <c r="P1484">
        <v>0</v>
      </c>
      <c r="Q1484" s="1">
        <v>0.93300000000000005</v>
      </c>
      <c r="R1484" s="1">
        <v>0.19800000000000001</v>
      </c>
      <c r="S1484" s="1">
        <v>0</v>
      </c>
      <c r="T1484" s="1">
        <v>0.108</v>
      </c>
      <c r="U1484" s="1">
        <v>0.19400000000000001</v>
      </c>
      <c r="V1484" s="1">
        <v>113.998</v>
      </c>
      <c r="W1484">
        <v>4</v>
      </c>
    </row>
    <row r="1485" spans="1:23" x14ac:dyDescent="0.25">
      <c r="A1485" s="1" t="s">
        <v>16839</v>
      </c>
      <c r="B1485" s="1" t="s">
        <v>16840</v>
      </c>
      <c r="C1485" s="1" t="s">
        <v>4862</v>
      </c>
      <c r="D1485" s="1" t="s">
        <v>4862</v>
      </c>
      <c r="E1485" s="1" t="s">
        <v>4863</v>
      </c>
      <c r="F1485" s="1" t="s">
        <v>14755</v>
      </c>
      <c r="G1485">
        <v>240015</v>
      </c>
      <c r="H1485">
        <v>30</v>
      </c>
      <c r="I1485" s="1" t="s">
        <v>11063</v>
      </c>
      <c r="J1485" s="11">
        <v>44729.706458333334</v>
      </c>
      <c r="K1485" s="1" t="s">
        <v>4864</v>
      </c>
      <c r="L1485" s="1">
        <v>0.313</v>
      </c>
      <c r="M1485" s="1">
        <v>0.73599999999999999</v>
      </c>
      <c r="N1485">
        <v>0</v>
      </c>
      <c r="O1485" s="1">
        <v>-3.9409999999999998</v>
      </c>
      <c r="P1485">
        <v>1</v>
      </c>
      <c r="Q1485" s="1">
        <v>0.72499999999999998</v>
      </c>
      <c r="R1485" s="1">
        <v>0.188</v>
      </c>
      <c r="S1485" s="1">
        <v>0.182</v>
      </c>
      <c r="T1485" s="1">
        <v>0.154</v>
      </c>
      <c r="U1485" s="1">
        <v>0.20699999999999999</v>
      </c>
      <c r="V1485" s="1">
        <v>158.36099999999999</v>
      </c>
      <c r="W1485">
        <v>4</v>
      </c>
    </row>
    <row r="1486" spans="1:23" x14ac:dyDescent="0.25">
      <c r="A1486" s="1" t="s">
        <v>16841</v>
      </c>
      <c r="B1486" s="1" t="s">
        <v>16842</v>
      </c>
      <c r="C1486" s="1" t="s">
        <v>4865</v>
      </c>
      <c r="D1486" s="1" t="s">
        <v>4865</v>
      </c>
      <c r="E1486" s="1" t="s">
        <v>4866</v>
      </c>
      <c r="F1486" s="1" t="s">
        <v>14850</v>
      </c>
      <c r="G1486">
        <v>187200</v>
      </c>
      <c r="H1486">
        <v>31</v>
      </c>
      <c r="I1486" s="1" t="s">
        <v>11063</v>
      </c>
      <c r="J1486" s="11">
        <v>44729.706458333334</v>
      </c>
      <c r="K1486" s="1" t="s">
        <v>1053</v>
      </c>
      <c r="L1486" s="1">
        <v>0.47699999999999998</v>
      </c>
      <c r="M1486" s="1">
        <v>0.93100000000000005</v>
      </c>
      <c r="N1486">
        <v>0</v>
      </c>
      <c r="O1486" s="1">
        <v>-1.875</v>
      </c>
      <c r="P1486">
        <v>0</v>
      </c>
      <c r="Q1486" s="1">
        <v>0.14399999999999999</v>
      </c>
      <c r="R1486" s="1">
        <v>0.89300000000000002</v>
      </c>
      <c r="S1486" s="1">
        <v>0.10100000000000001</v>
      </c>
      <c r="T1486" s="1">
        <v>0.94599999999999995</v>
      </c>
      <c r="U1486" s="1">
        <v>0.23200000000000001</v>
      </c>
      <c r="V1486" s="1">
        <v>149.923</v>
      </c>
      <c r="W1486">
        <v>4</v>
      </c>
    </row>
    <row r="1487" spans="1:23" x14ac:dyDescent="0.25">
      <c r="A1487" s="1" t="s">
        <v>16843</v>
      </c>
      <c r="B1487" s="1" t="s">
        <v>16844</v>
      </c>
      <c r="C1487" s="1" t="s">
        <v>4867</v>
      </c>
      <c r="D1487" s="1" t="s">
        <v>16845</v>
      </c>
      <c r="E1487" s="1" t="s">
        <v>4868</v>
      </c>
      <c r="F1487" s="1" t="s">
        <v>14510</v>
      </c>
      <c r="G1487">
        <v>223278</v>
      </c>
      <c r="H1487">
        <v>43</v>
      </c>
      <c r="I1487" s="1" t="s">
        <v>11063</v>
      </c>
      <c r="J1487" s="11">
        <v>44729.706458333334</v>
      </c>
      <c r="K1487" s="1" t="s">
        <v>1973</v>
      </c>
      <c r="L1487" s="1">
        <v>0.74099999999999999</v>
      </c>
      <c r="M1487" s="1">
        <v>0.72099999999999997</v>
      </c>
      <c r="N1487">
        <v>7</v>
      </c>
      <c r="O1487" s="1">
        <v>-5.5119999999999996</v>
      </c>
      <c r="P1487">
        <v>1</v>
      </c>
      <c r="Q1487" s="1">
        <v>0.36099999999999999</v>
      </c>
      <c r="R1487" s="1">
        <v>0.193</v>
      </c>
      <c r="S1487" s="1">
        <v>0.38100000000000001</v>
      </c>
      <c r="T1487" s="1">
        <v>0.82199999999999995</v>
      </c>
      <c r="U1487" s="1">
        <v>0.33100000000000002</v>
      </c>
      <c r="V1487" s="1">
        <v>122.023</v>
      </c>
      <c r="W1487">
        <v>4</v>
      </c>
    </row>
    <row r="1488" spans="1:23" x14ac:dyDescent="0.25">
      <c r="A1488" s="1" t="s">
        <v>16846</v>
      </c>
      <c r="B1488" s="1" t="s">
        <v>16847</v>
      </c>
      <c r="C1488" s="1" t="s">
        <v>4869</v>
      </c>
      <c r="D1488" s="1" t="s">
        <v>4869</v>
      </c>
      <c r="E1488" s="1" t="s">
        <v>4870</v>
      </c>
      <c r="F1488" s="1" t="s">
        <v>14667</v>
      </c>
      <c r="G1488">
        <v>184167</v>
      </c>
      <c r="H1488">
        <v>33</v>
      </c>
      <c r="I1488" s="1" t="s">
        <v>11063</v>
      </c>
      <c r="J1488" s="11">
        <v>44729.706458333334</v>
      </c>
      <c r="K1488" s="1" t="s">
        <v>4871</v>
      </c>
      <c r="L1488" s="1">
        <v>0.48899999999999999</v>
      </c>
      <c r="M1488" s="1">
        <v>0.54400000000000004</v>
      </c>
      <c r="N1488">
        <v>4</v>
      </c>
      <c r="O1488" s="1">
        <v>-9.548</v>
      </c>
      <c r="P1488">
        <v>1</v>
      </c>
      <c r="Q1488" s="1">
        <v>0.75800000000000001</v>
      </c>
      <c r="R1488" s="1">
        <v>0.39600000000000002</v>
      </c>
      <c r="S1488" s="1">
        <v>0.13800000000000001</v>
      </c>
      <c r="T1488" s="1">
        <v>0.105</v>
      </c>
      <c r="U1488" s="1">
        <v>0.16900000000000001</v>
      </c>
      <c r="V1488" s="1">
        <v>150.00700000000001</v>
      </c>
      <c r="W1488">
        <v>4</v>
      </c>
    </row>
    <row r="1489" spans="1:23" x14ac:dyDescent="0.25">
      <c r="A1489" s="1" t="s">
        <v>16848</v>
      </c>
      <c r="B1489" s="1" t="s">
        <v>16849</v>
      </c>
      <c r="C1489" s="1" t="s">
        <v>483</v>
      </c>
      <c r="D1489" s="1" t="s">
        <v>483</v>
      </c>
      <c r="E1489" s="1" t="s">
        <v>4872</v>
      </c>
      <c r="F1489" s="1" t="s">
        <v>16850</v>
      </c>
      <c r="G1489">
        <v>246750</v>
      </c>
      <c r="H1489">
        <v>37</v>
      </c>
      <c r="I1489" s="1" t="s">
        <v>11063</v>
      </c>
      <c r="J1489" s="11">
        <v>44729.706458333334</v>
      </c>
      <c r="K1489" s="1" t="s">
        <v>933</v>
      </c>
      <c r="L1489" s="1">
        <v>0.311</v>
      </c>
      <c r="M1489" s="1">
        <v>0.61899999999999999</v>
      </c>
      <c r="N1489">
        <v>11</v>
      </c>
      <c r="O1489" s="1">
        <v>-8.8369999999999997</v>
      </c>
      <c r="P1489">
        <v>0</v>
      </c>
      <c r="Q1489" s="1">
        <v>0.72899999999999998</v>
      </c>
      <c r="R1489" s="1">
        <v>0.36</v>
      </c>
      <c r="S1489" s="1">
        <v>0</v>
      </c>
      <c r="T1489" s="1">
        <v>0.14299999999999999</v>
      </c>
      <c r="U1489" s="1">
        <v>0.24099999999999999</v>
      </c>
      <c r="V1489" s="1">
        <v>160.292</v>
      </c>
      <c r="W1489">
        <v>4</v>
      </c>
    </row>
    <row r="1490" spans="1:23" x14ac:dyDescent="0.25">
      <c r="A1490" s="1" t="s">
        <v>16851</v>
      </c>
      <c r="B1490" s="1" t="s">
        <v>13582</v>
      </c>
      <c r="C1490" s="1" t="s">
        <v>4873</v>
      </c>
      <c r="D1490" s="1" t="s">
        <v>16852</v>
      </c>
      <c r="E1490" s="1" t="s">
        <v>2035</v>
      </c>
      <c r="F1490" s="1" t="s">
        <v>13769</v>
      </c>
      <c r="G1490">
        <v>232720</v>
      </c>
      <c r="H1490">
        <v>39</v>
      </c>
      <c r="I1490" s="1" t="s">
        <v>11063</v>
      </c>
      <c r="J1490" s="11">
        <v>44729.706458333334</v>
      </c>
      <c r="K1490" s="1" t="s">
        <v>2036</v>
      </c>
      <c r="L1490" s="1">
        <v>0.55300000000000005</v>
      </c>
      <c r="M1490" s="1">
        <v>0.77300000000000002</v>
      </c>
      <c r="N1490">
        <v>4</v>
      </c>
      <c r="O1490" s="1">
        <v>-6.1239999999999997</v>
      </c>
      <c r="P1490">
        <v>0</v>
      </c>
      <c r="Q1490" s="1">
        <v>0.53700000000000003</v>
      </c>
      <c r="R1490" s="1">
        <v>0.24099999999999999</v>
      </c>
      <c r="S1490" s="1">
        <v>0.161</v>
      </c>
      <c r="T1490" s="1">
        <v>0.33800000000000002</v>
      </c>
      <c r="U1490" s="1">
        <v>0.25600000000000001</v>
      </c>
      <c r="V1490" s="1">
        <v>133.39599999999999</v>
      </c>
      <c r="W1490">
        <v>4</v>
      </c>
    </row>
    <row r="1491" spans="1:23" x14ac:dyDescent="0.25">
      <c r="A1491" s="1" t="s">
        <v>16853</v>
      </c>
      <c r="B1491" s="1" t="s">
        <v>16854</v>
      </c>
      <c r="C1491" s="1" t="s">
        <v>4874</v>
      </c>
      <c r="D1491" s="1" t="s">
        <v>4874</v>
      </c>
      <c r="E1491" s="1" t="s">
        <v>4875</v>
      </c>
      <c r="F1491" s="1" t="s">
        <v>15956</v>
      </c>
      <c r="G1491">
        <v>238500</v>
      </c>
      <c r="H1491">
        <v>0</v>
      </c>
      <c r="I1491" s="1" t="s">
        <v>11063</v>
      </c>
      <c r="J1491" s="11">
        <v>44729.706458333334</v>
      </c>
      <c r="K1491" s="1" t="s">
        <v>50</v>
      </c>
      <c r="L1491" s="1">
        <v>0.378</v>
      </c>
      <c r="M1491" s="1">
        <v>0.69599999999999995</v>
      </c>
      <c r="N1491">
        <v>2</v>
      </c>
      <c r="O1491" s="1">
        <v>-4.7530000000000001</v>
      </c>
      <c r="P1491">
        <v>0</v>
      </c>
      <c r="Q1491" s="1">
        <v>0.45700000000000002</v>
      </c>
      <c r="R1491" s="1">
        <v>0.75600000000000001</v>
      </c>
      <c r="S1491" s="1">
        <v>0</v>
      </c>
      <c r="T1491" s="1">
        <v>0.17699999999999999</v>
      </c>
      <c r="U1491" s="1">
        <v>0.435</v>
      </c>
      <c r="V1491" s="1">
        <v>140.298</v>
      </c>
      <c r="W1491">
        <v>4</v>
      </c>
    </row>
    <row r="1492" spans="1:23" x14ac:dyDescent="0.25">
      <c r="A1492" s="1" t="s">
        <v>16855</v>
      </c>
      <c r="B1492" s="1" t="s">
        <v>11168</v>
      </c>
      <c r="C1492" s="1" t="s">
        <v>4876</v>
      </c>
      <c r="D1492" s="1" t="s">
        <v>16856</v>
      </c>
      <c r="E1492" s="1" t="s">
        <v>2792</v>
      </c>
      <c r="F1492" s="1" t="s">
        <v>16325</v>
      </c>
      <c r="G1492">
        <v>213520</v>
      </c>
      <c r="H1492">
        <v>80</v>
      </c>
      <c r="I1492" s="1" t="s">
        <v>11063</v>
      </c>
      <c r="J1492" s="11">
        <v>44729.706458333334</v>
      </c>
      <c r="K1492" s="1" t="s">
        <v>2793</v>
      </c>
      <c r="L1492" s="1">
        <v>0.70499999999999996</v>
      </c>
      <c r="M1492" s="1">
        <v>0.76900000000000002</v>
      </c>
      <c r="N1492">
        <v>9</v>
      </c>
      <c r="O1492" s="1">
        <v>-5.5259999999999998</v>
      </c>
      <c r="P1492">
        <v>0</v>
      </c>
      <c r="Q1492" s="1">
        <v>0.42499999999999999</v>
      </c>
      <c r="R1492" s="1">
        <v>0.113</v>
      </c>
      <c r="S1492" s="1">
        <v>0</v>
      </c>
      <c r="T1492" s="1">
        <v>0.105</v>
      </c>
      <c r="U1492" s="1">
        <v>0.58299999999999996</v>
      </c>
      <c r="V1492" s="1">
        <v>107.949</v>
      </c>
      <c r="W1492">
        <v>4</v>
      </c>
    </row>
    <row r="1493" spans="1:23" x14ac:dyDescent="0.25">
      <c r="A1493" s="1" t="s">
        <v>16857</v>
      </c>
      <c r="B1493" s="1" t="s">
        <v>11168</v>
      </c>
      <c r="C1493" s="1" t="s">
        <v>4877</v>
      </c>
      <c r="D1493" s="1" t="s">
        <v>16856</v>
      </c>
      <c r="E1493" s="1" t="s">
        <v>2792</v>
      </c>
      <c r="F1493" s="1" t="s">
        <v>16325</v>
      </c>
      <c r="G1493">
        <v>242253</v>
      </c>
      <c r="H1493">
        <v>85</v>
      </c>
      <c r="I1493" s="1" t="s">
        <v>11063</v>
      </c>
      <c r="J1493" s="11">
        <v>44729.706458333334</v>
      </c>
      <c r="K1493" s="1" t="s">
        <v>2793</v>
      </c>
      <c r="L1493" s="1">
        <v>0.58499999999999996</v>
      </c>
      <c r="M1493" s="1">
        <v>0.56399999999999995</v>
      </c>
      <c r="N1493">
        <v>0</v>
      </c>
      <c r="O1493" s="1">
        <v>-7.0629999999999997</v>
      </c>
      <c r="P1493">
        <v>0</v>
      </c>
      <c r="Q1493" s="1">
        <v>0.51500000000000001</v>
      </c>
      <c r="R1493" s="1">
        <v>0.67100000000000004</v>
      </c>
      <c r="S1493" s="1">
        <v>0</v>
      </c>
      <c r="T1493" s="1">
        <v>0.13500000000000001</v>
      </c>
      <c r="U1493" s="1">
        <v>0.13700000000000001</v>
      </c>
      <c r="V1493" s="1">
        <v>113.003</v>
      </c>
      <c r="W1493">
        <v>4</v>
      </c>
    </row>
    <row r="1494" spans="1:23" x14ac:dyDescent="0.25">
      <c r="A1494" s="1" t="s">
        <v>16858</v>
      </c>
      <c r="B1494" s="1" t="s">
        <v>16859</v>
      </c>
      <c r="C1494" s="1" t="s">
        <v>4878</v>
      </c>
      <c r="D1494" s="1" t="s">
        <v>4878</v>
      </c>
      <c r="E1494" s="1" t="s">
        <v>4879</v>
      </c>
      <c r="F1494" s="1" t="s">
        <v>16610</v>
      </c>
      <c r="G1494">
        <v>171633</v>
      </c>
      <c r="H1494">
        <v>25</v>
      </c>
      <c r="I1494" s="1" t="s">
        <v>11063</v>
      </c>
      <c r="J1494" s="11">
        <v>44729.706458333334</v>
      </c>
      <c r="K1494" s="1" t="s">
        <v>50</v>
      </c>
      <c r="L1494" s="1">
        <v>0.61599999999999999</v>
      </c>
      <c r="M1494" s="1">
        <v>0.61599999999999999</v>
      </c>
      <c r="N1494">
        <v>7</v>
      </c>
      <c r="O1494" s="1">
        <v>-8.3729999999999993</v>
      </c>
      <c r="P1494">
        <v>0</v>
      </c>
      <c r="Q1494" s="1">
        <v>0.67600000000000005</v>
      </c>
      <c r="R1494" s="1">
        <v>0.121</v>
      </c>
      <c r="S1494" s="1">
        <v>0.245</v>
      </c>
      <c r="T1494" s="1">
        <v>0.35</v>
      </c>
      <c r="U1494" s="1">
        <v>0.222</v>
      </c>
      <c r="V1494" s="1">
        <v>86.963999999999999</v>
      </c>
      <c r="W1494">
        <v>4</v>
      </c>
    </row>
    <row r="1495" spans="1:23" x14ac:dyDescent="0.25">
      <c r="A1495" s="1" t="s">
        <v>16860</v>
      </c>
      <c r="B1495" s="1" t="s">
        <v>14782</v>
      </c>
      <c r="C1495" s="1" t="s">
        <v>2719</v>
      </c>
      <c r="D1495" s="1" t="s">
        <v>2719</v>
      </c>
      <c r="E1495" s="1" t="s">
        <v>3067</v>
      </c>
      <c r="F1495" s="1" t="s">
        <v>14783</v>
      </c>
      <c r="G1495">
        <v>206096</v>
      </c>
      <c r="H1495">
        <v>25</v>
      </c>
      <c r="I1495" s="1" t="s">
        <v>11063</v>
      </c>
      <c r="J1495" s="11">
        <v>44729.706458333334</v>
      </c>
      <c r="K1495" s="1" t="s">
        <v>992</v>
      </c>
      <c r="L1495" s="1">
        <v>0.61399999999999999</v>
      </c>
      <c r="M1495" s="1">
        <v>0.51700000000000002</v>
      </c>
      <c r="N1495">
        <v>9</v>
      </c>
      <c r="O1495" s="1">
        <v>-8.7609999999999992</v>
      </c>
      <c r="P1495">
        <v>0</v>
      </c>
      <c r="Q1495" s="1">
        <v>0.39</v>
      </c>
      <c r="R1495" s="1">
        <v>0.24</v>
      </c>
      <c r="S1495" s="1">
        <v>0.122</v>
      </c>
      <c r="T1495" s="1">
        <v>0.114</v>
      </c>
      <c r="U1495" s="1">
        <v>0.245</v>
      </c>
      <c r="V1495" s="1">
        <v>89.941000000000003</v>
      </c>
      <c r="W1495">
        <v>4</v>
      </c>
    </row>
    <row r="1496" spans="1:23" x14ac:dyDescent="0.25">
      <c r="A1496" s="1" t="s">
        <v>16861</v>
      </c>
      <c r="B1496" s="1" t="s">
        <v>16862</v>
      </c>
      <c r="C1496" s="1" t="s">
        <v>4880</v>
      </c>
      <c r="D1496" s="1" t="s">
        <v>4880</v>
      </c>
      <c r="E1496" s="1" t="s">
        <v>4881</v>
      </c>
      <c r="F1496" s="1" t="s">
        <v>14228</v>
      </c>
      <c r="G1496">
        <v>196328</v>
      </c>
      <c r="H1496">
        <v>45</v>
      </c>
      <c r="I1496" s="1" t="s">
        <v>11063</v>
      </c>
      <c r="J1496" s="11">
        <v>44729.706458333334</v>
      </c>
      <c r="K1496" s="1" t="s">
        <v>50</v>
      </c>
      <c r="L1496" s="1">
        <v>0.55200000000000005</v>
      </c>
      <c r="M1496" s="1">
        <v>0.54900000000000004</v>
      </c>
      <c r="N1496">
        <v>6</v>
      </c>
      <c r="O1496" s="1">
        <v>-6.3529999999999998</v>
      </c>
      <c r="P1496">
        <v>0</v>
      </c>
      <c r="Q1496" s="1">
        <v>0.45900000000000002</v>
      </c>
      <c r="R1496" s="1">
        <v>0.38200000000000001</v>
      </c>
      <c r="S1496" s="1">
        <v>0.104</v>
      </c>
      <c r="T1496" s="1">
        <v>0.70699999999999996</v>
      </c>
      <c r="U1496" s="1">
        <v>0.20300000000000001</v>
      </c>
      <c r="V1496" s="1">
        <v>96.103999999999999</v>
      </c>
      <c r="W1496">
        <v>4</v>
      </c>
    </row>
    <row r="1497" spans="1:23" x14ac:dyDescent="0.25">
      <c r="A1497" s="1" t="s">
        <v>16863</v>
      </c>
      <c r="B1497" s="1" t="s">
        <v>16864</v>
      </c>
      <c r="C1497" s="1" t="s">
        <v>4882</v>
      </c>
      <c r="D1497" s="1" t="s">
        <v>16865</v>
      </c>
      <c r="E1497" s="1" t="s">
        <v>4883</v>
      </c>
      <c r="F1497" s="1" t="s">
        <v>16232</v>
      </c>
      <c r="G1497">
        <v>182000</v>
      </c>
      <c r="H1497">
        <v>34</v>
      </c>
      <c r="I1497" s="1" t="s">
        <v>11063</v>
      </c>
      <c r="J1497" s="11">
        <v>44729.706458333334</v>
      </c>
      <c r="K1497" s="1" t="s">
        <v>4884</v>
      </c>
      <c r="L1497" s="1">
        <v>0.68300000000000005</v>
      </c>
      <c r="M1497" s="1">
        <v>0.68</v>
      </c>
      <c r="N1497">
        <v>10</v>
      </c>
      <c r="O1497" s="1">
        <v>-5.8609999999999998</v>
      </c>
      <c r="P1497">
        <v>0</v>
      </c>
      <c r="Q1497" s="1">
        <v>0.376</v>
      </c>
      <c r="R1497" s="1">
        <v>0.161</v>
      </c>
      <c r="S1497" s="1">
        <v>0</v>
      </c>
      <c r="T1497" s="1">
        <v>0.31900000000000001</v>
      </c>
      <c r="U1497" s="1">
        <v>0.55700000000000005</v>
      </c>
      <c r="V1497" s="1">
        <v>145.042</v>
      </c>
      <c r="W1497">
        <v>3</v>
      </c>
    </row>
    <row r="1498" spans="1:23" x14ac:dyDescent="0.25">
      <c r="A1498" s="1" t="s">
        <v>16866</v>
      </c>
      <c r="B1498" s="1" t="s">
        <v>16867</v>
      </c>
      <c r="C1498" s="1" t="s">
        <v>4885</v>
      </c>
      <c r="D1498" s="1" t="s">
        <v>4885</v>
      </c>
      <c r="E1498" s="1" t="s">
        <v>4886</v>
      </c>
      <c r="F1498" s="1" t="s">
        <v>15624</v>
      </c>
      <c r="G1498">
        <v>196806</v>
      </c>
      <c r="H1498">
        <v>36</v>
      </c>
      <c r="I1498" s="1" t="s">
        <v>11063</v>
      </c>
      <c r="J1498" s="11">
        <v>44729.706458333334</v>
      </c>
      <c r="K1498" s="1" t="s">
        <v>4887</v>
      </c>
      <c r="L1498" s="1">
        <v>0.64200000000000002</v>
      </c>
      <c r="M1498" s="1">
        <v>0.80800000000000005</v>
      </c>
      <c r="N1498">
        <v>1</v>
      </c>
      <c r="O1498" s="1">
        <v>-3.88</v>
      </c>
      <c r="P1498">
        <v>0</v>
      </c>
      <c r="Q1498" s="1">
        <v>0.15</v>
      </c>
      <c r="R1498" s="1">
        <v>0.46100000000000002</v>
      </c>
      <c r="S1498" s="1">
        <v>0</v>
      </c>
      <c r="T1498" s="1">
        <v>0.17799999999999999</v>
      </c>
      <c r="U1498" s="1">
        <v>0.63600000000000001</v>
      </c>
      <c r="V1498" s="1">
        <v>100.089</v>
      </c>
      <c r="W1498">
        <v>4</v>
      </c>
    </row>
    <row r="1499" spans="1:23" x14ac:dyDescent="0.25">
      <c r="A1499" s="1" t="s">
        <v>16868</v>
      </c>
      <c r="B1499" s="1" t="s">
        <v>16869</v>
      </c>
      <c r="C1499" s="1" t="s">
        <v>4888</v>
      </c>
      <c r="D1499" s="1" t="s">
        <v>16870</v>
      </c>
      <c r="E1499" s="1" t="s">
        <v>4889</v>
      </c>
      <c r="F1499" s="1" t="s">
        <v>14898</v>
      </c>
      <c r="G1499">
        <v>270387</v>
      </c>
      <c r="H1499">
        <v>40</v>
      </c>
      <c r="I1499" s="1" t="s">
        <v>11063</v>
      </c>
      <c r="J1499" s="11">
        <v>44729.706458333334</v>
      </c>
      <c r="K1499" s="1" t="s">
        <v>3046</v>
      </c>
      <c r="L1499" s="1">
        <v>0.38300000000000001</v>
      </c>
      <c r="M1499" s="1">
        <v>0.76200000000000001</v>
      </c>
      <c r="N1499">
        <v>11</v>
      </c>
      <c r="O1499" s="1">
        <v>-7.1239999999999997</v>
      </c>
      <c r="P1499">
        <v>0</v>
      </c>
      <c r="Q1499" s="1">
        <v>0.36099999999999999</v>
      </c>
      <c r="R1499" s="1">
        <v>0.22700000000000001</v>
      </c>
      <c r="S1499" s="1">
        <v>0.371</v>
      </c>
      <c r="T1499" s="1">
        <v>0.88</v>
      </c>
      <c r="U1499" s="1">
        <v>0.88900000000000001</v>
      </c>
      <c r="V1499" s="1">
        <v>75.019000000000005</v>
      </c>
      <c r="W1499">
        <v>4</v>
      </c>
    </row>
    <row r="1500" spans="1:23" x14ac:dyDescent="0.25">
      <c r="A1500" s="1" t="s">
        <v>16871</v>
      </c>
      <c r="B1500" s="1" t="s">
        <v>16872</v>
      </c>
      <c r="C1500" s="1" t="s">
        <v>4890</v>
      </c>
      <c r="D1500" s="1" t="s">
        <v>4890</v>
      </c>
      <c r="E1500" s="1" t="s">
        <v>4891</v>
      </c>
      <c r="F1500" s="1" t="s">
        <v>14068</v>
      </c>
      <c r="G1500">
        <v>182068</v>
      </c>
      <c r="H1500">
        <v>46</v>
      </c>
      <c r="I1500" s="1" t="s">
        <v>11063</v>
      </c>
      <c r="J1500" s="11">
        <v>44729.706458333334</v>
      </c>
      <c r="K1500" s="1" t="s">
        <v>4892</v>
      </c>
      <c r="L1500" s="1">
        <v>0.55100000000000005</v>
      </c>
      <c r="M1500" s="1">
        <v>0.52500000000000002</v>
      </c>
      <c r="N1500">
        <v>1</v>
      </c>
      <c r="O1500" s="1">
        <v>-5.9119999999999999</v>
      </c>
      <c r="P1500">
        <v>0</v>
      </c>
      <c r="Q1500" s="1">
        <v>0.309</v>
      </c>
      <c r="R1500" s="1">
        <v>0.27400000000000002</v>
      </c>
      <c r="S1500" s="1">
        <v>0</v>
      </c>
      <c r="T1500" s="1">
        <v>0.36799999999999999</v>
      </c>
      <c r="U1500" s="1">
        <v>0.33700000000000002</v>
      </c>
      <c r="V1500" s="1">
        <v>173.804</v>
      </c>
      <c r="W1500">
        <v>4</v>
      </c>
    </row>
    <row r="1501" spans="1:23" x14ac:dyDescent="0.25">
      <c r="A1501" s="1" t="s">
        <v>16873</v>
      </c>
      <c r="B1501" s="1" t="s">
        <v>16874</v>
      </c>
      <c r="C1501" s="1" t="s">
        <v>4893</v>
      </c>
      <c r="D1501" s="1" t="s">
        <v>16875</v>
      </c>
      <c r="E1501" s="1" t="s">
        <v>4894</v>
      </c>
      <c r="F1501" s="1" t="s">
        <v>11754</v>
      </c>
      <c r="G1501">
        <v>192000</v>
      </c>
      <c r="H1501">
        <v>35</v>
      </c>
      <c r="I1501" s="1" t="s">
        <v>11063</v>
      </c>
      <c r="J1501" s="11">
        <v>44729.706458333334</v>
      </c>
      <c r="K1501" s="1" t="s">
        <v>4895</v>
      </c>
      <c r="L1501" s="1">
        <v>0.441</v>
      </c>
      <c r="M1501" s="1">
        <v>0.90200000000000002</v>
      </c>
      <c r="N1501">
        <v>7</v>
      </c>
      <c r="O1501" s="1">
        <v>-4.6449999999999996</v>
      </c>
      <c r="P1501">
        <v>1</v>
      </c>
      <c r="Q1501" s="1">
        <v>0.16500000000000001</v>
      </c>
      <c r="R1501" s="1">
        <v>0.38</v>
      </c>
      <c r="S1501" s="1">
        <v>0</v>
      </c>
      <c r="T1501" s="1">
        <v>0.13900000000000001</v>
      </c>
      <c r="U1501" s="1">
        <v>0.23799999999999999</v>
      </c>
      <c r="V1501" s="1">
        <v>179.97200000000001</v>
      </c>
      <c r="W1501">
        <v>4</v>
      </c>
    </row>
    <row r="1502" spans="1:23" x14ac:dyDescent="0.25">
      <c r="A1502" s="1" t="s">
        <v>16876</v>
      </c>
      <c r="B1502" s="1" t="s">
        <v>16877</v>
      </c>
      <c r="C1502" s="1" t="s">
        <v>4896</v>
      </c>
      <c r="D1502" s="1" t="s">
        <v>4896</v>
      </c>
      <c r="E1502" s="1" t="s">
        <v>4897</v>
      </c>
      <c r="F1502" s="1" t="s">
        <v>14832</v>
      </c>
      <c r="G1502">
        <v>291428</v>
      </c>
      <c r="H1502">
        <v>36</v>
      </c>
      <c r="I1502" s="1" t="s">
        <v>11063</v>
      </c>
      <c r="J1502" s="11">
        <v>44729.706458333334</v>
      </c>
      <c r="K1502" s="1" t="s">
        <v>1086</v>
      </c>
      <c r="L1502" s="1">
        <v>0.38500000000000001</v>
      </c>
      <c r="M1502" s="1">
        <v>0.82799999999999996</v>
      </c>
      <c r="N1502">
        <v>2</v>
      </c>
      <c r="O1502" s="1">
        <v>-3.8279999999999998</v>
      </c>
      <c r="P1502">
        <v>1</v>
      </c>
      <c r="Q1502" s="1">
        <v>0.121</v>
      </c>
      <c r="R1502" s="1">
        <v>0.504</v>
      </c>
      <c r="S1502" s="1">
        <v>0.499</v>
      </c>
      <c r="T1502" s="1">
        <v>0.35799999999999998</v>
      </c>
      <c r="U1502" s="1">
        <v>0.48</v>
      </c>
      <c r="V1502" s="1">
        <v>140.08600000000001</v>
      </c>
      <c r="W1502">
        <v>4</v>
      </c>
    </row>
    <row r="1503" spans="1:23" x14ac:dyDescent="0.25">
      <c r="A1503" s="1" t="s">
        <v>16878</v>
      </c>
      <c r="B1503" s="1" t="s">
        <v>16879</v>
      </c>
      <c r="C1503" s="1" t="s">
        <v>4898</v>
      </c>
      <c r="D1503" s="1" t="s">
        <v>4898</v>
      </c>
      <c r="E1503" s="1" t="s">
        <v>4899</v>
      </c>
      <c r="F1503" s="1" t="s">
        <v>16880</v>
      </c>
      <c r="G1503">
        <v>202285</v>
      </c>
      <c r="H1503">
        <v>23</v>
      </c>
      <c r="I1503" s="1" t="s">
        <v>11063</v>
      </c>
      <c r="J1503" s="11">
        <v>44729.706458333334</v>
      </c>
      <c r="K1503" s="1" t="s">
        <v>4900</v>
      </c>
      <c r="L1503" s="1">
        <v>0.55400000000000005</v>
      </c>
      <c r="M1503" s="1">
        <v>0.93</v>
      </c>
      <c r="N1503">
        <v>9</v>
      </c>
      <c r="O1503" s="1">
        <v>-3.6120000000000001</v>
      </c>
      <c r="P1503">
        <v>0</v>
      </c>
      <c r="Q1503" s="1">
        <v>0.55700000000000005</v>
      </c>
      <c r="R1503" s="1">
        <v>0.224</v>
      </c>
      <c r="S1503" s="1">
        <v>0.36599999999999999</v>
      </c>
      <c r="T1503" s="1">
        <v>0.79300000000000004</v>
      </c>
      <c r="U1503" s="1">
        <v>0.51400000000000001</v>
      </c>
      <c r="V1503" s="1">
        <v>139.995</v>
      </c>
      <c r="W1503">
        <v>4</v>
      </c>
    </row>
    <row r="1504" spans="1:23" x14ac:dyDescent="0.25">
      <c r="A1504" s="1" t="s">
        <v>16881</v>
      </c>
      <c r="B1504" s="1" t="s">
        <v>16882</v>
      </c>
      <c r="C1504" s="1" t="s">
        <v>4901</v>
      </c>
      <c r="D1504" s="1" t="s">
        <v>16883</v>
      </c>
      <c r="E1504" s="1" t="s">
        <v>4902</v>
      </c>
      <c r="F1504" s="1" t="s">
        <v>14184</v>
      </c>
      <c r="G1504">
        <v>237000</v>
      </c>
      <c r="H1504">
        <v>30</v>
      </c>
      <c r="I1504" s="1" t="s">
        <v>11063</v>
      </c>
      <c r="J1504" s="11">
        <v>44729.706458333334</v>
      </c>
      <c r="K1504" s="1" t="s">
        <v>4903</v>
      </c>
      <c r="L1504" s="1">
        <v>0.53800000000000003</v>
      </c>
      <c r="M1504" s="1">
        <v>0.88200000000000001</v>
      </c>
      <c r="N1504">
        <v>4</v>
      </c>
      <c r="O1504" s="1">
        <v>-6.0979999999999999</v>
      </c>
      <c r="P1504">
        <v>0</v>
      </c>
      <c r="Q1504" s="1">
        <v>0.443</v>
      </c>
      <c r="R1504" s="1">
        <v>0.67200000000000004</v>
      </c>
      <c r="S1504" s="1">
        <v>0.317</v>
      </c>
      <c r="T1504" s="1">
        <v>0.14299999999999999</v>
      </c>
      <c r="U1504" s="1">
        <v>0.252</v>
      </c>
      <c r="V1504" s="1">
        <v>159.97999999999999</v>
      </c>
      <c r="W1504">
        <v>4</v>
      </c>
    </row>
    <row r="1505" spans="1:23" x14ac:dyDescent="0.25">
      <c r="A1505" s="1" t="s">
        <v>11594</v>
      </c>
      <c r="B1505" s="1" t="s">
        <v>11595</v>
      </c>
      <c r="C1505" s="1" t="s">
        <v>4904</v>
      </c>
      <c r="D1505" s="1" t="s">
        <v>11596</v>
      </c>
      <c r="E1505" s="1" t="s">
        <v>316</v>
      </c>
      <c r="F1505" s="1" t="s">
        <v>11597</v>
      </c>
      <c r="G1505">
        <v>211263</v>
      </c>
      <c r="H1505">
        <v>32</v>
      </c>
      <c r="I1505" s="1" t="s">
        <v>11063</v>
      </c>
      <c r="J1505" s="11">
        <v>44729.706458333334</v>
      </c>
      <c r="K1505" s="1" t="s">
        <v>317</v>
      </c>
      <c r="L1505" s="1">
        <v>0.59</v>
      </c>
      <c r="M1505" s="1">
        <v>0.86699999999999999</v>
      </c>
      <c r="N1505">
        <v>8</v>
      </c>
      <c r="O1505" s="1">
        <v>-6.4619999999999997</v>
      </c>
      <c r="P1505">
        <v>0</v>
      </c>
      <c r="Q1505" s="1">
        <v>0.82699999999999996</v>
      </c>
      <c r="R1505" s="1">
        <v>0.158</v>
      </c>
      <c r="S1505" s="1">
        <v>0</v>
      </c>
      <c r="T1505" s="1">
        <v>0.96799999999999997</v>
      </c>
      <c r="U1505" s="1">
        <v>0.47599999999999998</v>
      </c>
      <c r="V1505" s="1">
        <v>94.914000000000001</v>
      </c>
      <c r="W1505">
        <v>4</v>
      </c>
    </row>
    <row r="1506" spans="1:23" x14ac:dyDescent="0.25">
      <c r="A1506" s="1" t="s">
        <v>16884</v>
      </c>
      <c r="B1506" s="1" t="s">
        <v>11595</v>
      </c>
      <c r="C1506" s="1" t="s">
        <v>4905</v>
      </c>
      <c r="D1506" s="1" t="s">
        <v>16885</v>
      </c>
      <c r="E1506" s="1" t="s">
        <v>316</v>
      </c>
      <c r="F1506" s="1" t="s">
        <v>16886</v>
      </c>
      <c r="G1506">
        <v>190280</v>
      </c>
      <c r="H1506">
        <v>38</v>
      </c>
      <c r="I1506" s="1" t="s">
        <v>11063</v>
      </c>
      <c r="J1506" s="11">
        <v>44729.706458333334</v>
      </c>
      <c r="K1506" s="1" t="s">
        <v>317</v>
      </c>
      <c r="L1506" s="1">
        <v>0.61199999999999999</v>
      </c>
      <c r="M1506" s="1">
        <v>0.88400000000000001</v>
      </c>
      <c r="N1506">
        <v>11</v>
      </c>
      <c r="O1506" s="1">
        <v>-6.9720000000000004</v>
      </c>
      <c r="P1506">
        <v>1</v>
      </c>
      <c r="Q1506" s="1">
        <v>0.52200000000000002</v>
      </c>
      <c r="R1506" s="1">
        <v>0.86099999999999999</v>
      </c>
      <c r="S1506" s="1">
        <v>0.93600000000000005</v>
      </c>
      <c r="T1506" s="1">
        <v>0.25900000000000001</v>
      </c>
      <c r="U1506" s="1">
        <v>0.85399999999999998</v>
      </c>
      <c r="V1506" s="1">
        <v>167.928</v>
      </c>
      <c r="W1506">
        <v>4</v>
      </c>
    </row>
    <row r="1507" spans="1:23" x14ac:dyDescent="0.25">
      <c r="A1507" s="1" t="s">
        <v>16887</v>
      </c>
      <c r="B1507" s="1" t="s">
        <v>16888</v>
      </c>
      <c r="C1507" s="1" t="s">
        <v>2594</v>
      </c>
      <c r="D1507" s="1" t="s">
        <v>2594</v>
      </c>
      <c r="E1507" s="1" t="s">
        <v>4906</v>
      </c>
      <c r="F1507" s="1" t="s">
        <v>14207</v>
      </c>
      <c r="G1507">
        <v>260412</v>
      </c>
      <c r="H1507">
        <v>17</v>
      </c>
      <c r="I1507" s="1" t="s">
        <v>11063</v>
      </c>
      <c r="J1507" s="11">
        <v>44729.706458333334</v>
      </c>
      <c r="K1507" s="1" t="s">
        <v>3880</v>
      </c>
      <c r="L1507" s="1">
        <v>0.55600000000000005</v>
      </c>
      <c r="M1507" s="1">
        <v>0.7</v>
      </c>
      <c r="N1507">
        <v>9</v>
      </c>
      <c r="O1507" s="1">
        <v>-8.2550000000000008</v>
      </c>
      <c r="P1507">
        <v>1</v>
      </c>
      <c r="Q1507" s="1">
        <v>0.14599999999999999</v>
      </c>
      <c r="R1507" s="1">
        <v>0.33700000000000002</v>
      </c>
      <c r="S1507" s="1">
        <v>0.33700000000000002</v>
      </c>
      <c r="T1507" s="1">
        <v>0.61899999999999999</v>
      </c>
      <c r="U1507" s="1">
        <v>0.193</v>
      </c>
      <c r="V1507" s="1">
        <v>152.91</v>
      </c>
      <c r="W1507">
        <v>4</v>
      </c>
    </row>
    <row r="1508" spans="1:23" x14ac:dyDescent="0.25">
      <c r="A1508" s="1" t="s">
        <v>16889</v>
      </c>
      <c r="B1508" s="1" t="s">
        <v>14785</v>
      </c>
      <c r="C1508" s="1" t="s">
        <v>4907</v>
      </c>
      <c r="D1508" s="1" t="s">
        <v>4907</v>
      </c>
      <c r="E1508" s="1" t="s">
        <v>3069</v>
      </c>
      <c r="F1508" s="1" t="s">
        <v>14364</v>
      </c>
      <c r="G1508">
        <v>160053</v>
      </c>
      <c r="H1508">
        <v>61</v>
      </c>
      <c r="I1508" s="1" t="s">
        <v>11063</v>
      </c>
      <c r="J1508" s="11">
        <v>44729.706458333334</v>
      </c>
      <c r="K1508" s="1" t="s">
        <v>3070</v>
      </c>
      <c r="L1508" s="1">
        <v>0.70799999999999996</v>
      </c>
      <c r="M1508" s="1">
        <v>0.92200000000000004</v>
      </c>
      <c r="N1508">
        <v>1</v>
      </c>
      <c r="O1508" s="1">
        <v>-2.7149999999999999</v>
      </c>
      <c r="P1508">
        <v>0</v>
      </c>
      <c r="Q1508" s="1">
        <v>0.11600000000000001</v>
      </c>
      <c r="R1508" s="1">
        <v>0.13500000000000001</v>
      </c>
      <c r="S1508" s="1">
        <v>0.51300000000000001</v>
      </c>
      <c r="T1508" s="1">
        <v>0.22500000000000001</v>
      </c>
      <c r="U1508" s="1">
        <v>0.63700000000000001</v>
      </c>
      <c r="V1508" s="1">
        <v>125.961</v>
      </c>
      <c r="W1508">
        <v>4</v>
      </c>
    </row>
    <row r="1509" spans="1:23" x14ac:dyDescent="0.25">
      <c r="A1509" s="1" t="s">
        <v>16890</v>
      </c>
      <c r="B1509" s="1" t="s">
        <v>16891</v>
      </c>
      <c r="C1509" s="1" t="s">
        <v>4908</v>
      </c>
      <c r="D1509" s="1" t="s">
        <v>4908</v>
      </c>
      <c r="E1509" s="1" t="s">
        <v>4909</v>
      </c>
      <c r="F1509" s="1" t="s">
        <v>16892</v>
      </c>
      <c r="G1509">
        <v>197733</v>
      </c>
      <c r="H1509">
        <v>54</v>
      </c>
      <c r="I1509" s="1" t="s">
        <v>11063</v>
      </c>
      <c r="J1509" s="11">
        <v>44729.706458333334</v>
      </c>
      <c r="K1509" s="1" t="s">
        <v>4910</v>
      </c>
      <c r="L1509" s="1">
        <v>0.76200000000000001</v>
      </c>
      <c r="M1509" s="1">
        <v>0.82099999999999995</v>
      </c>
      <c r="N1509">
        <v>0</v>
      </c>
      <c r="O1509" s="1">
        <v>-4.0869999999999997</v>
      </c>
      <c r="P1509">
        <v>1</v>
      </c>
      <c r="Q1509" s="1">
        <v>0.45300000000000001</v>
      </c>
      <c r="R1509" s="1">
        <v>0.60499999999999998</v>
      </c>
      <c r="S1509" s="1">
        <v>0.34100000000000003</v>
      </c>
      <c r="T1509" s="1">
        <v>0.14099999999999999</v>
      </c>
      <c r="U1509" s="1">
        <v>0.85799999999999998</v>
      </c>
      <c r="V1509" s="1">
        <v>121.98</v>
      </c>
      <c r="W1509">
        <v>4</v>
      </c>
    </row>
    <row r="1510" spans="1:23" x14ac:dyDescent="0.25">
      <c r="A1510" s="1" t="s">
        <v>16893</v>
      </c>
      <c r="B1510" s="1" t="s">
        <v>16894</v>
      </c>
      <c r="C1510" s="1" t="s">
        <v>4911</v>
      </c>
      <c r="D1510" s="1" t="s">
        <v>16895</v>
      </c>
      <c r="E1510" s="1" t="s">
        <v>4912</v>
      </c>
      <c r="F1510" s="1" t="s">
        <v>16896</v>
      </c>
      <c r="G1510">
        <v>222280</v>
      </c>
      <c r="H1510">
        <v>42</v>
      </c>
      <c r="I1510" s="1" t="s">
        <v>11063</v>
      </c>
      <c r="J1510" s="11">
        <v>44729.706458333334</v>
      </c>
      <c r="K1510" s="1" t="s">
        <v>4913</v>
      </c>
      <c r="L1510" s="1">
        <v>0.70499999999999996</v>
      </c>
      <c r="M1510" s="1">
        <v>0.46700000000000003</v>
      </c>
      <c r="N1510">
        <v>9</v>
      </c>
      <c r="O1510" s="1">
        <v>-9.2609999999999992</v>
      </c>
      <c r="P1510">
        <v>1</v>
      </c>
      <c r="Q1510" s="1">
        <v>0.34300000000000003</v>
      </c>
      <c r="R1510" s="1">
        <v>0.56399999999999995</v>
      </c>
      <c r="S1510" s="1">
        <v>0.107</v>
      </c>
      <c r="T1510" s="1">
        <v>0.96899999999999997</v>
      </c>
      <c r="U1510" s="1">
        <v>0.27</v>
      </c>
      <c r="V1510" s="1">
        <v>107.99299999999999</v>
      </c>
      <c r="W1510">
        <v>4</v>
      </c>
    </row>
    <row r="1511" spans="1:23" x14ac:dyDescent="0.25">
      <c r="A1511" s="1" t="s">
        <v>16897</v>
      </c>
      <c r="B1511" s="1" t="s">
        <v>16898</v>
      </c>
      <c r="C1511" s="1" t="s">
        <v>3846</v>
      </c>
      <c r="D1511" s="1" t="s">
        <v>3846</v>
      </c>
      <c r="E1511" s="1" t="s">
        <v>4914</v>
      </c>
      <c r="F1511" s="1" t="s">
        <v>16899</v>
      </c>
      <c r="G1511">
        <v>195000</v>
      </c>
      <c r="H1511">
        <v>36</v>
      </c>
      <c r="I1511" s="1" t="s">
        <v>11063</v>
      </c>
      <c r="J1511" s="11">
        <v>44729.706458333334</v>
      </c>
      <c r="K1511" s="1" t="s">
        <v>4915</v>
      </c>
      <c r="L1511" s="1">
        <v>0.499</v>
      </c>
      <c r="M1511" s="1">
        <v>0.94</v>
      </c>
      <c r="N1511">
        <v>0</v>
      </c>
      <c r="O1511" s="1">
        <v>-2.7410000000000001</v>
      </c>
      <c r="P1511">
        <v>1</v>
      </c>
      <c r="Q1511" s="1">
        <v>0.33200000000000002</v>
      </c>
      <c r="R1511" s="1">
        <v>0.89700000000000002</v>
      </c>
      <c r="S1511" s="1">
        <v>0.72799999999999998</v>
      </c>
      <c r="T1511" s="1">
        <v>0.109</v>
      </c>
      <c r="U1511" s="1">
        <v>0.47699999999999998</v>
      </c>
      <c r="V1511" s="1">
        <v>112.02</v>
      </c>
      <c r="W1511">
        <v>4</v>
      </c>
    </row>
    <row r="1512" spans="1:23" x14ac:dyDescent="0.25">
      <c r="A1512" s="1" t="s">
        <v>16900</v>
      </c>
      <c r="B1512" s="1" t="s">
        <v>16894</v>
      </c>
      <c r="C1512" s="1" t="s">
        <v>4916</v>
      </c>
      <c r="D1512" s="1" t="s">
        <v>16895</v>
      </c>
      <c r="E1512" s="1" t="s">
        <v>4912</v>
      </c>
      <c r="F1512" s="1" t="s">
        <v>16896</v>
      </c>
      <c r="G1512">
        <v>225040</v>
      </c>
      <c r="H1512">
        <v>50</v>
      </c>
      <c r="I1512" s="1" t="s">
        <v>11063</v>
      </c>
      <c r="J1512" s="11">
        <v>44729.706458333334</v>
      </c>
      <c r="K1512" s="1" t="s">
        <v>4913</v>
      </c>
      <c r="L1512" s="1">
        <v>0.70199999999999996</v>
      </c>
      <c r="M1512" s="1">
        <v>0.51800000000000002</v>
      </c>
      <c r="N1512">
        <v>6</v>
      </c>
      <c r="O1512" s="1">
        <v>-7.609</v>
      </c>
      <c r="P1512">
        <v>0</v>
      </c>
      <c r="Q1512" s="1">
        <v>0.29699999999999999</v>
      </c>
      <c r="R1512" s="1">
        <v>0.66</v>
      </c>
      <c r="S1512" s="1">
        <v>0.34699999999999998</v>
      </c>
      <c r="T1512" s="1">
        <v>0.11700000000000001</v>
      </c>
      <c r="U1512" s="1">
        <v>0.23400000000000001</v>
      </c>
      <c r="V1512" s="1">
        <v>119.992</v>
      </c>
      <c r="W1512">
        <v>4</v>
      </c>
    </row>
    <row r="1513" spans="1:23" x14ac:dyDescent="0.25">
      <c r="A1513" s="1" t="s">
        <v>16901</v>
      </c>
      <c r="B1513" s="1" t="s">
        <v>15648</v>
      </c>
      <c r="C1513" s="1" t="s">
        <v>4917</v>
      </c>
      <c r="D1513" s="1" t="s">
        <v>16902</v>
      </c>
      <c r="E1513" s="1" t="s">
        <v>3852</v>
      </c>
      <c r="F1513" s="1" t="s">
        <v>16903</v>
      </c>
      <c r="G1513">
        <v>246755</v>
      </c>
      <c r="H1513">
        <v>69</v>
      </c>
      <c r="I1513" s="1" t="s">
        <v>11063</v>
      </c>
      <c r="J1513" s="11">
        <v>44729.706458333334</v>
      </c>
      <c r="K1513" s="1" t="s">
        <v>3853</v>
      </c>
      <c r="L1513" s="1">
        <v>0.73299999999999998</v>
      </c>
      <c r="M1513" s="1">
        <v>0.62</v>
      </c>
      <c r="N1513">
        <v>1</v>
      </c>
      <c r="O1513" s="1">
        <v>-10.525</v>
      </c>
      <c r="P1513">
        <v>1</v>
      </c>
      <c r="Q1513" s="1">
        <v>0.75</v>
      </c>
      <c r="R1513" s="1">
        <v>0.60599999999999998</v>
      </c>
      <c r="S1513" s="1">
        <v>0.30499999999999999</v>
      </c>
      <c r="T1513" s="1">
        <v>0.11700000000000001</v>
      </c>
      <c r="U1513" s="1">
        <v>0.247</v>
      </c>
      <c r="V1513" s="1">
        <v>111.039</v>
      </c>
      <c r="W1513">
        <v>4</v>
      </c>
    </row>
    <row r="1514" spans="1:23" x14ac:dyDescent="0.25">
      <c r="A1514" s="1" t="s">
        <v>16904</v>
      </c>
      <c r="B1514" s="1" t="s">
        <v>15648</v>
      </c>
      <c r="C1514" s="1" t="s">
        <v>4918</v>
      </c>
      <c r="D1514" s="1" t="s">
        <v>16902</v>
      </c>
      <c r="E1514" s="1" t="s">
        <v>3852</v>
      </c>
      <c r="F1514" s="1" t="s">
        <v>16903</v>
      </c>
      <c r="G1514">
        <v>198907</v>
      </c>
      <c r="H1514">
        <v>67</v>
      </c>
      <c r="I1514" s="1" t="s">
        <v>11063</v>
      </c>
      <c r="J1514" s="11">
        <v>44729.706458333334</v>
      </c>
      <c r="K1514" s="1" t="s">
        <v>3853</v>
      </c>
      <c r="L1514" s="1">
        <v>0.76400000000000001</v>
      </c>
      <c r="M1514" s="1">
        <v>0.56699999999999995</v>
      </c>
      <c r="N1514">
        <v>0</v>
      </c>
      <c r="O1514" s="1">
        <v>-8.5850000000000009</v>
      </c>
      <c r="P1514">
        <v>1</v>
      </c>
      <c r="Q1514" s="1">
        <v>0.60899999999999999</v>
      </c>
      <c r="R1514" s="1">
        <v>0.126</v>
      </c>
      <c r="S1514" s="1">
        <v>0.95099999999999996</v>
      </c>
      <c r="T1514" s="1">
        <v>0.25700000000000001</v>
      </c>
      <c r="U1514" s="1">
        <v>0.42799999999999999</v>
      </c>
      <c r="V1514" s="1">
        <v>89.988</v>
      </c>
      <c r="W1514">
        <v>4</v>
      </c>
    </row>
    <row r="1515" spans="1:23" x14ac:dyDescent="0.25">
      <c r="A1515" s="1" t="s">
        <v>16905</v>
      </c>
      <c r="B1515" s="1" t="s">
        <v>16906</v>
      </c>
      <c r="C1515" s="1" t="s">
        <v>4919</v>
      </c>
      <c r="D1515" s="1" t="s">
        <v>4919</v>
      </c>
      <c r="E1515" s="1" t="s">
        <v>4920</v>
      </c>
      <c r="F1515" s="1" t="s">
        <v>16597</v>
      </c>
      <c r="G1515">
        <v>202285</v>
      </c>
      <c r="H1515">
        <v>41</v>
      </c>
      <c r="I1515" s="1" t="s">
        <v>11063</v>
      </c>
      <c r="J1515" s="11">
        <v>44729.706458333334</v>
      </c>
      <c r="K1515" s="1" t="s">
        <v>50</v>
      </c>
      <c r="L1515" s="1">
        <v>0.66</v>
      </c>
      <c r="M1515" s="1">
        <v>0.65200000000000002</v>
      </c>
      <c r="N1515">
        <v>6</v>
      </c>
      <c r="O1515" s="1">
        <v>-5.149</v>
      </c>
      <c r="P1515">
        <v>0</v>
      </c>
      <c r="Q1515" s="1">
        <v>0.39200000000000002</v>
      </c>
      <c r="R1515" s="1">
        <v>0.22500000000000001</v>
      </c>
      <c r="S1515" s="1">
        <v>0.625</v>
      </c>
      <c r="T1515" s="1">
        <v>0.106</v>
      </c>
      <c r="U1515" s="1">
        <v>0.67500000000000004</v>
      </c>
      <c r="V1515" s="1">
        <v>140.01599999999999</v>
      </c>
      <c r="W1515">
        <v>4</v>
      </c>
    </row>
    <row r="1516" spans="1:23" x14ac:dyDescent="0.25">
      <c r="A1516" s="1" t="s">
        <v>16907</v>
      </c>
      <c r="B1516" s="1" t="s">
        <v>16908</v>
      </c>
      <c r="C1516" s="1" t="s">
        <v>4921</v>
      </c>
      <c r="D1516" s="1" t="s">
        <v>4921</v>
      </c>
      <c r="E1516" s="1" t="s">
        <v>4922</v>
      </c>
      <c r="F1516" s="1" t="s">
        <v>14364</v>
      </c>
      <c r="G1516">
        <v>170610</v>
      </c>
      <c r="H1516">
        <v>38</v>
      </c>
      <c r="I1516" s="1" t="s">
        <v>11063</v>
      </c>
      <c r="J1516" s="11">
        <v>44729.706458333334</v>
      </c>
      <c r="K1516" s="1" t="s">
        <v>4923</v>
      </c>
      <c r="L1516" s="1">
        <v>0.67600000000000005</v>
      </c>
      <c r="M1516" s="1">
        <v>0.5</v>
      </c>
      <c r="N1516">
        <v>8</v>
      </c>
      <c r="O1516" s="1">
        <v>-6.8780000000000001</v>
      </c>
      <c r="P1516">
        <v>1</v>
      </c>
      <c r="Q1516" s="1">
        <v>0.41199999999999998</v>
      </c>
      <c r="R1516" s="1">
        <v>0.70099999999999996</v>
      </c>
      <c r="S1516" s="1">
        <v>0</v>
      </c>
      <c r="T1516" s="1">
        <v>0.59599999999999997</v>
      </c>
      <c r="U1516" s="1">
        <v>0.91500000000000004</v>
      </c>
      <c r="V1516" s="1">
        <v>97.863</v>
      </c>
      <c r="W1516">
        <v>4</v>
      </c>
    </row>
    <row r="1517" spans="1:23" x14ac:dyDescent="0.25">
      <c r="A1517" s="1" t="s">
        <v>16909</v>
      </c>
      <c r="B1517" s="1" t="s">
        <v>15648</v>
      </c>
      <c r="C1517" s="1" t="s">
        <v>4924</v>
      </c>
      <c r="D1517" s="1" t="s">
        <v>16910</v>
      </c>
      <c r="E1517" s="1" t="s">
        <v>3852</v>
      </c>
      <c r="F1517" s="1" t="s">
        <v>11654</v>
      </c>
      <c r="G1517">
        <v>234652</v>
      </c>
      <c r="H1517">
        <v>74</v>
      </c>
      <c r="I1517" s="1" t="s">
        <v>11063</v>
      </c>
      <c r="J1517" s="11">
        <v>44729.706458333334</v>
      </c>
      <c r="K1517" s="1" t="s">
        <v>3853</v>
      </c>
      <c r="L1517" s="1">
        <v>0.59399999999999997</v>
      </c>
      <c r="M1517" s="1">
        <v>0.72099999999999997</v>
      </c>
      <c r="N1517">
        <v>2</v>
      </c>
      <c r="O1517" s="1">
        <v>-7.8120000000000003</v>
      </c>
      <c r="P1517">
        <v>1</v>
      </c>
      <c r="Q1517" s="1">
        <v>0.95699999999999996</v>
      </c>
      <c r="R1517" s="1">
        <v>0.20899999999999999</v>
      </c>
      <c r="S1517" s="1">
        <v>0.85499999999999998</v>
      </c>
      <c r="T1517" s="1">
        <v>0.879</v>
      </c>
      <c r="U1517" s="1">
        <v>0.253</v>
      </c>
      <c r="V1517" s="1">
        <v>128.94200000000001</v>
      </c>
      <c r="W1517">
        <v>4</v>
      </c>
    </row>
    <row r="1518" spans="1:23" x14ac:dyDescent="0.25">
      <c r="A1518" s="1" t="s">
        <v>16911</v>
      </c>
      <c r="B1518" s="1" t="s">
        <v>15648</v>
      </c>
      <c r="C1518" s="1" t="s">
        <v>4925</v>
      </c>
      <c r="D1518" s="1" t="s">
        <v>16910</v>
      </c>
      <c r="E1518" s="1" t="s">
        <v>3852</v>
      </c>
      <c r="F1518" s="1" t="s">
        <v>11654</v>
      </c>
      <c r="G1518">
        <v>221874</v>
      </c>
      <c r="H1518">
        <v>70</v>
      </c>
      <c r="I1518" s="1" t="s">
        <v>11063</v>
      </c>
      <c r="J1518" s="11">
        <v>44729.706458333334</v>
      </c>
      <c r="K1518" s="1" t="s">
        <v>3853</v>
      </c>
      <c r="L1518" s="1">
        <v>0.622</v>
      </c>
      <c r="M1518" s="1">
        <v>0.57999999999999996</v>
      </c>
      <c r="N1518">
        <v>1</v>
      </c>
      <c r="O1518" s="1">
        <v>-5.2729999999999997</v>
      </c>
      <c r="P1518">
        <v>0</v>
      </c>
      <c r="Q1518" s="1">
        <v>0.504</v>
      </c>
      <c r="R1518" s="1">
        <v>0.24099999999999999</v>
      </c>
      <c r="S1518" s="1">
        <v>0.29499999999999998</v>
      </c>
      <c r="T1518" s="1">
        <v>0.112</v>
      </c>
      <c r="U1518" s="1">
        <v>0.51200000000000001</v>
      </c>
      <c r="V1518" s="1">
        <v>104.41</v>
      </c>
      <c r="W1518">
        <v>4</v>
      </c>
    </row>
    <row r="1519" spans="1:23" x14ac:dyDescent="0.25">
      <c r="A1519" s="1" t="s">
        <v>16912</v>
      </c>
      <c r="B1519" s="1" t="s">
        <v>15648</v>
      </c>
      <c r="C1519" s="1" t="s">
        <v>4926</v>
      </c>
      <c r="D1519" s="1" t="s">
        <v>16913</v>
      </c>
      <c r="E1519" s="1" t="s">
        <v>3852</v>
      </c>
      <c r="F1519" s="1" t="s">
        <v>13922</v>
      </c>
      <c r="G1519">
        <v>193058</v>
      </c>
      <c r="H1519">
        <v>7</v>
      </c>
      <c r="I1519" s="1" t="s">
        <v>11063</v>
      </c>
      <c r="J1519" s="11">
        <v>44729.706458333334</v>
      </c>
      <c r="K1519" s="1" t="s">
        <v>3853</v>
      </c>
      <c r="L1519" s="1">
        <v>0.69</v>
      </c>
      <c r="M1519" s="1">
        <v>0.57799999999999996</v>
      </c>
      <c r="N1519">
        <v>6</v>
      </c>
      <c r="O1519" s="1">
        <v>-7.4359999999999999</v>
      </c>
      <c r="P1519">
        <v>1</v>
      </c>
      <c r="Q1519" s="1">
        <v>0.92900000000000005</v>
      </c>
      <c r="R1519" s="1">
        <v>0.16700000000000001</v>
      </c>
      <c r="S1519" s="1">
        <v>0</v>
      </c>
      <c r="T1519" s="1">
        <v>0.30499999999999999</v>
      </c>
      <c r="U1519" s="1">
        <v>0.41599999999999998</v>
      </c>
      <c r="V1519" s="1">
        <v>99.960999999999999</v>
      </c>
      <c r="W1519">
        <v>4</v>
      </c>
    </row>
    <row r="1520" spans="1:23" x14ac:dyDescent="0.25">
      <c r="A1520" s="1" t="s">
        <v>16914</v>
      </c>
      <c r="B1520" s="1" t="s">
        <v>15648</v>
      </c>
      <c r="C1520" s="1" t="s">
        <v>4927</v>
      </c>
      <c r="D1520" s="1" t="s">
        <v>16913</v>
      </c>
      <c r="E1520" s="1" t="s">
        <v>3852</v>
      </c>
      <c r="F1520" s="1" t="s">
        <v>13922</v>
      </c>
      <c r="G1520">
        <v>190185</v>
      </c>
      <c r="H1520">
        <v>9</v>
      </c>
      <c r="I1520" s="1" t="s">
        <v>11063</v>
      </c>
      <c r="J1520" s="11">
        <v>44729.706458333334</v>
      </c>
      <c r="K1520" s="1" t="s">
        <v>3853</v>
      </c>
      <c r="L1520" s="1">
        <v>0.67400000000000004</v>
      </c>
      <c r="M1520" s="1">
        <v>0.42799999999999999</v>
      </c>
      <c r="N1520">
        <v>7</v>
      </c>
      <c r="O1520" s="1">
        <v>-9.5039999999999996</v>
      </c>
      <c r="P1520">
        <v>1</v>
      </c>
      <c r="Q1520" s="1">
        <v>0.122</v>
      </c>
      <c r="R1520" s="1">
        <v>0.121</v>
      </c>
      <c r="S1520" s="1">
        <v>0</v>
      </c>
      <c r="T1520" s="1">
        <v>0.13200000000000001</v>
      </c>
      <c r="U1520" s="1">
        <v>0.33700000000000002</v>
      </c>
      <c r="V1520" s="1">
        <v>84.878</v>
      </c>
      <c r="W1520">
        <v>4</v>
      </c>
    </row>
    <row r="1521" spans="1:23" x14ac:dyDescent="0.25">
      <c r="A1521" s="1" t="s">
        <v>16915</v>
      </c>
      <c r="B1521" s="1" t="s">
        <v>14785</v>
      </c>
      <c r="C1521" s="1" t="s">
        <v>4928</v>
      </c>
      <c r="D1521" s="1" t="s">
        <v>16916</v>
      </c>
      <c r="E1521" s="1" t="s">
        <v>3069</v>
      </c>
      <c r="F1521" s="1" t="s">
        <v>16917</v>
      </c>
      <c r="G1521">
        <v>219333</v>
      </c>
      <c r="H1521">
        <v>65</v>
      </c>
      <c r="I1521" s="1" t="s">
        <v>11063</v>
      </c>
      <c r="J1521" s="11">
        <v>44729.706458333334</v>
      </c>
      <c r="K1521" s="1" t="s">
        <v>3070</v>
      </c>
      <c r="L1521" s="1">
        <v>0.65600000000000003</v>
      </c>
      <c r="M1521" s="1">
        <v>0.59399999999999997</v>
      </c>
      <c r="N1521">
        <v>5</v>
      </c>
      <c r="O1521" s="1">
        <v>-6.0430000000000001</v>
      </c>
      <c r="P1521">
        <v>1</v>
      </c>
      <c r="Q1521" s="1">
        <v>0.307</v>
      </c>
      <c r="R1521" s="1">
        <v>0.71599999999999997</v>
      </c>
      <c r="S1521" s="1">
        <v>0.80200000000000005</v>
      </c>
      <c r="T1521" s="1">
        <v>0.376</v>
      </c>
      <c r="U1521" s="1">
        <v>0.56999999999999995</v>
      </c>
      <c r="V1521" s="1">
        <v>127.992</v>
      </c>
      <c r="W1521">
        <v>4</v>
      </c>
    </row>
    <row r="1522" spans="1:23" x14ac:dyDescent="0.25">
      <c r="A1522" s="1" t="s">
        <v>16918</v>
      </c>
      <c r="B1522" s="1" t="s">
        <v>16919</v>
      </c>
      <c r="C1522" s="1" t="s">
        <v>4929</v>
      </c>
      <c r="D1522" s="1" t="s">
        <v>16920</v>
      </c>
      <c r="E1522" s="1" t="s">
        <v>4930</v>
      </c>
      <c r="F1522" s="1" t="s">
        <v>11471</v>
      </c>
      <c r="G1522">
        <v>228973</v>
      </c>
      <c r="H1522">
        <v>57</v>
      </c>
      <c r="I1522" s="1" t="s">
        <v>11063</v>
      </c>
      <c r="J1522" s="11">
        <v>44729.706458333334</v>
      </c>
      <c r="K1522" s="1" t="s">
        <v>4931</v>
      </c>
      <c r="L1522" s="1">
        <v>0.55000000000000004</v>
      </c>
      <c r="M1522" s="1">
        <v>0.749</v>
      </c>
      <c r="N1522">
        <v>7</v>
      </c>
      <c r="O1522" s="1">
        <v>-5.4020000000000001</v>
      </c>
      <c r="P1522">
        <v>0</v>
      </c>
      <c r="Q1522" s="1">
        <v>0.40300000000000002</v>
      </c>
      <c r="R1522" s="1">
        <v>0.4</v>
      </c>
      <c r="S1522" s="1">
        <v>0.874</v>
      </c>
      <c r="T1522" s="1">
        <v>0.23100000000000001</v>
      </c>
      <c r="U1522" s="1">
        <v>0.221</v>
      </c>
      <c r="V1522" s="1">
        <v>128.011</v>
      </c>
      <c r="W1522">
        <v>4</v>
      </c>
    </row>
    <row r="1523" spans="1:23" x14ac:dyDescent="0.25">
      <c r="A1523" s="1" t="s">
        <v>16921</v>
      </c>
      <c r="B1523" s="1" t="s">
        <v>16922</v>
      </c>
      <c r="C1523" s="1" t="s">
        <v>4932</v>
      </c>
      <c r="D1523" s="1" t="s">
        <v>16920</v>
      </c>
      <c r="E1523" s="1" t="s">
        <v>4933</v>
      </c>
      <c r="F1523" s="1" t="s">
        <v>11471</v>
      </c>
      <c r="G1523">
        <v>238120</v>
      </c>
      <c r="H1523">
        <v>69</v>
      </c>
      <c r="I1523" s="1" t="s">
        <v>11063</v>
      </c>
      <c r="J1523" s="11">
        <v>44729.706458333334</v>
      </c>
      <c r="K1523" s="1" t="s">
        <v>4934</v>
      </c>
      <c r="L1523" s="1">
        <v>0.57899999999999996</v>
      </c>
      <c r="M1523" s="1">
        <v>0.54900000000000004</v>
      </c>
      <c r="N1523">
        <v>5</v>
      </c>
      <c r="O1523" s="1">
        <v>-8.2620000000000005</v>
      </c>
      <c r="P1523">
        <v>0</v>
      </c>
      <c r="Q1523" s="1">
        <v>0.90900000000000003</v>
      </c>
      <c r="R1523" s="1">
        <v>0.104</v>
      </c>
      <c r="S1523" s="1">
        <v>0.20200000000000001</v>
      </c>
      <c r="T1523" s="1">
        <v>0.96399999999999997</v>
      </c>
      <c r="U1523" s="1">
        <v>0.155</v>
      </c>
      <c r="V1523" s="1">
        <v>119.74</v>
      </c>
      <c r="W1523">
        <v>4</v>
      </c>
    </row>
    <row r="1524" spans="1:23" x14ac:dyDescent="0.25">
      <c r="A1524" s="1" t="s">
        <v>16923</v>
      </c>
      <c r="B1524" s="1" t="s">
        <v>16924</v>
      </c>
      <c r="C1524" s="1" t="s">
        <v>4671</v>
      </c>
      <c r="D1524" s="1" t="s">
        <v>16925</v>
      </c>
      <c r="E1524" s="1" t="s">
        <v>4935</v>
      </c>
      <c r="F1524" s="1" t="s">
        <v>11471</v>
      </c>
      <c r="G1524">
        <v>204346</v>
      </c>
      <c r="H1524">
        <v>53</v>
      </c>
      <c r="I1524" s="1" t="s">
        <v>11063</v>
      </c>
      <c r="J1524" s="11">
        <v>44729.706458333334</v>
      </c>
      <c r="K1524" s="1" t="s">
        <v>4936</v>
      </c>
      <c r="L1524" s="1">
        <v>0.53</v>
      </c>
      <c r="M1524" s="1">
        <v>0.78300000000000003</v>
      </c>
      <c r="N1524">
        <v>3</v>
      </c>
      <c r="O1524" s="1">
        <v>-4.6100000000000003</v>
      </c>
      <c r="P1524">
        <v>1</v>
      </c>
      <c r="Q1524" s="1">
        <v>0.38800000000000001</v>
      </c>
      <c r="R1524" s="1">
        <v>0.22700000000000001</v>
      </c>
      <c r="S1524" s="1">
        <v>0.21099999999999999</v>
      </c>
      <c r="T1524" s="1">
        <v>0.98699999999999999</v>
      </c>
      <c r="U1524" s="1">
        <v>0.39700000000000002</v>
      </c>
      <c r="V1524" s="1">
        <v>127.971</v>
      </c>
      <c r="W1524">
        <v>4</v>
      </c>
    </row>
    <row r="1525" spans="1:23" x14ac:dyDescent="0.25">
      <c r="A1525" s="1" t="s">
        <v>16926</v>
      </c>
      <c r="B1525" s="1" t="s">
        <v>16810</v>
      </c>
      <c r="C1525" s="1" t="s">
        <v>4937</v>
      </c>
      <c r="D1525" s="1" t="s">
        <v>16927</v>
      </c>
      <c r="E1525" s="1" t="s">
        <v>4835</v>
      </c>
      <c r="F1525" s="1" t="s">
        <v>16928</v>
      </c>
      <c r="G1525">
        <v>233800</v>
      </c>
      <c r="H1525">
        <v>54</v>
      </c>
      <c r="I1525" s="1" t="s">
        <v>11063</v>
      </c>
      <c r="J1525" s="11">
        <v>44729.706458333334</v>
      </c>
      <c r="K1525" s="1" t="s">
        <v>4836</v>
      </c>
      <c r="L1525" s="1">
        <v>0.64600000000000002</v>
      </c>
      <c r="M1525" s="1">
        <v>0.80200000000000005</v>
      </c>
      <c r="N1525">
        <v>1</v>
      </c>
      <c r="O1525" s="1">
        <v>-6.9119999999999999</v>
      </c>
      <c r="P1525">
        <v>1</v>
      </c>
      <c r="Q1525" s="1">
        <v>0.33</v>
      </c>
      <c r="R1525" s="1">
        <v>0.19900000000000001</v>
      </c>
      <c r="S1525" s="1">
        <v>0.30499999999999999</v>
      </c>
      <c r="T1525" s="1">
        <v>0.65</v>
      </c>
      <c r="U1525" s="1">
        <v>0.17100000000000001</v>
      </c>
      <c r="V1525" s="1">
        <v>123.03700000000001</v>
      </c>
      <c r="W1525">
        <v>4</v>
      </c>
    </row>
    <row r="1526" spans="1:23" x14ac:dyDescent="0.25">
      <c r="A1526" s="1" t="s">
        <v>16929</v>
      </c>
      <c r="B1526" s="1" t="s">
        <v>16810</v>
      </c>
      <c r="C1526" s="1" t="s">
        <v>4938</v>
      </c>
      <c r="D1526" s="1" t="s">
        <v>16930</v>
      </c>
      <c r="E1526" s="1" t="s">
        <v>4835</v>
      </c>
      <c r="F1526" s="1" t="s">
        <v>13922</v>
      </c>
      <c r="G1526">
        <v>191293</v>
      </c>
      <c r="H1526">
        <v>47</v>
      </c>
      <c r="I1526" s="1" t="s">
        <v>11063</v>
      </c>
      <c r="J1526" s="11">
        <v>44729.706458333334</v>
      </c>
      <c r="K1526" s="1" t="s">
        <v>4836</v>
      </c>
      <c r="L1526" s="1">
        <v>0.46200000000000002</v>
      </c>
      <c r="M1526" s="1">
        <v>0.72199999999999998</v>
      </c>
      <c r="N1526">
        <v>1</v>
      </c>
      <c r="O1526" s="1">
        <v>-5.1340000000000003</v>
      </c>
      <c r="P1526">
        <v>1</v>
      </c>
      <c r="Q1526" s="1">
        <v>0.30599999999999999</v>
      </c>
      <c r="R1526" s="1">
        <v>0.35599999999999998</v>
      </c>
      <c r="S1526" s="1">
        <v>0.45200000000000001</v>
      </c>
      <c r="T1526" s="1">
        <v>0.127</v>
      </c>
      <c r="U1526" s="1">
        <v>0.32700000000000001</v>
      </c>
      <c r="V1526" s="1">
        <v>173.941</v>
      </c>
      <c r="W1526">
        <v>4</v>
      </c>
    </row>
    <row r="1527" spans="1:23" x14ac:dyDescent="0.25">
      <c r="A1527" s="1" t="s">
        <v>16931</v>
      </c>
      <c r="B1527" s="1" t="s">
        <v>16810</v>
      </c>
      <c r="C1527" s="1" t="s">
        <v>4939</v>
      </c>
      <c r="D1527" s="1" t="s">
        <v>16927</v>
      </c>
      <c r="E1527" s="1" t="s">
        <v>4835</v>
      </c>
      <c r="F1527" s="1" t="s">
        <v>16928</v>
      </c>
      <c r="G1527">
        <v>237546</v>
      </c>
      <c r="H1527">
        <v>36</v>
      </c>
      <c r="I1527" s="1" t="s">
        <v>11063</v>
      </c>
      <c r="J1527" s="11">
        <v>44729.706458333334</v>
      </c>
      <c r="K1527" s="1" t="s">
        <v>4836</v>
      </c>
      <c r="L1527" s="1">
        <v>0.66200000000000003</v>
      </c>
      <c r="M1527" s="1">
        <v>0.72399999999999998</v>
      </c>
      <c r="N1527">
        <v>9</v>
      </c>
      <c r="O1527" s="1">
        <v>-6.8739999999999997</v>
      </c>
      <c r="P1527">
        <v>1</v>
      </c>
      <c r="Q1527" s="1">
        <v>0.621</v>
      </c>
      <c r="R1527" s="1">
        <v>0.182</v>
      </c>
      <c r="S1527" s="1">
        <v>0.65900000000000003</v>
      </c>
      <c r="T1527" s="1">
        <v>0.13300000000000001</v>
      </c>
      <c r="U1527" s="1">
        <v>0.26600000000000001</v>
      </c>
      <c r="V1527" s="1">
        <v>100.006</v>
      </c>
      <c r="W1527">
        <v>4</v>
      </c>
    </row>
    <row r="1528" spans="1:23" x14ac:dyDescent="0.25">
      <c r="A1528" s="1" t="s">
        <v>16932</v>
      </c>
      <c r="B1528" s="1" t="s">
        <v>12292</v>
      </c>
      <c r="C1528" s="1" t="s">
        <v>101</v>
      </c>
      <c r="D1528" s="1" t="s">
        <v>12822</v>
      </c>
      <c r="E1528" s="1" t="s">
        <v>803</v>
      </c>
      <c r="F1528" s="1" t="s">
        <v>16933</v>
      </c>
      <c r="G1528">
        <v>289548</v>
      </c>
      <c r="H1528">
        <v>0</v>
      </c>
      <c r="I1528" s="1" t="s">
        <v>11063</v>
      </c>
      <c r="J1528" s="11">
        <v>44729.706458333334</v>
      </c>
      <c r="K1528" s="1" t="s">
        <v>804</v>
      </c>
      <c r="L1528" s="1">
        <v>0.43099999999999999</v>
      </c>
      <c r="M1528" s="1">
        <v>0.87</v>
      </c>
      <c r="N1528">
        <v>4</v>
      </c>
      <c r="O1528" s="1">
        <v>-2.4990000000000001</v>
      </c>
      <c r="P1528">
        <v>0</v>
      </c>
      <c r="Q1528" s="1">
        <v>0.69599999999999995</v>
      </c>
      <c r="R1528" s="1">
        <v>0.53700000000000003</v>
      </c>
      <c r="S1528" s="1">
        <v>0</v>
      </c>
      <c r="T1528" s="1">
        <v>0.83299999999999996</v>
      </c>
      <c r="U1528" s="1">
        <v>0.38200000000000001</v>
      </c>
      <c r="V1528" s="1">
        <v>155.02799999999999</v>
      </c>
      <c r="W1528">
        <v>4</v>
      </c>
    </row>
    <row r="1529" spans="1:23" x14ac:dyDescent="0.25">
      <c r="A1529" s="1" t="s">
        <v>16934</v>
      </c>
      <c r="B1529" s="1" t="s">
        <v>12057</v>
      </c>
      <c r="C1529" s="1" t="s">
        <v>4940</v>
      </c>
      <c r="D1529" s="1" t="s">
        <v>6678</v>
      </c>
      <c r="E1529" s="1" t="s">
        <v>587</v>
      </c>
      <c r="F1529" s="1" t="s">
        <v>13269</v>
      </c>
      <c r="G1529">
        <v>267200</v>
      </c>
      <c r="H1529">
        <v>58</v>
      </c>
      <c r="I1529" s="1" t="s">
        <v>11063</v>
      </c>
      <c r="J1529" s="11">
        <v>44729.706458333334</v>
      </c>
      <c r="K1529" s="1" t="s">
        <v>588</v>
      </c>
      <c r="L1529" s="1">
        <v>0.35199999999999998</v>
      </c>
      <c r="M1529" s="1">
        <v>0.79400000000000004</v>
      </c>
      <c r="N1529">
        <v>0</v>
      </c>
      <c r="O1529" s="1">
        <v>-4.5839999999999996</v>
      </c>
      <c r="P1529">
        <v>0</v>
      </c>
      <c r="Q1529" s="1">
        <v>0.501</v>
      </c>
      <c r="R1529" s="1">
        <v>0.16800000000000001</v>
      </c>
      <c r="S1529" s="1">
        <v>0.151</v>
      </c>
      <c r="T1529" s="1">
        <v>0.109</v>
      </c>
      <c r="U1529" s="1">
        <v>0.155</v>
      </c>
      <c r="V1529" s="1">
        <v>149.953</v>
      </c>
      <c r="W1529">
        <v>4</v>
      </c>
    </row>
    <row r="1530" spans="1:23" x14ac:dyDescent="0.25">
      <c r="A1530" s="1" t="s">
        <v>16935</v>
      </c>
      <c r="B1530" s="1" t="s">
        <v>16936</v>
      </c>
      <c r="C1530" s="1" t="s">
        <v>4941</v>
      </c>
      <c r="D1530" s="1" t="s">
        <v>16937</v>
      </c>
      <c r="E1530" s="1" t="s">
        <v>4942</v>
      </c>
      <c r="F1530" s="1" t="s">
        <v>16938</v>
      </c>
      <c r="G1530">
        <v>311211</v>
      </c>
      <c r="H1530">
        <v>26</v>
      </c>
      <c r="I1530" s="1" t="s">
        <v>11063</v>
      </c>
      <c r="J1530" s="11">
        <v>44729.706458333334</v>
      </c>
      <c r="K1530" s="1" t="s">
        <v>4943</v>
      </c>
      <c r="L1530" s="1">
        <v>0.73899999999999999</v>
      </c>
      <c r="M1530" s="1">
        <v>0.95299999999999996</v>
      </c>
      <c r="N1530">
        <v>11</v>
      </c>
      <c r="O1530" s="1">
        <v>-2.6240000000000001</v>
      </c>
      <c r="P1530">
        <v>1</v>
      </c>
      <c r="Q1530" s="1">
        <v>0.13300000000000001</v>
      </c>
      <c r="R1530" s="1">
        <v>0.80100000000000005</v>
      </c>
      <c r="S1530" s="1">
        <v>0.104</v>
      </c>
      <c r="T1530" s="1">
        <v>0.623</v>
      </c>
      <c r="U1530" s="1">
        <v>0.51600000000000001</v>
      </c>
      <c r="V1530" s="1">
        <v>127.98699999999999</v>
      </c>
      <c r="W1530">
        <v>4</v>
      </c>
    </row>
    <row r="1531" spans="1:23" x14ac:dyDescent="0.25">
      <c r="A1531" s="1" t="s">
        <v>16939</v>
      </c>
      <c r="B1531" s="1" t="s">
        <v>12116</v>
      </c>
      <c r="C1531" s="1" t="s">
        <v>640</v>
      </c>
      <c r="D1531" s="1" t="s">
        <v>16940</v>
      </c>
      <c r="E1531" s="1" t="s">
        <v>641</v>
      </c>
      <c r="F1531" s="1" t="s">
        <v>16941</v>
      </c>
      <c r="G1531">
        <v>170625</v>
      </c>
      <c r="H1531">
        <v>67</v>
      </c>
      <c r="I1531" s="1" t="s">
        <v>11063</v>
      </c>
      <c r="J1531" s="11">
        <v>44729.706458333334</v>
      </c>
      <c r="K1531" s="1" t="s">
        <v>642</v>
      </c>
      <c r="L1531" s="1">
        <v>0.61399999999999999</v>
      </c>
      <c r="M1531" s="1">
        <v>0.97199999999999998</v>
      </c>
      <c r="N1531">
        <v>5</v>
      </c>
      <c r="O1531" s="1">
        <v>-3.927</v>
      </c>
      <c r="P1531">
        <v>0</v>
      </c>
      <c r="Q1531" s="1">
        <v>0.88</v>
      </c>
      <c r="R1531" s="1">
        <v>0.125</v>
      </c>
      <c r="S1531" s="1">
        <v>0.186</v>
      </c>
      <c r="T1531" s="1">
        <v>0.32800000000000001</v>
      </c>
      <c r="U1531" s="1">
        <v>0.41099999999999998</v>
      </c>
      <c r="V1531" s="1">
        <v>127.96599999999999</v>
      </c>
      <c r="W1531">
        <v>4</v>
      </c>
    </row>
    <row r="1532" spans="1:23" x14ac:dyDescent="0.25">
      <c r="A1532" s="1" t="s">
        <v>12136</v>
      </c>
      <c r="B1532" s="1" t="s">
        <v>12137</v>
      </c>
      <c r="C1532" s="1" t="s">
        <v>660</v>
      </c>
      <c r="D1532" s="1" t="s">
        <v>6527</v>
      </c>
      <c r="E1532" s="1" t="s">
        <v>661</v>
      </c>
      <c r="F1532" s="1" t="s">
        <v>15624</v>
      </c>
      <c r="G1532">
        <v>179600</v>
      </c>
      <c r="H1532">
        <v>1</v>
      </c>
      <c r="I1532" s="1" t="s">
        <v>11063</v>
      </c>
      <c r="J1532" s="11">
        <v>44729.706458333334</v>
      </c>
      <c r="K1532" s="1" t="s">
        <v>600</v>
      </c>
      <c r="L1532" s="1">
        <v>0.56699999999999995</v>
      </c>
      <c r="M1532" s="1">
        <v>0.79100000000000004</v>
      </c>
      <c r="N1532">
        <v>5</v>
      </c>
      <c r="O1532" s="1">
        <v>-4.6310000000000002</v>
      </c>
      <c r="P1532">
        <v>0</v>
      </c>
      <c r="Q1532" s="1">
        <v>0.77200000000000002</v>
      </c>
      <c r="R1532" s="1">
        <v>0.622</v>
      </c>
      <c r="S1532" s="1">
        <v>0.11700000000000001</v>
      </c>
      <c r="T1532" s="1">
        <v>0.112</v>
      </c>
      <c r="U1532" s="1">
        <v>0.16</v>
      </c>
      <c r="V1532" s="1">
        <v>149.90299999999999</v>
      </c>
      <c r="W1532">
        <v>4</v>
      </c>
    </row>
    <row r="1533" spans="1:23" x14ac:dyDescent="0.25">
      <c r="A1533" s="1" t="s">
        <v>16942</v>
      </c>
      <c r="B1533" s="1" t="s">
        <v>14785</v>
      </c>
      <c r="C1533" s="1" t="s">
        <v>3068</v>
      </c>
      <c r="D1533" s="1" t="s">
        <v>3068</v>
      </c>
      <c r="E1533" s="1" t="s">
        <v>3069</v>
      </c>
      <c r="F1533" s="1" t="s">
        <v>15749</v>
      </c>
      <c r="G1533">
        <v>180842</v>
      </c>
      <c r="H1533">
        <v>0</v>
      </c>
      <c r="I1533" s="1" t="s">
        <v>11063</v>
      </c>
      <c r="J1533" s="11">
        <v>44729.706458333334</v>
      </c>
      <c r="K1533" s="1" t="s">
        <v>3070</v>
      </c>
      <c r="L1533" s="1">
        <v>0.56399999999999995</v>
      </c>
      <c r="M1533" s="1">
        <v>0.72299999999999998</v>
      </c>
      <c r="N1533">
        <v>2</v>
      </c>
      <c r="O1533" s="1">
        <v>-6.9829999999999997</v>
      </c>
      <c r="P1533">
        <v>0</v>
      </c>
      <c r="Q1533" s="1">
        <v>0.70199999999999996</v>
      </c>
      <c r="R1533" s="1">
        <v>0.74099999999999999</v>
      </c>
      <c r="S1533" s="1">
        <v>0.67200000000000004</v>
      </c>
      <c r="T1533" s="1">
        <v>0.54300000000000004</v>
      </c>
      <c r="U1533" s="1">
        <v>0.46600000000000003</v>
      </c>
      <c r="V1533" s="1">
        <v>121.97</v>
      </c>
      <c r="W1533">
        <v>4</v>
      </c>
    </row>
    <row r="1534" spans="1:23" x14ac:dyDescent="0.25">
      <c r="A1534" s="1" t="s">
        <v>16943</v>
      </c>
      <c r="B1534" s="1" t="s">
        <v>16944</v>
      </c>
      <c r="C1534" s="1" t="s">
        <v>4944</v>
      </c>
      <c r="D1534" s="1" t="s">
        <v>16945</v>
      </c>
      <c r="E1534" s="1" t="s">
        <v>4945</v>
      </c>
      <c r="F1534" s="1" t="s">
        <v>16946</v>
      </c>
      <c r="G1534">
        <v>239538</v>
      </c>
      <c r="H1534">
        <v>49</v>
      </c>
      <c r="I1534" s="1" t="s">
        <v>11063</v>
      </c>
      <c r="J1534" s="11">
        <v>44729.706458333334</v>
      </c>
      <c r="K1534" s="1" t="s">
        <v>4946</v>
      </c>
      <c r="L1534" s="1">
        <v>0.48899999999999999</v>
      </c>
      <c r="M1534" s="1">
        <v>0.14199999999999999</v>
      </c>
      <c r="N1534">
        <v>2</v>
      </c>
      <c r="O1534" s="1">
        <v>-13.276999999999999</v>
      </c>
      <c r="P1534">
        <v>0</v>
      </c>
      <c r="Q1534" s="1">
        <v>0.378</v>
      </c>
      <c r="R1534" s="1">
        <v>0.92500000000000004</v>
      </c>
      <c r="S1534" s="1">
        <v>0.47599999999999998</v>
      </c>
      <c r="T1534" s="1">
        <v>0.28799999999999998</v>
      </c>
      <c r="U1534" s="1">
        <v>0.13800000000000001</v>
      </c>
      <c r="V1534" s="1">
        <v>112.191</v>
      </c>
      <c r="W1534">
        <v>3</v>
      </c>
    </row>
    <row r="1535" spans="1:23" x14ac:dyDescent="0.25">
      <c r="A1535" s="1" t="s">
        <v>16947</v>
      </c>
      <c r="B1535" s="1" t="s">
        <v>16948</v>
      </c>
      <c r="C1535" s="1" t="s">
        <v>4947</v>
      </c>
      <c r="D1535" s="1" t="s">
        <v>4947</v>
      </c>
      <c r="E1535" s="1" t="s">
        <v>4948</v>
      </c>
      <c r="F1535" s="1" t="s">
        <v>16949</v>
      </c>
      <c r="G1535">
        <v>187252</v>
      </c>
      <c r="H1535">
        <v>33</v>
      </c>
      <c r="I1535" s="1" t="s">
        <v>11063</v>
      </c>
      <c r="J1535" s="11">
        <v>44729.706458333334</v>
      </c>
      <c r="K1535" s="1" t="s">
        <v>4949</v>
      </c>
      <c r="L1535" s="1">
        <v>0.496</v>
      </c>
      <c r="M1535" s="1">
        <v>0.83499999999999996</v>
      </c>
      <c r="N1535">
        <v>0</v>
      </c>
      <c r="O1535" s="1">
        <v>-3.907</v>
      </c>
      <c r="P1535">
        <v>0</v>
      </c>
      <c r="Q1535" s="1">
        <v>0.441</v>
      </c>
      <c r="R1535" s="1">
        <v>0.22</v>
      </c>
      <c r="S1535" s="1">
        <v>0</v>
      </c>
      <c r="T1535" s="1">
        <v>0.17899999999999999</v>
      </c>
      <c r="U1535" s="1">
        <v>0.34899999999999998</v>
      </c>
      <c r="V1535" s="1">
        <v>90.992999999999995</v>
      </c>
      <c r="W1535">
        <v>4</v>
      </c>
    </row>
    <row r="1536" spans="1:23" x14ac:dyDescent="0.25">
      <c r="A1536" s="1" t="s">
        <v>16950</v>
      </c>
      <c r="B1536" s="1" t="s">
        <v>16951</v>
      </c>
      <c r="C1536" s="1" t="s">
        <v>4950</v>
      </c>
      <c r="D1536" s="1" t="s">
        <v>16952</v>
      </c>
      <c r="E1536" s="1" t="s">
        <v>4951</v>
      </c>
      <c r="F1536" s="1" t="s">
        <v>13520</v>
      </c>
      <c r="G1536">
        <v>195600</v>
      </c>
      <c r="H1536">
        <v>32</v>
      </c>
      <c r="I1536" s="1" t="s">
        <v>11063</v>
      </c>
      <c r="J1536" s="11">
        <v>44729.706458333334</v>
      </c>
      <c r="K1536" s="1" t="s">
        <v>244</v>
      </c>
      <c r="L1536" s="1">
        <v>0.66800000000000004</v>
      </c>
      <c r="M1536" s="1">
        <v>0.83499999999999996</v>
      </c>
      <c r="N1536">
        <v>10</v>
      </c>
      <c r="O1536" s="1">
        <v>-5.423</v>
      </c>
      <c r="P1536">
        <v>0</v>
      </c>
      <c r="Q1536" s="1">
        <v>0.78300000000000003</v>
      </c>
      <c r="R1536" s="1">
        <v>0.54300000000000004</v>
      </c>
      <c r="S1536" s="1">
        <v>0.78600000000000003</v>
      </c>
      <c r="T1536" s="1">
        <v>0.68700000000000006</v>
      </c>
      <c r="U1536" s="1">
        <v>0.52800000000000002</v>
      </c>
      <c r="V1536" s="1">
        <v>150.01</v>
      </c>
      <c r="W1536">
        <v>4</v>
      </c>
    </row>
    <row r="1537" spans="1:23" x14ac:dyDescent="0.25">
      <c r="A1537" s="1" t="s">
        <v>16953</v>
      </c>
      <c r="B1537" s="1" t="s">
        <v>16954</v>
      </c>
      <c r="C1537" s="1" t="s">
        <v>4952</v>
      </c>
      <c r="D1537" s="1" t="s">
        <v>4952</v>
      </c>
      <c r="E1537" s="1" t="s">
        <v>4953</v>
      </c>
      <c r="F1537" s="1" t="s">
        <v>16955</v>
      </c>
      <c r="G1537">
        <v>246857</v>
      </c>
      <c r="H1537">
        <v>30</v>
      </c>
      <c r="I1537" s="1" t="s">
        <v>11063</v>
      </c>
      <c r="J1537" s="11">
        <v>44729.706458333334</v>
      </c>
      <c r="K1537" s="1" t="s">
        <v>4954</v>
      </c>
      <c r="L1537" s="1">
        <v>0.35199999999999998</v>
      </c>
      <c r="M1537" s="1">
        <v>0.69799999999999995</v>
      </c>
      <c r="N1537">
        <v>7</v>
      </c>
      <c r="O1537" s="1">
        <v>-8.4700000000000006</v>
      </c>
      <c r="P1537">
        <v>1</v>
      </c>
      <c r="Q1537" s="1">
        <v>0.14599999999999999</v>
      </c>
      <c r="R1537" s="1">
        <v>0.77</v>
      </c>
      <c r="S1537" s="1">
        <v>0.96299999999999997</v>
      </c>
      <c r="T1537" s="1">
        <v>0.878</v>
      </c>
      <c r="U1537" s="1">
        <v>0.748</v>
      </c>
      <c r="V1537" s="1">
        <v>135.87100000000001</v>
      </c>
      <c r="W1537">
        <v>4</v>
      </c>
    </row>
    <row r="1538" spans="1:23" x14ac:dyDescent="0.25">
      <c r="A1538" s="1" t="s">
        <v>16956</v>
      </c>
      <c r="B1538" s="1" t="s">
        <v>16957</v>
      </c>
      <c r="C1538" s="1" t="s">
        <v>4955</v>
      </c>
      <c r="D1538" s="1" t="s">
        <v>16958</v>
      </c>
      <c r="E1538" s="1" t="s">
        <v>4956</v>
      </c>
      <c r="F1538" s="1" t="s">
        <v>13979</v>
      </c>
      <c r="G1538">
        <v>341475</v>
      </c>
      <c r="H1538">
        <v>48</v>
      </c>
      <c r="I1538" s="1" t="s">
        <v>11063</v>
      </c>
      <c r="J1538" s="11">
        <v>44729.706458333334</v>
      </c>
      <c r="K1538" s="1" t="s">
        <v>4957</v>
      </c>
      <c r="L1538" s="1">
        <v>0.45800000000000002</v>
      </c>
      <c r="M1538" s="1">
        <v>0.73</v>
      </c>
      <c r="N1538">
        <v>0</v>
      </c>
      <c r="O1538" s="1">
        <v>-5.5819999999999999</v>
      </c>
      <c r="P1538">
        <v>1</v>
      </c>
      <c r="Q1538" s="1">
        <v>0.40600000000000003</v>
      </c>
      <c r="R1538" s="1">
        <v>0.23699999999999999</v>
      </c>
      <c r="S1538" s="1">
        <v>0.59</v>
      </c>
      <c r="T1538" s="1">
        <v>0.223</v>
      </c>
      <c r="U1538" s="1">
        <v>0.85399999999999998</v>
      </c>
      <c r="V1538" s="1">
        <v>134.96799999999999</v>
      </c>
      <c r="W1538">
        <v>4</v>
      </c>
    </row>
    <row r="1539" spans="1:23" x14ac:dyDescent="0.25">
      <c r="A1539" s="1" t="s">
        <v>16959</v>
      </c>
      <c r="B1539" s="1" t="s">
        <v>16960</v>
      </c>
      <c r="C1539" s="1" t="s">
        <v>4958</v>
      </c>
      <c r="D1539" s="1" t="s">
        <v>4958</v>
      </c>
      <c r="E1539" s="1" t="s">
        <v>4959</v>
      </c>
      <c r="F1539" s="1" t="s">
        <v>13677</v>
      </c>
      <c r="G1539">
        <v>209538</v>
      </c>
      <c r="H1539">
        <v>40</v>
      </c>
      <c r="I1539" s="1" t="s">
        <v>11063</v>
      </c>
      <c r="J1539" s="11">
        <v>44729.706458333334</v>
      </c>
      <c r="K1539" s="1" t="s">
        <v>4960</v>
      </c>
      <c r="L1539" s="1">
        <v>0.73599999999999999</v>
      </c>
      <c r="M1539" s="1">
        <v>0.89100000000000001</v>
      </c>
      <c r="N1539">
        <v>0</v>
      </c>
      <c r="O1539" s="1">
        <v>-4.3419999999999996</v>
      </c>
      <c r="P1539">
        <v>1</v>
      </c>
      <c r="Q1539" s="1">
        <v>0.58599999999999997</v>
      </c>
      <c r="R1539" s="1">
        <v>0.374</v>
      </c>
      <c r="S1539" s="1">
        <v>0.36799999999999999</v>
      </c>
      <c r="T1539" s="1">
        <v>0.34699999999999998</v>
      </c>
      <c r="U1539" s="1">
        <v>0.72599999999999998</v>
      </c>
      <c r="V1539" s="1">
        <v>130.05500000000001</v>
      </c>
      <c r="W1539">
        <v>4</v>
      </c>
    </row>
    <row r="1540" spans="1:23" x14ac:dyDescent="0.25">
      <c r="A1540" s="1" t="s">
        <v>16961</v>
      </c>
      <c r="B1540" s="1" t="s">
        <v>16962</v>
      </c>
      <c r="C1540" s="1" t="s">
        <v>3747</v>
      </c>
      <c r="D1540" s="1" t="s">
        <v>3747</v>
      </c>
      <c r="E1540" s="1" t="s">
        <v>4961</v>
      </c>
      <c r="F1540" s="1" t="s">
        <v>11627</v>
      </c>
      <c r="G1540">
        <v>235200</v>
      </c>
      <c r="H1540">
        <v>46</v>
      </c>
      <c r="I1540" s="1" t="s">
        <v>11063</v>
      </c>
      <c r="J1540" s="11">
        <v>44729.706458333334</v>
      </c>
      <c r="K1540" s="1" t="s">
        <v>4962</v>
      </c>
      <c r="L1540" s="1">
        <v>0.505</v>
      </c>
      <c r="M1540" s="1">
        <v>0.84799999999999998</v>
      </c>
      <c r="N1540">
        <v>6</v>
      </c>
      <c r="O1540" s="1">
        <v>-2.1739999999999999</v>
      </c>
      <c r="P1540">
        <v>1</v>
      </c>
      <c r="Q1540" s="1">
        <v>0.82299999999999995</v>
      </c>
      <c r="R1540" s="1">
        <v>0.16800000000000001</v>
      </c>
      <c r="S1540" s="1">
        <v>0.121</v>
      </c>
      <c r="T1540" s="1">
        <v>0.11600000000000001</v>
      </c>
      <c r="U1540" s="1">
        <v>0.28100000000000003</v>
      </c>
      <c r="V1540" s="1">
        <v>150.04</v>
      </c>
      <c r="W1540">
        <v>4</v>
      </c>
    </row>
    <row r="1541" spans="1:23" x14ac:dyDescent="0.25">
      <c r="A1541" s="1" t="s">
        <v>16963</v>
      </c>
      <c r="B1541" s="1" t="s">
        <v>16964</v>
      </c>
      <c r="C1541" s="1" t="s">
        <v>4963</v>
      </c>
      <c r="D1541" s="1" t="s">
        <v>16965</v>
      </c>
      <c r="E1541" s="1" t="s">
        <v>4964</v>
      </c>
      <c r="F1541" s="1" t="s">
        <v>14585</v>
      </c>
      <c r="G1541">
        <v>285860</v>
      </c>
      <c r="H1541">
        <v>44</v>
      </c>
      <c r="I1541" s="1" t="s">
        <v>11063</v>
      </c>
      <c r="J1541" s="11">
        <v>44729.706458333334</v>
      </c>
      <c r="K1541" s="1" t="s">
        <v>4965</v>
      </c>
      <c r="L1541" s="1">
        <v>0.66400000000000003</v>
      </c>
      <c r="M1541" s="1">
        <v>0.95299999999999996</v>
      </c>
      <c r="N1541">
        <v>9</v>
      </c>
      <c r="O1541" s="1">
        <v>-3.794</v>
      </c>
      <c r="P1541">
        <v>1</v>
      </c>
      <c r="Q1541" s="1">
        <v>0.249</v>
      </c>
      <c r="R1541" s="1">
        <v>0.96099999999999997</v>
      </c>
      <c r="S1541" s="1">
        <v>0.66500000000000004</v>
      </c>
      <c r="T1541" s="1">
        <v>0.26300000000000001</v>
      </c>
      <c r="U1541" s="1">
        <v>0.21</v>
      </c>
      <c r="V1541" s="1">
        <v>125.679</v>
      </c>
      <c r="W1541">
        <v>4</v>
      </c>
    </row>
    <row r="1542" spans="1:23" x14ac:dyDescent="0.25">
      <c r="A1542" s="1" t="s">
        <v>16966</v>
      </c>
      <c r="B1542" s="1" t="s">
        <v>16967</v>
      </c>
      <c r="C1542" s="1" t="s">
        <v>4966</v>
      </c>
      <c r="D1542" s="1" t="s">
        <v>16968</v>
      </c>
      <c r="E1542" s="1" t="s">
        <v>4967</v>
      </c>
      <c r="F1542" s="1" t="s">
        <v>11577</v>
      </c>
      <c r="G1542">
        <v>205423</v>
      </c>
      <c r="H1542">
        <v>38</v>
      </c>
      <c r="I1542" s="1" t="s">
        <v>11063</v>
      </c>
      <c r="J1542" s="11">
        <v>44729.706458333334</v>
      </c>
      <c r="K1542" s="1" t="s">
        <v>50</v>
      </c>
      <c r="L1542" s="1">
        <v>0.438</v>
      </c>
      <c r="M1542" s="1">
        <v>0.53300000000000003</v>
      </c>
      <c r="N1542">
        <v>0</v>
      </c>
      <c r="O1542" s="1">
        <v>-7.43</v>
      </c>
      <c r="P1542">
        <v>0</v>
      </c>
      <c r="Q1542" s="1">
        <v>0.2</v>
      </c>
      <c r="R1542" s="1">
        <v>0.308</v>
      </c>
      <c r="S1542" s="1">
        <v>0.80100000000000005</v>
      </c>
      <c r="T1542" s="1">
        <v>0.17299999999999999</v>
      </c>
      <c r="U1542" s="1">
        <v>0.33500000000000002</v>
      </c>
      <c r="V1542" s="1">
        <v>176.70500000000001</v>
      </c>
      <c r="W1542">
        <v>3</v>
      </c>
    </row>
    <row r="1543" spans="1:23" x14ac:dyDescent="0.25">
      <c r="A1543" s="1" t="s">
        <v>16969</v>
      </c>
      <c r="B1543" s="1" t="s">
        <v>16944</v>
      </c>
      <c r="C1543" s="1" t="s">
        <v>4968</v>
      </c>
      <c r="D1543" s="1" t="s">
        <v>4968</v>
      </c>
      <c r="E1543" s="1" t="s">
        <v>4945</v>
      </c>
      <c r="F1543" s="1" t="s">
        <v>13459</v>
      </c>
      <c r="G1543">
        <v>189644</v>
      </c>
      <c r="H1543">
        <v>58</v>
      </c>
      <c r="I1543" s="1" t="s">
        <v>11063</v>
      </c>
      <c r="J1543" s="11">
        <v>44729.706458333334</v>
      </c>
      <c r="K1543" s="1" t="s">
        <v>4946</v>
      </c>
      <c r="L1543" s="1">
        <v>0.48599999999999999</v>
      </c>
      <c r="M1543" s="1">
        <v>0.67100000000000004</v>
      </c>
      <c r="N1543">
        <v>6</v>
      </c>
      <c r="O1543" s="1">
        <v>-9.14</v>
      </c>
      <c r="P1543">
        <v>0</v>
      </c>
      <c r="Q1543" s="1">
        <v>0.313</v>
      </c>
      <c r="R1543" s="1">
        <v>0.161</v>
      </c>
      <c r="S1543" s="1">
        <v>0.59799999999999998</v>
      </c>
      <c r="T1543" s="1">
        <v>0.82499999999999996</v>
      </c>
      <c r="U1543" s="1">
        <v>0.17</v>
      </c>
      <c r="V1543" s="1">
        <v>102.044</v>
      </c>
      <c r="W1543">
        <v>4</v>
      </c>
    </row>
    <row r="1544" spans="1:23" x14ac:dyDescent="0.25">
      <c r="A1544" s="1" t="s">
        <v>16970</v>
      </c>
      <c r="B1544" s="1" t="s">
        <v>16971</v>
      </c>
      <c r="C1544" s="1" t="s">
        <v>2357</v>
      </c>
      <c r="D1544" s="1" t="s">
        <v>2357</v>
      </c>
      <c r="E1544" s="1" t="s">
        <v>4969</v>
      </c>
      <c r="F1544" s="1" t="s">
        <v>16972</v>
      </c>
      <c r="G1544">
        <v>230783</v>
      </c>
      <c r="H1544">
        <v>34</v>
      </c>
      <c r="I1544" s="1" t="s">
        <v>11063</v>
      </c>
      <c r="J1544" s="11">
        <v>44729.706458333334</v>
      </c>
      <c r="K1544" s="1" t="s">
        <v>50</v>
      </c>
      <c r="L1544" s="1">
        <v>0.46899999999999997</v>
      </c>
      <c r="M1544" s="1">
        <v>0.45300000000000001</v>
      </c>
      <c r="N1544">
        <v>10</v>
      </c>
      <c r="O1544" s="1">
        <v>-11.058999999999999</v>
      </c>
      <c r="P1544">
        <v>0</v>
      </c>
      <c r="Q1544" s="1">
        <v>0.42199999999999999</v>
      </c>
      <c r="R1544" s="1">
        <v>0.70899999999999996</v>
      </c>
      <c r="S1544" s="1">
        <v>0.10199999999999999</v>
      </c>
      <c r="T1544" s="1">
        <v>0.106</v>
      </c>
      <c r="U1544" s="1">
        <v>0.13900000000000001</v>
      </c>
      <c r="V1544" s="1">
        <v>75.132999999999996</v>
      </c>
      <c r="W1544">
        <v>4</v>
      </c>
    </row>
    <row r="1545" spans="1:23" x14ac:dyDescent="0.25">
      <c r="A1545" s="1" t="s">
        <v>16973</v>
      </c>
      <c r="B1545" s="1" t="s">
        <v>16974</v>
      </c>
      <c r="C1545" s="1" t="s">
        <v>4970</v>
      </c>
      <c r="D1545" s="1" t="s">
        <v>4970</v>
      </c>
      <c r="E1545" s="1" t="s">
        <v>4971</v>
      </c>
      <c r="F1545" s="1" t="s">
        <v>16975</v>
      </c>
      <c r="G1545">
        <v>176646</v>
      </c>
      <c r="H1545">
        <v>46</v>
      </c>
      <c r="I1545" s="1" t="s">
        <v>11063</v>
      </c>
      <c r="J1545" s="11">
        <v>44729.706458333334</v>
      </c>
      <c r="K1545" s="1" t="s">
        <v>4972</v>
      </c>
      <c r="L1545" s="1">
        <v>0.753</v>
      </c>
      <c r="M1545" s="1">
        <v>0.69</v>
      </c>
      <c r="N1545">
        <v>11</v>
      </c>
      <c r="O1545" s="1">
        <v>-8.3330000000000002</v>
      </c>
      <c r="P1545">
        <v>1</v>
      </c>
      <c r="Q1545" s="1">
        <v>0.55500000000000005</v>
      </c>
      <c r="R1545" s="1">
        <v>0.193</v>
      </c>
      <c r="S1545" s="1">
        <v>0.11799999999999999</v>
      </c>
      <c r="T1545" s="1">
        <v>0.17599999999999999</v>
      </c>
      <c r="U1545" s="1">
        <v>0.63100000000000001</v>
      </c>
      <c r="V1545" s="1">
        <v>122.992</v>
      </c>
      <c r="W1545">
        <v>4</v>
      </c>
    </row>
    <row r="1546" spans="1:23" x14ac:dyDescent="0.25">
      <c r="A1546" s="1" t="s">
        <v>16976</v>
      </c>
      <c r="B1546" s="1" t="s">
        <v>16977</v>
      </c>
      <c r="C1546" s="1" t="s">
        <v>2510</v>
      </c>
      <c r="D1546" s="1" t="s">
        <v>2510</v>
      </c>
      <c r="E1546" s="1" t="s">
        <v>4973</v>
      </c>
      <c r="F1546" s="1" t="s">
        <v>13302</v>
      </c>
      <c r="G1546">
        <v>217347</v>
      </c>
      <c r="H1546">
        <v>45</v>
      </c>
      <c r="I1546" s="1" t="s">
        <v>11063</v>
      </c>
      <c r="J1546" s="11">
        <v>44729.706458333334</v>
      </c>
      <c r="K1546" s="1" t="s">
        <v>4974</v>
      </c>
      <c r="L1546" s="1">
        <v>0.46500000000000002</v>
      </c>
      <c r="M1546" s="1">
        <v>0.69</v>
      </c>
      <c r="N1546">
        <v>5</v>
      </c>
      <c r="O1546" s="1">
        <v>-5.1710000000000003</v>
      </c>
      <c r="P1546">
        <v>1</v>
      </c>
      <c r="Q1546" s="1">
        <v>0.39400000000000002</v>
      </c>
      <c r="R1546" s="1">
        <v>0.51500000000000001</v>
      </c>
      <c r="S1546" s="1">
        <v>0.90400000000000003</v>
      </c>
      <c r="T1546" s="1">
        <v>0.112</v>
      </c>
      <c r="U1546" s="1">
        <v>0.28399999999999997</v>
      </c>
      <c r="V1546" s="1">
        <v>145.01300000000001</v>
      </c>
      <c r="W1546">
        <v>4</v>
      </c>
    </row>
    <row r="1547" spans="1:23" x14ac:dyDescent="0.25">
      <c r="A1547" s="1" t="s">
        <v>16978</v>
      </c>
      <c r="B1547" s="1" t="s">
        <v>16979</v>
      </c>
      <c r="C1547" s="1" t="s">
        <v>4975</v>
      </c>
      <c r="D1547" s="1" t="s">
        <v>16980</v>
      </c>
      <c r="E1547" s="1" t="s">
        <v>4976</v>
      </c>
      <c r="F1547" s="1" t="s">
        <v>16981</v>
      </c>
      <c r="G1547">
        <v>214853</v>
      </c>
      <c r="H1547">
        <v>37</v>
      </c>
      <c r="I1547" s="1" t="s">
        <v>11063</v>
      </c>
      <c r="J1547" s="11">
        <v>44729.706458333334</v>
      </c>
      <c r="K1547" s="1" t="s">
        <v>4977</v>
      </c>
      <c r="L1547" s="1">
        <v>0.61499999999999999</v>
      </c>
      <c r="M1547" s="1">
        <v>0.65500000000000003</v>
      </c>
      <c r="N1547">
        <v>6</v>
      </c>
      <c r="O1547" s="1">
        <v>-6.31</v>
      </c>
      <c r="P1547">
        <v>1</v>
      </c>
      <c r="Q1547" s="1">
        <v>0.33800000000000002</v>
      </c>
      <c r="R1547" s="1">
        <v>0.184</v>
      </c>
      <c r="S1547" s="1">
        <v>0</v>
      </c>
      <c r="T1547" s="1">
        <v>0.11</v>
      </c>
      <c r="U1547" s="1">
        <v>0.20899999999999999</v>
      </c>
      <c r="V1547" s="1">
        <v>132.029</v>
      </c>
      <c r="W1547">
        <v>4</v>
      </c>
    </row>
    <row r="1548" spans="1:23" x14ac:dyDescent="0.25">
      <c r="A1548" s="1" t="s">
        <v>16982</v>
      </c>
      <c r="B1548" s="1" t="s">
        <v>13483</v>
      </c>
      <c r="C1548" s="1" t="s">
        <v>4978</v>
      </c>
      <c r="D1548" s="1" t="s">
        <v>4978</v>
      </c>
      <c r="E1548" s="1" t="s">
        <v>1948</v>
      </c>
      <c r="F1548" s="1" t="s">
        <v>16340</v>
      </c>
      <c r="G1548">
        <v>231818</v>
      </c>
      <c r="H1548">
        <v>41</v>
      </c>
      <c r="I1548" s="1" t="s">
        <v>11063</v>
      </c>
      <c r="J1548" s="11">
        <v>44729.706458333334</v>
      </c>
      <c r="K1548" s="1" t="s">
        <v>1949</v>
      </c>
      <c r="L1548" s="1">
        <v>0.628</v>
      </c>
      <c r="M1548" s="1">
        <v>0.64200000000000002</v>
      </c>
      <c r="N1548">
        <v>4</v>
      </c>
      <c r="O1548" s="1">
        <v>-6.2640000000000002</v>
      </c>
      <c r="P1548">
        <v>0</v>
      </c>
      <c r="Q1548" s="1">
        <v>0.182</v>
      </c>
      <c r="R1548" s="1">
        <v>0.59399999999999997</v>
      </c>
      <c r="S1548" s="1">
        <v>0</v>
      </c>
      <c r="T1548" s="1">
        <v>0.221</v>
      </c>
      <c r="U1548" s="1">
        <v>0.56799999999999995</v>
      </c>
      <c r="V1548" s="1">
        <v>132.101</v>
      </c>
      <c r="W1548">
        <v>4</v>
      </c>
    </row>
    <row r="1549" spans="1:23" x14ac:dyDescent="0.25">
      <c r="A1549" s="1" t="s">
        <v>16983</v>
      </c>
      <c r="B1549" s="1" t="s">
        <v>16984</v>
      </c>
      <c r="C1549" s="1" t="s">
        <v>4979</v>
      </c>
      <c r="D1549" s="1" t="s">
        <v>4979</v>
      </c>
      <c r="E1549" s="1" t="s">
        <v>4980</v>
      </c>
      <c r="F1549" s="1" t="s">
        <v>11763</v>
      </c>
      <c r="G1549">
        <v>184447</v>
      </c>
      <c r="H1549">
        <v>93</v>
      </c>
      <c r="I1549" s="1" t="s">
        <v>11063</v>
      </c>
      <c r="J1549" s="11">
        <v>44729.706458333334</v>
      </c>
      <c r="K1549" s="1" t="s">
        <v>3830</v>
      </c>
      <c r="L1549" s="1">
        <v>0.41</v>
      </c>
      <c r="M1549" s="1">
        <v>0.61099999999999999</v>
      </c>
      <c r="N1549">
        <v>4</v>
      </c>
      <c r="O1549" s="1">
        <v>-8.2710000000000008</v>
      </c>
      <c r="P1549">
        <v>0</v>
      </c>
      <c r="Q1549" s="1">
        <v>0.46700000000000003</v>
      </c>
      <c r="R1549" s="1">
        <v>0.22800000000000001</v>
      </c>
      <c r="S1549" s="1">
        <v>0</v>
      </c>
      <c r="T1549" s="1">
        <v>0.11600000000000001</v>
      </c>
      <c r="U1549" s="1">
        <v>0.89900000000000002</v>
      </c>
      <c r="V1549" s="1">
        <v>185.727</v>
      </c>
      <c r="W1549">
        <v>3</v>
      </c>
    </row>
    <row r="1550" spans="1:23" x14ac:dyDescent="0.25">
      <c r="A1550" s="1" t="s">
        <v>16985</v>
      </c>
      <c r="B1550" s="1" t="s">
        <v>16986</v>
      </c>
      <c r="C1550" s="1" t="s">
        <v>4981</v>
      </c>
      <c r="D1550" s="1" t="s">
        <v>4981</v>
      </c>
      <c r="E1550" s="1" t="s">
        <v>4982</v>
      </c>
      <c r="F1550" s="1" t="s">
        <v>16987</v>
      </c>
      <c r="G1550">
        <v>211200</v>
      </c>
      <c r="H1550">
        <v>44</v>
      </c>
      <c r="I1550" s="1" t="s">
        <v>11063</v>
      </c>
      <c r="J1550" s="11">
        <v>44729.706458333334</v>
      </c>
      <c r="K1550" s="1" t="s">
        <v>4983</v>
      </c>
      <c r="L1550" s="1">
        <v>0.38400000000000001</v>
      </c>
      <c r="M1550" s="1">
        <v>0.80800000000000005</v>
      </c>
      <c r="N1550">
        <v>7</v>
      </c>
      <c r="O1550" s="1">
        <v>-5.2249999999999996</v>
      </c>
      <c r="P1550">
        <v>1</v>
      </c>
      <c r="Q1550" s="1">
        <v>0.39700000000000002</v>
      </c>
      <c r="R1550" s="1">
        <v>0.55800000000000005</v>
      </c>
      <c r="S1550" s="1">
        <v>0.85099999999999998</v>
      </c>
      <c r="T1550" s="1">
        <v>0.11600000000000001</v>
      </c>
      <c r="U1550" s="1">
        <v>0.19500000000000001</v>
      </c>
      <c r="V1550" s="1">
        <v>149.92599999999999</v>
      </c>
      <c r="W1550">
        <v>4</v>
      </c>
    </row>
    <row r="1551" spans="1:23" x14ac:dyDescent="0.25">
      <c r="A1551" s="1" t="s">
        <v>16988</v>
      </c>
      <c r="B1551" s="1" t="s">
        <v>16989</v>
      </c>
      <c r="C1551" s="1" t="s">
        <v>4984</v>
      </c>
      <c r="D1551" s="1" t="s">
        <v>16990</v>
      </c>
      <c r="E1551" s="1" t="s">
        <v>4985</v>
      </c>
      <c r="F1551" s="1" t="s">
        <v>16024</v>
      </c>
      <c r="G1551">
        <v>275342</v>
      </c>
      <c r="H1551">
        <v>43</v>
      </c>
      <c r="I1551" s="1" t="s">
        <v>11063</v>
      </c>
      <c r="J1551" s="11">
        <v>44729.706458333334</v>
      </c>
      <c r="K1551" s="1" t="s">
        <v>4986</v>
      </c>
      <c r="L1551" s="1">
        <v>0.84</v>
      </c>
      <c r="M1551" s="1">
        <v>0.61599999999999999</v>
      </c>
      <c r="N1551">
        <v>2</v>
      </c>
      <c r="O1551" s="1">
        <v>-7.4859999999999998</v>
      </c>
      <c r="P1551">
        <v>0</v>
      </c>
      <c r="Q1551" s="1">
        <v>0.64300000000000002</v>
      </c>
      <c r="R1551" s="1">
        <v>0.60499999999999998</v>
      </c>
      <c r="S1551" s="1">
        <v>0.3</v>
      </c>
      <c r="T1551" s="1">
        <v>0.11600000000000001</v>
      </c>
      <c r="U1551" s="1">
        <v>0.34799999999999998</v>
      </c>
      <c r="V1551" s="1">
        <v>130.03700000000001</v>
      </c>
      <c r="W1551">
        <v>4</v>
      </c>
    </row>
    <row r="1552" spans="1:23" x14ac:dyDescent="0.25">
      <c r="A1552" s="1" t="s">
        <v>16991</v>
      </c>
      <c r="B1552" s="1" t="s">
        <v>16992</v>
      </c>
      <c r="C1552" s="1" t="s">
        <v>4987</v>
      </c>
      <c r="D1552" s="1" t="s">
        <v>16993</v>
      </c>
      <c r="E1552" s="1" t="s">
        <v>4988</v>
      </c>
      <c r="F1552" s="1" t="s">
        <v>16994</v>
      </c>
      <c r="G1552">
        <v>186447</v>
      </c>
      <c r="H1552">
        <v>57</v>
      </c>
      <c r="I1552" s="1" t="s">
        <v>11063</v>
      </c>
      <c r="J1552" s="11">
        <v>44729.706458333334</v>
      </c>
      <c r="K1552" s="1" t="s">
        <v>4989</v>
      </c>
      <c r="L1552" s="1">
        <v>0.70399999999999996</v>
      </c>
      <c r="M1552" s="1">
        <v>0.78400000000000003</v>
      </c>
      <c r="N1552">
        <v>7</v>
      </c>
      <c r="O1552" s="1">
        <v>-4.4630000000000001</v>
      </c>
      <c r="P1552">
        <v>0</v>
      </c>
      <c r="Q1552" s="1">
        <v>0.14199999999999999</v>
      </c>
      <c r="R1552" s="1">
        <v>0.28299999999999997</v>
      </c>
      <c r="S1552" s="1">
        <v>0</v>
      </c>
      <c r="T1552" s="1">
        <v>0.41899999999999998</v>
      </c>
      <c r="U1552" s="1">
        <v>0.65600000000000003</v>
      </c>
      <c r="V1552" s="1">
        <v>100.083</v>
      </c>
      <c r="W1552">
        <v>4</v>
      </c>
    </row>
    <row r="1553" spans="1:23" x14ac:dyDescent="0.25">
      <c r="A1553" s="1" t="s">
        <v>16995</v>
      </c>
      <c r="B1553" s="1" t="s">
        <v>16996</v>
      </c>
      <c r="C1553" s="1" t="s">
        <v>4574</v>
      </c>
      <c r="D1553" s="1" t="s">
        <v>4574</v>
      </c>
      <c r="E1553" s="1" t="s">
        <v>4990</v>
      </c>
      <c r="F1553" s="1" t="s">
        <v>16997</v>
      </c>
      <c r="G1553">
        <v>182306</v>
      </c>
      <c r="H1553">
        <v>76</v>
      </c>
      <c r="I1553" s="1" t="s">
        <v>11063</v>
      </c>
      <c r="J1553" s="11">
        <v>44729.706458333334</v>
      </c>
      <c r="K1553" s="1" t="s">
        <v>4991</v>
      </c>
      <c r="L1553" s="1">
        <v>0.70599999999999996</v>
      </c>
      <c r="M1553" s="1">
        <v>0.751</v>
      </c>
      <c r="N1553">
        <v>9</v>
      </c>
      <c r="O1553" s="1">
        <v>-6.3230000000000004</v>
      </c>
      <c r="P1553">
        <v>1</v>
      </c>
      <c r="Q1553" s="1">
        <v>0.70799999999999996</v>
      </c>
      <c r="R1553" s="1">
        <v>0.17299999999999999</v>
      </c>
      <c r="S1553" s="1">
        <v>0</v>
      </c>
      <c r="T1553" s="1">
        <v>0.16800000000000001</v>
      </c>
      <c r="U1553" s="1">
        <v>0.19500000000000001</v>
      </c>
      <c r="V1553" s="1">
        <v>91.031000000000006</v>
      </c>
      <c r="W1553">
        <v>4</v>
      </c>
    </row>
    <row r="1554" spans="1:23" x14ac:dyDescent="0.25">
      <c r="A1554" s="1" t="s">
        <v>16998</v>
      </c>
      <c r="B1554" s="1" t="s">
        <v>16999</v>
      </c>
      <c r="C1554" s="1" t="s">
        <v>4992</v>
      </c>
      <c r="D1554" s="1" t="s">
        <v>17000</v>
      </c>
      <c r="E1554" s="1" t="s">
        <v>4993</v>
      </c>
      <c r="F1554" s="1" t="s">
        <v>13561</v>
      </c>
      <c r="G1554">
        <v>219400</v>
      </c>
      <c r="H1554">
        <v>49</v>
      </c>
      <c r="I1554" s="1" t="s">
        <v>11063</v>
      </c>
      <c r="J1554" s="11">
        <v>44729.706458333334</v>
      </c>
      <c r="K1554" s="1" t="s">
        <v>4994</v>
      </c>
      <c r="L1554" s="1">
        <v>0.70599999999999996</v>
      </c>
      <c r="M1554" s="1">
        <v>0.80400000000000005</v>
      </c>
      <c r="N1554">
        <v>1</v>
      </c>
      <c r="O1554" s="1">
        <v>-5.3780000000000001</v>
      </c>
      <c r="P1554">
        <v>0</v>
      </c>
      <c r="Q1554" s="1">
        <v>0.60099999999999998</v>
      </c>
      <c r="R1554" s="1">
        <v>0.125</v>
      </c>
      <c r="S1554" s="1">
        <v>0</v>
      </c>
      <c r="T1554" s="1">
        <v>0.33200000000000002</v>
      </c>
      <c r="U1554" s="1">
        <v>0.21099999999999999</v>
      </c>
      <c r="V1554" s="1">
        <v>100.05200000000001</v>
      </c>
      <c r="W1554">
        <v>4</v>
      </c>
    </row>
    <row r="1555" spans="1:23" x14ac:dyDescent="0.25">
      <c r="A1555" s="1" t="s">
        <v>17001</v>
      </c>
      <c r="B1555" s="1" t="s">
        <v>17002</v>
      </c>
      <c r="C1555" s="1" t="s">
        <v>4995</v>
      </c>
      <c r="D1555" s="1" t="s">
        <v>17003</v>
      </c>
      <c r="E1555" s="1" t="s">
        <v>4996</v>
      </c>
      <c r="F1555" s="1" t="s">
        <v>15250</v>
      </c>
      <c r="G1555">
        <v>290823</v>
      </c>
      <c r="H1555">
        <v>43</v>
      </c>
      <c r="I1555" s="1" t="s">
        <v>11063</v>
      </c>
      <c r="J1555" s="11">
        <v>44729.706458333334</v>
      </c>
      <c r="K1555" s="1" t="s">
        <v>4983</v>
      </c>
      <c r="L1555" s="1">
        <v>0.39400000000000002</v>
      </c>
      <c r="M1555" s="1">
        <v>0.745</v>
      </c>
      <c r="N1555">
        <v>8</v>
      </c>
      <c r="O1555" s="1">
        <v>-6.149</v>
      </c>
      <c r="P1555">
        <v>1</v>
      </c>
      <c r="Q1555" s="1">
        <v>0.45100000000000001</v>
      </c>
      <c r="R1555" s="1">
        <v>0.42199999999999999</v>
      </c>
      <c r="S1555" s="1">
        <v>0.872</v>
      </c>
      <c r="T1555" s="1">
        <v>0.98</v>
      </c>
      <c r="U1555" s="1">
        <v>0.193</v>
      </c>
      <c r="V1555" s="1">
        <v>170.017</v>
      </c>
      <c r="W1555">
        <v>4</v>
      </c>
    </row>
    <row r="1556" spans="1:23" x14ac:dyDescent="0.25">
      <c r="A1556" s="1" t="s">
        <v>17004</v>
      </c>
      <c r="B1556" s="1" t="s">
        <v>17005</v>
      </c>
      <c r="C1556" s="1" t="s">
        <v>4997</v>
      </c>
      <c r="D1556" s="1" t="s">
        <v>11414</v>
      </c>
      <c r="E1556" s="1" t="s">
        <v>4998</v>
      </c>
      <c r="F1556" s="1" t="s">
        <v>11415</v>
      </c>
      <c r="G1556">
        <v>177777</v>
      </c>
      <c r="H1556">
        <v>49</v>
      </c>
      <c r="I1556" s="1" t="s">
        <v>11063</v>
      </c>
      <c r="J1556" s="11">
        <v>44729.706458333334</v>
      </c>
      <c r="K1556" s="1" t="s">
        <v>4999</v>
      </c>
      <c r="L1556" s="1">
        <v>0.52</v>
      </c>
      <c r="M1556" s="1">
        <v>0.47599999999999998</v>
      </c>
      <c r="N1556">
        <v>4</v>
      </c>
      <c r="O1556" s="1">
        <v>-10.478</v>
      </c>
      <c r="P1556">
        <v>0</v>
      </c>
      <c r="Q1556" s="1">
        <v>0.47799999999999998</v>
      </c>
      <c r="R1556" s="1">
        <v>0.88300000000000001</v>
      </c>
      <c r="S1556" s="1">
        <v>0.45800000000000002</v>
      </c>
      <c r="T1556" s="1">
        <v>0.874</v>
      </c>
      <c r="U1556" s="1">
        <v>0.93200000000000005</v>
      </c>
      <c r="V1556" s="1">
        <v>120.03400000000001</v>
      </c>
      <c r="W1556">
        <v>4</v>
      </c>
    </row>
    <row r="1557" spans="1:23" x14ac:dyDescent="0.25">
      <c r="A1557" s="1" t="s">
        <v>17006</v>
      </c>
      <c r="B1557" s="1" t="s">
        <v>17007</v>
      </c>
      <c r="C1557" s="1" t="s">
        <v>2859</v>
      </c>
      <c r="D1557" s="1" t="s">
        <v>2859</v>
      </c>
      <c r="E1557" s="1" t="s">
        <v>5000</v>
      </c>
      <c r="F1557" s="1" t="s">
        <v>17008</v>
      </c>
      <c r="G1557">
        <v>194871</v>
      </c>
      <c r="H1557">
        <v>48</v>
      </c>
      <c r="I1557" s="1" t="s">
        <v>11063</v>
      </c>
      <c r="J1557" s="11">
        <v>44729.706458333334</v>
      </c>
      <c r="K1557" s="1" t="s">
        <v>5001</v>
      </c>
      <c r="L1557" s="1">
        <v>0.754</v>
      </c>
      <c r="M1557" s="1">
        <v>0.82399999999999995</v>
      </c>
      <c r="N1557">
        <v>5</v>
      </c>
      <c r="O1557" s="1">
        <v>-2.4529999999999998</v>
      </c>
      <c r="P1557">
        <v>0</v>
      </c>
      <c r="Q1557" s="1">
        <v>0.39</v>
      </c>
      <c r="R1557" s="1">
        <v>0.50600000000000001</v>
      </c>
      <c r="S1557" s="1">
        <v>0.79200000000000004</v>
      </c>
      <c r="T1557" s="1">
        <v>0.108</v>
      </c>
      <c r="U1557" s="1">
        <v>0.61299999999999999</v>
      </c>
      <c r="V1557" s="1">
        <v>116.97799999999999</v>
      </c>
      <c r="W1557">
        <v>4</v>
      </c>
    </row>
    <row r="1558" spans="1:23" x14ac:dyDescent="0.25">
      <c r="A1558" s="1" t="s">
        <v>17009</v>
      </c>
      <c r="B1558" s="1" t="s">
        <v>17010</v>
      </c>
      <c r="C1558" s="1" t="s">
        <v>5002</v>
      </c>
      <c r="D1558" s="1" t="s">
        <v>17011</v>
      </c>
      <c r="E1558" s="1" t="s">
        <v>5003</v>
      </c>
      <c r="F1558" s="1" t="s">
        <v>17012</v>
      </c>
      <c r="G1558">
        <v>212800</v>
      </c>
      <c r="H1558">
        <v>39</v>
      </c>
      <c r="I1558" s="1" t="s">
        <v>11063</v>
      </c>
      <c r="J1558" s="11">
        <v>44729.706458333334</v>
      </c>
      <c r="K1558" s="1" t="s">
        <v>5004</v>
      </c>
      <c r="L1558" s="1">
        <v>0.51</v>
      </c>
      <c r="M1558" s="1">
        <v>0.55900000000000005</v>
      </c>
      <c r="N1558">
        <v>7</v>
      </c>
      <c r="O1558" s="1">
        <v>-7.008</v>
      </c>
      <c r="P1558">
        <v>1</v>
      </c>
      <c r="Q1558" s="1">
        <v>0.64500000000000002</v>
      </c>
      <c r="R1558" s="1">
        <v>0.436</v>
      </c>
      <c r="S1558" s="1">
        <v>0.11600000000000001</v>
      </c>
      <c r="T1558" s="1">
        <v>0.123</v>
      </c>
      <c r="U1558" s="1">
        <v>0.28299999999999997</v>
      </c>
      <c r="V1558" s="1">
        <v>74.423000000000002</v>
      </c>
      <c r="W1558">
        <v>4</v>
      </c>
    </row>
    <row r="1559" spans="1:23" x14ac:dyDescent="0.25">
      <c r="A1559" s="1" t="s">
        <v>17013</v>
      </c>
      <c r="B1559" s="1" t="s">
        <v>17014</v>
      </c>
      <c r="C1559" s="1" t="s">
        <v>5005</v>
      </c>
      <c r="D1559" s="1" t="s">
        <v>17015</v>
      </c>
      <c r="E1559" s="1" t="s">
        <v>5006</v>
      </c>
      <c r="F1559" s="1" t="s">
        <v>15165</v>
      </c>
      <c r="G1559">
        <v>228920</v>
      </c>
      <c r="H1559">
        <v>28</v>
      </c>
      <c r="I1559" s="1" t="s">
        <v>11063</v>
      </c>
      <c r="J1559" s="11">
        <v>44729.706458333334</v>
      </c>
      <c r="K1559" s="1" t="s">
        <v>5007</v>
      </c>
      <c r="L1559" s="1">
        <v>0.91</v>
      </c>
      <c r="M1559" s="1">
        <v>0.56000000000000005</v>
      </c>
      <c r="N1559">
        <v>9</v>
      </c>
      <c r="O1559" s="1">
        <v>-10.053000000000001</v>
      </c>
      <c r="P1559">
        <v>0</v>
      </c>
      <c r="Q1559" s="1">
        <v>0.44500000000000001</v>
      </c>
      <c r="R1559" s="1">
        <v>0.28499999999999998</v>
      </c>
      <c r="S1559" s="1">
        <v>0.96899999999999997</v>
      </c>
      <c r="T1559" s="1">
        <v>0.13200000000000001</v>
      </c>
      <c r="U1559" s="1">
        <v>0.38300000000000001</v>
      </c>
      <c r="V1559" s="1">
        <v>86.783000000000001</v>
      </c>
      <c r="W1559">
        <v>4</v>
      </c>
    </row>
    <row r="1560" spans="1:23" x14ac:dyDescent="0.25">
      <c r="A1560" s="1" t="s">
        <v>17016</v>
      </c>
      <c r="B1560" s="1" t="s">
        <v>17014</v>
      </c>
      <c r="C1560" s="1" t="s">
        <v>5008</v>
      </c>
      <c r="D1560" s="1" t="s">
        <v>17017</v>
      </c>
      <c r="E1560" s="1" t="s">
        <v>5006</v>
      </c>
      <c r="F1560" s="1" t="s">
        <v>17018</v>
      </c>
      <c r="G1560">
        <v>126959</v>
      </c>
      <c r="H1560">
        <v>72</v>
      </c>
      <c r="I1560" s="1" t="s">
        <v>11063</v>
      </c>
      <c r="J1560" s="11">
        <v>44729.706458333334</v>
      </c>
      <c r="K1560" s="1" t="s">
        <v>5007</v>
      </c>
      <c r="L1560" s="1">
        <v>0.18</v>
      </c>
      <c r="M1560" s="1">
        <v>0.22600000000000001</v>
      </c>
      <c r="N1560">
        <v>9</v>
      </c>
      <c r="O1560" s="1">
        <v>-16.457000000000001</v>
      </c>
      <c r="P1560">
        <v>0</v>
      </c>
      <c r="Q1560" s="1">
        <v>0.42</v>
      </c>
      <c r="R1560" s="1">
        <v>0.95099999999999996</v>
      </c>
      <c r="S1560" s="1">
        <v>0.98199999999999998</v>
      </c>
      <c r="T1560" s="1">
        <v>0.998</v>
      </c>
      <c r="U1560" s="1">
        <v>0.48</v>
      </c>
      <c r="V1560" s="1">
        <v>94.078999999999994</v>
      </c>
      <c r="W1560">
        <v>4</v>
      </c>
    </row>
    <row r="1561" spans="1:23" x14ac:dyDescent="0.25">
      <c r="A1561" s="1" t="s">
        <v>17019</v>
      </c>
      <c r="B1561" s="1" t="s">
        <v>17020</v>
      </c>
      <c r="C1561" s="1" t="s">
        <v>5009</v>
      </c>
      <c r="D1561" s="1" t="s">
        <v>17021</v>
      </c>
      <c r="E1561" s="1" t="s">
        <v>5010</v>
      </c>
      <c r="F1561" s="1" t="s">
        <v>11471</v>
      </c>
      <c r="G1561">
        <v>209423</v>
      </c>
      <c r="H1561">
        <v>68</v>
      </c>
      <c r="I1561" s="1" t="s">
        <v>11063</v>
      </c>
      <c r="J1561" s="11">
        <v>44729.706458333334</v>
      </c>
      <c r="K1561" s="1" t="s">
        <v>5011</v>
      </c>
      <c r="L1561" s="1">
        <v>0.74299999999999999</v>
      </c>
      <c r="M1561" s="1">
        <v>0.72</v>
      </c>
      <c r="N1561">
        <v>11</v>
      </c>
      <c r="O1561" s="1">
        <v>-3.7530000000000001</v>
      </c>
      <c r="P1561">
        <v>1</v>
      </c>
      <c r="Q1561" s="1">
        <v>0.124</v>
      </c>
      <c r="R1561" s="1">
        <v>0.192</v>
      </c>
      <c r="S1561" s="1">
        <v>0.38600000000000001</v>
      </c>
      <c r="T1561" s="1">
        <v>0.109</v>
      </c>
      <c r="U1561" s="1">
        <v>0.51900000000000002</v>
      </c>
      <c r="V1561" s="1">
        <v>163.99</v>
      </c>
      <c r="W1561">
        <v>4</v>
      </c>
    </row>
    <row r="1562" spans="1:23" x14ac:dyDescent="0.25">
      <c r="A1562" s="1" t="s">
        <v>17022</v>
      </c>
      <c r="B1562" s="1" t="s">
        <v>14879</v>
      </c>
      <c r="C1562" s="1" t="s">
        <v>5012</v>
      </c>
      <c r="D1562" s="1" t="s">
        <v>5012</v>
      </c>
      <c r="E1562" s="1" t="s">
        <v>3156</v>
      </c>
      <c r="F1562" s="1" t="s">
        <v>13769</v>
      </c>
      <c r="G1562">
        <v>210857</v>
      </c>
      <c r="H1562">
        <v>0</v>
      </c>
      <c r="I1562" s="1" t="s">
        <v>11063</v>
      </c>
      <c r="J1562" s="11">
        <v>44729.706458333334</v>
      </c>
      <c r="K1562" s="1" t="s">
        <v>2939</v>
      </c>
      <c r="L1562" s="1">
        <v>0.41399999999999998</v>
      </c>
      <c r="M1562" s="1">
        <v>0.63800000000000001</v>
      </c>
      <c r="N1562">
        <v>6</v>
      </c>
      <c r="O1562" s="1">
        <v>-7.476</v>
      </c>
      <c r="P1562">
        <v>0</v>
      </c>
      <c r="Q1562" s="1">
        <v>0.33</v>
      </c>
      <c r="R1562" s="1">
        <v>0.747</v>
      </c>
      <c r="S1562" s="1">
        <v>0.14299999999999999</v>
      </c>
      <c r="T1562" s="1">
        <v>0.121</v>
      </c>
      <c r="U1562" s="1">
        <v>0.22600000000000001</v>
      </c>
      <c r="V1562" s="1">
        <v>140.001</v>
      </c>
      <c r="W1562">
        <v>4</v>
      </c>
    </row>
    <row r="1563" spans="1:23" x14ac:dyDescent="0.25">
      <c r="A1563" s="1" t="s">
        <v>12118</v>
      </c>
      <c r="B1563" s="1" t="s">
        <v>12119</v>
      </c>
      <c r="C1563" s="1" t="s">
        <v>5013</v>
      </c>
      <c r="D1563" s="1" t="s">
        <v>12120</v>
      </c>
      <c r="E1563" s="1" t="s">
        <v>643</v>
      </c>
      <c r="F1563" s="1" t="s">
        <v>15831</v>
      </c>
      <c r="G1563">
        <v>162992</v>
      </c>
      <c r="H1563">
        <v>75</v>
      </c>
      <c r="I1563" s="1" t="s">
        <v>11063</v>
      </c>
      <c r="J1563" s="11">
        <v>44729.706458333334</v>
      </c>
      <c r="K1563" s="1" t="s">
        <v>644</v>
      </c>
      <c r="L1563" s="1" t="s">
        <v>50</v>
      </c>
      <c r="M1563" s="1" t="s">
        <v>50</v>
      </c>
      <c r="O1563" s="1" t="s">
        <v>50</v>
      </c>
      <c r="Q1563" s="1" t="s">
        <v>50</v>
      </c>
      <c r="R1563" s="1" t="s">
        <v>50</v>
      </c>
      <c r="S1563" s="1" t="s">
        <v>50</v>
      </c>
      <c r="T1563" s="1" t="s">
        <v>50</v>
      </c>
      <c r="U1563" s="1" t="s">
        <v>50</v>
      </c>
      <c r="V1563" s="1" t="s">
        <v>50</v>
      </c>
    </row>
    <row r="1564" spans="1:23" x14ac:dyDescent="0.25">
      <c r="A1564" s="1" t="s">
        <v>17023</v>
      </c>
      <c r="B1564" s="1" t="s">
        <v>17024</v>
      </c>
      <c r="C1564" s="1" t="s">
        <v>5014</v>
      </c>
      <c r="D1564" s="1" t="s">
        <v>5014</v>
      </c>
      <c r="E1564" s="1" t="s">
        <v>5015</v>
      </c>
      <c r="F1564" s="1" t="s">
        <v>15749</v>
      </c>
      <c r="G1564">
        <v>194042</v>
      </c>
      <c r="H1564">
        <v>33</v>
      </c>
      <c r="I1564" s="1" t="s">
        <v>11063</v>
      </c>
      <c r="J1564" s="11">
        <v>44729.706458333334</v>
      </c>
      <c r="K1564" s="1" t="s">
        <v>5016</v>
      </c>
      <c r="L1564" s="1">
        <v>0.55500000000000005</v>
      </c>
      <c r="M1564" s="1">
        <v>0.52100000000000002</v>
      </c>
      <c r="N1564">
        <v>5</v>
      </c>
      <c r="O1564" s="1">
        <v>-9.76</v>
      </c>
      <c r="P1564">
        <v>1</v>
      </c>
      <c r="Q1564" s="1">
        <v>0.33400000000000002</v>
      </c>
      <c r="R1564" s="1">
        <v>0.249</v>
      </c>
      <c r="S1564" s="1">
        <v>0.17699999999999999</v>
      </c>
      <c r="T1564" s="1">
        <v>0.68500000000000005</v>
      </c>
      <c r="U1564" s="1">
        <v>0.34</v>
      </c>
      <c r="V1564" s="1">
        <v>94.015000000000001</v>
      </c>
      <c r="W1564">
        <v>4</v>
      </c>
    </row>
    <row r="1565" spans="1:23" x14ac:dyDescent="0.25">
      <c r="A1565" s="1" t="s">
        <v>17025</v>
      </c>
      <c r="B1565" s="1" t="s">
        <v>17026</v>
      </c>
      <c r="C1565" s="1" t="s">
        <v>5017</v>
      </c>
      <c r="D1565" s="1" t="s">
        <v>5017</v>
      </c>
      <c r="E1565" s="1" t="s">
        <v>5018</v>
      </c>
      <c r="F1565" s="1" t="s">
        <v>17027</v>
      </c>
      <c r="G1565">
        <v>206322</v>
      </c>
      <c r="H1565">
        <v>36</v>
      </c>
      <c r="I1565" s="1" t="s">
        <v>11063</v>
      </c>
      <c r="J1565" s="11">
        <v>44729.706458333334</v>
      </c>
      <c r="K1565" s="1" t="s">
        <v>50</v>
      </c>
      <c r="L1565" s="1">
        <v>0.53100000000000003</v>
      </c>
      <c r="M1565" s="1">
        <v>0.66</v>
      </c>
      <c r="N1565">
        <v>4</v>
      </c>
      <c r="O1565" s="1">
        <v>-7.931</v>
      </c>
      <c r="P1565">
        <v>1</v>
      </c>
      <c r="Q1565" s="1">
        <v>0.68400000000000005</v>
      </c>
      <c r="R1565" s="1">
        <v>0.16800000000000001</v>
      </c>
      <c r="S1565" s="1">
        <v>0</v>
      </c>
      <c r="T1565" s="1">
        <v>0.26100000000000001</v>
      </c>
      <c r="U1565" s="1">
        <v>0.22800000000000001</v>
      </c>
      <c r="V1565" s="1">
        <v>155.16900000000001</v>
      </c>
      <c r="W1565">
        <v>4</v>
      </c>
    </row>
    <row r="1566" spans="1:23" x14ac:dyDescent="0.25">
      <c r="A1566" s="1" t="s">
        <v>17028</v>
      </c>
      <c r="B1566" s="1" t="s">
        <v>17029</v>
      </c>
      <c r="C1566" s="1" t="s">
        <v>5019</v>
      </c>
      <c r="D1566" s="1" t="s">
        <v>5019</v>
      </c>
      <c r="E1566" s="1" t="s">
        <v>5020</v>
      </c>
      <c r="F1566" s="1" t="s">
        <v>13979</v>
      </c>
      <c r="G1566">
        <v>204794</v>
      </c>
      <c r="H1566">
        <v>48</v>
      </c>
      <c r="I1566" s="1" t="s">
        <v>11063</v>
      </c>
      <c r="J1566" s="11">
        <v>44729.706458333334</v>
      </c>
      <c r="K1566" s="1" t="s">
        <v>5021</v>
      </c>
      <c r="L1566" s="1">
        <v>0.63900000000000001</v>
      </c>
      <c r="M1566" s="1">
        <v>0.77200000000000002</v>
      </c>
      <c r="N1566">
        <v>6</v>
      </c>
      <c r="O1566" s="1">
        <v>-5.9550000000000001</v>
      </c>
      <c r="P1566">
        <v>0</v>
      </c>
      <c r="Q1566" s="1">
        <v>0.73699999999999999</v>
      </c>
      <c r="R1566" s="1">
        <v>0.26300000000000001</v>
      </c>
      <c r="S1566" s="1">
        <v>0.105</v>
      </c>
      <c r="T1566" s="1">
        <v>0.14199999999999999</v>
      </c>
      <c r="U1566" s="1">
        <v>0.51100000000000001</v>
      </c>
      <c r="V1566" s="1">
        <v>156.08699999999999</v>
      </c>
      <c r="W1566">
        <v>4</v>
      </c>
    </row>
    <row r="1567" spans="1:23" x14ac:dyDescent="0.25">
      <c r="A1567" s="1" t="s">
        <v>17030</v>
      </c>
      <c r="B1567" s="1" t="s">
        <v>17031</v>
      </c>
      <c r="C1567" s="1" t="s">
        <v>5022</v>
      </c>
      <c r="D1567" s="1" t="s">
        <v>5022</v>
      </c>
      <c r="E1567" s="1" t="s">
        <v>5023</v>
      </c>
      <c r="F1567" s="1" t="s">
        <v>16886</v>
      </c>
      <c r="G1567">
        <v>266344</v>
      </c>
      <c r="H1567">
        <v>37</v>
      </c>
      <c r="I1567" s="1" t="s">
        <v>11063</v>
      </c>
      <c r="J1567" s="11">
        <v>44729.706458333334</v>
      </c>
      <c r="K1567" s="1" t="s">
        <v>5024</v>
      </c>
      <c r="L1567" s="1">
        <v>0.35899999999999999</v>
      </c>
      <c r="M1567" s="1">
        <v>0.50800000000000001</v>
      </c>
      <c r="N1567">
        <v>2</v>
      </c>
      <c r="O1567" s="1">
        <v>-4.8410000000000002</v>
      </c>
      <c r="P1567">
        <v>1</v>
      </c>
      <c r="Q1567" s="1">
        <v>0.28000000000000003</v>
      </c>
      <c r="R1567" s="1">
        <v>0.85299999999999998</v>
      </c>
      <c r="S1567" s="1">
        <v>0</v>
      </c>
      <c r="T1567" s="1">
        <v>0.97199999999999998</v>
      </c>
      <c r="U1567" s="1">
        <v>0.14699999999999999</v>
      </c>
      <c r="V1567" s="1">
        <v>137.19200000000001</v>
      </c>
      <c r="W1567">
        <v>4</v>
      </c>
    </row>
    <row r="1568" spans="1:23" x14ac:dyDescent="0.25">
      <c r="A1568" s="1" t="s">
        <v>17032</v>
      </c>
      <c r="B1568" s="1" t="s">
        <v>17033</v>
      </c>
      <c r="C1568" s="1" t="s">
        <v>5025</v>
      </c>
      <c r="D1568" s="1" t="s">
        <v>5025</v>
      </c>
      <c r="E1568" s="1" t="s">
        <v>5026</v>
      </c>
      <c r="F1568" s="1" t="s">
        <v>17034</v>
      </c>
      <c r="G1568">
        <v>217411</v>
      </c>
      <c r="H1568">
        <v>34</v>
      </c>
      <c r="I1568" s="1" t="s">
        <v>11063</v>
      </c>
      <c r="J1568" s="11">
        <v>44729.706458333334</v>
      </c>
      <c r="K1568" s="1" t="s">
        <v>50</v>
      </c>
      <c r="L1568" s="1">
        <v>0.63800000000000001</v>
      </c>
      <c r="M1568" s="1">
        <v>0.65900000000000003</v>
      </c>
      <c r="N1568">
        <v>7</v>
      </c>
      <c r="O1568" s="1">
        <v>-5.1210000000000004</v>
      </c>
      <c r="P1568">
        <v>1</v>
      </c>
      <c r="Q1568" s="1">
        <v>0.41599999999999998</v>
      </c>
      <c r="R1568" s="1">
        <v>0.23300000000000001</v>
      </c>
      <c r="S1568" s="1">
        <v>0.17100000000000001</v>
      </c>
      <c r="T1568" s="1">
        <v>0.19500000000000001</v>
      </c>
      <c r="U1568" s="1">
        <v>0.432</v>
      </c>
      <c r="V1568" s="1">
        <v>169.97399999999999</v>
      </c>
      <c r="W1568">
        <v>4</v>
      </c>
    </row>
    <row r="1569" spans="1:23" x14ac:dyDescent="0.25">
      <c r="A1569" s="1" t="s">
        <v>17035</v>
      </c>
      <c r="B1569" s="1" t="s">
        <v>17036</v>
      </c>
      <c r="C1569" s="1" t="s">
        <v>5027</v>
      </c>
      <c r="D1569" s="1" t="s">
        <v>17037</v>
      </c>
      <c r="E1569" s="1" t="s">
        <v>5028</v>
      </c>
      <c r="F1569" s="1" t="s">
        <v>17038</v>
      </c>
      <c r="G1569">
        <v>201008</v>
      </c>
      <c r="H1569">
        <v>51</v>
      </c>
      <c r="I1569" s="1" t="s">
        <v>11063</v>
      </c>
      <c r="J1569" s="11">
        <v>44729.706458333334</v>
      </c>
      <c r="K1569" s="1" t="s">
        <v>5029</v>
      </c>
      <c r="L1569" s="1">
        <v>0.56499999999999995</v>
      </c>
      <c r="M1569" s="1">
        <v>0.82199999999999995</v>
      </c>
      <c r="N1569">
        <v>6</v>
      </c>
      <c r="O1569" s="1">
        <v>-7.7119999999999997</v>
      </c>
      <c r="P1569">
        <v>1</v>
      </c>
      <c r="Q1569" s="1">
        <v>0.59799999999999998</v>
      </c>
      <c r="R1569" s="1">
        <v>0.1</v>
      </c>
      <c r="S1569" s="1">
        <v>0.17100000000000001</v>
      </c>
      <c r="T1569" s="1">
        <v>0.14899999999999999</v>
      </c>
      <c r="U1569" s="1">
        <v>0.45500000000000002</v>
      </c>
      <c r="V1569" s="1">
        <v>79.966999999999999</v>
      </c>
      <c r="W1569">
        <v>4</v>
      </c>
    </row>
    <row r="1570" spans="1:23" x14ac:dyDescent="0.25">
      <c r="A1570" s="1" t="s">
        <v>17039</v>
      </c>
      <c r="B1570" s="1" t="s">
        <v>17036</v>
      </c>
      <c r="C1570" s="1" t="s">
        <v>5030</v>
      </c>
      <c r="D1570" s="1" t="s">
        <v>5030</v>
      </c>
      <c r="E1570" s="1" t="s">
        <v>5028</v>
      </c>
      <c r="F1570" s="1" t="s">
        <v>15395</v>
      </c>
      <c r="G1570">
        <v>201008</v>
      </c>
      <c r="H1570">
        <v>50</v>
      </c>
      <c r="I1570" s="1" t="s">
        <v>11063</v>
      </c>
      <c r="J1570" s="11">
        <v>44729.706458333334</v>
      </c>
      <c r="K1570" s="1" t="s">
        <v>5029</v>
      </c>
      <c r="L1570" s="1">
        <v>0.57699999999999996</v>
      </c>
      <c r="M1570" s="1">
        <v>0.78900000000000003</v>
      </c>
      <c r="N1570">
        <v>6</v>
      </c>
      <c r="O1570" s="1">
        <v>-7.5369999999999999</v>
      </c>
      <c r="P1570">
        <v>1</v>
      </c>
      <c r="Q1570" s="1">
        <v>0.114</v>
      </c>
      <c r="R1570" s="1">
        <v>0.75700000000000001</v>
      </c>
      <c r="S1570" s="1">
        <v>0.26400000000000001</v>
      </c>
      <c r="T1570" s="1">
        <v>0.17</v>
      </c>
      <c r="U1570" s="1">
        <v>0.624</v>
      </c>
      <c r="V1570" s="1">
        <v>160.1</v>
      </c>
      <c r="W1570">
        <v>4</v>
      </c>
    </row>
    <row r="1571" spans="1:23" x14ac:dyDescent="0.25">
      <c r="A1571" s="1" t="s">
        <v>17040</v>
      </c>
      <c r="B1571" s="1" t="s">
        <v>17041</v>
      </c>
      <c r="C1571" s="1" t="s">
        <v>5031</v>
      </c>
      <c r="D1571" s="1" t="s">
        <v>5031</v>
      </c>
      <c r="E1571" s="1" t="s">
        <v>5032</v>
      </c>
      <c r="F1571" s="1" t="s">
        <v>16780</v>
      </c>
      <c r="G1571">
        <v>214240</v>
      </c>
      <c r="H1571">
        <v>56</v>
      </c>
      <c r="I1571" s="1" t="s">
        <v>11063</v>
      </c>
      <c r="J1571" s="11">
        <v>44729.706458333334</v>
      </c>
      <c r="K1571" s="1" t="s">
        <v>5033</v>
      </c>
      <c r="L1571" s="1">
        <v>0.66300000000000003</v>
      </c>
      <c r="M1571" s="1">
        <v>0.878</v>
      </c>
      <c r="N1571">
        <v>1</v>
      </c>
      <c r="O1571" s="1">
        <v>-3.1949999999999998</v>
      </c>
      <c r="P1571">
        <v>0</v>
      </c>
      <c r="Q1571" s="1">
        <v>0.64600000000000002</v>
      </c>
      <c r="R1571" s="1">
        <v>0.36799999999999999</v>
      </c>
      <c r="S1571" s="1">
        <v>0.33900000000000002</v>
      </c>
      <c r="T1571" s="1">
        <v>0.32800000000000001</v>
      </c>
      <c r="U1571" s="1">
        <v>0.70399999999999996</v>
      </c>
      <c r="V1571" s="1">
        <v>158.035</v>
      </c>
      <c r="W1571">
        <v>4</v>
      </c>
    </row>
    <row r="1572" spans="1:23" x14ac:dyDescent="0.25">
      <c r="A1572" s="1" t="s">
        <v>17042</v>
      </c>
      <c r="B1572" s="1" t="s">
        <v>17043</v>
      </c>
      <c r="C1572" s="1" t="s">
        <v>5034</v>
      </c>
      <c r="D1572" s="1" t="s">
        <v>17044</v>
      </c>
      <c r="E1572" s="1" t="s">
        <v>5035</v>
      </c>
      <c r="F1572" s="1" t="s">
        <v>13863</v>
      </c>
      <c r="G1572">
        <v>207272</v>
      </c>
      <c r="H1572">
        <v>69</v>
      </c>
      <c r="I1572" s="1" t="s">
        <v>11063</v>
      </c>
      <c r="J1572" s="11">
        <v>44729.706458333334</v>
      </c>
      <c r="K1572" s="1" t="s">
        <v>5036</v>
      </c>
      <c r="L1572" s="1">
        <v>0.36699999999999999</v>
      </c>
      <c r="M1572" s="1">
        <v>0.91500000000000004</v>
      </c>
      <c r="N1572">
        <v>9</v>
      </c>
      <c r="O1572" s="1">
        <v>-3.456</v>
      </c>
      <c r="P1572">
        <v>0</v>
      </c>
      <c r="Q1572" s="1">
        <v>0.48799999999999999</v>
      </c>
      <c r="R1572" s="1">
        <v>0.22</v>
      </c>
      <c r="S1572" s="1">
        <v>0.58099999999999996</v>
      </c>
      <c r="T1572" s="1">
        <v>0.90500000000000003</v>
      </c>
      <c r="U1572" s="1">
        <v>0.36499999999999999</v>
      </c>
      <c r="V1572" s="1">
        <v>110.169</v>
      </c>
      <c r="W1572">
        <v>4</v>
      </c>
    </row>
    <row r="1573" spans="1:23" x14ac:dyDescent="0.25">
      <c r="A1573" s="1" t="s">
        <v>17045</v>
      </c>
      <c r="B1573" s="1" t="s">
        <v>17046</v>
      </c>
      <c r="C1573" s="1" t="s">
        <v>5037</v>
      </c>
      <c r="D1573" s="1" t="s">
        <v>5037</v>
      </c>
      <c r="E1573" s="1" t="s">
        <v>5038</v>
      </c>
      <c r="F1573" s="1" t="s">
        <v>17047</v>
      </c>
      <c r="G1573">
        <v>169600</v>
      </c>
      <c r="H1573">
        <v>37</v>
      </c>
      <c r="I1573" s="1" t="s">
        <v>11063</v>
      </c>
      <c r="J1573" s="11">
        <v>44729.706458333334</v>
      </c>
      <c r="K1573" s="1" t="s">
        <v>50</v>
      </c>
      <c r="L1573" s="1">
        <v>0.53</v>
      </c>
      <c r="M1573" s="1">
        <v>0.747</v>
      </c>
      <c r="N1573">
        <v>4</v>
      </c>
      <c r="O1573" s="1">
        <v>-3.9689999999999999</v>
      </c>
      <c r="P1573">
        <v>0</v>
      </c>
      <c r="Q1573" s="1">
        <v>0.437</v>
      </c>
      <c r="R1573" s="1">
        <v>0.54400000000000004</v>
      </c>
      <c r="S1573" s="1">
        <v>0</v>
      </c>
      <c r="T1573" s="1">
        <v>0.86399999999999999</v>
      </c>
      <c r="U1573" s="1">
        <v>0.26600000000000001</v>
      </c>
      <c r="V1573" s="1">
        <v>149.93</v>
      </c>
      <c r="W1573">
        <v>4</v>
      </c>
    </row>
    <row r="1574" spans="1:23" x14ac:dyDescent="0.25">
      <c r="A1574" s="1" t="s">
        <v>17048</v>
      </c>
      <c r="B1574" s="1" t="s">
        <v>17049</v>
      </c>
      <c r="C1574" s="1" t="s">
        <v>5039</v>
      </c>
      <c r="D1574" s="1" t="s">
        <v>5039</v>
      </c>
      <c r="E1574" s="1" t="s">
        <v>5040</v>
      </c>
      <c r="F1574" s="1" t="s">
        <v>17050</v>
      </c>
      <c r="G1574">
        <v>244000</v>
      </c>
      <c r="H1574">
        <v>40</v>
      </c>
      <c r="I1574" s="1" t="s">
        <v>11063</v>
      </c>
      <c r="J1574" s="11">
        <v>44729.706458333334</v>
      </c>
      <c r="K1574" s="1" t="s">
        <v>50</v>
      </c>
      <c r="L1574" s="1">
        <v>0.51600000000000001</v>
      </c>
      <c r="M1574" s="1">
        <v>0.80600000000000005</v>
      </c>
      <c r="N1574">
        <v>1</v>
      </c>
      <c r="O1574" s="1">
        <v>-6.0469999999999997</v>
      </c>
      <c r="P1574">
        <v>0</v>
      </c>
      <c r="Q1574" s="1">
        <v>0.76700000000000002</v>
      </c>
      <c r="R1574" s="1">
        <v>0.48</v>
      </c>
      <c r="S1574" s="1">
        <v>0.17</v>
      </c>
      <c r="T1574" s="1">
        <v>0.38</v>
      </c>
      <c r="U1574" s="1">
        <v>0.4</v>
      </c>
      <c r="V1574" s="1">
        <v>76.466999999999999</v>
      </c>
      <c r="W1574">
        <v>4</v>
      </c>
    </row>
    <row r="1575" spans="1:23" x14ac:dyDescent="0.25">
      <c r="A1575" s="1" t="s">
        <v>17051</v>
      </c>
      <c r="B1575" s="1" t="s">
        <v>17052</v>
      </c>
      <c r="C1575" s="1" t="s">
        <v>5041</v>
      </c>
      <c r="D1575" s="1" t="s">
        <v>17053</v>
      </c>
      <c r="E1575" s="1" t="s">
        <v>5042</v>
      </c>
      <c r="F1575" s="1" t="s">
        <v>17054</v>
      </c>
      <c r="G1575">
        <v>212778</v>
      </c>
      <c r="H1575">
        <v>32</v>
      </c>
      <c r="I1575" s="1" t="s">
        <v>11063</v>
      </c>
      <c r="J1575" s="11">
        <v>44729.706458333334</v>
      </c>
      <c r="K1575" s="1" t="s">
        <v>5043</v>
      </c>
      <c r="L1575" s="1">
        <v>0.63200000000000001</v>
      </c>
      <c r="M1575" s="1">
        <v>0.79800000000000004</v>
      </c>
      <c r="N1575">
        <v>8</v>
      </c>
      <c r="O1575" s="1">
        <v>-5.6340000000000003</v>
      </c>
      <c r="P1575">
        <v>0</v>
      </c>
      <c r="Q1575" s="1">
        <v>0.219</v>
      </c>
      <c r="R1575" s="1">
        <v>0.16700000000000001</v>
      </c>
      <c r="S1575" s="1">
        <v>0.95299999999999996</v>
      </c>
      <c r="T1575" s="1">
        <v>0.77500000000000002</v>
      </c>
      <c r="U1575" s="1">
        <v>0.51600000000000001</v>
      </c>
      <c r="V1575" s="1">
        <v>156.084</v>
      </c>
      <c r="W1575">
        <v>4</v>
      </c>
    </row>
    <row r="1576" spans="1:23" x14ac:dyDescent="0.25">
      <c r="A1576" s="1" t="s">
        <v>17055</v>
      </c>
      <c r="B1576" s="1" t="s">
        <v>14445</v>
      </c>
      <c r="C1576" s="1" t="s">
        <v>5044</v>
      </c>
      <c r="D1576" s="1" t="s">
        <v>5044</v>
      </c>
      <c r="E1576" s="1" t="s">
        <v>2783</v>
      </c>
      <c r="F1576" s="1" t="s">
        <v>17056</v>
      </c>
      <c r="G1576">
        <v>279353</v>
      </c>
      <c r="H1576">
        <v>51</v>
      </c>
      <c r="I1576" s="1" t="s">
        <v>11063</v>
      </c>
      <c r="J1576" s="11">
        <v>44729.706458333334</v>
      </c>
      <c r="K1576" s="1" t="s">
        <v>2784</v>
      </c>
      <c r="L1576" s="1">
        <v>0.64</v>
      </c>
      <c r="M1576" s="1">
        <v>0.63200000000000001</v>
      </c>
      <c r="N1576">
        <v>2</v>
      </c>
      <c r="O1576" s="1">
        <v>-12.006</v>
      </c>
      <c r="P1576">
        <v>1</v>
      </c>
      <c r="Q1576" s="1">
        <v>0.53600000000000003</v>
      </c>
      <c r="R1576" s="1">
        <v>0.23499999999999999</v>
      </c>
      <c r="S1576" s="1">
        <v>0.192</v>
      </c>
      <c r="T1576" s="1">
        <v>0.33</v>
      </c>
      <c r="U1576" s="1">
        <v>0.32800000000000001</v>
      </c>
      <c r="V1576" s="1">
        <v>123.01900000000001</v>
      </c>
      <c r="W1576">
        <v>4</v>
      </c>
    </row>
    <row r="1577" spans="1:23" x14ac:dyDescent="0.25">
      <c r="A1577" s="1" t="s">
        <v>17057</v>
      </c>
      <c r="B1577" s="1" t="s">
        <v>17058</v>
      </c>
      <c r="C1577" s="1" t="s">
        <v>5045</v>
      </c>
      <c r="D1577" s="1" t="s">
        <v>5045</v>
      </c>
      <c r="E1577" s="1" t="s">
        <v>5046</v>
      </c>
      <c r="F1577" s="1" t="s">
        <v>17059</v>
      </c>
      <c r="G1577">
        <v>134404</v>
      </c>
      <c r="H1577">
        <v>44</v>
      </c>
      <c r="I1577" s="1" t="s">
        <v>11063</v>
      </c>
      <c r="J1577" s="11">
        <v>44729.706458333334</v>
      </c>
      <c r="K1577" s="1" t="s">
        <v>5047</v>
      </c>
      <c r="L1577" s="1">
        <v>0.749</v>
      </c>
      <c r="M1577" s="1">
        <v>0.36299999999999999</v>
      </c>
      <c r="N1577">
        <v>0</v>
      </c>
      <c r="O1577" s="1">
        <v>-7.33</v>
      </c>
      <c r="P1577">
        <v>0</v>
      </c>
      <c r="Q1577" s="1">
        <v>0.13400000000000001</v>
      </c>
      <c r="R1577" s="1">
        <v>0.69599999999999995</v>
      </c>
      <c r="S1577" s="1">
        <v>0.311</v>
      </c>
      <c r="T1577" s="1">
        <v>0.96499999999999997</v>
      </c>
      <c r="U1577" s="1">
        <v>0.47299999999999998</v>
      </c>
      <c r="V1577" s="1">
        <v>74.959000000000003</v>
      </c>
      <c r="W1577">
        <v>4</v>
      </c>
    </row>
    <row r="1578" spans="1:23" x14ac:dyDescent="0.25">
      <c r="A1578" s="1" t="s">
        <v>17060</v>
      </c>
      <c r="B1578" s="1" t="s">
        <v>17061</v>
      </c>
      <c r="C1578" s="1" t="s">
        <v>131</v>
      </c>
      <c r="D1578" s="1" t="s">
        <v>131</v>
      </c>
      <c r="E1578" s="1" t="s">
        <v>5048</v>
      </c>
      <c r="F1578" s="1" t="s">
        <v>16597</v>
      </c>
      <c r="G1578">
        <v>226086</v>
      </c>
      <c r="H1578">
        <v>30</v>
      </c>
      <c r="I1578" s="1" t="s">
        <v>11063</v>
      </c>
      <c r="J1578" s="11">
        <v>44729.706458333334</v>
      </c>
      <c r="K1578" s="1" t="s">
        <v>50</v>
      </c>
      <c r="L1578" s="1">
        <v>0.439</v>
      </c>
      <c r="M1578" s="1">
        <v>0.67200000000000004</v>
      </c>
      <c r="N1578">
        <v>9</v>
      </c>
      <c r="O1578" s="1">
        <v>-8.0670000000000002</v>
      </c>
      <c r="P1578">
        <v>0</v>
      </c>
      <c r="Q1578" s="1">
        <v>0.109</v>
      </c>
      <c r="R1578" s="1">
        <v>0.33800000000000002</v>
      </c>
      <c r="S1578" s="1">
        <v>0.63700000000000001</v>
      </c>
      <c r="T1578" s="1">
        <v>0.317</v>
      </c>
      <c r="U1578" s="1">
        <v>0.10199999999999999</v>
      </c>
      <c r="V1578" s="1">
        <v>138.024</v>
      </c>
      <c r="W1578">
        <v>4</v>
      </c>
    </row>
    <row r="1579" spans="1:23" x14ac:dyDescent="0.25">
      <c r="A1579" s="1" t="s">
        <v>17062</v>
      </c>
      <c r="B1579" s="1" t="s">
        <v>17063</v>
      </c>
      <c r="C1579" s="1" t="s">
        <v>5049</v>
      </c>
      <c r="D1579" s="1" t="s">
        <v>17064</v>
      </c>
      <c r="E1579" s="1" t="s">
        <v>5050</v>
      </c>
      <c r="F1579" s="1" t="s">
        <v>11696</v>
      </c>
      <c r="G1579">
        <v>227368</v>
      </c>
      <c r="H1579">
        <v>39</v>
      </c>
      <c r="I1579" s="1" t="s">
        <v>11063</v>
      </c>
      <c r="J1579" s="11">
        <v>44729.706458333334</v>
      </c>
      <c r="K1579" s="1" t="s">
        <v>5051</v>
      </c>
      <c r="L1579" s="1">
        <v>0.45400000000000001</v>
      </c>
      <c r="M1579" s="1">
        <v>0.63900000000000001</v>
      </c>
      <c r="N1579">
        <v>4</v>
      </c>
      <c r="O1579" s="1">
        <v>-5.8390000000000004</v>
      </c>
      <c r="P1579">
        <v>0</v>
      </c>
      <c r="Q1579" s="1">
        <v>0.432</v>
      </c>
      <c r="R1579" s="1">
        <v>0.64900000000000002</v>
      </c>
      <c r="S1579" s="1">
        <v>0</v>
      </c>
      <c r="T1579" s="1">
        <v>0.105</v>
      </c>
      <c r="U1579" s="1">
        <v>0.19700000000000001</v>
      </c>
      <c r="V1579" s="1">
        <v>114.14400000000001</v>
      </c>
      <c r="W1579">
        <v>4</v>
      </c>
    </row>
    <row r="1580" spans="1:23" x14ac:dyDescent="0.25">
      <c r="A1580" s="1" t="s">
        <v>17065</v>
      </c>
      <c r="B1580" s="1" t="s">
        <v>17066</v>
      </c>
      <c r="C1580" s="1" t="s">
        <v>5052</v>
      </c>
      <c r="D1580" s="1" t="s">
        <v>5052</v>
      </c>
      <c r="E1580" s="1" t="s">
        <v>5053</v>
      </c>
      <c r="F1580" s="1" t="s">
        <v>17067</v>
      </c>
      <c r="G1580">
        <v>189095</v>
      </c>
      <c r="H1580">
        <v>26</v>
      </c>
      <c r="I1580" s="1" t="s">
        <v>11063</v>
      </c>
      <c r="J1580" s="11">
        <v>44729.706458333334</v>
      </c>
      <c r="K1580" s="1" t="s">
        <v>933</v>
      </c>
      <c r="L1580" s="1">
        <v>0.59399999999999997</v>
      </c>
      <c r="M1580" s="1">
        <v>0.64100000000000001</v>
      </c>
      <c r="N1580">
        <v>9</v>
      </c>
      <c r="O1580" s="1">
        <v>-7.415</v>
      </c>
      <c r="P1580">
        <v>1</v>
      </c>
      <c r="Q1580" s="1">
        <v>0.217</v>
      </c>
      <c r="R1580" s="1">
        <v>0.66600000000000004</v>
      </c>
      <c r="S1580" s="1">
        <v>0.40600000000000003</v>
      </c>
      <c r="T1580" s="1">
        <v>0.998</v>
      </c>
      <c r="U1580" s="1">
        <v>0.30199999999999999</v>
      </c>
      <c r="V1580" s="1">
        <v>94.037999999999997</v>
      </c>
      <c r="W1580">
        <v>4</v>
      </c>
    </row>
    <row r="1581" spans="1:23" x14ac:dyDescent="0.25">
      <c r="A1581" s="1" t="s">
        <v>17068</v>
      </c>
      <c r="B1581" s="1" t="s">
        <v>17069</v>
      </c>
      <c r="C1581" s="1" t="s">
        <v>5054</v>
      </c>
      <c r="D1581" s="1" t="s">
        <v>14367</v>
      </c>
      <c r="E1581" s="1" t="s">
        <v>5055</v>
      </c>
      <c r="F1581" s="1" t="s">
        <v>14368</v>
      </c>
      <c r="G1581">
        <v>228000</v>
      </c>
      <c r="H1581">
        <v>30</v>
      </c>
      <c r="I1581" s="1" t="s">
        <v>11063</v>
      </c>
      <c r="J1581" s="11">
        <v>44729.706458333334</v>
      </c>
      <c r="K1581" s="1" t="s">
        <v>1086</v>
      </c>
      <c r="L1581" s="1">
        <v>0.29899999999999999</v>
      </c>
      <c r="M1581" s="1">
        <v>0.84099999999999997</v>
      </c>
      <c r="N1581">
        <v>4</v>
      </c>
      <c r="O1581" s="1">
        <v>-3.984</v>
      </c>
      <c r="P1581">
        <v>0</v>
      </c>
      <c r="Q1581" s="1">
        <v>0.65800000000000003</v>
      </c>
      <c r="R1581" s="1">
        <v>0.224</v>
      </c>
      <c r="S1581" s="1">
        <v>0.78700000000000003</v>
      </c>
      <c r="T1581" s="1">
        <v>0.124</v>
      </c>
      <c r="U1581" s="1">
        <v>0.61699999999999999</v>
      </c>
      <c r="V1581" s="1">
        <v>139.70500000000001</v>
      </c>
      <c r="W1581">
        <v>4</v>
      </c>
    </row>
    <row r="1582" spans="1:23" x14ac:dyDescent="0.25">
      <c r="A1582" s="1" t="s">
        <v>17070</v>
      </c>
      <c r="B1582" s="1" t="s">
        <v>17071</v>
      </c>
      <c r="C1582" s="1" t="s">
        <v>4528</v>
      </c>
      <c r="D1582" s="1" t="s">
        <v>4528</v>
      </c>
      <c r="E1582" s="1" t="s">
        <v>5056</v>
      </c>
      <c r="F1582" s="1" t="s">
        <v>17072</v>
      </c>
      <c r="G1582">
        <v>180923</v>
      </c>
      <c r="H1582">
        <v>0</v>
      </c>
      <c r="I1582" s="1" t="s">
        <v>11063</v>
      </c>
      <c r="J1582" s="11">
        <v>44729.706458333334</v>
      </c>
      <c r="K1582" s="1" t="s">
        <v>3444</v>
      </c>
      <c r="L1582" s="1">
        <v>0.69899999999999995</v>
      </c>
      <c r="M1582" s="1">
        <v>0.86699999999999999</v>
      </c>
      <c r="N1582">
        <v>2</v>
      </c>
      <c r="O1582" s="1">
        <v>-3.6819999999999999</v>
      </c>
      <c r="P1582">
        <v>0</v>
      </c>
      <c r="Q1582" s="1">
        <v>0.58299999999999996</v>
      </c>
      <c r="R1582" s="1">
        <v>0.29899999999999999</v>
      </c>
      <c r="S1582" s="1">
        <v>0</v>
      </c>
      <c r="T1582" s="1">
        <v>0.10199999999999999</v>
      </c>
      <c r="U1582" s="1">
        <v>0.434</v>
      </c>
      <c r="V1582" s="1">
        <v>129.958</v>
      </c>
      <c r="W1582">
        <v>4</v>
      </c>
    </row>
    <row r="1583" spans="1:23" x14ac:dyDescent="0.25">
      <c r="A1583" s="1" t="s">
        <v>17073</v>
      </c>
      <c r="B1583" s="1" t="s">
        <v>17074</v>
      </c>
      <c r="C1583" s="1" t="s">
        <v>5057</v>
      </c>
      <c r="D1583" s="1" t="s">
        <v>17075</v>
      </c>
      <c r="E1583" s="1" t="s">
        <v>5058</v>
      </c>
      <c r="F1583" s="1" t="s">
        <v>17076</v>
      </c>
      <c r="G1583">
        <v>159442</v>
      </c>
      <c r="H1583">
        <v>32</v>
      </c>
      <c r="I1583" s="1" t="s">
        <v>11063</v>
      </c>
      <c r="J1583" s="11">
        <v>44729.706458333334</v>
      </c>
      <c r="K1583" s="1" t="s">
        <v>5059</v>
      </c>
      <c r="L1583" s="1">
        <v>0.58499999999999996</v>
      </c>
      <c r="M1583" s="1">
        <v>0.66700000000000004</v>
      </c>
      <c r="N1583">
        <v>0</v>
      </c>
      <c r="O1583" s="1">
        <v>-7.56</v>
      </c>
      <c r="P1583">
        <v>1</v>
      </c>
      <c r="Q1583" s="1">
        <v>0.14000000000000001</v>
      </c>
      <c r="R1583" s="1">
        <v>0.17399999999999999</v>
      </c>
      <c r="S1583" s="1">
        <v>0.16500000000000001</v>
      </c>
      <c r="T1583" s="1">
        <v>0.158</v>
      </c>
      <c r="U1583" s="1">
        <v>0.19700000000000001</v>
      </c>
      <c r="V1583" s="1">
        <v>139.642</v>
      </c>
      <c r="W1583">
        <v>4</v>
      </c>
    </row>
    <row r="1584" spans="1:23" x14ac:dyDescent="0.25">
      <c r="A1584" s="1" t="s">
        <v>17077</v>
      </c>
      <c r="B1584" s="1" t="s">
        <v>17078</v>
      </c>
      <c r="C1584" s="1" t="s">
        <v>5060</v>
      </c>
      <c r="D1584" s="1" t="s">
        <v>5060</v>
      </c>
      <c r="E1584" s="1" t="s">
        <v>5061</v>
      </c>
      <c r="F1584" s="1" t="s">
        <v>16955</v>
      </c>
      <c r="G1584">
        <v>169500</v>
      </c>
      <c r="H1584">
        <v>36</v>
      </c>
      <c r="I1584" s="1" t="s">
        <v>11063</v>
      </c>
      <c r="J1584" s="11">
        <v>44729.706458333334</v>
      </c>
      <c r="K1584" s="1" t="s">
        <v>2939</v>
      </c>
      <c r="L1584" s="1">
        <v>0.48299999999999998</v>
      </c>
      <c r="M1584" s="1">
        <v>0.59899999999999998</v>
      </c>
      <c r="N1584">
        <v>11</v>
      </c>
      <c r="O1584" s="1">
        <v>-7.3579999999999997</v>
      </c>
      <c r="P1584">
        <v>0</v>
      </c>
      <c r="Q1584" s="1">
        <v>0.52600000000000002</v>
      </c>
      <c r="R1584" s="1">
        <v>0.122</v>
      </c>
      <c r="S1584" s="1">
        <v>0.48899999999999999</v>
      </c>
      <c r="T1584" s="1">
        <v>0.81399999999999995</v>
      </c>
      <c r="U1584" s="1">
        <v>0.42</v>
      </c>
      <c r="V1584" s="1">
        <v>80.007999999999996</v>
      </c>
      <c r="W1584">
        <v>4</v>
      </c>
    </row>
    <row r="1585" spans="1:23" x14ac:dyDescent="0.25">
      <c r="A1585" s="1" t="s">
        <v>17079</v>
      </c>
      <c r="B1585" s="1" t="s">
        <v>17080</v>
      </c>
      <c r="C1585" s="1" t="s">
        <v>5062</v>
      </c>
      <c r="D1585" s="1" t="s">
        <v>5062</v>
      </c>
      <c r="E1585" s="1" t="s">
        <v>5063</v>
      </c>
      <c r="F1585" s="1" t="s">
        <v>17081</v>
      </c>
      <c r="G1585">
        <v>221425</v>
      </c>
      <c r="H1585">
        <v>37</v>
      </c>
      <c r="I1585" s="1" t="s">
        <v>11063</v>
      </c>
      <c r="J1585" s="11">
        <v>44729.706458333334</v>
      </c>
      <c r="K1585" s="1" t="s">
        <v>50</v>
      </c>
      <c r="L1585" s="1">
        <v>0.80300000000000005</v>
      </c>
      <c r="M1585" s="1">
        <v>0.47799999999999998</v>
      </c>
      <c r="N1585">
        <v>2</v>
      </c>
      <c r="O1585" s="1">
        <v>-10.919</v>
      </c>
      <c r="P1585">
        <v>1</v>
      </c>
      <c r="Q1585" s="1">
        <v>0.24399999999999999</v>
      </c>
      <c r="R1585" s="1">
        <v>0.96699999999999997</v>
      </c>
      <c r="S1585" s="1">
        <v>0.433</v>
      </c>
      <c r="T1585" s="1">
        <v>0.86199999999999999</v>
      </c>
      <c r="U1585" s="1">
        <v>0.247</v>
      </c>
      <c r="V1585" s="1">
        <v>192.00299999999999</v>
      </c>
      <c r="W1585">
        <v>4</v>
      </c>
    </row>
    <row r="1586" spans="1:23" x14ac:dyDescent="0.25">
      <c r="A1586" s="1" t="s">
        <v>17082</v>
      </c>
      <c r="B1586" s="1" t="s">
        <v>17083</v>
      </c>
      <c r="C1586" s="1" t="s">
        <v>5064</v>
      </c>
      <c r="D1586" s="1" t="s">
        <v>17084</v>
      </c>
      <c r="E1586" s="1" t="s">
        <v>5065</v>
      </c>
      <c r="F1586" s="1" t="s">
        <v>14620</v>
      </c>
      <c r="G1586">
        <v>148457</v>
      </c>
      <c r="H1586">
        <v>34</v>
      </c>
      <c r="I1586" s="1" t="s">
        <v>11063</v>
      </c>
      <c r="J1586" s="11">
        <v>44729.706458333334</v>
      </c>
      <c r="K1586" s="1" t="s">
        <v>5066</v>
      </c>
      <c r="L1586" s="1">
        <v>0.57399999999999995</v>
      </c>
      <c r="M1586" s="1">
        <v>0.83199999999999996</v>
      </c>
      <c r="N1586">
        <v>11</v>
      </c>
      <c r="O1586" s="1">
        <v>-2.9</v>
      </c>
      <c r="P1586">
        <v>0</v>
      </c>
      <c r="Q1586" s="1">
        <v>0.17899999999999999</v>
      </c>
      <c r="R1586" s="1">
        <v>0.433</v>
      </c>
      <c r="S1586" s="1">
        <v>0</v>
      </c>
      <c r="T1586" s="1">
        <v>0.31</v>
      </c>
      <c r="U1586" s="1">
        <v>0.39</v>
      </c>
      <c r="V1586" s="1">
        <v>174.964</v>
      </c>
      <c r="W1586">
        <v>4</v>
      </c>
    </row>
    <row r="1587" spans="1:23" x14ac:dyDescent="0.25">
      <c r="A1587" s="1" t="s">
        <v>17085</v>
      </c>
      <c r="B1587" s="1" t="s">
        <v>13503</v>
      </c>
      <c r="C1587" s="1" t="s">
        <v>5067</v>
      </c>
      <c r="D1587" s="1" t="s">
        <v>5067</v>
      </c>
      <c r="E1587" s="1" t="s">
        <v>1972</v>
      </c>
      <c r="F1587" s="1" t="s">
        <v>15165</v>
      </c>
      <c r="G1587">
        <v>164727</v>
      </c>
      <c r="H1587">
        <v>32</v>
      </c>
      <c r="I1587" s="1" t="s">
        <v>11063</v>
      </c>
      <c r="J1587" s="11">
        <v>44729.706458333334</v>
      </c>
      <c r="K1587" s="1" t="s">
        <v>1973</v>
      </c>
      <c r="L1587" s="1">
        <v>0.63500000000000001</v>
      </c>
      <c r="M1587" s="1">
        <v>0.59799999999999998</v>
      </c>
      <c r="N1587">
        <v>0</v>
      </c>
      <c r="O1587" s="1">
        <v>-8.6170000000000009</v>
      </c>
      <c r="P1587">
        <v>0</v>
      </c>
      <c r="Q1587" s="1">
        <v>0.28499999999999998</v>
      </c>
      <c r="R1587" s="1">
        <v>0.52800000000000002</v>
      </c>
      <c r="S1587" s="1">
        <v>0.252</v>
      </c>
      <c r="T1587" s="1">
        <v>0.22800000000000001</v>
      </c>
      <c r="U1587" s="1">
        <v>0.67300000000000004</v>
      </c>
      <c r="V1587" s="1">
        <v>110.125</v>
      </c>
      <c r="W1587">
        <v>4</v>
      </c>
    </row>
    <row r="1588" spans="1:23" x14ac:dyDescent="0.25">
      <c r="A1588" s="1" t="s">
        <v>17086</v>
      </c>
      <c r="B1588" s="1" t="s">
        <v>17087</v>
      </c>
      <c r="C1588" s="1" t="s">
        <v>5068</v>
      </c>
      <c r="D1588" s="1" t="s">
        <v>5068</v>
      </c>
      <c r="E1588" s="1" t="s">
        <v>5069</v>
      </c>
      <c r="F1588" s="1" t="s">
        <v>17088</v>
      </c>
      <c r="G1588">
        <v>236317</v>
      </c>
      <c r="H1588">
        <v>53</v>
      </c>
      <c r="I1588" s="1" t="s">
        <v>11063</v>
      </c>
      <c r="J1588" s="11">
        <v>44729.706458333334</v>
      </c>
      <c r="K1588" s="1" t="s">
        <v>5070</v>
      </c>
      <c r="L1588" s="1">
        <v>0.36499999999999999</v>
      </c>
      <c r="M1588" s="1">
        <v>0.76500000000000001</v>
      </c>
      <c r="N1588">
        <v>1</v>
      </c>
      <c r="O1588" s="1">
        <v>-4.4489999999999998</v>
      </c>
      <c r="P1588">
        <v>1</v>
      </c>
      <c r="Q1588" s="1">
        <v>0.41599999999999998</v>
      </c>
      <c r="R1588" s="1">
        <v>0.88</v>
      </c>
      <c r="S1588" s="1">
        <v>0.20599999999999999</v>
      </c>
      <c r="T1588" s="1">
        <v>0.95899999999999996</v>
      </c>
      <c r="U1588" s="1">
        <v>0.24099999999999999</v>
      </c>
      <c r="V1588" s="1">
        <v>179.95500000000001</v>
      </c>
      <c r="W1588">
        <v>3</v>
      </c>
    </row>
    <row r="1589" spans="1:23" x14ac:dyDescent="0.25">
      <c r="A1589" s="1" t="s">
        <v>17089</v>
      </c>
      <c r="B1589" s="1" t="s">
        <v>17090</v>
      </c>
      <c r="C1589" s="1" t="s">
        <v>5071</v>
      </c>
      <c r="D1589" s="1" t="s">
        <v>17091</v>
      </c>
      <c r="E1589" s="1" t="s">
        <v>5072</v>
      </c>
      <c r="F1589" s="1" t="s">
        <v>16130</v>
      </c>
      <c r="G1589">
        <v>230769</v>
      </c>
      <c r="H1589">
        <v>26</v>
      </c>
      <c r="I1589" s="1" t="s">
        <v>11063</v>
      </c>
      <c r="J1589" s="11">
        <v>44729.706458333334</v>
      </c>
      <c r="K1589" s="1" t="s">
        <v>1000</v>
      </c>
      <c r="L1589" s="1">
        <v>0.56399999999999995</v>
      </c>
      <c r="M1589" s="1">
        <v>0.84799999999999998</v>
      </c>
      <c r="N1589">
        <v>8</v>
      </c>
      <c r="O1589" s="1">
        <v>-5.9859999999999998</v>
      </c>
      <c r="P1589">
        <v>0</v>
      </c>
      <c r="Q1589" s="1">
        <v>0.498</v>
      </c>
      <c r="R1589" s="1">
        <v>0.46800000000000003</v>
      </c>
      <c r="S1589" s="1">
        <v>0.104</v>
      </c>
      <c r="T1589" s="1">
        <v>0.55000000000000004</v>
      </c>
      <c r="U1589" s="1">
        <v>0.60799999999999998</v>
      </c>
      <c r="V1589" s="1">
        <v>130.01599999999999</v>
      </c>
      <c r="W1589">
        <v>4</v>
      </c>
    </row>
    <row r="1590" spans="1:23" x14ac:dyDescent="0.25">
      <c r="A1590" s="1" t="s">
        <v>17092</v>
      </c>
      <c r="B1590" s="1" t="s">
        <v>17093</v>
      </c>
      <c r="C1590" s="1" t="s">
        <v>5073</v>
      </c>
      <c r="D1590" s="1" t="s">
        <v>5073</v>
      </c>
      <c r="E1590" s="1" t="s">
        <v>5074</v>
      </c>
      <c r="F1590" s="1" t="s">
        <v>17094</v>
      </c>
      <c r="G1590">
        <v>200112</v>
      </c>
      <c r="H1590">
        <v>27</v>
      </c>
      <c r="I1590" s="1" t="s">
        <v>11063</v>
      </c>
      <c r="J1590" s="11">
        <v>44729.706458333334</v>
      </c>
      <c r="K1590" s="1" t="s">
        <v>2939</v>
      </c>
      <c r="L1590" s="1">
        <v>0.65200000000000002</v>
      </c>
      <c r="M1590" s="1">
        <v>0.68600000000000005</v>
      </c>
      <c r="N1590">
        <v>5</v>
      </c>
      <c r="O1590" s="1">
        <v>-9.3740000000000006</v>
      </c>
      <c r="P1590">
        <v>1</v>
      </c>
      <c r="Q1590" s="1">
        <v>0.68100000000000005</v>
      </c>
      <c r="R1590" s="1">
        <v>0.125</v>
      </c>
      <c r="S1590" s="1">
        <v>0.129</v>
      </c>
      <c r="T1590" s="1">
        <v>0.79900000000000004</v>
      </c>
      <c r="U1590" s="1">
        <v>0.47899999999999998</v>
      </c>
      <c r="V1590" s="1">
        <v>150.05000000000001</v>
      </c>
      <c r="W1590">
        <v>4</v>
      </c>
    </row>
    <row r="1591" spans="1:23" x14ac:dyDescent="0.25">
      <c r="A1591" s="1" t="s">
        <v>17095</v>
      </c>
      <c r="B1591" s="1" t="s">
        <v>17096</v>
      </c>
      <c r="C1591" s="1" t="s">
        <v>5075</v>
      </c>
      <c r="D1591" s="1" t="s">
        <v>17097</v>
      </c>
      <c r="E1591" s="1" t="s">
        <v>5076</v>
      </c>
      <c r="F1591" s="1" t="s">
        <v>17098</v>
      </c>
      <c r="G1591">
        <v>222857</v>
      </c>
      <c r="H1591">
        <v>51</v>
      </c>
      <c r="I1591" s="1" t="s">
        <v>11063</v>
      </c>
      <c r="J1591" s="11">
        <v>44729.706458333334</v>
      </c>
      <c r="K1591" s="1" t="s">
        <v>5077</v>
      </c>
      <c r="L1591" s="1">
        <v>0.60699999999999998</v>
      </c>
      <c r="M1591" s="1">
        <v>0.81100000000000005</v>
      </c>
      <c r="N1591">
        <v>3</v>
      </c>
      <c r="O1591" s="1">
        <v>-6.1059999999999999</v>
      </c>
      <c r="P1591">
        <v>1</v>
      </c>
      <c r="Q1591" s="1">
        <v>0.38400000000000001</v>
      </c>
      <c r="R1591" s="1">
        <v>0.25</v>
      </c>
      <c r="S1591" s="1">
        <v>0.50900000000000001</v>
      </c>
      <c r="T1591" s="1">
        <v>0.17699999999999999</v>
      </c>
      <c r="U1591" s="1">
        <v>0.20699999999999999</v>
      </c>
      <c r="V1591" s="1">
        <v>139.964</v>
      </c>
      <c r="W1591">
        <v>4</v>
      </c>
    </row>
    <row r="1592" spans="1:23" x14ac:dyDescent="0.25">
      <c r="A1592" s="1" t="s">
        <v>17099</v>
      </c>
      <c r="B1592" s="1" t="s">
        <v>17100</v>
      </c>
      <c r="C1592" s="1" t="s">
        <v>5078</v>
      </c>
      <c r="D1592" s="1" t="s">
        <v>5078</v>
      </c>
      <c r="E1592" s="1" t="s">
        <v>5079</v>
      </c>
      <c r="F1592" s="1" t="s">
        <v>11319</v>
      </c>
      <c r="G1592">
        <v>219794</v>
      </c>
      <c r="H1592">
        <v>28</v>
      </c>
      <c r="I1592" s="1" t="s">
        <v>11063</v>
      </c>
      <c r="J1592" s="11">
        <v>44729.706458333334</v>
      </c>
      <c r="K1592" s="1" t="s">
        <v>5080</v>
      </c>
      <c r="L1592" s="1">
        <v>0.55600000000000005</v>
      </c>
      <c r="M1592" s="1">
        <v>0.85399999999999998</v>
      </c>
      <c r="N1592">
        <v>9</v>
      </c>
      <c r="O1592" s="1">
        <v>-3.5049999999999999</v>
      </c>
      <c r="P1592">
        <v>0</v>
      </c>
      <c r="Q1592" s="1">
        <v>0.77800000000000002</v>
      </c>
      <c r="R1592" s="1">
        <v>0.193</v>
      </c>
      <c r="S1592" s="1">
        <v>0.126</v>
      </c>
      <c r="T1592" s="1">
        <v>0.78800000000000003</v>
      </c>
      <c r="U1592" s="1">
        <v>0.17799999999999999</v>
      </c>
      <c r="V1592" s="1">
        <v>80.055000000000007</v>
      </c>
      <c r="W1592">
        <v>4</v>
      </c>
    </row>
    <row r="1593" spans="1:23" x14ac:dyDescent="0.25">
      <c r="A1593" s="1" t="s">
        <v>17101</v>
      </c>
      <c r="B1593" s="1" t="s">
        <v>17102</v>
      </c>
      <c r="C1593" s="1" t="s">
        <v>5081</v>
      </c>
      <c r="D1593" s="1" t="s">
        <v>17103</v>
      </c>
      <c r="E1593" s="1" t="s">
        <v>5082</v>
      </c>
      <c r="F1593" s="1" t="s">
        <v>17104</v>
      </c>
      <c r="G1593">
        <v>195200</v>
      </c>
      <c r="H1593">
        <v>35</v>
      </c>
      <c r="I1593" s="1" t="s">
        <v>11063</v>
      </c>
      <c r="J1593" s="11">
        <v>44729.706458333334</v>
      </c>
      <c r="K1593" s="1" t="s">
        <v>5083</v>
      </c>
      <c r="L1593" s="1">
        <v>0.52800000000000002</v>
      </c>
      <c r="M1593" s="1">
        <v>0.78700000000000003</v>
      </c>
      <c r="N1593">
        <v>10</v>
      </c>
      <c r="O1593" s="1">
        <v>-4.6509999999999998</v>
      </c>
      <c r="P1593">
        <v>1</v>
      </c>
      <c r="Q1593" s="1">
        <v>0.39800000000000002</v>
      </c>
      <c r="R1593" s="1">
        <v>0.248</v>
      </c>
      <c r="S1593" s="1">
        <v>0.67</v>
      </c>
      <c r="T1593" s="1">
        <v>0.222</v>
      </c>
      <c r="U1593" s="1">
        <v>0.25900000000000001</v>
      </c>
      <c r="V1593" s="1">
        <v>150.04400000000001</v>
      </c>
      <c r="W1593">
        <v>4</v>
      </c>
    </row>
    <row r="1594" spans="1:23" x14ac:dyDescent="0.25">
      <c r="A1594" s="1" t="s">
        <v>17105</v>
      </c>
      <c r="B1594" s="1" t="s">
        <v>17106</v>
      </c>
      <c r="C1594" s="1" t="s">
        <v>5084</v>
      </c>
      <c r="D1594" s="1" t="s">
        <v>17107</v>
      </c>
      <c r="E1594" s="1" t="s">
        <v>5085</v>
      </c>
      <c r="F1594" s="1" t="s">
        <v>17108</v>
      </c>
      <c r="G1594">
        <v>180997</v>
      </c>
      <c r="H1594">
        <v>48</v>
      </c>
      <c r="I1594" s="1" t="s">
        <v>11063</v>
      </c>
      <c r="J1594" s="11">
        <v>44729.706458333334</v>
      </c>
      <c r="K1594" s="1" t="s">
        <v>5086</v>
      </c>
      <c r="L1594" s="1">
        <v>0.53100000000000003</v>
      </c>
      <c r="M1594" s="1">
        <v>0.84499999999999997</v>
      </c>
      <c r="N1594">
        <v>9</v>
      </c>
      <c r="O1594" s="1">
        <v>-5.3620000000000001</v>
      </c>
      <c r="P1594">
        <v>0</v>
      </c>
      <c r="Q1594" s="1">
        <v>0.16400000000000001</v>
      </c>
      <c r="R1594" s="1">
        <v>0.37</v>
      </c>
      <c r="S1594" s="1">
        <v>0.158</v>
      </c>
      <c r="T1594" s="1">
        <v>0.27500000000000002</v>
      </c>
      <c r="U1594" s="1">
        <v>0.53700000000000003</v>
      </c>
      <c r="V1594" s="1">
        <v>175.898</v>
      </c>
      <c r="W1594">
        <v>4</v>
      </c>
    </row>
    <row r="1595" spans="1:23" x14ac:dyDescent="0.25">
      <c r="A1595" s="1" t="s">
        <v>17109</v>
      </c>
      <c r="B1595" s="1" t="s">
        <v>17110</v>
      </c>
      <c r="C1595" s="1" t="s">
        <v>5087</v>
      </c>
      <c r="D1595" s="1" t="s">
        <v>5087</v>
      </c>
      <c r="E1595" s="1" t="s">
        <v>5088</v>
      </c>
      <c r="F1595" s="1" t="s">
        <v>17111</v>
      </c>
      <c r="G1595">
        <v>174000</v>
      </c>
      <c r="H1595">
        <v>41</v>
      </c>
      <c r="I1595" s="1" t="s">
        <v>11063</v>
      </c>
      <c r="J1595" s="11">
        <v>44729.706458333334</v>
      </c>
      <c r="K1595" s="1" t="s">
        <v>5089</v>
      </c>
      <c r="L1595" s="1">
        <v>0.50700000000000001</v>
      </c>
      <c r="M1595" s="1">
        <v>0.91500000000000004</v>
      </c>
      <c r="N1595">
        <v>5</v>
      </c>
      <c r="O1595" s="1">
        <v>-4.7889999999999997</v>
      </c>
      <c r="P1595">
        <v>0</v>
      </c>
      <c r="Q1595" s="1">
        <v>0.32800000000000001</v>
      </c>
      <c r="R1595" s="1">
        <v>0.39600000000000002</v>
      </c>
      <c r="S1595" s="1">
        <v>0.20499999999999999</v>
      </c>
      <c r="T1595" s="1">
        <v>0.186</v>
      </c>
      <c r="U1595" s="1">
        <v>0.311</v>
      </c>
      <c r="V1595" s="1">
        <v>150.024</v>
      </c>
      <c r="W1595">
        <v>5</v>
      </c>
    </row>
    <row r="1596" spans="1:23" x14ac:dyDescent="0.25">
      <c r="A1596" s="1" t="s">
        <v>17112</v>
      </c>
      <c r="B1596" s="1" t="s">
        <v>17113</v>
      </c>
      <c r="C1596" s="1" t="s">
        <v>5090</v>
      </c>
      <c r="D1596" s="1" t="s">
        <v>5090</v>
      </c>
      <c r="E1596" s="1" t="s">
        <v>5091</v>
      </c>
      <c r="F1596" s="1" t="s">
        <v>16087</v>
      </c>
      <c r="G1596">
        <v>284800</v>
      </c>
      <c r="H1596">
        <v>0</v>
      </c>
      <c r="I1596" s="1" t="s">
        <v>11063</v>
      </c>
      <c r="J1596" s="11">
        <v>44729.706458333334</v>
      </c>
      <c r="K1596" s="1" t="s">
        <v>50</v>
      </c>
      <c r="L1596" s="1">
        <v>0.13700000000000001</v>
      </c>
      <c r="M1596" s="1">
        <v>0.27200000000000002</v>
      </c>
      <c r="N1596">
        <v>4</v>
      </c>
      <c r="O1596" s="1">
        <v>-10.347</v>
      </c>
      <c r="P1596">
        <v>1</v>
      </c>
      <c r="Q1596" s="1">
        <v>0.34799999999999998</v>
      </c>
      <c r="R1596" s="1">
        <v>0.32</v>
      </c>
      <c r="S1596" s="1">
        <v>0.75900000000000001</v>
      </c>
      <c r="T1596" s="1">
        <v>0.11</v>
      </c>
      <c r="U1596" s="1">
        <v>0.16</v>
      </c>
      <c r="V1596" s="1">
        <v>165.87</v>
      </c>
      <c r="W1596">
        <v>4</v>
      </c>
    </row>
    <row r="1597" spans="1:23" x14ac:dyDescent="0.25">
      <c r="A1597" s="1" t="s">
        <v>17114</v>
      </c>
      <c r="B1597" s="1" t="s">
        <v>17115</v>
      </c>
      <c r="C1597" s="1" t="s">
        <v>5092</v>
      </c>
      <c r="D1597" s="1" t="s">
        <v>5092</v>
      </c>
      <c r="E1597" s="1" t="s">
        <v>5093</v>
      </c>
      <c r="F1597" s="1" t="s">
        <v>17116</v>
      </c>
      <c r="G1597">
        <v>240693</v>
      </c>
      <c r="H1597">
        <v>17</v>
      </c>
      <c r="I1597" s="1" t="s">
        <v>11063</v>
      </c>
      <c r="J1597" s="11">
        <v>44729.706458333334</v>
      </c>
      <c r="K1597" s="1" t="s">
        <v>2535</v>
      </c>
      <c r="L1597" s="1">
        <v>0.64700000000000002</v>
      </c>
      <c r="M1597" s="1">
        <v>0.51400000000000001</v>
      </c>
      <c r="N1597">
        <v>8</v>
      </c>
      <c r="O1597" s="1">
        <v>-10.050000000000001</v>
      </c>
      <c r="P1597">
        <v>1</v>
      </c>
      <c r="Q1597" s="1">
        <v>0.59299999999999997</v>
      </c>
      <c r="R1597" s="1">
        <v>0.65500000000000003</v>
      </c>
      <c r="S1597" s="1">
        <v>0</v>
      </c>
      <c r="T1597" s="1">
        <v>0.39800000000000002</v>
      </c>
      <c r="U1597" s="1">
        <v>0.38700000000000001</v>
      </c>
      <c r="V1597" s="1">
        <v>79.974000000000004</v>
      </c>
      <c r="W1597">
        <v>4</v>
      </c>
    </row>
    <row r="1598" spans="1:23" x14ac:dyDescent="0.25">
      <c r="A1598" s="1" t="s">
        <v>17117</v>
      </c>
      <c r="B1598" s="1" t="s">
        <v>17118</v>
      </c>
      <c r="C1598" s="1" t="s">
        <v>5094</v>
      </c>
      <c r="D1598" s="1" t="s">
        <v>17119</v>
      </c>
      <c r="E1598" s="1" t="s">
        <v>5095</v>
      </c>
      <c r="F1598" s="1" t="s">
        <v>17120</v>
      </c>
      <c r="G1598">
        <v>190243</v>
      </c>
      <c r="H1598">
        <v>58</v>
      </c>
      <c r="I1598" s="1" t="s">
        <v>11063</v>
      </c>
      <c r="J1598" s="11">
        <v>44729.706458333334</v>
      </c>
      <c r="K1598" s="1" t="s">
        <v>5096</v>
      </c>
      <c r="L1598" s="1">
        <v>0.754</v>
      </c>
      <c r="M1598" s="1">
        <v>0.85899999999999999</v>
      </c>
      <c r="N1598">
        <v>9</v>
      </c>
      <c r="O1598" s="1">
        <v>-5.875</v>
      </c>
      <c r="P1598">
        <v>0</v>
      </c>
      <c r="Q1598" s="1">
        <v>0.26400000000000001</v>
      </c>
      <c r="R1598" s="1">
        <v>0.17399999999999999</v>
      </c>
      <c r="S1598" s="1">
        <v>0.12</v>
      </c>
      <c r="T1598" s="1">
        <v>0.38400000000000001</v>
      </c>
      <c r="U1598" s="1">
        <v>0.77400000000000002</v>
      </c>
      <c r="V1598" s="1">
        <v>122.995</v>
      </c>
      <c r="W1598">
        <v>4</v>
      </c>
    </row>
    <row r="1599" spans="1:23" x14ac:dyDescent="0.25">
      <c r="A1599" s="1" t="s">
        <v>17121</v>
      </c>
      <c r="B1599" s="1" t="s">
        <v>17122</v>
      </c>
      <c r="C1599" s="1" t="s">
        <v>5097</v>
      </c>
      <c r="D1599" s="1" t="s">
        <v>2055</v>
      </c>
      <c r="E1599" s="1" t="s">
        <v>5098</v>
      </c>
      <c r="F1599" s="1" t="s">
        <v>17123</v>
      </c>
      <c r="G1599">
        <v>285240</v>
      </c>
      <c r="H1599">
        <v>80</v>
      </c>
      <c r="I1599" s="1" t="s">
        <v>11063</v>
      </c>
      <c r="J1599" s="11">
        <v>44729.706458333334</v>
      </c>
      <c r="K1599" s="1" t="s">
        <v>5099</v>
      </c>
      <c r="L1599" s="1">
        <v>0.55600000000000005</v>
      </c>
      <c r="M1599" s="1">
        <v>0.31900000000000001</v>
      </c>
      <c r="N1599">
        <v>9</v>
      </c>
      <c r="O1599" s="1">
        <v>-8.2509999999999994</v>
      </c>
      <c r="P1599">
        <v>1</v>
      </c>
      <c r="Q1599" s="1">
        <v>0.28100000000000003</v>
      </c>
      <c r="R1599" s="1">
        <v>0.89300000000000002</v>
      </c>
      <c r="S1599" s="1">
        <v>0</v>
      </c>
      <c r="T1599" s="1">
        <v>0.996</v>
      </c>
      <c r="U1599" s="1">
        <v>0.29399999999999998</v>
      </c>
      <c r="V1599" s="1">
        <v>135.18700000000001</v>
      </c>
      <c r="W1599">
        <v>4</v>
      </c>
    </row>
    <row r="1600" spans="1:23" x14ac:dyDescent="0.25">
      <c r="A1600" s="1" t="s">
        <v>17124</v>
      </c>
      <c r="B1600" s="1" t="s">
        <v>17122</v>
      </c>
      <c r="C1600" s="1" t="s">
        <v>5100</v>
      </c>
      <c r="D1600" s="1" t="s">
        <v>2055</v>
      </c>
      <c r="E1600" s="1" t="s">
        <v>5098</v>
      </c>
      <c r="F1600" s="1" t="s">
        <v>17123</v>
      </c>
      <c r="G1600">
        <v>228093</v>
      </c>
      <c r="H1600">
        <v>80</v>
      </c>
      <c r="I1600" s="1" t="s">
        <v>11063</v>
      </c>
      <c r="J1600" s="11">
        <v>44729.706458333334</v>
      </c>
      <c r="K1600" s="1" t="s">
        <v>5099</v>
      </c>
      <c r="L1600" s="1">
        <v>0.73</v>
      </c>
      <c r="M1600" s="1">
        <v>0.76900000000000002</v>
      </c>
      <c r="N1600">
        <v>8</v>
      </c>
      <c r="O1600" s="1">
        <v>-5.1139999999999999</v>
      </c>
      <c r="P1600">
        <v>1</v>
      </c>
      <c r="Q1600" s="1">
        <v>0.29799999999999999</v>
      </c>
      <c r="R1600" s="1">
        <v>0.13800000000000001</v>
      </c>
      <c r="S1600" s="1">
        <v>0</v>
      </c>
      <c r="T1600" s="1">
        <v>0.47299999999999998</v>
      </c>
      <c r="U1600" s="1">
        <v>0.50700000000000001</v>
      </c>
      <c r="V1600" s="1">
        <v>104.94799999999999</v>
      </c>
      <c r="W1600">
        <v>4</v>
      </c>
    </row>
    <row r="1601" spans="1:23" x14ac:dyDescent="0.25">
      <c r="A1601" s="1" t="s">
        <v>17125</v>
      </c>
      <c r="B1601" s="1" t="s">
        <v>17122</v>
      </c>
      <c r="C1601" s="1" t="s">
        <v>5101</v>
      </c>
      <c r="D1601" s="1" t="s">
        <v>2055</v>
      </c>
      <c r="E1601" s="1" t="s">
        <v>5098</v>
      </c>
      <c r="F1601" s="1" t="s">
        <v>17123</v>
      </c>
      <c r="G1601">
        <v>242973</v>
      </c>
      <c r="H1601">
        <v>77</v>
      </c>
      <c r="I1601" s="1" t="s">
        <v>11063</v>
      </c>
      <c r="J1601" s="11">
        <v>44729.706458333334</v>
      </c>
      <c r="K1601" s="1" t="s">
        <v>5099</v>
      </c>
      <c r="L1601" s="1">
        <v>0.60299999999999998</v>
      </c>
      <c r="M1601" s="1">
        <v>0.67</v>
      </c>
      <c r="N1601">
        <v>2</v>
      </c>
      <c r="O1601" s="1">
        <v>-3.8820000000000001</v>
      </c>
      <c r="P1601">
        <v>0</v>
      </c>
      <c r="Q1601" s="1">
        <v>0.249</v>
      </c>
      <c r="R1601" s="1">
        <v>0.40799999999999997</v>
      </c>
      <c r="S1601" s="1">
        <v>0.16800000000000001</v>
      </c>
      <c r="T1601" s="1">
        <v>0.112</v>
      </c>
      <c r="U1601" s="1">
        <v>0.44600000000000001</v>
      </c>
      <c r="V1601" s="1">
        <v>107.99299999999999</v>
      </c>
      <c r="W1601">
        <v>4</v>
      </c>
    </row>
    <row r="1602" spans="1:23" x14ac:dyDescent="0.25">
      <c r="A1602" s="1" t="s">
        <v>17126</v>
      </c>
      <c r="B1602" s="1" t="s">
        <v>17127</v>
      </c>
      <c r="C1602" s="1" t="s">
        <v>5102</v>
      </c>
      <c r="D1602" s="1" t="s">
        <v>5102</v>
      </c>
      <c r="E1602" s="1" t="s">
        <v>5103</v>
      </c>
      <c r="F1602" s="1" t="s">
        <v>17128</v>
      </c>
      <c r="G1602">
        <v>416000</v>
      </c>
      <c r="H1602">
        <v>63</v>
      </c>
      <c r="I1602" s="1" t="s">
        <v>11063</v>
      </c>
      <c r="J1602" s="11">
        <v>44729.706458333334</v>
      </c>
      <c r="K1602" s="1" t="s">
        <v>5104</v>
      </c>
      <c r="L1602" s="1">
        <v>0.7</v>
      </c>
      <c r="M1602" s="1">
        <v>0.54600000000000004</v>
      </c>
      <c r="N1602">
        <v>5</v>
      </c>
      <c r="O1602" s="1">
        <v>-7.7050000000000001</v>
      </c>
      <c r="P1602">
        <v>0</v>
      </c>
      <c r="Q1602" s="1">
        <v>0.109</v>
      </c>
      <c r="R1602" s="1">
        <v>0.13100000000000001</v>
      </c>
      <c r="S1602" s="1">
        <v>0.30499999999999999</v>
      </c>
      <c r="T1602" s="1">
        <v>0.17199999999999999</v>
      </c>
      <c r="U1602" s="1">
        <v>0.30199999999999999</v>
      </c>
      <c r="V1602" s="1">
        <v>80.004000000000005</v>
      </c>
      <c r="W1602">
        <v>4</v>
      </c>
    </row>
    <row r="1603" spans="1:23" x14ac:dyDescent="0.25">
      <c r="A1603" s="1" t="s">
        <v>17129</v>
      </c>
      <c r="B1603" s="1" t="s">
        <v>17130</v>
      </c>
      <c r="C1603" s="1" t="s">
        <v>5105</v>
      </c>
      <c r="D1603" s="1" t="s">
        <v>5105</v>
      </c>
      <c r="E1603" s="1" t="s">
        <v>5106</v>
      </c>
      <c r="F1603" s="1" t="s">
        <v>15443</v>
      </c>
      <c r="G1603">
        <v>112075</v>
      </c>
      <c r="H1603">
        <v>12</v>
      </c>
      <c r="I1603" s="1" t="s">
        <v>11063</v>
      </c>
      <c r="J1603" s="11">
        <v>44729.706458333334</v>
      </c>
      <c r="K1603" s="1" t="s">
        <v>2577</v>
      </c>
      <c r="L1603" s="1">
        <v>0.83499999999999996</v>
      </c>
      <c r="M1603" s="1">
        <v>0.79700000000000004</v>
      </c>
      <c r="N1603">
        <v>10</v>
      </c>
      <c r="O1603" s="1">
        <v>-5.2409999999999997</v>
      </c>
      <c r="P1603">
        <v>0</v>
      </c>
      <c r="Q1603" s="1">
        <v>0.76</v>
      </c>
      <c r="R1603" s="1">
        <v>0.65400000000000003</v>
      </c>
      <c r="S1603" s="1">
        <v>0.108</v>
      </c>
      <c r="T1603" s="1">
        <v>0.93100000000000005</v>
      </c>
      <c r="U1603" s="1">
        <v>0.34300000000000003</v>
      </c>
      <c r="V1603" s="1">
        <v>105.925</v>
      </c>
      <c r="W1603">
        <v>4</v>
      </c>
    </row>
    <row r="1604" spans="1:23" x14ac:dyDescent="0.25">
      <c r="A1604" s="1" t="s">
        <v>17131</v>
      </c>
      <c r="B1604" s="1" t="s">
        <v>17132</v>
      </c>
      <c r="C1604" s="1" t="s">
        <v>5107</v>
      </c>
      <c r="D1604" s="1" t="s">
        <v>5107</v>
      </c>
      <c r="E1604" s="1" t="s">
        <v>5108</v>
      </c>
      <c r="F1604" s="1" t="s">
        <v>17133</v>
      </c>
      <c r="G1604">
        <v>172555</v>
      </c>
      <c r="H1604">
        <v>0</v>
      </c>
      <c r="I1604" s="1" t="s">
        <v>11063</v>
      </c>
      <c r="J1604" s="11">
        <v>44729.706458333334</v>
      </c>
      <c r="K1604" s="1" t="s">
        <v>5109</v>
      </c>
      <c r="L1604" s="1">
        <v>0.51700000000000002</v>
      </c>
      <c r="M1604" s="1">
        <v>0.69399999999999995</v>
      </c>
      <c r="N1604">
        <v>0</v>
      </c>
      <c r="O1604" s="1">
        <v>-7.1369999999999996</v>
      </c>
      <c r="P1604">
        <v>1</v>
      </c>
      <c r="Q1604" s="1">
        <v>0.156</v>
      </c>
      <c r="R1604" s="1">
        <v>0.38900000000000001</v>
      </c>
      <c r="S1604" s="1">
        <v>0</v>
      </c>
      <c r="T1604" s="1">
        <v>0.40500000000000003</v>
      </c>
      <c r="U1604" s="1">
        <v>0.44400000000000001</v>
      </c>
      <c r="V1604" s="1">
        <v>135.05799999999999</v>
      </c>
      <c r="W1604">
        <v>4</v>
      </c>
    </row>
    <row r="1605" spans="1:23" x14ac:dyDescent="0.25">
      <c r="A1605" s="1" t="s">
        <v>17134</v>
      </c>
      <c r="B1605" s="1" t="s">
        <v>17135</v>
      </c>
      <c r="C1605" s="1" t="s">
        <v>5110</v>
      </c>
      <c r="D1605" s="1" t="s">
        <v>17136</v>
      </c>
      <c r="E1605" s="1" t="s">
        <v>5111</v>
      </c>
      <c r="F1605" s="1" t="s">
        <v>11677</v>
      </c>
      <c r="G1605">
        <v>193466</v>
      </c>
      <c r="H1605">
        <v>37</v>
      </c>
      <c r="I1605" s="1" t="s">
        <v>11063</v>
      </c>
      <c r="J1605" s="11">
        <v>44729.706458333334</v>
      </c>
      <c r="K1605" s="1" t="s">
        <v>5112</v>
      </c>
      <c r="L1605" s="1">
        <v>0.56599999999999995</v>
      </c>
      <c r="M1605" s="1">
        <v>0.64</v>
      </c>
      <c r="N1605">
        <v>3</v>
      </c>
      <c r="O1605" s="1">
        <v>-6.01</v>
      </c>
      <c r="P1605">
        <v>0</v>
      </c>
      <c r="Q1605" s="1">
        <v>0.54600000000000004</v>
      </c>
      <c r="R1605" s="1">
        <v>0.53400000000000003</v>
      </c>
      <c r="S1605" s="1">
        <v>0.65600000000000003</v>
      </c>
      <c r="T1605" s="1">
        <v>0.28899999999999998</v>
      </c>
      <c r="U1605" s="1">
        <v>0.115</v>
      </c>
      <c r="V1605" s="1">
        <v>86.022000000000006</v>
      </c>
      <c r="W1605">
        <v>4</v>
      </c>
    </row>
    <row r="1606" spans="1:23" x14ac:dyDescent="0.25">
      <c r="A1606" s="1" t="s">
        <v>17137</v>
      </c>
      <c r="B1606" s="1" t="s">
        <v>17138</v>
      </c>
      <c r="C1606" s="1" t="s">
        <v>5113</v>
      </c>
      <c r="D1606" s="1" t="s">
        <v>17139</v>
      </c>
      <c r="E1606" s="1" t="s">
        <v>5114</v>
      </c>
      <c r="F1606" s="1" t="s">
        <v>14073</v>
      </c>
      <c r="G1606">
        <v>161431</v>
      </c>
      <c r="H1606">
        <v>48</v>
      </c>
      <c r="I1606" s="1" t="s">
        <v>11063</v>
      </c>
      <c r="J1606" s="11">
        <v>44729.706458333334</v>
      </c>
      <c r="K1606" s="1" t="s">
        <v>5115</v>
      </c>
      <c r="L1606" s="1">
        <v>0.67700000000000005</v>
      </c>
      <c r="M1606" s="1">
        <v>0.49199999999999999</v>
      </c>
      <c r="N1606">
        <v>1</v>
      </c>
      <c r="O1606" s="1">
        <v>-4.7640000000000002</v>
      </c>
      <c r="P1606">
        <v>1</v>
      </c>
      <c r="Q1606" s="1">
        <v>0.59699999999999998</v>
      </c>
      <c r="R1606" s="1">
        <v>0.11799999999999999</v>
      </c>
      <c r="S1606" s="1">
        <v>0.252</v>
      </c>
      <c r="T1606" s="1">
        <v>0.84399999999999997</v>
      </c>
      <c r="U1606" s="1">
        <v>0.16600000000000001</v>
      </c>
      <c r="V1606" s="1">
        <v>83.962000000000003</v>
      </c>
      <c r="W1606">
        <v>4</v>
      </c>
    </row>
    <row r="1607" spans="1:23" x14ac:dyDescent="0.25">
      <c r="A1607" s="1" t="s">
        <v>17140</v>
      </c>
      <c r="B1607" s="1" t="s">
        <v>17141</v>
      </c>
      <c r="C1607" s="1" t="s">
        <v>5116</v>
      </c>
      <c r="D1607" s="1" t="s">
        <v>5116</v>
      </c>
      <c r="E1607" s="1" t="s">
        <v>5117</v>
      </c>
      <c r="F1607" s="1" t="s">
        <v>14068</v>
      </c>
      <c r="G1607">
        <v>238840</v>
      </c>
      <c r="H1607">
        <v>46</v>
      </c>
      <c r="I1607" s="1" t="s">
        <v>11063</v>
      </c>
      <c r="J1607" s="11">
        <v>44729.706458333334</v>
      </c>
      <c r="K1607" s="1" t="s">
        <v>5118</v>
      </c>
      <c r="L1607" s="1">
        <v>0.61399999999999999</v>
      </c>
      <c r="M1607" s="1">
        <v>0.86399999999999999</v>
      </c>
      <c r="N1607">
        <v>5</v>
      </c>
      <c r="O1607" s="1">
        <v>-4.1950000000000003</v>
      </c>
      <c r="P1607">
        <v>0</v>
      </c>
      <c r="Q1607" s="1">
        <v>0.40100000000000002</v>
      </c>
      <c r="R1607" s="1">
        <v>0.13100000000000001</v>
      </c>
      <c r="S1607" s="1">
        <v>0.95299999999999996</v>
      </c>
      <c r="T1607" s="1">
        <v>0.185</v>
      </c>
      <c r="U1607" s="1">
        <v>0.33500000000000002</v>
      </c>
      <c r="V1607" s="1">
        <v>104.96599999999999</v>
      </c>
      <c r="W1607">
        <v>4</v>
      </c>
    </row>
    <row r="1608" spans="1:23" x14ac:dyDescent="0.25">
      <c r="A1608" s="1" t="s">
        <v>17142</v>
      </c>
      <c r="B1608" s="1" t="s">
        <v>17143</v>
      </c>
      <c r="C1608" s="1" t="s">
        <v>5119</v>
      </c>
      <c r="D1608" s="1" t="s">
        <v>17144</v>
      </c>
      <c r="E1608" s="1" t="s">
        <v>5120</v>
      </c>
      <c r="F1608" s="1" t="s">
        <v>16597</v>
      </c>
      <c r="G1608">
        <v>205196</v>
      </c>
      <c r="H1608">
        <v>39</v>
      </c>
      <c r="I1608" s="1" t="s">
        <v>11063</v>
      </c>
      <c r="J1608" s="11">
        <v>44729.706458333334</v>
      </c>
      <c r="K1608" s="1" t="s">
        <v>1000</v>
      </c>
      <c r="L1608" s="1">
        <v>0.63200000000000001</v>
      </c>
      <c r="M1608" s="1">
        <v>0.79</v>
      </c>
      <c r="N1608">
        <v>8</v>
      </c>
      <c r="O1608" s="1">
        <v>-6.8330000000000002</v>
      </c>
      <c r="P1608">
        <v>0</v>
      </c>
      <c r="Q1608" s="1">
        <v>0.373</v>
      </c>
      <c r="R1608" s="1">
        <v>0.999</v>
      </c>
      <c r="S1608" s="1">
        <v>0.111</v>
      </c>
      <c r="T1608" s="1">
        <v>0.24</v>
      </c>
      <c r="U1608" s="1">
        <v>0.38600000000000001</v>
      </c>
      <c r="V1608" s="1">
        <v>148.14599999999999</v>
      </c>
      <c r="W1608">
        <v>4</v>
      </c>
    </row>
    <row r="1609" spans="1:23" x14ac:dyDescent="0.25">
      <c r="A1609" s="1" t="s">
        <v>17145</v>
      </c>
      <c r="B1609" s="1" t="s">
        <v>17146</v>
      </c>
      <c r="C1609" s="1" t="s">
        <v>5121</v>
      </c>
      <c r="D1609" s="1" t="s">
        <v>5121</v>
      </c>
      <c r="E1609" s="1" t="s">
        <v>5122</v>
      </c>
      <c r="F1609" s="1" t="s">
        <v>13979</v>
      </c>
      <c r="G1609">
        <v>190769</v>
      </c>
      <c r="H1609">
        <v>48</v>
      </c>
      <c r="I1609" s="1" t="s">
        <v>11063</v>
      </c>
      <c r="J1609" s="11">
        <v>44729.706458333334</v>
      </c>
      <c r="K1609" s="1" t="s">
        <v>5123</v>
      </c>
      <c r="L1609" s="1">
        <v>0.82799999999999996</v>
      </c>
      <c r="M1609" s="1">
        <v>0.40699999999999997</v>
      </c>
      <c r="N1609">
        <v>2</v>
      </c>
      <c r="O1609" s="1">
        <v>-4.9829999999999997</v>
      </c>
      <c r="P1609">
        <v>0</v>
      </c>
      <c r="Q1609" s="1">
        <v>0.45500000000000002</v>
      </c>
      <c r="R1609" s="1">
        <v>0.45600000000000002</v>
      </c>
      <c r="S1609" s="1">
        <v>0.71299999999999997</v>
      </c>
      <c r="T1609" s="1">
        <v>0.77100000000000002</v>
      </c>
      <c r="U1609" s="1">
        <v>0.55900000000000005</v>
      </c>
      <c r="V1609" s="1">
        <v>78.046000000000006</v>
      </c>
      <c r="W1609">
        <v>4</v>
      </c>
    </row>
    <row r="1610" spans="1:23" x14ac:dyDescent="0.25">
      <c r="A1610" s="1" t="s">
        <v>11357</v>
      </c>
      <c r="B1610" s="1" t="s">
        <v>11358</v>
      </c>
      <c r="C1610" s="1" t="s">
        <v>146</v>
      </c>
      <c r="D1610" s="1" t="s">
        <v>11355</v>
      </c>
      <c r="E1610" s="1" t="s">
        <v>147</v>
      </c>
      <c r="F1610" s="1" t="s">
        <v>11356</v>
      </c>
      <c r="G1610">
        <v>231040</v>
      </c>
      <c r="H1610">
        <v>52</v>
      </c>
      <c r="I1610" s="1" t="s">
        <v>11063</v>
      </c>
      <c r="J1610" s="11">
        <v>44729.706458333334</v>
      </c>
      <c r="K1610" s="1" t="s">
        <v>5124</v>
      </c>
      <c r="L1610" s="1">
        <v>0.46600000000000003</v>
      </c>
      <c r="M1610" s="1">
        <v>0.84099999999999997</v>
      </c>
      <c r="N1610">
        <v>4</v>
      </c>
      <c r="O1610" s="1">
        <v>-4.6829999999999998</v>
      </c>
      <c r="P1610">
        <v>0</v>
      </c>
      <c r="Q1610" s="1">
        <v>0.873</v>
      </c>
      <c r="R1610" s="1">
        <v>0.219</v>
      </c>
      <c r="S1610" s="1">
        <v>0.28599999999999998</v>
      </c>
      <c r="T1610" s="1">
        <v>0.14000000000000001</v>
      </c>
      <c r="U1610" s="1">
        <v>0.317</v>
      </c>
      <c r="V1610" s="1">
        <v>171.874</v>
      </c>
      <c r="W1610">
        <v>4</v>
      </c>
    </row>
    <row r="1611" spans="1:23" x14ac:dyDescent="0.25">
      <c r="A1611" s="1" t="s">
        <v>17147</v>
      </c>
      <c r="B1611" s="1" t="s">
        <v>17148</v>
      </c>
      <c r="C1611" s="1" t="s">
        <v>5125</v>
      </c>
      <c r="D1611" s="1" t="s">
        <v>11355</v>
      </c>
      <c r="E1611" s="1" t="s">
        <v>5126</v>
      </c>
      <c r="F1611" s="1" t="s">
        <v>11356</v>
      </c>
      <c r="G1611">
        <v>270589</v>
      </c>
      <c r="H1611">
        <v>60</v>
      </c>
      <c r="I1611" s="1" t="s">
        <v>11063</v>
      </c>
      <c r="J1611" s="11">
        <v>44729.706458333334</v>
      </c>
      <c r="K1611" s="1" t="s">
        <v>1000</v>
      </c>
      <c r="L1611" s="1">
        <v>0.58299999999999996</v>
      </c>
      <c r="M1611" s="1">
        <v>0.78500000000000003</v>
      </c>
      <c r="N1611">
        <v>2</v>
      </c>
      <c r="O1611" s="1">
        <v>-3.9910000000000001</v>
      </c>
      <c r="P1611">
        <v>0</v>
      </c>
      <c r="Q1611" s="1">
        <v>0.33700000000000002</v>
      </c>
      <c r="R1611" s="1">
        <v>0.12</v>
      </c>
      <c r="S1611" s="1">
        <v>0.127</v>
      </c>
      <c r="T1611" s="1">
        <v>0.124</v>
      </c>
      <c r="U1611" s="1">
        <v>0.35499999999999998</v>
      </c>
      <c r="V1611" s="1">
        <v>91.977000000000004</v>
      </c>
      <c r="W1611">
        <v>4</v>
      </c>
    </row>
    <row r="1612" spans="1:23" x14ac:dyDescent="0.25">
      <c r="A1612" s="1" t="s">
        <v>17149</v>
      </c>
      <c r="B1612" s="1" t="s">
        <v>17150</v>
      </c>
      <c r="C1612" s="1" t="s">
        <v>5127</v>
      </c>
      <c r="D1612" s="1" t="s">
        <v>17151</v>
      </c>
      <c r="E1612" s="1" t="s">
        <v>5128</v>
      </c>
      <c r="F1612" s="1" t="s">
        <v>11651</v>
      </c>
      <c r="G1612">
        <v>244888</v>
      </c>
      <c r="H1612">
        <v>0</v>
      </c>
      <c r="I1612" s="1" t="s">
        <v>11063</v>
      </c>
      <c r="J1612" s="11">
        <v>44729.706458333334</v>
      </c>
      <c r="K1612" s="1" t="s">
        <v>5129</v>
      </c>
      <c r="L1612" s="1">
        <v>0.54200000000000004</v>
      </c>
      <c r="M1612" s="1">
        <v>0.53</v>
      </c>
      <c r="N1612">
        <v>1</v>
      </c>
      <c r="O1612" s="1">
        <v>-9.3379999999999992</v>
      </c>
      <c r="P1612">
        <v>1</v>
      </c>
      <c r="Q1612" s="1">
        <v>0.28499999999999998</v>
      </c>
      <c r="R1612" s="1">
        <v>0.51200000000000001</v>
      </c>
      <c r="S1612" s="1">
        <v>0.254</v>
      </c>
      <c r="T1612" s="1">
        <v>0.186</v>
      </c>
      <c r="U1612" s="1">
        <v>0.251</v>
      </c>
      <c r="V1612" s="1">
        <v>134.946</v>
      </c>
      <c r="W1612">
        <v>4</v>
      </c>
    </row>
    <row r="1613" spans="1:23" x14ac:dyDescent="0.25">
      <c r="A1613" s="1" t="s">
        <v>17152</v>
      </c>
      <c r="B1613" s="1" t="s">
        <v>17153</v>
      </c>
      <c r="C1613" s="1" t="s">
        <v>5130</v>
      </c>
      <c r="D1613" s="1" t="s">
        <v>17154</v>
      </c>
      <c r="E1613" s="1" t="s">
        <v>5131</v>
      </c>
      <c r="F1613" s="1" t="s">
        <v>16505</v>
      </c>
      <c r="G1613">
        <v>194800</v>
      </c>
      <c r="H1613">
        <v>6</v>
      </c>
      <c r="I1613" s="1" t="s">
        <v>11063</v>
      </c>
      <c r="J1613" s="11">
        <v>44729.706458333334</v>
      </c>
      <c r="K1613" s="1" t="s">
        <v>5132</v>
      </c>
      <c r="L1613" s="1">
        <v>0.55800000000000005</v>
      </c>
      <c r="M1613" s="1">
        <v>0.74199999999999999</v>
      </c>
      <c r="N1613">
        <v>8</v>
      </c>
      <c r="O1613" s="1">
        <v>-3.7320000000000002</v>
      </c>
      <c r="P1613">
        <v>0</v>
      </c>
      <c r="Q1613" s="1">
        <v>0.113</v>
      </c>
      <c r="R1613" s="1">
        <v>0.61299999999999999</v>
      </c>
      <c r="S1613" s="1">
        <v>0.224</v>
      </c>
      <c r="T1613" s="1">
        <v>0.32</v>
      </c>
      <c r="U1613" s="1">
        <v>0.371</v>
      </c>
      <c r="V1613" s="1">
        <v>150.078</v>
      </c>
      <c r="W1613">
        <v>4</v>
      </c>
    </row>
    <row r="1614" spans="1:23" x14ac:dyDescent="0.25">
      <c r="A1614" s="1" t="s">
        <v>17155</v>
      </c>
      <c r="B1614" s="1" t="s">
        <v>17156</v>
      </c>
      <c r="C1614" s="1" t="s">
        <v>5133</v>
      </c>
      <c r="D1614" s="1" t="s">
        <v>17157</v>
      </c>
      <c r="E1614" s="1" t="s">
        <v>5134</v>
      </c>
      <c r="F1614" s="1" t="s">
        <v>11654</v>
      </c>
      <c r="G1614">
        <v>153600</v>
      </c>
      <c r="H1614">
        <v>18</v>
      </c>
      <c r="I1614" s="1" t="s">
        <v>11063</v>
      </c>
      <c r="J1614" s="11">
        <v>44729.706458333334</v>
      </c>
      <c r="K1614" s="1" t="s">
        <v>5135</v>
      </c>
      <c r="L1614" s="1">
        <v>0.628</v>
      </c>
      <c r="M1614" s="1">
        <v>0.94799999999999995</v>
      </c>
      <c r="N1614">
        <v>11</v>
      </c>
      <c r="O1614" s="1">
        <v>-2.5840000000000001</v>
      </c>
      <c r="P1614">
        <v>0</v>
      </c>
      <c r="Q1614" s="1">
        <v>0.47099999999999997</v>
      </c>
      <c r="R1614" s="1">
        <v>0.41599999999999998</v>
      </c>
      <c r="S1614" s="1">
        <v>0.73599999999999999</v>
      </c>
      <c r="T1614" s="1">
        <v>0.16200000000000001</v>
      </c>
      <c r="U1614" s="1">
        <v>0.32200000000000001</v>
      </c>
      <c r="V1614" s="1">
        <v>149.95400000000001</v>
      </c>
      <c r="W1614">
        <v>4</v>
      </c>
    </row>
    <row r="1615" spans="1:23" x14ac:dyDescent="0.25">
      <c r="A1615" s="1" t="s">
        <v>17158</v>
      </c>
      <c r="B1615" s="1" t="s">
        <v>17159</v>
      </c>
      <c r="C1615" s="1" t="s">
        <v>5136</v>
      </c>
      <c r="D1615" s="1" t="s">
        <v>5136</v>
      </c>
      <c r="E1615" s="1" t="s">
        <v>5137</v>
      </c>
      <c r="F1615" s="1" t="s">
        <v>17160</v>
      </c>
      <c r="G1615">
        <v>258148</v>
      </c>
      <c r="H1615">
        <v>38</v>
      </c>
      <c r="I1615" s="1" t="s">
        <v>11063</v>
      </c>
      <c r="J1615" s="11">
        <v>44729.706458333334</v>
      </c>
      <c r="K1615" s="1" t="s">
        <v>5138</v>
      </c>
      <c r="L1615" s="1">
        <v>0.54500000000000004</v>
      </c>
      <c r="M1615" s="1">
        <v>0.69199999999999995</v>
      </c>
      <c r="N1615">
        <v>2</v>
      </c>
      <c r="O1615" s="1">
        <v>-5.64</v>
      </c>
      <c r="P1615">
        <v>0</v>
      </c>
      <c r="Q1615" s="1">
        <v>0.39700000000000002</v>
      </c>
      <c r="R1615" s="1">
        <v>0.16300000000000001</v>
      </c>
      <c r="S1615" s="1">
        <v>0.13600000000000001</v>
      </c>
      <c r="T1615" s="1">
        <v>0.154</v>
      </c>
      <c r="U1615" s="1">
        <v>0.11700000000000001</v>
      </c>
      <c r="V1615" s="1">
        <v>106.057</v>
      </c>
      <c r="W1615">
        <v>4</v>
      </c>
    </row>
    <row r="1616" spans="1:23" x14ac:dyDescent="0.25">
      <c r="A1616" s="1" t="s">
        <v>17161</v>
      </c>
      <c r="B1616" s="1" t="s">
        <v>17162</v>
      </c>
      <c r="C1616" s="1" t="s">
        <v>5139</v>
      </c>
      <c r="D1616" s="1" t="s">
        <v>5139</v>
      </c>
      <c r="E1616" s="1" t="s">
        <v>5140</v>
      </c>
      <c r="F1616" s="1" t="s">
        <v>17163</v>
      </c>
      <c r="G1616">
        <v>230000</v>
      </c>
      <c r="H1616">
        <v>17</v>
      </c>
      <c r="I1616" s="1" t="s">
        <v>11063</v>
      </c>
      <c r="J1616" s="11">
        <v>44729.706458333334</v>
      </c>
      <c r="K1616" s="1" t="s">
        <v>50</v>
      </c>
      <c r="L1616" s="1">
        <v>0.47299999999999998</v>
      </c>
      <c r="M1616" s="1">
        <v>0.68200000000000005</v>
      </c>
      <c r="N1616">
        <v>3</v>
      </c>
      <c r="O1616" s="1">
        <v>-3.4470000000000001</v>
      </c>
      <c r="P1616">
        <v>0</v>
      </c>
      <c r="Q1616" s="1">
        <v>0.38200000000000001</v>
      </c>
      <c r="R1616" s="1">
        <v>0.10100000000000001</v>
      </c>
      <c r="S1616" s="1">
        <v>0</v>
      </c>
      <c r="T1616" s="1">
        <v>0.156</v>
      </c>
      <c r="U1616" s="1">
        <v>0.215</v>
      </c>
      <c r="V1616" s="1">
        <v>74.986999999999995</v>
      </c>
      <c r="W1616">
        <v>4</v>
      </c>
    </row>
    <row r="1617" spans="1:23" x14ac:dyDescent="0.25">
      <c r="A1617" s="1" t="s">
        <v>17164</v>
      </c>
      <c r="B1617" s="1" t="s">
        <v>17162</v>
      </c>
      <c r="C1617" s="1" t="s">
        <v>5141</v>
      </c>
      <c r="D1617" s="1" t="s">
        <v>17165</v>
      </c>
      <c r="E1617" s="1" t="s">
        <v>5140</v>
      </c>
      <c r="F1617" s="1" t="s">
        <v>16018</v>
      </c>
      <c r="G1617">
        <v>198883</v>
      </c>
      <c r="H1617">
        <v>47</v>
      </c>
      <c r="I1617" s="1" t="s">
        <v>11063</v>
      </c>
      <c r="J1617" s="11">
        <v>44729.706458333334</v>
      </c>
      <c r="K1617" s="1" t="s">
        <v>50</v>
      </c>
      <c r="L1617" s="1">
        <v>0.51300000000000001</v>
      </c>
      <c r="M1617" s="1">
        <v>0.56699999999999995</v>
      </c>
      <c r="N1617">
        <v>3</v>
      </c>
      <c r="O1617" s="1">
        <v>-4.7130000000000001</v>
      </c>
      <c r="P1617">
        <v>0</v>
      </c>
      <c r="Q1617" s="1">
        <v>0.29599999999999999</v>
      </c>
      <c r="R1617" s="1">
        <v>0.14599999999999999</v>
      </c>
      <c r="S1617" s="1">
        <v>0.5</v>
      </c>
      <c r="T1617" s="1">
        <v>0.108</v>
      </c>
      <c r="U1617" s="1">
        <v>0.112</v>
      </c>
      <c r="V1617" s="1">
        <v>140.16</v>
      </c>
      <c r="W1617">
        <v>4</v>
      </c>
    </row>
    <row r="1618" spans="1:23" x14ac:dyDescent="0.25">
      <c r="A1618" s="1" t="s">
        <v>17166</v>
      </c>
      <c r="B1618" s="1" t="s">
        <v>17167</v>
      </c>
      <c r="C1618" s="1" t="s">
        <v>5142</v>
      </c>
      <c r="D1618" s="1" t="s">
        <v>5142</v>
      </c>
      <c r="E1618" s="1" t="s">
        <v>5143</v>
      </c>
      <c r="F1618" s="1" t="s">
        <v>11605</v>
      </c>
      <c r="G1618">
        <v>204374</v>
      </c>
      <c r="H1618">
        <v>56</v>
      </c>
      <c r="I1618" s="1" t="s">
        <v>11063</v>
      </c>
      <c r="J1618" s="11">
        <v>44729.706458333334</v>
      </c>
      <c r="K1618" s="1" t="s">
        <v>5144</v>
      </c>
      <c r="L1618" s="1">
        <v>0.60399999999999998</v>
      </c>
      <c r="M1618" s="1">
        <v>0.89400000000000002</v>
      </c>
      <c r="N1618">
        <v>5</v>
      </c>
      <c r="O1618" s="1">
        <v>-4.7549999999999999</v>
      </c>
      <c r="P1618">
        <v>1</v>
      </c>
      <c r="Q1618" s="1">
        <v>0.113</v>
      </c>
      <c r="R1618" s="1">
        <v>0.51200000000000001</v>
      </c>
      <c r="S1618" s="1">
        <v>0.315</v>
      </c>
      <c r="T1618" s="1">
        <v>0.23400000000000001</v>
      </c>
      <c r="U1618" s="1">
        <v>0.41499999999999998</v>
      </c>
      <c r="V1618" s="1">
        <v>127.964</v>
      </c>
      <c r="W1618">
        <v>4</v>
      </c>
    </row>
    <row r="1619" spans="1:23" x14ac:dyDescent="0.25">
      <c r="A1619" s="1" t="s">
        <v>17168</v>
      </c>
      <c r="B1619" s="1" t="s">
        <v>17169</v>
      </c>
      <c r="C1619" s="1" t="s">
        <v>5145</v>
      </c>
      <c r="D1619" s="1" t="s">
        <v>17170</v>
      </c>
      <c r="E1619" s="1" t="s">
        <v>5146</v>
      </c>
      <c r="F1619" s="1" t="s">
        <v>13569</v>
      </c>
      <c r="G1619">
        <v>250946</v>
      </c>
      <c r="H1619">
        <v>65</v>
      </c>
      <c r="I1619" s="1" t="s">
        <v>11063</v>
      </c>
      <c r="J1619" s="11">
        <v>44729.706458333334</v>
      </c>
      <c r="K1619" s="1" t="s">
        <v>5147</v>
      </c>
      <c r="L1619" s="1">
        <v>0.64800000000000002</v>
      </c>
      <c r="M1619" s="1">
        <v>0.81200000000000006</v>
      </c>
      <c r="N1619">
        <v>11</v>
      </c>
      <c r="O1619" s="1">
        <v>-7.585</v>
      </c>
      <c r="P1619">
        <v>0</v>
      </c>
      <c r="Q1619" s="1">
        <v>0.41399999999999998</v>
      </c>
      <c r="R1619" s="1">
        <v>0.32900000000000001</v>
      </c>
      <c r="S1619" s="1">
        <v>0.36899999999999999</v>
      </c>
      <c r="T1619" s="1">
        <v>0.85699999999999998</v>
      </c>
      <c r="U1619" s="1">
        <v>0.122</v>
      </c>
      <c r="V1619" s="1">
        <v>128.178</v>
      </c>
      <c r="W1619">
        <v>4</v>
      </c>
    </row>
    <row r="1620" spans="1:23" x14ac:dyDescent="0.25">
      <c r="A1620" s="1" t="s">
        <v>12392</v>
      </c>
      <c r="B1620" s="1" t="s">
        <v>12129</v>
      </c>
      <c r="C1620" s="1" t="s">
        <v>652</v>
      </c>
      <c r="D1620" s="1" t="s">
        <v>652</v>
      </c>
      <c r="E1620" s="1" t="s">
        <v>653</v>
      </c>
      <c r="F1620" s="1" t="s">
        <v>16886</v>
      </c>
      <c r="G1620">
        <v>187500</v>
      </c>
      <c r="H1620">
        <v>54</v>
      </c>
      <c r="I1620" s="1" t="s">
        <v>11063</v>
      </c>
      <c r="J1620" s="11">
        <v>44729.706458333334</v>
      </c>
      <c r="K1620" s="1" t="s">
        <v>654</v>
      </c>
      <c r="L1620" s="1">
        <v>0.59299999999999997</v>
      </c>
      <c r="M1620" s="1">
        <v>0.86899999999999999</v>
      </c>
      <c r="N1620">
        <v>7</v>
      </c>
      <c r="O1620" s="1">
        <v>-3.4540000000000002</v>
      </c>
      <c r="P1620">
        <v>0</v>
      </c>
      <c r="Q1620" s="1">
        <v>0.57499999999999996</v>
      </c>
      <c r="R1620" s="1">
        <v>0.94499999999999995</v>
      </c>
      <c r="S1620" s="1">
        <v>0.42799999999999999</v>
      </c>
      <c r="T1620" s="1">
        <v>0.184</v>
      </c>
      <c r="U1620" s="1">
        <v>0.17299999999999999</v>
      </c>
      <c r="V1620" s="1">
        <v>128.00299999999999</v>
      </c>
      <c r="W1620">
        <v>4</v>
      </c>
    </row>
    <row r="1621" spans="1:23" x14ac:dyDescent="0.25">
      <c r="A1621" s="1" t="s">
        <v>17171</v>
      </c>
      <c r="B1621" s="1" t="s">
        <v>17172</v>
      </c>
      <c r="C1621" s="1" t="s">
        <v>5148</v>
      </c>
      <c r="D1621" s="1" t="s">
        <v>5148</v>
      </c>
      <c r="E1621" s="1" t="s">
        <v>5149</v>
      </c>
      <c r="F1621" s="1" t="s">
        <v>17173</v>
      </c>
      <c r="G1621">
        <v>182343</v>
      </c>
      <c r="H1621">
        <v>50</v>
      </c>
      <c r="I1621" s="1" t="s">
        <v>11063</v>
      </c>
      <c r="J1621" s="11">
        <v>44729.706458333334</v>
      </c>
      <c r="K1621" s="1" t="s">
        <v>5150</v>
      </c>
      <c r="L1621" s="1">
        <v>0.33100000000000002</v>
      </c>
      <c r="M1621" s="1">
        <v>0.91900000000000004</v>
      </c>
      <c r="N1621">
        <v>3</v>
      </c>
      <c r="O1621" s="1">
        <v>-4.7069999999999999</v>
      </c>
      <c r="P1621">
        <v>0</v>
      </c>
      <c r="Q1621" s="1">
        <v>0.45200000000000001</v>
      </c>
      <c r="R1621" s="1">
        <v>0.36699999999999999</v>
      </c>
      <c r="S1621" s="1">
        <v>0.75900000000000001</v>
      </c>
      <c r="T1621" s="1">
        <v>0.124</v>
      </c>
      <c r="U1621" s="1">
        <v>0.38900000000000001</v>
      </c>
      <c r="V1621" s="1">
        <v>191.11199999999999</v>
      </c>
      <c r="W1621">
        <v>3</v>
      </c>
    </row>
    <row r="1622" spans="1:23" x14ac:dyDescent="0.25">
      <c r="A1622" s="1" t="s">
        <v>17174</v>
      </c>
      <c r="B1622" s="1" t="s">
        <v>17175</v>
      </c>
      <c r="C1622" s="1" t="s">
        <v>5151</v>
      </c>
      <c r="D1622" s="1" t="s">
        <v>5151</v>
      </c>
      <c r="E1622" s="1" t="s">
        <v>5152</v>
      </c>
      <c r="F1622" s="1" t="s">
        <v>14060</v>
      </c>
      <c r="G1622">
        <v>197062</v>
      </c>
      <c r="H1622">
        <v>50</v>
      </c>
      <c r="I1622" s="1" t="s">
        <v>11063</v>
      </c>
      <c r="J1622" s="11">
        <v>44729.706458333334</v>
      </c>
      <c r="K1622" s="1" t="s">
        <v>5153</v>
      </c>
      <c r="L1622" s="1">
        <v>0.55700000000000005</v>
      </c>
      <c r="M1622" s="1">
        <v>0.78100000000000003</v>
      </c>
      <c r="N1622">
        <v>1</v>
      </c>
      <c r="O1622" s="1">
        <v>-3.8410000000000002</v>
      </c>
      <c r="P1622">
        <v>1</v>
      </c>
      <c r="Q1622" s="1">
        <v>0.92500000000000004</v>
      </c>
      <c r="R1622" s="1">
        <v>0.38400000000000001</v>
      </c>
      <c r="S1622" s="1">
        <v>0</v>
      </c>
      <c r="T1622" s="1">
        <v>0.14299999999999999</v>
      </c>
      <c r="U1622" s="1">
        <v>0.77900000000000003</v>
      </c>
      <c r="V1622" s="1">
        <v>155.92400000000001</v>
      </c>
      <c r="W1622">
        <v>4</v>
      </c>
    </row>
    <row r="1623" spans="1:23" x14ac:dyDescent="0.25">
      <c r="A1623" s="1" t="s">
        <v>17176</v>
      </c>
      <c r="B1623" s="1" t="s">
        <v>11741</v>
      </c>
      <c r="C1623" s="1" t="s">
        <v>5154</v>
      </c>
      <c r="D1623" s="1" t="s">
        <v>12835</v>
      </c>
      <c r="E1623" s="1" t="s">
        <v>442</v>
      </c>
      <c r="F1623" s="1" t="s">
        <v>17177</v>
      </c>
      <c r="G1623">
        <v>235493</v>
      </c>
      <c r="H1623">
        <v>73</v>
      </c>
      <c r="I1623" s="1" t="s">
        <v>11063</v>
      </c>
      <c r="J1623" s="11">
        <v>44729.706458333334</v>
      </c>
      <c r="K1623" s="1" t="s">
        <v>443</v>
      </c>
      <c r="L1623" s="1">
        <v>0.78900000000000003</v>
      </c>
      <c r="M1623" s="1">
        <v>0.71599999999999997</v>
      </c>
      <c r="N1623">
        <v>11</v>
      </c>
      <c r="O1623" s="1">
        <v>-4.2409999999999997</v>
      </c>
      <c r="P1623">
        <v>0</v>
      </c>
      <c r="Q1623" s="1">
        <v>0.432</v>
      </c>
      <c r="R1623" s="1">
        <v>0.129</v>
      </c>
      <c r="S1623" s="1">
        <v>0.107</v>
      </c>
      <c r="T1623" s="1">
        <v>0.69</v>
      </c>
      <c r="U1623" s="1">
        <v>0.61099999999999999</v>
      </c>
      <c r="V1623" s="1">
        <v>125.90600000000001</v>
      </c>
      <c r="W1623">
        <v>4</v>
      </c>
    </row>
    <row r="1624" spans="1:23" x14ac:dyDescent="0.25">
      <c r="A1624" s="1" t="s">
        <v>17178</v>
      </c>
      <c r="B1624" s="1" t="s">
        <v>16067</v>
      </c>
      <c r="C1624" s="1" t="s">
        <v>5155</v>
      </c>
      <c r="D1624" s="1" t="s">
        <v>12835</v>
      </c>
      <c r="E1624" s="1" t="s">
        <v>4210</v>
      </c>
      <c r="F1624" s="1" t="s">
        <v>17177</v>
      </c>
      <c r="G1624">
        <v>263173</v>
      </c>
      <c r="H1624">
        <v>67</v>
      </c>
      <c r="I1624" s="1" t="s">
        <v>11063</v>
      </c>
      <c r="J1624" s="11">
        <v>44729.706458333334</v>
      </c>
      <c r="K1624" s="1" t="s">
        <v>4211</v>
      </c>
      <c r="L1624" s="1">
        <v>0.69199999999999995</v>
      </c>
      <c r="M1624" s="1">
        <v>0.78600000000000003</v>
      </c>
      <c r="N1624">
        <v>2</v>
      </c>
      <c r="O1624" s="1">
        <v>-2.9590000000000001</v>
      </c>
      <c r="P1624">
        <v>1</v>
      </c>
      <c r="Q1624" s="1">
        <v>0.69</v>
      </c>
      <c r="R1624" s="1">
        <v>0.23</v>
      </c>
      <c r="S1624" s="1">
        <v>0</v>
      </c>
      <c r="T1624" s="1">
        <v>0.79700000000000004</v>
      </c>
      <c r="U1624" s="1">
        <v>0.58299999999999996</v>
      </c>
      <c r="V1624" s="1">
        <v>100.02500000000001</v>
      </c>
      <c r="W1624">
        <v>4</v>
      </c>
    </row>
    <row r="1625" spans="1:23" x14ac:dyDescent="0.25">
      <c r="A1625" s="1" t="s">
        <v>17179</v>
      </c>
      <c r="B1625" s="1" t="s">
        <v>11741</v>
      </c>
      <c r="C1625" s="1" t="s">
        <v>5156</v>
      </c>
      <c r="D1625" s="1" t="s">
        <v>12835</v>
      </c>
      <c r="E1625" s="1" t="s">
        <v>442</v>
      </c>
      <c r="F1625" s="1" t="s">
        <v>17177</v>
      </c>
      <c r="G1625">
        <v>243533</v>
      </c>
      <c r="H1625">
        <v>73</v>
      </c>
      <c r="I1625" s="1" t="s">
        <v>11063</v>
      </c>
      <c r="J1625" s="11">
        <v>44729.706458333334</v>
      </c>
      <c r="K1625" s="1" t="s">
        <v>443</v>
      </c>
      <c r="L1625" s="1">
        <v>0.76700000000000002</v>
      </c>
      <c r="M1625" s="1">
        <v>0.68200000000000005</v>
      </c>
      <c r="N1625">
        <v>1</v>
      </c>
      <c r="O1625" s="1">
        <v>-5.0199999999999996</v>
      </c>
      <c r="P1625">
        <v>1</v>
      </c>
      <c r="Q1625" s="1">
        <v>0.42</v>
      </c>
      <c r="R1625" s="1">
        <v>0.113</v>
      </c>
      <c r="S1625" s="1">
        <v>0.16</v>
      </c>
      <c r="T1625" s="1">
        <v>0.104</v>
      </c>
      <c r="U1625" s="1">
        <v>0.83299999999999996</v>
      </c>
      <c r="V1625" s="1">
        <v>127.97499999999999</v>
      </c>
      <c r="W1625">
        <v>4</v>
      </c>
    </row>
    <row r="1626" spans="1:23" x14ac:dyDescent="0.25">
      <c r="A1626" s="1" t="s">
        <v>17180</v>
      </c>
      <c r="B1626" s="1" t="s">
        <v>17181</v>
      </c>
      <c r="C1626" s="1" t="s">
        <v>5157</v>
      </c>
      <c r="D1626" s="1" t="s">
        <v>5157</v>
      </c>
      <c r="E1626" s="1" t="s">
        <v>5158</v>
      </c>
      <c r="F1626" s="1" t="s">
        <v>16426</v>
      </c>
      <c r="G1626">
        <v>301500</v>
      </c>
      <c r="H1626">
        <v>36</v>
      </c>
      <c r="I1626" s="1" t="s">
        <v>11063</v>
      </c>
      <c r="J1626" s="11">
        <v>44729.706458333334</v>
      </c>
      <c r="K1626" s="1" t="s">
        <v>5159</v>
      </c>
      <c r="L1626" s="1">
        <v>0.47099999999999997</v>
      </c>
      <c r="M1626" s="1">
        <v>0.85099999999999998</v>
      </c>
      <c r="N1626">
        <v>4</v>
      </c>
      <c r="O1626" s="1">
        <v>-4.6210000000000004</v>
      </c>
      <c r="P1626">
        <v>1</v>
      </c>
      <c r="Q1626" s="1">
        <v>0.24399999999999999</v>
      </c>
      <c r="R1626" s="1">
        <v>0.11899999999999999</v>
      </c>
      <c r="S1626" s="1">
        <v>0.23100000000000001</v>
      </c>
      <c r="T1626" s="1">
        <v>0.128</v>
      </c>
      <c r="U1626" s="1">
        <v>0.19600000000000001</v>
      </c>
      <c r="V1626" s="1">
        <v>160.017</v>
      </c>
      <c r="W1626">
        <v>4</v>
      </c>
    </row>
    <row r="1627" spans="1:23" x14ac:dyDescent="0.25">
      <c r="A1627" s="1" t="s">
        <v>17182</v>
      </c>
      <c r="B1627" s="1" t="s">
        <v>17183</v>
      </c>
      <c r="C1627" s="1" t="s">
        <v>5160</v>
      </c>
      <c r="D1627" s="1" t="s">
        <v>11198</v>
      </c>
      <c r="E1627" s="1" t="s">
        <v>5161</v>
      </c>
      <c r="F1627" s="1" t="s">
        <v>13538</v>
      </c>
      <c r="G1627">
        <v>209880</v>
      </c>
      <c r="H1627">
        <v>75</v>
      </c>
      <c r="I1627" s="1" t="s">
        <v>11063</v>
      </c>
      <c r="J1627" s="11">
        <v>44729.706458333334</v>
      </c>
      <c r="K1627" s="1" t="s">
        <v>5162</v>
      </c>
      <c r="L1627" s="1">
        <v>0.52800000000000002</v>
      </c>
      <c r="M1627" s="1">
        <v>0.51100000000000001</v>
      </c>
      <c r="N1627">
        <v>3</v>
      </c>
      <c r="O1627" s="1">
        <v>-8.1440000000000001</v>
      </c>
      <c r="P1627">
        <v>1</v>
      </c>
      <c r="Q1627" s="1">
        <v>0.32400000000000001</v>
      </c>
      <c r="R1627" s="1">
        <v>0.126</v>
      </c>
      <c r="S1627" s="1">
        <v>0</v>
      </c>
      <c r="T1627" s="1">
        <v>0.10100000000000001</v>
      </c>
      <c r="U1627" s="1">
        <v>0.35099999999999998</v>
      </c>
      <c r="V1627" s="1">
        <v>100.1</v>
      </c>
      <c r="W1627">
        <v>4</v>
      </c>
    </row>
    <row r="1628" spans="1:23" x14ac:dyDescent="0.25">
      <c r="A1628" s="1" t="s">
        <v>17184</v>
      </c>
      <c r="B1628" s="1" t="s">
        <v>11197</v>
      </c>
      <c r="C1628" s="1" t="s">
        <v>5163</v>
      </c>
      <c r="D1628" s="1" t="s">
        <v>11198</v>
      </c>
      <c r="E1628" s="1" t="s">
        <v>5164</v>
      </c>
      <c r="F1628" s="1" t="s">
        <v>13538</v>
      </c>
      <c r="G1628">
        <v>217640</v>
      </c>
      <c r="H1628">
        <v>75</v>
      </c>
      <c r="I1628" s="1" t="s">
        <v>11063</v>
      </c>
      <c r="J1628" s="11">
        <v>44729.706458333334</v>
      </c>
      <c r="K1628" s="1" t="s">
        <v>5165</v>
      </c>
      <c r="L1628" s="1">
        <v>0.58499999999999996</v>
      </c>
      <c r="M1628" s="1">
        <v>0.69599999999999995</v>
      </c>
      <c r="N1628">
        <v>4</v>
      </c>
      <c r="O1628" s="1">
        <v>-5.6</v>
      </c>
      <c r="P1628">
        <v>0</v>
      </c>
      <c r="Q1628" s="1">
        <v>0.307</v>
      </c>
      <c r="R1628" s="1">
        <v>0.20399999999999999</v>
      </c>
      <c r="S1628" s="1">
        <v>0</v>
      </c>
      <c r="T1628" s="1">
        <v>0.34399999999999997</v>
      </c>
      <c r="U1628" s="1">
        <v>0.52200000000000002</v>
      </c>
      <c r="V1628" s="1">
        <v>104.01</v>
      </c>
      <c r="W1628">
        <v>4</v>
      </c>
    </row>
    <row r="1629" spans="1:23" x14ac:dyDescent="0.25">
      <c r="A1629" s="1" t="s">
        <v>17185</v>
      </c>
      <c r="B1629" s="1" t="s">
        <v>17186</v>
      </c>
      <c r="C1629" s="1" t="s">
        <v>5166</v>
      </c>
      <c r="D1629" s="1" t="s">
        <v>17187</v>
      </c>
      <c r="E1629" s="1" t="s">
        <v>5167</v>
      </c>
      <c r="F1629" s="1" t="s">
        <v>11597</v>
      </c>
      <c r="G1629">
        <v>224493</v>
      </c>
      <c r="H1629">
        <v>63</v>
      </c>
      <c r="I1629" s="1" t="s">
        <v>11063</v>
      </c>
      <c r="J1629" s="11">
        <v>44729.706458333334</v>
      </c>
      <c r="K1629" s="1" t="s">
        <v>5168</v>
      </c>
      <c r="L1629" s="1">
        <v>0.59199999999999997</v>
      </c>
      <c r="M1629" s="1">
        <v>0.78800000000000003</v>
      </c>
      <c r="N1629">
        <v>6</v>
      </c>
      <c r="O1629" s="1">
        <v>-4.9240000000000004</v>
      </c>
      <c r="P1629">
        <v>0</v>
      </c>
      <c r="Q1629" s="1">
        <v>0.20100000000000001</v>
      </c>
      <c r="R1629" s="1">
        <v>0.59899999999999998</v>
      </c>
      <c r="S1629" s="1">
        <v>0.254</v>
      </c>
      <c r="T1629" s="1">
        <v>0.125</v>
      </c>
      <c r="U1629" s="1">
        <v>0.755</v>
      </c>
      <c r="V1629" s="1">
        <v>89.948999999999998</v>
      </c>
      <c r="W1629">
        <v>4</v>
      </c>
    </row>
    <row r="1630" spans="1:23" x14ac:dyDescent="0.25">
      <c r="A1630" s="1" t="s">
        <v>17188</v>
      </c>
      <c r="B1630" s="1" t="s">
        <v>14709</v>
      </c>
      <c r="C1630" s="1" t="s">
        <v>82</v>
      </c>
      <c r="D1630" s="1" t="s">
        <v>17187</v>
      </c>
      <c r="E1630" s="1" t="s">
        <v>3009</v>
      </c>
      <c r="F1630" s="1" t="s">
        <v>11597</v>
      </c>
      <c r="G1630">
        <v>247213</v>
      </c>
      <c r="H1630">
        <v>58</v>
      </c>
      <c r="I1630" s="1" t="s">
        <v>11063</v>
      </c>
      <c r="J1630" s="11">
        <v>44729.706458333334</v>
      </c>
      <c r="K1630" s="1" t="s">
        <v>3010</v>
      </c>
      <c r="L1630" s="1">
        <v>0.61699999999999999</v>
      </c>
      <c r="M1630" s="1">
        <v>0.84199999999999997</v>
      </c>
      <c r="N1630">
        <v>10</v>
      </c>
      <c r="O1630" s="1">
        <v>-4.0620000000000003</v>
      </c>
      <c r="P1630">
        <v>0</v>
      </c>
      <c r="Q1630" s="1">
        <v>0.34</v>
      </c>
      <c r="R1630" s="1">
        <v>0.11700000000000001</v>
      </c>
      <c r="S1630" s="1">
        <v>0.26100000000000001</v>
      </c>
      <c r="T1630" s="1">
        <v>0.13100000000000001</v>
      </c>
      <c r="U1630" s="1">
        <v>0.36</v>
      </c>
      <c r="V1630" s="1">
        <v>127.955</v>
      </c>
      <c r="W1630">
        <v>4</v>
      </c>
    </row>
    <row r="1631" spans="1:23" x14ac:dyDescent="0.25">
      <c r="A1631" s="1" t="s">
        <v>17189</v>
      </c>
      <c r="B1631" s="1" t="s">
        <v>17190</v>
      </c>
      <c r="C1631" s="1" t="s">
        <v>5169</v>
      </c>
      <c r="D1631" s="1" t="s">
        <v>17191</v>
      </c>
      <c r="E1631" s="1" t="s">
        <v>5170</v>
      </c>
      <c r="F1631" s="1" t="s">
        <v>16486</v>
      </c>
      <c r="G1631">
        <v>237946</v>
      </c>
      <c r="H1631">
        <v>66</v>
      </c>
      <c r="I1631" s="1" t="s">
        <v>11063</v>
      </c>
      <c r="J1631" s="11">
        <v>44729.706458333334</v>
      </c>
      <c r="K1631" s="1" t="s">
        <v>235</v>
      </c>
      <c r="L1631" s="1">
        <v>0.69299999999999995</v>
      </c>
      <c r="M1631" s="1">
        <v>0.70499999999999996</v>
      </c>
      <c r="N1631">
        <v>8</v>
      </c>
      <c r="O1631" s="1">
        <v>-5.7469999999999999</v>
      </c>
      <c r="P1631">
        <v>1</v>
      </c>
      <c r="Q1631" s="1">
        <v>0.66500000000000004</v>
      </c>
      <c r="R1631" s="1">
        <v>0.22800000000000001</v>
      </c>
      <c r="S1631" s="1">
        <v>0</v>
      </c>
      <c r="T1631" s="1">
        <v>0.20200000000000001</v>
      </c>
      <c r="U1631" s="1">
        <v>0.45</v>
      </c>
      <c r="V1631" s="1">
        <v>131.95099999999999</v>
      </c>
      <c r="W1631">
        <v>4</v>
      </c>
    </row>
    <row r="1632" spans="1:23" x14ac:dyDescent="0.25">
      <c r="A1632" s="1" t="s">
        <v>17192</v>
      </c>
      <c r="B1632" s="1" t="s">
        <v>17193</v>
      </c>
      <c r="C1632" s="1" t="s">
        <v>5171</v>
      </c>
      <c r="D1632" s="1" t="s">
        <v>17194</v>
      </c>
      <c r="E1632" s="1" t="s">
        <v>5172</v>
      </c>
      <c r="F1632" s="1" t="s">
        <v>17195</v>
      </c>
      <c r="G1632">
        <v>269560</v>
      </c>
      <c r="H1632">
        <v>84</v>
      </c>
      <c r="I1632" s="1" t="s">
        <v>11063</v>
      </c>
      <c r="J1632" s="11">
        <v>44729.706458333334</v>
      </c>
      <c r="K1632" s="1" t="s">
        <v>5173</v>
      </c>
      <c r="L1632" s="1">
        <v>0.42199999999999999</v>
      </c>
      <c r="M1632" s="1">
        <v>0.26400000000000001</v>
      </c>
      <c r="N1632">
        <v>8</v>
      </c>
      <c r="O1632" s="1">
        <v>-7.0640000000000001</v>
      </c>
      <c r="P1632">
        <v>1</v>
      </c>
      <c r="Q1632" s="1">
        <v>0.32200000000000001</v>
      </c>
      <c r="R1632" s="1">
        <v>0.92200000000000004</v>
      </c>
      <c r="S1632" s="1">
        <v>0</v>
      </c>
      <c r="T1632" s="1">
        <v>0.13200000000000001</v>
      </c>
      <c r="U1632" s="1">
        <v>0.33100000000000002</v>
      </c>
      <c r="V1632" s="1">
        <v>119.93</v>
      </c>
      <c r="W1632">
        <v>4</v>
      </c>
    </row>
    <row r="1633" spans="1:23" x14ac:dyDescent="0.25">
      <c r="A1633" s="1" t="s">
        <v>17196</v>
      </c>
      <c r="B1633" s="1" t="s">
        <v>13920</v>
      </c>
      <c r="C1633" s="1" t="s">
        <v>5174</v>
      </c>
      <c r="D1633" s="1" t="s">
        <v>17197</v>
      </c>
      <c r="E1633" s="1" t="s">
        <v>2327</v>
      </c>
      <c r="F1633" s="1" t="s">
        <v>11471</v>
      </c>
      <c r="G1633">
        <v>278480</v>
      </c>
      <c r="H1633">
        <v>67</v>
      </c>
      <c r="I1633" s="1" t="s">
        <v>11063</v>
      </c>
      <c r="J1633" s="11">
        <v>44729.706458333334</v>
      </c>
      <c r="K1633" s="1" t="s">
        <v>2328</v>
      </c>
      <c r="L1633" s="1">
        <v>0.59</v>
      </c>
      <c r="M1633" s="1">
        <v>0.72399999999999998</v>
      </c>
      <c r="N1633">
        <v>0</v>
      </c>
      <c r="O1633" s="1">
        <v>-3.278</v>
      </c>
      <c r="P1633">
        <v>1</v>
      </c>
      <c r="Q1633" s="1">
        <v>0.439</v>
      </c>
      <c r="R1633" s="1">
        <v>0.4</v>
      </c>
      <c r="S1633" s="1">
        <v>0.40699999999999997</v>
      </c>
      <c r="T1633" s="1">
        <v>0.14199999999999999</v>
      </c>
      <c r="U1633" s="1">
        <v>0.52600000000000002</v>
      </c>
      <c r="V1633" s="1">
        <v>127.059</v>
      </c>
      <c r="W1633">
        <v>4</v>
      </c>
    </row>
    <row r="1634" spans="1:23" x14ac:dyDescent="0.25">
      <c r="A1634" s="1" t="s">
        <v>17198</v>
      </c>
      <c r="B1634" s="1" t="s">
        <v>17199</v>
      </c>
      <c r="C1634" s="1" t="s">
        <v>2688</v>
      </c>
      <c r="D1634" s="1" t="s">
        <v>17200</v>
      </c>
      <c r="E1634" s="1" t="s">
        <v>5175</v>
      </c>
      <c r="F1634" s="1" t="s">
        <v>17201</v>
      </c>
      <c r="G1634">
        <v>209200</v>
      </c>
      <c r="H1634">
        <v>58</v>
      </c>
      <c r="I1634" s="1" t="s">
        <v>11063</v>
      </c>
      <c r="J1634" s="11">
        <v>44729.706458333334</v>
      </c>
      <c r="K1634" s="1" t="s">
        <v>235</v>
      </c>
      <c r="L1634" s="1">
        <v>0.67300000000000004</v>
      </c>
      <c r="M1634" s="1">
        <v>0.61</v>
      </c>
      <c r="N1634">
        <v>1</v>
      </c>
      <c r="O1634" s="1">
        <v>-4.7300000000000004</v>
      </c>
      <c r="P1634">
        <v>0</v>
      </c>
      <c r="Q1634" s="1">
        <v>0.35599999999999998</v>
      </c>
      <c r="R1634" s="1">
        <v>0.66200000000000003</v>
      </c>
      <c r="S1634" s="1">
        <v>0</v>
      </c>
      <c r="T1634" s="1">
        <v>0.57199999999999995</v>
      </c>
      <c r="U1634" s="1">
        <v>0.34300000000000003</v>
      </c>
      <c r="V1634" s="1">
        <v>122.063</v>
      </c>
      <c r="W1634">
        <v>4</v>
      </c>
    </row>
    <row r="1635" spans="1:23" x14ac:dyDescent="0.25">
      <c r="A1635" s="1" t="s">
        <v>17202</v>
      </c>
      <c r="B1635" s="1" t="s">
        <v>13920</v>
      </c>
      <c r="C1635" s="1" t="s">
        <v>5176</v>
      </c>
      <c r="D1635" s="1" t="s">
        <v>17203</v>
      </c>
      <c r="E1635" s="1" t="s">
        <v>2327</v>
      </c>
      <c r="F1635" s="1" t="s">
        <v>17204</v>
      </c>
      <c r="G1635">
        <v>199906</v>
      </c>
      <c r="H1635">
        <v>79</v>
      </c>
      <c r="I1635" s="1" t="s">
        <v>11063</v>
      </c>
      <c r="J1635" s="11">
        <v>44729.706458333334</v>
      </c>
      <c r="K1635" s="1" t="s">
        <v>2328</v>
      </c>
      <c r="L1635" s="1">
        <v>0.58399999999999996</v>
      </c>
      <c r="M1635" s="1">
        <v>0.88900000000000001</v>
      </c>
      <c r="N1635">
        <v>1</v>
      </c>
      <c r="O1635" s="1">
        <v>-5.9409999999999998</v>
      </c>
      <c r="P1635">
        <v>0</v>
      </c>
      <c r="Q1635" s="1">
        <v>0.34300000000000003</v>
      </c>
      <c r="R1635" s="1">
        <v>0.46200000000000002</v>
      </c>
      <c r="S1635" s="1">
        <v>0.82799999999999996</v>
      </c>
      <c r="T1635" s="1">
        <v>0.309</v>
      </c>
      <c r="U1635" s="1">
        <v>0.46400000000000002</v>
      </c>
      <c r="V1635" s="1">
        <v>126.04</v>
      </c>
      <c r="W1635">
        <v>4</v>
      </c>
    </row>
    <row r="1636" spans="1:23" x14ac:dyDescent="0.25">
      <c r="A1636" s="1" t="s">
        <v>17205</v>
      </c>
      <c r="B1636" s="1" t="s">
        <v>17206</v>
      </c>
      <c r="C1636" s="1" t="s">
        <v>5177</v>
      </c>
      <c r="D1636" s="1" t="s">
        <v>17207</v>
      </c>
      <c r="E1636" s="1" t="s">
        <v>5178</v>
      </c>
      <c r="F1636" s="1" t="s">
        <v>16616</v>
      </c>
      <c r="G1636">
        <v>159863</v>
      </c>
      <c r="H1636">
        <v>57</v>
      </c>
      <c r="I1636" s="1" t="s">
        <v>11063</v>
      </c>
      <c r="J1636" s="11">
        <v>44729.706458333334</v>
      </c>
      <c r="K1636" s="1" t="s">
        <v>5179</v>
      </c>
      <c r="L1636" s="1">
        <v>0.70099999999999996</v>
      </c>
      <c r="M1636" s="1">
        <v>0.71699999999999997</v>
      </c>
      <c r="N1636">
        <v>7</v>
      </c>
      <c r="O1636" s="1">
        <v>-4.367</v>
      </c>
      <c r="P1636">
        <v>0</v>
      </c>
      <c r="Q1636" s="1">
        <v>0.56000000000000005</v>
      </c>
      <c r="R1636" s="1">
        <v>0.18099999999999999</v>
      </c>
      <c r="S1636" s="1">
        <v>0.59899999999999998</v>
      </c>
      <c r="T1636" s="1">
        <v>0.71299999999999997</v>
      </c>
      <c r="U1636" s="1">
        <v>0.66600000000000004</v>
      </c>
      <c r="V1636" s="1">
        <v>109.999</v>
      </c>
      <c r="W1636">
        <v>4</v>
      </c>
    </row>
    <row r="1637" spans="1:23" x14ac:dyDescent="0.25">
      <c r="A1637" s="1" t="s">
        <v>17208</v>
      </c>
      <c r="B1637" s="1" t="s">
        <v>17209</v>
      </c>
      <c r="C1637" s="1" t="s">
        <v>5180</v>
      </c>
      <c r="D1637" s="1" t="s">
        <v>17207</v>
      </c>
      <c r="E1637" s="1" t="s">
        <v>5181</v>
      </c>
      <c r="F1637" s="1" t="s">
        <v>16616</v>
      </c>
      <c r="G1637">
        <v>207545</v>
      </c>
      <c r="H1637">
        <v>54</v>
      </c>
      <c r="I1637" s="1" t="s">
        <v>11063</v>
      </c>
      <c r="J1637" s="11">
        <v>44729.706458333334</v>
      </c>
      <c r="K1637" s="1" t="s">
        <v>2328</v>
      </c>
      <c r="L1637" s="1">
        <v>0.82599999999999996</v>
      </c>
      <c r="M1637" s="1">
        <v>0.46600000000000003</v>
      </c>
      <c r="N1637">
        <v>4</v>
      </c>
      <c r="O1637" s="1">
        <v>-7.5209999999999999</v>
      </c>
      <c r="P1637">
        <v>0</v>
      </c>
      <c r="Q1637" s="1">
        <v>0.42499999999999999</v>
      </c>
      <c r="R1637" s="1">
        <v>0.35099999999999998</v>
      </c>
      <c r="S1637" s="1">
        <v>0.92</v>
      </c>
      <c r="T1637" s="1">
        <v>0.83299999999999996</v>
      </c>
      <c r="U1637" s="1">
        <v>0.54800000000000004</v>
      </c>
      <c r="V1637" s="1">
        <v>124.95</v>
      </c>
      <c r="W1637">
        <v>4</v>
      </c>
    </row>
    <row r="1638" spans="1:23" x14ac:dyDescent="0.25">
      <c r="A1638" s="1" t="s">
        <v>17210</v>
      </c>
      <c r="B1638" s="1" t="s">
        <v>17211</v>
      </c>
      <c r="C1638" s="1" t="s">
        <v>5182</v>
      </c>
      <c r="D1638" s="1" t="s">
        <v>17207</v>
      </c>
      <c r="E1638" s="1" t="s">
        <v>5183</v>
      </c>
      <c r="F1638" s="1" t="s">
        <v>16616</v>
      </c>
      <c r="G1638">
        <v>185454</v>
      </c>
      <c r="H1638">
        <v>54</v>
      </c>
      <c r="I1638" s="1" t="s">
        <v>11063</v>
      </c>
      <c r="J1638" s="11">
        <v>44729.706458333334</v>
      </c>
      <c r="K1638" s="1" t="s">
        <v>5184</v>
      </c>
      <c r="L1638" s="1">
        <v>0.78500000000000003</v>
      </c>
      <c r="M1638" s="1">
        <v>0.495</v>
      </c>
      <c r="N1638">
        <v>11</v>
      </c>
      <c r="O1638" s="1">
        <v>-8.8650000000000002</v>
      </c>
      <c r="P1638">
        <v>1</v>
      </c>
      <c r="Q1638" s="1">
        <v>0.94599999999999995</v>
      </c>
      <c r="R1638" s="1">
        <v>0.30499999999999999</v>
      </c>
      <c r="S1638" s="1">
        <v>0.48199999999999998</v>
      </c>
      <c r="T1638" s="1">
        <v>0.93600000000000005</v>
      </c>
      <c r="U1638" s="1">
        <v>0.58599999999999997</v>
      </c>
      <c r="V1638" s="1">
        <v>109.992</v>
      </c>
      <c r="W1638">
        <v>4</v>
      </c>
    </row>
    <row r="1639" spans="1:23" x14ac:dyDescent="0.25">
      <c r="A1639" s="1" t="s">
        <v>17212</v>
      </c>
      <c r="B1639" s="1" t="s">
        <v>17213</v>
      </c>
      <c r="C1639" s="1" t="s">
        <v>5185</v>
      </c>
      <c r="D1639" s="1" t="s">
        <v>17207</v>
      </c>
      <c r="E1639" s="1" t="s">
        <v>5186</v>
      </c>
      <c r="F1639" s="1" t="s">
        <v>16616</v>
      </c>
      <c r="G1639">
        <v>181812</v>
      </c>
      <c r="H1639">
        <v>70</v>
      </c>
      <c r="I1639" s="1" t="s">
        <v>11063</v>
      </c>
      <c r="J1639" s="11">
        <v>44729.706458333334</v>
      </c>
      <c r="K1639" s="1" t="s">
        <v>5187</v>
      </c>
      <c r="L1639" s="1">
        <v>0.65500000000000003</v>
      </c>
      <c r="M1639" s="1">
        <v>0.66600000000000004</v>
      </c>
      <c r="N1639">
        <v>5</v>
      </c>
      <c r="O1639" s="1">
        <v>-5.3090000000000002</v>
      </c>
      <c r="P1639">
        <v>1</v>
      </c>
      <c r="Q1639" s="1">
        <v>0.61199999999999999</v>
      </c>
      <c r="R1639" s="1">
        <v>0.13400000000000001</v>
      </c>
      <c r="S1639" s="1">
        <v>0.21199999999999999</v>
      </c>
      <c r="T1639" s="1">
        <v>0.68300000000000005</v>
      </c>
      <c r="U1639" s="1">
        <v>0.27200000000000002</v>
      </c>
      <c r="V1639" s="1">
        <v>102.977</v>
      </c>
      <c r="W1639">
        <v>4</v>
      </c>
    </row>
    <row r="1640" spans="1:23" x14ac:dyDescent="0.25">
      <c r="A1640" s="1" t="s">
        <v>17214</v>
      </c>
      <c r="B1640" s="1" t="s">
        <v>17215</v>
      </c>
      <c r="C1640" s="1" t="s">
        <v>5188</v>
      </c>
      <c r="D1640" s="1" t="s">
        <v>17216</v>
      </c>
      <c r="E1640" s="1" t="s">
        <v>5189</v>
      </c>
      <c r="F1640" s="1" t="s">
        <v>17217</v>
      </c>
      <c r="G1640">
        <v>431999</v>
      </c>
      <c r="H1640">
        <v>0</v>
      </c>
      <c r="I1640" s="1" t="s">
        <v>11063</v>
      </c>
      <c r="J1640" s="11">
        <v>44729.706458333334</v>
      </c>
      <c r="K1640" s="1" t="s">
        <v>4722</v>
      </c>
      <c r="L1640" s="1">
        <v>0.51900000000000002</v>
      </c>
      <c r="M1640" s="1">
        <v>0.5</v>
      </c>
      <c r="N1640">
        <v>0</v>
      </c>
      <c r="O1640" s="1">
        <v>-7.7679999999999998</v>
      </c>
      <c r="P1640">
        <v>0</v>
      </c>
      <c r="Q1640" s="1">
        <v>0.35399999999999998</v>
      </c>
      <c r="R1640" s="1">
        <v>0.13700000000000001</v>
      </c>
      <c r="S1640" s="1">
        <v>0.85799999999999998</v>
      </c>
      <c r="T1640" s="1">
        <v>0.11</v>
      </c>
      <c r="U1640" s="1">
        <v>0.38500000000000001</v>
      </c>
      <c r="V1640" s="1">
        <v>140.023</v>
      </c>
      <c r="W1640">
        <v>4</v>
      </c>
    </row>
    <row r="1641" spans="1:23" x14ac:dyDescent="0.25">
      <c r="A1641" s="1" t="s">
        <v>17218</v>
      </c>
      <c r="B1641" s="1" t="s">
        <v>17219</v>
      </c>
      <c r="C1641" s="1" t="s">
        <v>5190</v>
      </c>
      <c r="D1641" s="1" t="s">
        <v>17220</v>
      </c>
      <c r="E1641" s="1" t="s">
        <v>5191</v>
      </c>
      <c r="F1641" s="1" t="s">
        <v>16383</v>
      </c>
      <c r="G1641">
        <v>215360</v>
      </c>
      <c r="H1641">
        <v>70</v>
      </c>
      <c r="I1641" s="1" t="s">
        <v>11063</v>
      </c>
      <c r="J1641" s="11">
        <v>44729.706458333334</v>
      </c>
      <c r="K1641" s="1" t="s">
        <v>5192</v>
      </c>
      <c r="L1641" s="1">
        <v>0.56000000000000005</v>
      </c>
      <c r="M1641" s="1">
        <v>0.85699999999999998</v>
      </c>
      <c r="N1641">
        <v>4</v>
      </c>
      <c r="O1641" s="1">
        <v>-4.1449999999999996</v>
      </c>
      <c r="P1641">
        <v>0</v>
      </c>
      <c r="Q1641" s="1">
        <v>0.38400000000000001</v>
      </c>
      <c r="R1641" s="1">
        <v>0.59399999999999997</v>
      </c>
      <c r="S1641" s="1">
        <v>0</v>
      </c>
      <c r="T1641" s="1">
        <v>0.38100000000000001</v>
      </c>
      <c r="U1641" s="1">
        <v>0.432</v>
      </c>
      <c r="V1641" s="1">
        <v>119.97499999999999</v>
      </c>
      <c r="W1641">
        <v>4</v>
      </c>
    </row>
    <row r="1642" spans="1:23" x14ac:dyDescent="0.25">
      <c r="A1642" s="1" t="s">
        <v>17221</v>
      </c>
      <c r="B1642" s="1" t="s">
        <v>17222</v>
      </c>
      <c r="C1642" s="1" t="s">
        <v>5193</v>
      </c>
      <c r="D1642" s="1" t="s">
        <v>17223</v>
      </c>
      <c r="E1642" s="1" t="s">
        <v>5194</v>
      </c>
      <c r="F1642" s="1" t="s">
        <v>15632</v>
      </c>
      <c r="G1642">
        <v>269155</v>
      </c>
      <c r="H1642">
        <v>39</v>
      </c>
      <c r="I1642" s="1" t="s">
        <v>11063</v>
      </c>
      <c r="J1642" s="11">
        <v>44729.706458333334</v>
      </c>
      <c r="K1642" s="1" t="s">
        <v>5192</v>
      </c>
      <c r="L1642" s="1">
        <v>0.54600000000000004</v>
      </c>
      <c r="M1642" s="1">
        <v>0.86899999999999999</v>
      </c>
      <c r="N1642">
        <v>10</v>
      </c>
      <c r="O1642" s="1">
        <v>-5.202</v>
      </c>
      <c r="P1642">
        <v>0</v>
      </c>
      <c r="Q1642" s="1">
        <v>0.498</v>
      </c>
      <c r="R1642" s="1">
        <v>0.53600000000000003</v>
      </c>
      <c r="S1642" s="1">
        <v>0.183</v>
      </c>
      <c r="T1642" s="1">
        <v>0.14599999999999999</v>
      </c>
      <c r="U1642" s="1">
        <v>0.40600000000000003</v>
      </c>
      <c r="V1642" s="1">
        <v>121.955</v>
      </c>
      <c r="W1642">
        <v>4</v>
      </c>
    </row>
    <row r="1643" spans="1:23" x14ac:dyDescent="0.25">
      <c r="A1643" s="1" t="s">
        <v>11599</v>
      </c>
      <c r="B1643" s="1" t="s">
        <v>11600</v>
      </c>
      <c r="C1643" s="1" t="s">
        <v>5195</v>
      </c>
      <c r="D1643" s="1" t="s">
        <v>11601</v>
      </c>
      <c r="E1643" s="1" t="s">
        <v>321</v>
      </c>
      <c r="F1643" s="1" t="s">
        <v>11602</v>
      </c>
      <c r="G1643">
        <v>256000</v>
      </c>
      <c r="H1643">
        <v>76</v>
      </c>
      <c r="I1643" s="1" t="s">
        <v>11063</v>
      </c>
      <c r="J1643" s="11">
        <v>44729.706458333334</v>
      </c>
      <c r="K1643" s="1" t="s">
        <v>322</v>
      </c>
      <c r="L1643" s="1">
        <v>0.751</v>
      </c>
      <c r="M1643" s="1">
        <v>0.72699999999999998</v>
      </c>
      <c r="N1643">
        <v>10</v>
      </c>
      <c r="O1643" s="1">
        <v>-9.7889999999999997</v>
      </c>
      <c r="P1643">
        <v>0</v>
      </c>
      <c r="Q1643" s="1">
        <v>0.30399999999999999</v>
      </c>
      <c r="R1643" s="1">
        <v>0.442</v>
      </c>
      <c r="S1643" s="1">
        <v>0.33800000000000002</v>
      </c>
      <c r="T1643" s="1">
        <v>0.1</v>
      </c>
      <c r="U1643" s="1">
        <v>0.28000000000000003</v>
      </c>
      <c r="V1643" s="1">
        <v>119.982</v>
      </c>
      <c r="W1643">
        <v>4</v>
      </c>
    </row>
    <row r="1644" spans="1:23" x14ac:dyDescent="0.25">
      <c r="A1644" s="1" t="s">
        <v>17224</v>
      </c>
      <c r="B1644" s="1" t="s">
        <v>17225</v>
      </c>
      <c r="C1644" s="1" t="s">
        <v>4528</v>
      </c>
      <c r="D1644" s="1" t="s">
        <v>4528</v>
      </c>
      <c r="E1644" s="1" t="s">
        <v>5196</v>
      </c>
      <c r="F1644" s="1" t="s">
        <v>17226</v>
      </c>
      <c r="G1644">
        <v>240272</v>
      </c>
      <c r="H1644">
        <v>59</v>
      </c>
      <c r="I1644" s="1" t="s">
        <v>11063</v>
      </c>
      <c r="J1644" s="11">
        <v>44729.706458333334</v>
      </c>
      <c r="K1644" s="1" t="s">
        <v>5197</v>
      </c>
      <c r="L1644" s="1">
        <v>0.50800000000000001</v>
      </c>
      <c r="M1644" s="1">
        <v>0.754</v>
      </c>
      <c r="N1644">
        <v>7</v>
      </c>
      <c r="O1644" s="1">
        <v>-5.7080000000000002</v>
      </c>
      <c r="P1644">
        <v>0</v>
      </c>
      <c r="Q1644" s="1">
        <v>0.185</v>
      </c>
      <c r="R1644" s="1">
        <v>0.59699999999999998</v>
      </c>
      <c r="S1644" s="1">
        <v>0.84299999999999997</v>
      </c>
      <c r="T1644" s="1">
        <v>0.307</v>
      </c>
      <c r="U1644" s="1">
        <v>0.38300000000000001</v>
      </c>
      <c r="V1644" s="1">
        <v>119.892</v>
      </c>
      <c r="W1644">
        <v>4</v>
      </c>
    </row>
    <row r="1645" spans="1:23" x14ac:dyDescent="0.25">
      <c r="A1645" s="1" t="s">
        <v>11213</v>
      </c>
      <c r="B1645" s="1" t="s">
        <v>11214</v>
      </c>
      <c r="C1645" s="1" t="s">
        <v>318</v>
      </c>
      <c r="D1645" s="1" t="s">
        <v>11215</v>
      </c>
      <c r="E1645" s="1" t="s">
        <v>319</v>
      </c>
      <c r="F1645" s="1" t="s">
        <v>11598</v>
      </c>
      <c r="G1645">
        <v>218480</v>
      </c>
      <c r="H1645">
        <v>62</v>
      </c>
      <c r="I1645" s="1" t="s">
        <v>11063</v>
      </c>
      <c r="J1645" s="11">
        <v>44729.706458333334</v>
      </c>
      <c r="K1645" s="1" t="s">
        <v>320</v>
      </c>
      <c r="L1645" s="1">
        <v>0.66100000000000003</v>
      </c>
      <c r="M1645" s="1">
        <v>0.63500000000000001</v>
      </c>
      <c r="N1645">
        <v>10</v>
      </c>
      <c r="O1645" s="1">
        <v>-7.423</v>
      </c>
      <c r="P1645">
        <v>0</v>
      </c>
      <c r="Q1645" s="1">
        <v>0.64500000000000002</v>
      </c>
      <c r="R1645" s="1">
        <v>0.20399999999999999</v>
      </c>
      <c r="S1645" s="1">
        <v>0.114</v>
      </c>
      <c r="T1645" s="1">
        <v>0.186</v>
      </c>
      <c r="U1645" s="1">
        <v>0.36499999999999999</v>
      </c>
      <c r="V1645" s="1">
        <v>99.971999999999994</v>
      </c>
      <c r="W1645">
        <v>4</v>
      </c>
    </row>
    <row r="1646" spans="1:23" x14ac:dyDescent="0.25">
      <c r="A1646" s="1" t="s">
        <v>17227</v>
      </c>
      <c r="B1646" s="1" t="s">
        <v>17228</v>
      </c>
      <c r="C1646" s="1" t="s">
        <v>5198</v>
      </c>
      <c r="D1646" s="1" t="s">
        <v>17229</v>
      </c>
      <c r="E1646" s="1" t="s">
        <v>5199</v>
      </c>
      <c r="F1646" s="1" t="s">
        <v>17230</v>
      </c>
      <c r="G1646">
        <v>172613</v>
      </c>
      <c r="H1646">
        <v>46</v>
      </c>
      <c r="I1646" s="1" t="s">
        <v>11063</v>
      </c>
      <c r="J1646" s="11">
        <v>44729.706458333334</v>
      </c>
      <c r="K1646" s="1" t="s">
        <v>50</v>
      </c>
      <c r="L1646" s="1">
        <v>0.55500000000000005</v>
      </c>
      <c r="M1646" s="1">
        <v>0.90900000000000003</v>
      </c>
      <c r="N1646">
        <v>6</v>
      </c>
      <c r="O1646" s="1">
        <v>-7.484</v>
      </c>
      <c r="P1646">
        <v>0</v>
      </c>
      <c r="Q1646" s="1">
        <v>0.77300000000000002</v>
      </c>
      <c r="R1646" s="1">
        <v>0.24099999999999999</v>
      </c>
      <c r="S1646" s="1">
        <v>0.114</v>
      </c>
      <c r="T1646" s="1">
        <v>0.22900000000000001</v>
      </c>
      <c r="U1646" s="1">
        <v>0.65300000000000002</v>
      </c>
      <c r="V1646" s="1">
        <v>128.97</v>
      </c>
      <c r="W1646">
        <v>4</v>
      </c>
    </row>
    <row r="1647" spans="1:23" x14ac:dyDescent="0.25">
      <c r="A1647" s="1" t="s">
        <v>17231</v>
      </c>
      <c r="B1647" s="1" t="s">
        <v>14915</v>
      </c>
      <c r="C1647" s="1" t="s">
        <v>5200</v>
      </c>
      <c r="D1647" s="1" t="s">
        <v>17232</v>
      </c>
      <c r="E1647" s="1" t="s">
        <v>3192</v>
      </c>
      <c r="F1647" s="1" t="s">
        <v>11587</v>
      </c>
      <c r="G1647">
        <v>286322</v>
      </c>
      <c r="H1647">
        <v>48</v>
      </c>
      <c r="I1647" s="1" t="s">
        <v>11063</v>
      </c>
      <c r="J1647" s="11">
        <v>44729.706458333334</v>
      </c>
      <c r="K1647" s="1" t="s">
        <v>3193</v>
      </c>
      <c r="L1647" s="1">
        <v>0.70199999999999996</v>
      </c>
      <c r="M1647" s="1">
        <v>0.78100000000000003</v>
      </c>
      <c r="N1647">
        <v>0</v>
      </c>
      <c r="O1647" s="1">
        <v>-4.0810000000000004</v>
      </c>
      <c r="P1647">
        <v>1</v>
      </c>
      <c r="Q1647" s="1">
        <v>0.3</v>
      </c>
      <c r="R1647" s="1">
        <v>0.433</v>
      </c>
      <c r="S1647" s="1">
        <v>0</v>
      </c>
      <c r="T1647" s="1">
        <v>0.13500000000000001</v>
      </c>
      <c r="U1647" s="1">
        <v>0.38200000000000001</v>
      </c>
      <c r="V1647" s="1">
        <v>102.997</v>
      </c>
      <c r="W1647">
        <v>4</v>
      </c>
    </row>
    <row r="1648" spans="1:23" x14ac:dyDescent="0.25">
      <c r="A1648" s="1" t="s">
        <v>17233</v>
      </c>
      <c r="B1648" s="1" t="s">
        <v>17234</v>
      </c>
      <c r="C1648" s="1" t="s">
        <v>5201</v>
      </c>
      <c r="D1648" s="1" t="s">
        <v>17235</v>
      </c>
      <c r="E1648" s="1" t="s">
        <v>5202</v>
      </c>
      <c r="F1648" s="1" t="s">
        <v>11387</v>
      </c>
      <c r="G1648">
        <v>221000</v>
      </c>
      <c r="H1648">
        <v>68</v>
      </c>
      <c r="I1648" s="1" t="s">
        <v>11063</v>
      </c>
      <c r="J1648" s="11">
        <v>44729.706458333334</v>
      </c>
      <c r="K1648" s="1" t="s">
        <v>5203</v>
      </c>
      <c r="L1648" s="1">
        <v>0.56200000000000006</v>
      </c>
      <c r="M1648" s="1">
        <v>0.90300000000000002</v>
      </c>
      <c r="N1648">
        <v>8</v>
      </c>
      <c r="O1648" s="1">
        <v>-4.46</v>
      </c>
      <c r="P1648">
        <v>0</v>
      </c>
      <c r="Q1648" s="1">
        <v>0.29599999999999999</v>
      </c>
      <c r="R1648" s="1">
        <v>0.187</v>
      </c>
      <c r="S1648" s="1">
        <v>0.93899999999999995</v>
      </c>
      <c r="T1648" s="1">
        <v>0.29799999999999999</v>
      </c>
      <c r="U1648" s="1">
        <v>0.79100000000000004</v>
      </c>
      <c r="V1648" s="1">
        <v>132.00899999999999</v>
      </c>
      <c r="W1648">
        <v>4</v>
      </c>
    </row>
    <row r="1649" spans="1:23" x14ac:dyDescent="0.25">
      <c r="A1649" s="1" t="s">
        <v>17236</v>
      </c>
      <c r="B1649" s="1" t="s">
        <v>17237</v>
      </c>
      <c r="C1649" s="1" t="s">
        <v>5204</v>
      </c>
      <c r="D1649" s="1" t="s">
        <v>17238</v>
      </c>
      <c r="E1649" s="1" t="s">
        <v>5205</v>
      </c>
      <c r="F1649" s="1" t="s">
        <v>17239</v>
      </c>
      <c r="G1649">
        <v>306758</v>
      </c>
      <c r="H1649">
        <v>32</v>
      </c>
      <c r="I1649" s="1" t="s">
        <v>11063</v>
      </c>
      <c r="J1649" s="11">
        <v>44729.706458333334</v>
      </c>
      <c r="K1649" s="1" t="s">
        <v>5206</v>
      </c>
      <c r="L1649" s="1">
        <v>0.58199999999999996</v>
      </c>
      <c r="M1649" s="1">
        <v>0.625</v>
      </c>
      <c r="N1649">
        <v>3</v>
      </c>
      <c r="O1649" s="1">
        <v>-8.6069999999999993</v>
      </c>
      <c r="P1649">
        <v>0</v>
      </c>
      <c r="Q1649" s="1">
        <v>0.77700000000000002</v>
      </c>
      <c r="R1649" s="1">
        <v>0.65</v>
      </c>
      <c r="S1649" s="1">
        <v>0.51100000000000001</v>
      </c>
      <c r="T1649" s="1">
        <v>0.85699999999999998</v>
      </c>
      <c r="U1649" s="1">
        <v>0.27600000000000002</v>
      </c>
      <c r="V1649" s="1">
        <v>144.935</v>
      </c>
      <c r="W1649">
        <v>4</v>
      </c>
    </row>
    <row r="1650" spans="1:23" x14ac:dyDescent="0.25">
      <c r="A1650" s="1" t="s">
        <v>17240</v>
      </c>
      <c r="B1650" s="1" t="s">
        <v>15230</v>
      </c>
      <c r="C1650" s="1" t="s">
        <v>5207</v>
      </c>
      <c r="D1650" s="1" t="s">
        <v>17241</v>
      </c>
      <c r="E1650" s="1" t="s">
        <v>3482</v>
      </c>
      <c r="F1650" s="1" t="s">
        <v>17242</v>
      </c>
      <c r="G1650">
        <v>222739</v>
      </c>
      <c r="H1650">
        <v>49</v>
      </c>
      <c r="I1650" s="1" t="s">
        <v>11063</v>
      </c>
      <c r="J1650" s="11">
        <v>44729.706458333334</v>
      </c>
      <c r="K1650" s="1" t="s">
        <v>3447</v>
      </c>
      <c r="L1650" s="1">
        <v>0.58399999999999996</v>
      </c>
      <c r="M1650" s="1">
        <v>0.92400000000000004</v>
      </c>
      <c r="N1650">
        <v>11</v>
      </c>
      <c r="O1650" s="1">
        <v>-3.089</v>
      </c>
      <c r="P1650">
        <v>0</v>
      </c>
      <c r="Q1650" s="1">
        <v>0.75900000000000001</v>
      </c>
      <c r="R1650" s="1">
        <v>0.16600000000000001</v>
      </c>
      <c r="S1650" s="1">
        <v>0</v>
      </c>
      <c r="T1650" s="1">
        <v>0.85099999999999998</v>
      </c>
      <c r="U1650" s="1">
        <v>0.54300000000000004</v>
      </c>
      <c r="V1650" s="1">
        <v>87.96</v>
      </c>
      <c r="W1650">
        <v>4</v>
      </c>
    </row>
    <row r="1651" spans="1:23" x14ac:dyDescent="0.25">
      <c r="A1651" s="1" t="s">
        <v>17243</v>
      </c>
      <c r="B1651" s="1" t="s">
        <v>17244</v>
      </c>
      <c r="C1651" s="1" t="s">
        <v>5208</v>
      </c>
      <c r="D1651" s="1" t="s">
        <v>17245</v>
      </c>
      <c r="E1651" s="1" t="s">
        <v>5209</v>
      </c>
      <c r="F1651" s="1" t="s">
        <v>17246</v>
      </c>
      <c r="G1651">
        <v>238426</v>
      </c>
      <c r="H1651">
        <v>67</v>
      </c>
      <c r="I1651" s="1" t="s">
        <v>11063</v>
      </c>
      <c r="J1651" s="11">
        <v>44729.706458333334</v>
      </c>
      <c r="K1651" s="1" t="s">
        <v>5210</v>
      </c>
      <c r="L1651" s="1">
        <v>0.73599999999999999</v>
      </c>
      <c r="M1651" s="1">
        <v>0.76100000000000001</v>
      </c>
      <c r="N1651">
        <v>4</v>
      </c>
      <c r="O1651" s="1">
        <v>-5.4489999999999998</v>
      </c>
      <c r="P1651">
        <v>0</v>
      </c>
      <c r="Q1651" s="1">
        <v>0.33800000000000002</v>
      </c>
      <c r="R1651" s="1">
        <v>0.96599999999999997</v>
      </c>
      <c r="S1651" s="1">
        <v>0</v>
      </c>
      <c r="T1651" s="1">
        <v>0.82299999999999995</v>
      </c>
      <c r="U1651" s="1">
        <v>0.114</v>
      </c>
      <c r="V1651" s="1">
        <v>119.999</v>
      </c>
      <c r="W1651">
        <v>4</v>
      </c>
    </row>
    <row r="1652" spans="1:23" x14ac:dyDescent="0.25">
      <c r="A1652" s="1" t="s">
        <v>17247</v>
      </c>
      <c r="B1652" s="1" t="s">
        <v>17248</v>
      </c>
      <c r="C1652" s="1" t="s">
        <v>5211</v>
      </c>
      <c r="D1652" s="1" t="s">
        <v>5211</v>
      </c>
      <c r="E1652" s="1" t="s">
        <v>5212</v>
      </c>
      <c r="F1652" s="1" t="s">
        <v>14443</v>
      </c>
      <c r="G1652">
        <v>163636</v>
      </c>
      <c r="H1652">
        <v>64</v>
      </c>
      <c r="I1652" s="1" t="s">
        <v>11063</v>
      </c>
      <c r="J1652" s="11">
        <v>44729.706458333334</v>
      </c>
      <c r="K1652" s="1" t="s">
        <v>5213</v>
      </c>
      <c r="L1652" s="1">
        <v>0.73399999999999999</v>
      </c>
      <c r="M1652" s="1">
        <v>0.76500000000000001</v>
      </c>
      <c r="N1652">
        <v>7</v>
      </c>
      <c r="O1652" s="1">
        <v>-5.5620000000000003</v>
      </c>
      <c r="P1652">
        <v>1</v>
      </c>
      <c r="Q1652" s="1">
        <v>0.621</v>
      </c>
      <c r="R1652" s="1">
        <v>0.151</v>
      </c>
      <c r="S1652" s="1">
        <v>0</v>
      </c>
      <c r="T1652" s="1">
        <v>0.23100000000000001</v>
      </c>
      <c r="U1652" s="1">
        <v>0.51800000000000002</v>
      </c>
      <c r="V1652" s="1">
        <v>109.989</v>
      </c>
      <c r="W1652">
        <v>4</v>
      </c>
    </row>
    <row r="1653" spans="1:23" x14ac:dyDescent="0.25">
      <c r="A1653" s="1" t="s">
        <v>17249</v>
      </c>
      <c r="B1653" s="1" t="s">
        <v>17250</v>
      </c>
      <c r="C1653" s="1" t="s">
        <v>5214</v>
      </c>
      <c r="D1653" s="1" t="s">
        <v>5214</v>
      </c>
      <c r="E1653" s="1" t="s">
        <v>5215</v>
      </c>
      <c r="F1653" s="1" t="s">
        <v>17251</v>
      </c>
      <c r="G1653">
        <v>178666</v>
      </c>
      <c r="H1653">
        <v>47</v>
      </c>
      <c r="I1653" s="1" t="s">
        <v>11063</v>
      </c>
      <c r="J1653" s="11">
        <v>44729.706458333334</v>
      </c>
      <c r="K1653" s="1" t="s">
        <v>5216</v>
      </c>
      <c r="L1653" s="1">
        <v>0.376</v>
      </c>
      <c r="M1653" s="1">
        <v>0.54500000000000004</v>
      </c>
      <c r="N1653">
        <v>8</v>
      </c>
      <c r="O1653" s="1">
        <v>-8.35</v>
      </c>
      <c r="P1653">
        <v>1</v>
      </c>
      <c r="Q1653" s="1">
        <v>0.217</v>
      </c>
      <c r="R1653" s="1">
        <v>0.86899999999999999</v>
      </c>
      <c r="S1653" s="1">
        <v>0</v>
      </c>
      <c r="T1653" s="1">
        <v>0.17199999999999999</v>
      </c>
      <c r="U1653" s="1">
        <v>0.42199999999999999</v>
      </c>
      <c r="V1653" s="1">
        <v>89.227999999999994</v>
      </c>
      <c r="W1653">
        <v>4</v>
      </c>
    </row>
    <row r="1654" spans="1:23" x14ac:dyDescent="0.25">
      <c r="A1654" s="1" t="s">
        <v>17252</v>
      </c>
      <c r="B1654" s="1" t="s">
        <v>14219</v>
      </c>
      <c r="C1654" s="1" t="s">
        <v>5217</v>
      </c>
      <c r="D1654" s="1" t="s">
        <v>5217</v>
      </c>
      <c r="E1654" s="1" t="s">
        <v>2579</v>
      </c>
      <c r="F1654" s="1" t="s">
        <v>11411</v>
      </c>
      <c r="G1654">
        <v>214799</v>
      </c>
      <c r="H1654">
        <v>43</v>
      </c>
      <c r="I1654" s="1" t="s">
        <v>11063</v>
      </c>
      <c r="J1654" s="11">
        <v>44729.706458333334</v>
      </c>
      <c r="K1654" s="1" t="s">
        <v>2580</v>
      </c>
      <c r="L1654" s="1">
        <v>0.80300000000000005</v>
      </c>
      <c r="M1654" s="1">
        <v>0.52900000000000003</v>
      </c>
      <c r="N1654">
        <v>1</v>
      </c>
      <c r="O1654" s="1">
        <v>-5.6210000000000004</v>
      </c>
      <c r="P1654">
        <v>0</v>
      </c>
      <c r="Q1654" s="1">
        <v>0.496</v>
      </c>
      <c r="R1654" s="1">
        <v>0.73</v>
      </c>
      <c r="S1654" s="1">
        <v>0</v>
      </c>
      <c r="T1654" s="1">
        <v>0.436</v>
      </c>
      <c r="U1654" s="1">
        <v>0.56999999999999995</v>
      </c>
      <c r="V1654" s="1">
        <v>120.03700000000001</v>
      </c>
      <c r="W1654">
        <v>4</v>
      </c>
    </row>
    <row r="1655" spans="1:23" x14ac:dyDescent="0.25">
      <c r="A1655" s="1" t="s">
        <v>17253</v>
      </c>
      <c r="B1655" s="1" t="s">
        <v>16124</v>
      </c>
      <c r="C1655" s="1" t="s">
        <v>5218</v>
      </c>
      <c r="D1655" s="1" t="s">
        <v>17254</v>
      </c>
      <c r="E1655" s="1" t="s">
        <v>4252</v>
      </c>
      <c r="F1655" s="1" t="s">
        <v>11411</v>
      </c>
      <c r="G1655">
        <v>221173</v>
      </c>
      <c r="H1655">
        <v>55</v>
      </c>
      <c r="I1655" s="1" t="s">
        <v>11063</v>
      </c>
      <c r="J1655" s="11">
        <v>44729.706458333334</v>
      </c>
      <c r="K1655" s="1" t="s">
        <v>4253</v>
      </c>
      <c r="L1655" s="1">
        <v>0.69299999999999995</v>
      </c>
      <c r="M1655" s="1">
        <v>0.68300000000000005</v>
      </c>
      <c r="N1655">
        <v>7</v>
      </c>
      <c r="O1655" s="1">
        <v>-9.74</v>
      </c>
      <c r="P1655">
        <v>0</v>
      </c>
      <c r="Q1655" s="1">
        <v>0.45400000000000001</v>
      </c>
      <c r="R1655" s="1">
        <v>0.33500000000000002</v>
      </c>
      <c r="S1655" s="1">
        <v>0.12</v>
      </c>
      <c r="T1655" s="1">
        <v>0.16900000000000001</v>
      </c>
      <c r="U1655" s="1">
        <v>0.193</v>
      </c>
      <c r="V1655" s="1">
        <v>123.95099999999999</v>
      </c>
      <c r="W1655">
        <v>4</v>
      </c>
    </row>
    <row r="1656" spans="1:23" x14ac:dyDescent="0.25">
      <c r="A1656" s="1" t="s">
        <v>17255</v>
      </c>
      <c r="B1656" s="1" t="s">
        <v>17256</v>
      </c>
      <c r="C1656" s="1" t="s">
        <v>5219</v>
      </c>
      <c r="D1656" s="1" t="s">
        <v>5219</v>
      </c>
      <c r="E1656" s="1" t="s">
        <v>5220</v>
      </c>
      <c r="F1656" s="1" t="s">
        <v>13997</v>
      </c>
      <c r="G1656">
        <v>257837</v>
      </c>
      <c r="H1656">
        <v>34</v>
      </c>
      <c r="I1656" s="1" t="s">
        <v>11063</v>
      </c>
      <c r="J1656" s="11">
        <v>44729.706458333334</v>
      </c>
      <c r="K1656" s="1" t="s">
        <v>5221</v>
      </c>
      <c r="L1656" s="1">
        <v>0.36599999999999999</v>
      </c>
      <c r="M1656" s="1">
        <v>0.67900000000000005</v>
      </c>
      <c r="N1656">
        <v>3</v>
      </c>
      <c r="O1656" s="1">
        <v>-6.8879999999999999</v>
      </c>
      <c r="P1656">
        <v>1</v>
      </c>
      <c r="Q1656" s="1">
        <v>0.372</v>
      </c>
      <c r="R1656" s="1">
        <v>0.33500000000000002</v>
      </c>
      <c r="S1656" s="1">
        <v>0.30599999999999999</v>
      </c>
      <c r="T1656" s="1">
        <v>0.86699999999999999</v>
      </c>
      <c r="U1656" s="1">
        <v>0.18099999999999999</v>
      </c>
      <c r="V1656" s="1">
        <v>148.01300000000001</v>
      </c>
      <c r="W1656">
        <v>4</v>
      </c>
    </row>
    <row r="1657" spans="1:23" x14ac:dyDescent="0.25">
      <c r="A1657" s="1" t="s">
        <v>17257</v>
      </c>
      <c r="B1657" s="1" t="s">
        <v>13969</v>
      </c>
      <c r="C1657" s="1" t="s">
        <v>5222</v>
      </c>
      <c r="D1657" s="1" t="s">
        <v>17258</v>
      </c>
      <c r="E1657" s="1" t="s">
        <v>2375</v>
      </c>
      <c r="F1657" s="1" t="s">
        <v>13997</v>
      </c>
      <c r="G1657">
        <v>224021</v>
      </c>
      <c r="H1657">
        <v>29</v>
      </c>
      <c r="I1657" s="1" t="s">
        <v>11063</v>
      </c>
      <c r="J1657" s="11">
        <v>44729.706458333334</v>
      </c>
      <c r="K1657" s="1" t="s">
        <v>2376</v>
      </c>
      <c r="L1657" s="1">
        <v>0.311</v>
      </c>
      <c r="M1657" s="1">
        <v>0.47699999999999998</v>
      </c>
      <c r="N1657">
        <v>11</v>
      </c>
      <c r="O1657" s="1">
        <v>-8.6950000000000003</v>
      </c>
      <c r="P1657">
        <v>1</v>
      </c>
      <c r="Q1657" s="1">
        <v>0.56100000000000005</v>
      </c>
      <c r="R1657" s="1">
        <v>0.63500000000000001</v>
      </c>
      <c r="S1657" s="1">
        <v>0.439</v>
      </c>
      <c r="T1657" s="1">
        <v>0.14000000000000001</v>
      </c>
      <c r="U1657" s="1">
        <v>0.66</v>
      </c>
      <c r="V1657" s="1">
        <v>183.91</v>
      </c>
      <c r="W1657">
        <v>3</v>
      </c>
    </row>
    <row r="1658" spans="1:23" x14ac:dyDescent="0.25">
      <c r="A1658" s="1" t="s">
        <v>17259</v>
      </c>
      <c r="B1658" s="1" t="s">
        <v>12154</v>
      </c>
      <c r="C1658" s="1" t="s">
        <v>5223</v>
      </c>
      <c r="D1658" s="1" t="s">
        <v>16342</v>
      </c>
      <c r="E1658" s="1" t="s">
        <v>683</v>
      </c>
      <c r="F1658" s="1" t="s">
        <v>16343</v>
      </c>
      <c r="G1658">
        <v>198822</v>
      </c>
      <c r="H1658">
        <v>45</v>
      </c>
      <c r="I1658" s="1" t="s">
        <v>11063</v>
      </c>
      <c r="J1658" s="11">
        <v>44729.706458333334</v>
      </c>
      <c r="K1658" s="1" t="s">
        <v>684</v>
      </c>
      <c r="L1658" s="1">
        <v>0.58299999999999996</v>
      </c>
      <c r="M1658" s="1">
        <v>0.72199999999999998</v>
      </c>
      <c r="N1658">
        <v>6</v>
      </c>
      <c r="O1658" s="1">
        <v>-4.4779999999999998</v>
      </c>
      <c r="P1658">
        <v>1</v>
      </c>
      <c r="Q1658" s="1">
        <v>0.32200000000000001</v>
      </c>
      <c r="R1658" s="1">
        <v>0.93</v>
      </c>
      <c r="S1658" s="1">
        <v>0.90300000000000002</v>
      </c>
      <c r="T1658" s="1">
        <v>0.35899999999999999</v>
      </c>
      <c r="U1658" s="1">
        <v>0.27200000000000002</v>
      </c>
      <c r="V1658" s="1">
        <v>145.02600000000001</v>
      </c>
      <c r="W1658">
        <v>4</v>
      </c>
    </row>
    <row r="1659" spans="1:23" x14ac:dyDescent="0.25">
      <c r="A1659" s="1" t="s">
        <v>17260</v>
      </c>
      <c r="B1659" s="1" t="s">
        <v>17261</v>
      </c>
      <c r="C1659" s="1" t="s">
        <v>5224</v>
      </c>
      <c r="D1659" s="1" t="s">
        <v>17262</v>
      </c>
      <c r="E1659" s="1" t="s">
        <v>5225</v>
      </c>
      <c r="F1659" s="1" t="s">
        <v>15619</v>
      </c>
      <c r="G1659">
        <v>221213</v>
      </c>
      <c r="H1659">
        <v>36</v>
      </c>
      <c r="I1659" s="1" t="s">
        <v>11063</v>
      </c>
      <c r="J1659" s="11">
        <v>44729.706458333334</v>
      </c>
      <c r="K1659" s="1" t="s">
        <v>5226</v>
      </c>
      <c r="L1659" s="1">
        <v>0.42599999999999999</v>
      </c>
      <c r="M1659" s="1">
        <v>0.84</v>
      </c>
      <c r="N1659">
        <v>9</v>
      </c>
      <c r="O1659" s="1">
        <v>-3.9980000000000002</v>
      </c>
      <c r="P1659">
        <v>0</v>
      </c>
      <c r="Q1659" s="1">
        <v>0.873</v>
      </c>
      <c r="R1659" s="1">
        <v>0.92</v>
      </c>
      <c r="S1659" s="1">
        <v>0</v>
      </c>
      <c r="T1659" s="1">
        <v>0.308</v>
      </c>
      <c r="U1659" s="1">
        <v>0.52200000000000002</v>
      </c>
      <c r="V1659" s="1">
        <v>149.55600000000001</v>
      </c>
      <c r="W1659">
        <v>4</v>
      </c>
    </row>
    <row r="1660" spans="1:23" x14ac:dyDescent="0.25">
      <c r="A1660" s="1" t="s">
        <v>17263</v>
      </c>
      <c r="B1660" s="1" t="s">
        <v>15022</v>
      </c>
      <c r="C1660" s="1" t="s">
        <v>5227</v>
      </c>
      <c r="D1660" s="1" t="s">
        <v>5227</v>
      </c>
      <c r="E1660" s="1" t="s">
        <v>3287</v>
      </c>
      <c r="F1660" s="1" t="s">
        <v>16234</v>
      </c>
      <c r="G1660">
        <v>192239</v>
      </c>
      <c r="H1660">
        <v>59</v>
      </c>
      <c r="I1660" s="1" t="s">
        <v>11063</v>
      </c>
      <c r="J1660" s="11">
        <v>44729.706458333334</v>
      </c>
      <c r="K1660" s="1" t="s">
        <v>3288</v>
      </c>
      <c r="L1660" s="1">
        <v>0.65900000000000003</v>
      </c>
      <c r="M1660" s="1">
        <v>0.88400000000000001</v>
      </c>
      <c r="N1660">
        <v>1</v>
      </c>
      <c r="O1660" s="1">
        <v>-4.0510000000000002</v>
      </c>
      <c r="P1660">
        <v>0</v>
      </c>
      <c r="Q1660" s="1">
        <v>0.42299999999999999</v>
      </c>
      <c r="R1660" s="1">
        <v>0.36599999999999999</v>
      </c>
      <c r="S1660" s="1">
        <v>0.33400000000000002</v>
      </c>
      <c r="T1660" s="1">
        <v>0.12</v>
      </c>
      <c r="U1660" s="1">
        <v>0.35499999999999998</v>
      </c>
      <c r="V1660" s="1">
        <v>88.957999999999998</v>
      </c>
      <c r="W1660">
        <v>4</v>
      </c>
    </row>
    <row r="1661" spans="1:23" x14ac:dyDescent="0.25">
      <c r="A1661" s="1" t="s">
        <v>17264</v>
      </c>
      <c r="B1661" s="1" t="s">
        <v>15259</v>
      </c>
      <c r="C1661" s="1" t="s">
        <v>5228</v>
      </c>
      <c r="D1661" s="1" t="s">
        <v>5228</v>
      </c>
      <c r="E1661" s="1" t="s">
        <v>3503</v>
      </c>
      <c r="F1661" s="1" t="s">
        <v>16150</v>
      </c>
      <c r="G1661">
        <v>208144</v>
      </c>
      <c r="H1661">
        <v>20</v>
      </c>
      <c r="I1661" s="1" t="s">
        <v>11063</v>
      </c>
      <c r="J1661" s="11">
        <v>44729.706458333334</v>
      </c>
      <c r="K1661" s="1" t="s">
        <v>3033</v>
      </c>
      <c r="L1661" s="1">
        <v>0.5</v>
      </c>
      <c r="M1661" s="1">
        <v>0.64500000000000002</v>
      </c>
      <c r="N1661">
        <v>5</v>
      </c>
      <c r="O1661" s="1">
        <v>-5.8979999999999997</v>
      </c>
      <c r="P1661">
        <v>0</v>
      </c>
      <c r="Q1661" s="1">
        <v>0.443</v>
      </c>
      <c r="R1661" s="1">
        <v>0.46</v>
      </c>
      <c r="S1661" s="1">
        <v>0.40899999999999997</v>
      </c>
      <c r="T1661" s="1">
        <v>0.63</v>
      </c>
      <c r="U1661" s="1">
        <v>0.36299999999999999</v>
      </c>
      <c r="V1661" s="1">
        <v>127.559</v>
      </c>
      <c r="W1661">
        <v>4</v>
      </c>
    </row>
    <row r="1662" spans="1:23" x14ac:dyDescent="0.25">
      <c r="A1662" s="1" t="s">
        <v>17265</v>
      </c>
      <c r="B1662" s="1" t="s">
        <v>17266</v>
      </c>
      <c r="C1662" s="1" t="s">
        <v>5229</v>
      </c>
      <c r="D1662" s="1" t="s">
        <v>5229</v>
      </c>
      <c r="E1662" s="1" t="s">
        <v>5230</v>
      </c>
      <c r="F1662" s="1" t="s">
        <v>13726</v>
      </c>
      <c r="G1662">
        <v>224486</v>
      </c>
      <c r="H1662">
        <v>61</v>
      </c>
      <c r="I1662" s="1" t="s">
        <v>11063</v>
      </c>
      <c r="J1662" s="11">
        <v>44729.706458333334</v>
      </c>
      <c r="K1662" s="1" t="s">
        <v>5231</v>
      </c>
      <c r="L1662" s="1">
        <v>0.55000000000000004</v>
      </c>
      <c r="M1662" s="1">
        <v>0.68899999999999995</v>
      </c>
      <c r="N1662">
        <v>3</v>
      </c>
      <c r="O1662" s="1">
        <v>-7.76</v>
      </c>
      <c r="P1662">
        <v>0</v>
      </c>
      <c r="Q1662" s="1">
        <v>0.94</v>
      </c>
      <c r="R1662" s="1">
        <v>0.498</v>
      </c>
      <c r="S1662" s="1">
        <v>0</v>
      </c>
      <c r="T1662" s="1">
        <v>0.20699999999999999</v>
      </c>
      <c r="U1662" s="1">
        <v>0.40799999999999997</v>
      </c>
      <c r="V1662" s="1">
        <v>99.903999999999996</v>
      </c>
      <c r="W1662">
        <v>4</v>
      </c>
    </row>
    <row r="1663" spans="1:23" x14ac:dyDescent="0.25">
      <c r="A1663" s="1" t="s">
        <v>17267</v>
      </c>
      <c r="B1663" s="1" t="s">
        <v>17268</v>
      </c>
      <c r="C1663" s="1" t="s">
        <v>5232</v>
      </c>
      <c r="D1663" s="1" t="s">
        <v>17269</v>
      </c>
      <c r="E1663" s="1" t="s">
        <v>5233</v>
      </c>
      <c r="F1663" s="1" t="s">
        <v>17270</v>
      </c>
      <c r="G1663">
        <v>279226</v>
      </c>
      <c r="H1663">
        <v>72</v>
      </c>
      <c r="I1663" s="1" t="s">
        <v>11063</v>
      </c>
      <c r="J1663" s="11">
        <v>44729.706458333334</v>
      </c>
      <c r="K1663" s="1" t="s">
        <v>5234</v>
      </c>
      <c r="L1663" s="1">
        <v>0.53700000000000003</v>
      </c>
      <c r="M1663" s="1">
        <v>0.373</v>
      </c>
      <c r="N1663">
        <v>6</v>
      </c>
      <c r="O1663" s="1">
        <v>-10.081</v>
      </c>
      <c r="P1663">
        <v>0</v>
      </c>
      <c r="Q1663" s="1">
        <v>0.33100000000000002</v>
      </c>
      <c r="R1663" s="1">
        <v>0.69099999999999995</v>
      </c>
      <c r="S1663" s="1">
        <v>0.91500000000000004</v>
      </c>
      <c r="T1663" s="1">
        <v>0.83</v>
      </c>
      <c r="U1663" s="1">
        <v>0.24399999999999999</v>
      </c>
      <c r="V1663" s="1">
        <v>83.936000000000007</v>
      </c>
      <c r="W1663">
        <v>4</v>
      </c>
    </row>
    <row r="1664" spans="1:23" x14ac:dyDescent="0.25">
      <c r="A1664" s="1" t="s">
        <v>17271</v>
      </c>
      <c r="B1664" s="1" t="s">
        <v>17272</v>
      </c>
      <c r="C1664" s="1" t="s">
        <v>5235</v>
      </c>
      <c r="D1664" s="1" t="s">
        <v>17273</v>
      </c>
      <c r="E1664" s="1" t="s">
        <v>5236</v>
      </c>
      <c r="F1664" s="1" t="s">
        <v>11758</v>
      </c>
      <c r="G1664">
        <v>271547</v>
      </c>
      <c r="H1664">
        <v>39</v>
      </c>
      <c r="I1664" s="1" t="s">
        <v>11063</v>
      </c>
      <c r="J1664" s="11">
        <v>44729.706458333334</v>
      </c>
      <c r="K1664" s="1" t="s">
        <v>4152</v>
      </c>
      <c r="L1664" s="1">
        <v>0.70099999999999996</v>
      </c>
      <c r="M1664" s="1">
        <v>0.79400000000000004</v>
      </c>
      <c r="N1664">
        <v>6</v>
      </c>
      <c r="O1664" s="1">
        <v>-4.3719999999999999</v>
      </c>
      <c r="P1664">
        <v>1</v>
      </c>
      <c r="Q1664" s="1">
        <v>0.27100000000000002</v>
      </c>
      <c r="R1664" s="1">
        <v>0.45</v>
      </c>
      <c r="S1664" s="1">
        <v>0.17599999999999999</v>
      </c>
      <c r="T1664" s="1">
        <v>0.20399999999999999</v>
      </c>
      <c r="U1664" s="1">
        <v>0.56999999999999995</v>
      </c>
      <c r="V1664" s="1">
        <v>97.995999999999995</v>
      </c>
      <c r="W1664">
        <v>4</v>
      </c>
    </row>
    <row r="1665" spans="1:23" x14ac:dyDescent="0.25">
      <c r="A1665" s="1" t="s">
        <v>17274</v>
      </c>
      <c r="B1665" s="1" t="s">
        <v>17275</v>
      </c>
      <c r="C1665" s="1" t="s">
        <v>5237</v>
      </c>
      <c r="D1665" s="1" t="s">
        <v>17276</v>
      </c>
      <c r="E1665" s="1" t="s">
        <v>5238</v>
      </c>
      <c r="F1665" s="1" t="s">
        <v>17277</v>
      </c>
      <c r="G1665">
        <v>243709</v>
      </c>
      <c r="H1665">
        <v>0</v>
      </c>
      <c r="I1665" s="1" t="s">
        <v>11063</v>
      </c>
      <c r="J1665" s="11">
        <v>44729.706458333334</v>
      </c>
      <c r="K1665" s="1" t="s">
        <v>4152</v>
      </c>
      <c r="L1665" s="1">
        <v>0.53</v>
      </c>
      <c r="M1665" s="1">
        <v>0.58399999999999996</v>
      </c>
      <c r="N1665">
        <v>8</v>
      </c>
      <c r="O1665" s="1">
        <v>-7.7469999999999999</v>
      </c>
      <c r="P1665">
        <v>1</v>
      </c>
      <c r="Q1665" s="1">
        <v>0.53700000000000003</v>
      </c>
      <c r="R1665" s="1">
        <v>0.27800000000000002</v>
      </c>
      <c r="S1665" s="1">
        <v>0.84599999999999997</v>
      </c>
      <c r="T1665" s="1">
        <v>0.107</v>
      </c>
      <c r="U1665" s="1">
        <v>0.27800000000000002</v>
      </c>
      <c r="V1665" s="1">
        <v>193.024</v>
      </c>
      <c r="W1665">
        <v>4</v>
      </c>
    </row>
    <row r="1666" spans="1:23" x14ac:dyDescent="0.25">
      <c r="A1666" s="1" t="s">
        <v>17278</v>
      </c>
      <c r="B1666" s="1" t="s">
        <v>17275</v>
      </c>
      <c r="C1666" s="1" t="s">
        <v>5239</v>
      </c>
      <c r="D1666" s="1" t="s">
        <v>17279</v>
      </c>
      <c r="E1666" s="1" t="s">
        <v>5238</v>
      </c>
      <c r="F1666" s="1" t="s">
        <v>17280</v>
      </c>
      <c r="G1666">
        <v>270413</v>
      </c>
      <c r="H1666">
        <v>0</v>
      </c>
      <c r="I1666" s="1" t="s">
        <v>11063</v>
      </c>
      <c r="J1666" s="11">
        <v>44729.706458333334</v>
      </c>
      <c r="K1666" s="1" t="s">
        <v>4152</v>
      </c>
      <c r="L1666" s="1">
        <v>0.54800000000000004</v>
      </c>
      <c r="M1666" s="1">
        <v>0.50600000000000001</v>
      </c>
      <c r="N1666">
        <v>10</v>
      </c>
      <c r="O1666" s="1">
        <v>-7.5540000000000003</v>
      </c>
      <c r="P1666">
        <v>0</v>
      </c>
      <c r="Q1666" s="1">
        <v>0.29499999999999998</v>
      </c>
      <c r="R1666" s="1">
        <v>0.68</v>
      </c>
      <c r="S1666" s="1">
        <v>0.45500000000000002</v>
      </c>
      <c r="T1666" s="1">
        <v>0.11899999999999999</v>
      </c>
      <c r="U1666" s="1">
        <v>0.26800000000000002</v>
      </c>
      <c r="V1666" s="1">
        <v>94.997</v>
      </c>
      <c r="W1666">
        <v>4</v>
      </c>
    </row>
    <row r="1667" spans="1:23" x14ac:dyDescent="0.25">
      <c r="A1667" s="1" t="s">
        <v>17281</v>
      </c>
      <c r="B1667" s="1" t="s">
        <v>11385</v>
      </c>
      <c r="C1667" s="1" t="s">
        <v>5240</v>
      </c>
      <c r="D1667" s="1" t="s">
        <v>17282</v>
      </c>
      <c r="E1667" s="1" t="s">
        <v>170</v>
      </c>
      <c r="F1667" s="1" t="s">
        <v>17283</v>
      </c>
      <c r="G1667">
        <v>213066</v>
      </c>
      <c r="H1667">
        <v>76</v>
      </c>
      <c r="I1667" s="1" t="s">
        <v>11063</v>
      </c>
      <c r="J1667" s="11">
        <v>44729.706458333334</v>
      </c>
      <c r="K1667" s="1" t="s">
        <v>171</v>
      </c>
      <c r="L1667" s="1">
        <v>0.64800000000000002</v>
      </c>
      <c r="M1667" s="1">
        <v>0.93100000000000005</v>
      </c>
      <c r="N1667">
        <v>1</v>
      </c>
      <c r="O1667" s="1">
        <v>-3.15</v>
      </c>
      <c r="P1667">
        <v>0</v>
      </c>
      <c r="Q1667" s="1">
        <v>0.18099999999999999</v>
      </c>
      <c r="R1667" s="1">
        <v>0.93700000000000006</v>
      </c>
      <c r="S1667" s="1">
        <v>0</v>
      </c>
      <c r="T1667" s="1">
        <v>0.752</v>
      </c>
      <c r="U1667" s="1">
        <v>0.74399999999999999</v>
      </c>
      <c r="V1667" s="1">
        <v>153.649</v>
      </c>
      <c r="W1667">
        <v>4</v>
      </c>
    </row>
    <row r="1668" spans="1:23" x14ac:dyDescent="0.25">
      <c r="A1668" s="1" t="s">
        <v>17284</v>
      </c>
      <c r="B1668" s="1" t="s">
        <v>17285</v>
      </c>
      <c r="C1668" s="1" t="s">
        <v>5241</v>
      </c>
      <c r="D1668" s="1" t="s">
        <v>17286</v>
      </c>
      <c r="E1668" s="1" t="s">
        <v>5242</v>
      </c>
      <c r="F1668" s="1" t="s">
        <v>17287</v>
      </c>
      <c r="G1668">
        <v>179652</v>
      </c>
      <c r="H1668">
        <v>67</v>
      </c>
      <c r="I1668" s="1" t="s">
        <v>11063</v>
      </c>
      <c r="J1668" s="11">
        <v>44729.706458333334</v>
      </c>
      <c r="K1668" s="1" t="s">
        <v>5243</v>
      </c>
      <c r="L1668" s="1">
        <v>0.70199999999999996</v>
      </c>
      <c r="M1668" s="1">
        <v>0.74399999999999999</v>
      </c>
      <c r="N1668">
        <v>6</v>
      </c>
      <c r="O1668" s="1">
        <v>-4.0629999999999997</v>
      </c>
      <c r="P1668">
        <v>0</v>
      </c>
      <c r="Q1668" s="1">
        <v>0.86099999999999999</v>
      </c>
      <c r="R1668" s="1">
        <v>0.46899999999999997</v>
      </c>
      <c r="S1668" s="1">
        <v>0</v>
      </c>
      <c r="T1668" s="1">
        <v>0.91500000000000004</v>
      </c>
      <c r="U1668" s="1">
        <v>0.30499999999999999</v>
      </c>
      <c r="V1668" s="1">
        <v>77.486000000000004</v>
      </c>
      <c r="W1668">
        <v>4</v>
      </c>
    </row>
    <row r="1669" spans="1:23" x14ac:dyDescent="0.25">
      <c r="A1669" s="1" t="s">
        <v>17288</v>
      </c>
      <c r="B1669" s="1" t="s">
        <v>14698</v>
      </c>
      <c r="C1669" s="1" t="s">
        <v>2997</v>
      </c>
      <c r="D1669" s="1" t="s">
        <v>2997</v>
      </c>
      <c r="E1669" s="1" t="s">
        <v>2998</v>
      </c>
      <c r="F1669" s="1" t="s">
        <v>14667</v>
      </c>
      <c r="G1669">
        <v>228267</v>
      </c>
      <c r="H1669">
        <v>77</v>
      </c>
      <c r="I1669" s="1" t="s">
        <v>11063</v>
      </c>
      <c r="J1669" s="11">
        <v>44729.706458333334</v>
      </c>
      <c r="K1669" s="1" t="s">
        <v>2999</v>
      </c>
      <c r="L1669" s="1">
        <v>0.69299999999999995</v>
      </c>
      <c r="M1669" s="1">
        <v>0.67800000000000005</v>
      </c>
      <c r="N1669">
        <v>8</v>
      </c>
      <c r="O1669" s="1">
        <v>-7.1589999999999998</v>
      </c>
      <c r="P1669">
        <v>1</v>
      </c>
      <c r="Q1669" s="1">
        <v>0.32400000000000001</v>
      </c>
      <c r="R1669" s="1">
        <v>0.151</v>
      </c>
      <c r="S1669" s="1">
        <v>0.57099999999999995</v>
      </c>
      <c r="T1669" s="1">
        <v>0.10100000000000001</v>
      </c>
      <c r="U1669" s="1">
        <v>0.40400000000000003</v>
      </c>
      <c r="V1669" s="1">
        <v>103.952</v>
      </c>
      <c r="W1669">
        <v>4</v>
      </c>
    </row>
    <row r="1670" spans="1:23" x14ac:dyDescent="0.25">
      <c r="A1670" s="1" t="s">
        <v>17289</v>
      </c>
      <c r="B1670" s="1" t="s">
        <v>14974</v>
      </c>
      <c r="C1670" s="1" t="s">
        <v>5244</v>
      </c>
      <c r="D1670" s="1" t="s">
        <v>14975</v>
      </c>
      <c r="E1670" s="1" t="s">
        <v>3250</v>
      </c>
      <c r="F1670" s="1" t="s">
        <v>14976</v>
      </c>
      <c r="G1670">
        <v>161605</v>
      </c>
      <c r="H1670">
        <v>63</v>
      </c>
      <c r="I1670" s="1" t="s">
        <v>11063</v>
      </c>
      <c r="J1670" s="11">
        <v>44729.706458333334</v>
      </c>
      <c r="K1670" s="1" t="s">
        <v>235</v>
      </c>
      <c r="L1670" s="1">
        <v>0.84099999999999997</v>
      </c>
      <c r="M1670" s="1">
        <v>0.47899999999999998</v>
      </c>
      <c r="N1670">
        <v>0</v>
      </c>
      <c r="O1670" s="1">
        <v>-5.8369999999999997</v>
      </c>
      <c r="P1670">
        <v>0</v>
      </c>
      <c r="Q1670" s="1">
        <v>0.376</v>
      </c>
      <c r="R1670" s="1">
        <v>0.20699999999999999</v>
      </c>
      <c r="S1670" s="1">
        <v>0.11600000000000001</v>
      </c>
      <c r="T1670" s="1">
        <v>0.122</v>
      </c>
      <c r="U1670" s="1">
        <v>0.45400000000000001</v>
      </c>
      <c r="V1670" s="1">
        <v>112.968</v>
      </c>
      <c r="W1670">
        <v>4</v>
      </c>
    </row>
    <row r="1671" spans="1:23" x14ac:dyDescent="0.25">
      <c r="A1671" s="1" t="s">
        <v>17290</v>
      </c>
      <c r="B1671" s="1" t="s">
        <v>14974</v>
      </c>
      <c r="C1671" s="1" t="s">
        <v>5245</v>
      </c>
      <c r="D1671" s="1" t="s">
        <v>14975</v>
      </c>
      <c r="E1671" s="1" t="s">
        <v>3250</v>
      </c>
      <c r="F1671" s="1" t="s">
        <v>14976</v>
      </c>
      <c r="G1671">
        <v>194900</v>
      </c>
      <c r="H1671">
        <v>51</v>
      </c>
      <c r="I1671" s="1" t="s">
        <v>11063</v>
      </c>
      <c r="J1671" s="11">
        <v>44729.706458333334</v>
      </c>
      <c r="K1671" s="1" t="s">
        <v>235</v>
      </c>
      <c r="L1671" s="1">
        <v>0.69499999999999995</v>
      </c>
      <c r="M1671" s="1">
        <v>0.62</v>
      </c>
      <c r="N1671">
        <v>8</v>
      </c>
      <c r="O1671" s="1">
        <v>-8.0820000000000007</v>
      </c>
      <c r="P1671">
        <v>0</v>
      </c>
      <c r="Q1671" s="1">
        <v>0.52100000000000002</v>
      </c>
      <c r="R1671" s="1">
        <v>0.88100000000000001</v>
      </c>
      <c r="S1671" s="1">
        <v>0.54300000000000004</v>
      </c>
      <c r="T1671" s="1">
        <v>0.111</v>
      </c>
      <c r="U1671" s="1">
        <v>0.62</v>
      </c>
      <c r="V1671" s="1">
        <v>150.03200000000001</v>
      </c>
      <c r="W1671">
        <v>4</v>
      </c>
    </row>
    <row r="1672" spans="1:23" x14ac:dyDescent="0.25">
      <c r="A1672" s="1" t="s">
        <v>17291</v>
      </c>
      <c r="B1672" s="1" t="s">
        <v>17292</v>
      </c>
      <c r="C1672" s="1" t="s">
        <v>5246</v>
      </c>
      <c r="D1672" s="1" t="s">
        <v>14975</v>
      </c>
      <c r="E1672" s="1" t="s">
        <v>5247</v>
      </c>
      <c r="F1672" s="1" t="s">
        <v>14976</v>
      </c>
      <c r="G1672">
        <v>186459</v>
      </c>
      <c r="H1672">
        <v>48</v>
      </c>
      <c r="I1672" s="1" t="s">
        <v>11063</v>
      </c>
      <c r="J1672" s="11">
        <v>44729.706458333334</v>
      </c>
      <c r="K1672" s="1" t="s">
        <v>5248</v>
      </c>
      <c r="L1672" s="1">
        <v>0.72399999999999998</v>
      </c>
      <c r="M1672" s="1">
        <v>0.41499999999999998</v>
      </c>
      <c r="N1672">
        <v>7</v>
      </c>
      <c r="O1672" s="1">
        <v>-8.4079999999999995</v>
      </c>
      <c r="P1672">
        <v>0</v>
      </c>
      <c r="Q1672" s="1">
        <v>0.51800000000000002</v>
      </c>
      <c r="R1672" s="1">
        <v>0.76400000000000001</v>
      </c>
      <c r="S1672" s="1">
        <v>0.251</v>
      </c>
      <c r="T1672" s="1">
        <v>0.10299999999999999</v>
      </c>
      <c r="U1672" s="1">
        <v>0.32800000000000001</v>
      </c>
      <c r="V1672" s="1">
        <v>89.998999999999995</v>
      </c>
      <c r="W1672">
        <v>4</v>
      </c>
    </row>
    <row r="1673" spans="1:23" x14ac:dyDescent="0.25">
      <c r="A1673" s="1" t="s">
        <v>17293</v>
      </c>
      <c r="B1673" s="1" t="s">
        <v>17294</v>
      </c>
      <c r="C1673" s="1" t="s">
        <v>5249</v>
      </c>
      <c r="D1673" s="1" t="s">
        <v>17295</v>
      </c>
      <c r="E1673" s="1" t="s">
        <v>5250</v>
      </c>
      <c r="F1673" s="1" t="s">
        <v>17296</v>
      </c>
      <c r="G1673">
        <v>183479</v>
      </c>
      <c r="H1673">
        <v>45</v>
      </c>
      <c r="I1673" s="1" t="s">
        <v>11063</v>
      </c>
      <c r="J1673" s="11">
        <v>44729.706458333334</v>
      </c>
      <c r="K1673" s="1" t="s">
        <v>2479</v>
      </c>
      <c r="L1673" s="1">
        <v>0.79500000000000004</v>
      </c>
      <c r="M1673" s="1">
        <v>0.79700000000000004</v>
      </c>
      <c r="N1673">
        <v>9</v>
      </c>
      <c r="O1673" s="1">
        <v>-5.7190000000000003</v>
      </c>
      <c r="P1673">
        <v>0</v>
      </c>
      <c r="Q1673" s="1">
        <v>0.126</v>
      </c>
      <c r="R1673" s="1">
        <v>0.32800000000000001</v>
      </c>
      <c r="S1673" s="1">
        <v>0.154</v>
      </c>
      <c r="T1673" s="1">
        <v>0.125</v>
      </c>
      <c r="U1673" s="1">
        <v>0.51800000000000002</v>
      </c>
      <c r="V1673" s="1">
        <v>119.986</v>
      </c>
      <c r="W1673">
        <v>4</v>
      </c>
    </row>
    <row r="1674" spans="1:23" x14ac:dyDescent="0.25">
      <c r="A1674" s="1" t="s">
        <v>17297</v>
      </c>
      <c r="B1674" s="1" t="s">
        <v>17298</v>
      </c>
      <c r="C1674" s="1" t="s">
        <v>5251</v>
      </c>
      <c r="D1674" s="1" t="s">
        <v>5251</v>
      </c>
      <c r="E1674" s="1" t="s">
        <v>5252</v>
      </c>
      <c r="F1674" s="1" t="s">
        <v>16107</v>
      </c>
      <c r="G1674">
        <v>219163</v>
      </c>
      <c r="H1674">
        <v>24</v>
      </c>
      <c r="I1674" s="1" t="s">
        <v>11063</v>
      </c>
      <c r="J1674" s="11">
        <v>44729.706458333334</v>
      </c>
      <c r="K1674" s="1" t="s">
        <v>5253</v>
      </c>
      <c r="L1674" s="1">
        <v>0.78200000000000003</v>
      </c>
      <c r="M1674" s="1">
        <v>0.46800000000000003</v>
      </c>
      <c r="N1674">
        <v>5</v>
      </c>
      <c r="O1674" s="1">
        <v>-4.8810000000000002</v>
      </c>
      <c r="P1674">
        <v>1</v>
      </c>
      <c r="Q1674" s="1">
        <v>0.746</v>
      </c>
      <c r="R1674" s="1">
        <v>0.36</v>
      </c>
      <c r="S1674" s="1">
        <v>0.23100000000000001</v>
      </c>
      <c r="T1674" s="1">
        <v>0.69899999999999995</v>
      </c>
      <c r="U1674" s="1">
        <v>0.65500000000000003</v>
      </c>
      <c r="V1674" s="1">
        <v>124.97</v>
      </c>
      <c r="W1674">
        <v>4</v>
      </c>
    </row>
    <row r="1675" spans="1:23" x14ac:dyDescent="0.25">
      <c r="A1675" s="1" t="s">
        <v>17299</v>
      </c>
      <c r="B1675" s="1" t="s">
        <v>17298</v>
      </c>
      <c r="C1675" s="1" t="s">
        <v>5254</v>
      </c>
      <c r="D1675" s="1" t="s">
        <v>5254</v>
      </c>
      <c r="E1675" s="1" t="s">
        <v>5252</v>
      </c>
      <c r="F1675" s="1" t="s">
        <v>16156</v>
      </c>
      <c r="G1675">
        <v>225804</v>
      </c>
      <c r="H1675">
        <v>24</v>
      </c>
      <c r="I1675" s="1" t="s">
        <v>11063</v>
      </c>
      <c r="J1675" s="11">
        <v>44729.706458333334</v>
      </c>
      <c r="K1675" s="1" t="s">
        <v>5253</v>
      </c>
      <c r="L1675" s="1">
        <v>0.623</v>
      </c>
      <c r="M1675" s="1">
        <v>0.70199999999999996</v>
      </c>
      <c r="N1675">
        <v>1</v>
      </c>
      <c r="O1675" s="1">
        <v>-6.4349999999999996</v>
      </c>
      <c r="P1675">
        <v>0</v>
      </c>
      <c r="Q1675" s="1">
        <v>0.95699999999999996</v>
      </c>
      <c r="R1675" s="1">
        <v>0.152</v>
      </c>
      <c r="S1675" s="1">
        <v>0</v>
      </c>
      <c r="T1675" s="1">
        <v>0.82899999999999996</v>
      </c>
      <c r="U1675" s="1">
        <v>0.70599999999999996</v>
      </c>
      <c r="V1675" s="1">
        <v>145.947</v>
      </c>
      <c r="W1675">
        <v>4</v>
      </c>
    </row>
    <row r="1676" spans="1:23" x14ac:dyDescent="0.25">
      <c r="A1676" s="1" t="s">
        <v>17300</v>
      </c>
      <c r="B1676" s="1" t="s">
        <v>17298</v>
      </c>
      <c r="C1676" s="1" t="s">
        <v>5255</v>
      </c>
      <c r="D1676" s="1" t="s">
        <v>5255</v>
      </c>
      <c r="E1676" s="1" t="s">
        <v>5252</v>
      </c>
      <c r="F1676" s="1" t="s">
        <v>11437</v>
      </c>
      <c r="G1676">
        <v>189600</v>
      </c>
      <c r="H1676">
        <v>38</v>
      </c>
      <c r="I1676" s="1" t="s">
        <v>11063</v>
      </c>
      <c r="J1676" s="11">
        <v>44729.706458333334</v>
      </c>
      <c r="K1676" s="1" t="s">
        <v>5253</v>
      </c>
      <c r="L1676" s="1">
        <v>0.55700000000000005</v>
      </c>
      <c r="M1676" s="1">
        <v>0.72099999999999997</v>
      </c>
      <c r="N1676">
        <v>4</v>
      </c>
      <c r="O1676" s="1">
        <v>-5.1340000000000003</v>
      </c>
      <c r="P1676">
        <v>0</v>
      </c>
      <c r="Q1676" s="1">
        <v>0.41599999999999998</v>
      </c>
      <c r="R1676" s="1">
        <v>0.35599999999999998</v>
      </c>
      <c r="S1676" s="1">
        <v>0</v>
      </c>
      <c r="T1676" s="1">
        <v>0.14599999999999999</v>
      </c>
      <c r="U1676" s="1">
        <v>0.39200000000000002</v>
      </c>
      <c r="V1676" s="1">
        <v>125.324</v>
      </c>
      <c r="W1676">
        <v>4</v>
      </c>
    </row>
    <row r="1677" spans="1:23" x14ac:dyDescent="0.25">
      <c r="A1677" s="1" t="s">
        <v>17301</v>
      </c>
      <c r="B1677" s="1" t="s">
        <v>15422</v>
      </c>
      <c r="C1677" s="1" t="s">
        <v>5256</v>
      </c>
      <c r="D1677" s="1" t="s">
        <v>17302</v>
      </c>
      <c r="E1677" s="1" t="s">
        <v>3649</v>
      </c>
      <c r="F1677" s="1" t="s">
        <v>16981</v>
      </c>
      <c r="G1677">
        <v>166822</v>
      </c>
      <c r="H1677">
        <v>55</v>
      </c>
      <c r="I1677" s="1" t="s">
        <v>11063</v>
      </c>
      <c r="J1677" s="11">
        <v>44729.706458333334</v>
      </c>
      <c r="K1677" s="1" t="s">
        <v>2356</v>
      </c>
      <c r="L1677" s="1">
        <v>0.60199999999999998</v>
      </c>
      <c r="M1677" s="1">
        <v>0.50700000000000001</v>
      </c>
      <c r="N1677">
        <v>1</v>
      </c>
      <c r="O1677" s="1">
        <v>-6.9889999999999999</v>
      </c>
      <c r="P1677">
        <v>0</v>
      </c>
      <c r="Q1677" s="1">
        <v>0.308</v>
      </c>
      <c r="R1677" s="1">
        <v>0.16400000000000001</v>
      </c>
      <c r="S1677" s="1">
        <v>0</v>
      </c>
      <c r="T1677" s="1">
        <v>0.82699999999999996</v>
      </c>
      <c r="U1677" s="1">
        <v>0.38300000000000001</v>
      </c>
      <c r="V1677" s="1">
        <v>84.977999999999994</v>
      </c>
      <c r="W1677">
        <v>4</v>
      </c>
    </row>
    <row r="1678" spans="1:23" x14ac:dyDescent="0.25">
      <c r="A1678" s="1" t="s">
        <v>17303</v>
      </c>
      <c r="B1678" s="1" t="s">
        <v>15422</v>
      </c>
      <c r="C1678" s="1" t="s">
        <v>5257</v>
      </c>
      <c r="D1678" s="1" t="s">
        <v>17302</v>
      </c>
      <c r="E1678" s="1" t="s">
        <v>3649</v>
      </c>
      <c r="F1678" s="1" t="s">
        <v>16981</v>
      </c>
      <c r="G1678">
        <v>237375</v>
      </c>
      <c r="H1678">
        <v>69</v>
      </c>
      <c r="I1678" s="1" t="s">
        <v>11063</v>
      </c>
      <c r="J1678" s="11">
        <v>44729.706458333334</v>
      </c>
      <c r="K1678" s="1" t="s">
        <v>2356</v>
      </c>
      <c r="L1678" s="1">
        <v>0.41099999999999998</v>
      </c>
      <c r="M1678" s="1">
        <v>0.67500000000000004</v>
      </c>
      <c r="N1678">
        <v>5</v>
      </c>
      <c r="O1678" s="1">
        <v>-6.2510000000000003</v>
      </c>
      <c r="P1678">
        <v>0</v>
      </c>
      <c r="Q1678" s="1">
        <v>0.59099999999999997</v>
      </c>
      <c r="R1678" s="1">
        <v>0.63</v>
      </c>
      <c r="S1678" s="1">
        <v>0</v>
      </c>
      <c r="T1678" s="1">
        <v>0.92</v>
      </c>
      <c r="U1678" s="1">
        <v>0.54500000000000004</v>
      </c>
      <c r="V1678" s="1">
        <v>130.13399999999999</v>
      </c>
      <c r="W1678">
        <v>4</v>
      </c>
    </row>
    <row r="1679" spans="1:23" x14ac:dyDescent="0.25">
      <c r="A1679" s="1" t="s">
        <v>17304</v>
      </c>
      <c r="B1679" s="1" t="s">
        <v>15422</v>
      </c>
      <c r="C1679" s="1" t="s">
        <v>2184</v>
      </c>
      <c r="D1679" s="1" t="s">
        <v>17302</v>
      </c>
      <c r="E1679" s="1" t="s">
        <v>3649</v>
      </c>
      <c r="F1679" s="1" t="s">
        <v>16981</v>
      </c>
      <c r="G1679">
        <v>190048</v>
      </c>
      <c r="H1679">
        <v>66</v>
      </c>
      <c r="I1679" s="1" t="s">
        <v>11063</v>
      </c>
      <c r="J1679" s="11">
        <v>44729.706458333334</v>
      </c>
      <c r="K1679" s="1" t="s">
        <v>2356</v>
      </c>
      <c r="L1679" s="1">
        <v>0.56299999999999994</v>
      </c>
      <c r="M1679" s="1">
        <v>0.67800000000000005</v>
      </c>
      <c r="N1679">
        <v>2</v>
      </c>
      <c r="O1679" s="1">
        <v>-4.7169999999999996</v>
      </c>
      <c r="P1679">
        <v>0</v>
      </c>
      <c r="Q1679" s="1">
        <v>0.39200000000000002</v>
      </c>
      <c r="R1679" s="1">
        <v>0.22800000000000001</v>
      </c>
      <c r="S1679" s="1">
        <v>0</v>
      </c>
      <c r="T1679" s="1">
        <v>0.34200000000000003</v>
      </c>
      <c r="U1679" s="1">
        <v>0.13400000000000001</v>
      </c>
      <c r="V1679" s="1">
        <v>127.883</v>
      </c>
      <c r="W1679">
        <v>4</v>
      </c>
    </row>
    <row r="1680" spans="1:23" x14ac:dyDescent="0.25">
      <c r="A1680" s="1" t="s">
        <v>17305</v>
      </c>
      <c r="B1680" s="1" t="s">
        <v>11142</v>
      </c>
      <c r="C1680" s="1" t="s">
        <v>5258</v>
      </c>
      <c r="D1680" s="1" t="s">
        <v>11143</v>
      </c>
      <c r="E1680" s="1" t="s">
        <v>5259</v>
      </c>
      <c r="F1680" s="1" t="s">
        <v>15530</v>
      </c>
      <c r="G1680">
        <v>237958</v>
      </c>
      <c r="H1680">
        <v>54</v>
      </c>
      <c r="I1680" s="1" t="s">
        <v>11063</v>
      </c>
      <c r="J1680" s="11">
        <v>44729.706458333334</v>
      </c>
      <c r="K1680" s="1" t="s">
        <v>5260</v>
      </c>
      <c r="L1680" s="1">
        <v>0.63100000000000001</v>
      </c>
      <c r="M1680" s="1">
        <v>0.748</v>
      </c>
      <c r="N1680">
        <v>7</v>
      </c>
      <c r="O1680" s="1">
        <v>-2.9820000000000002</v>
      </c>
      <c r="P1680">
        <v>1</v>
      </c>
      <c r="Q1680" s="1">
        <v>0.48399999999999999</v>
      </c>
      <c r="R1680" s="1">
        <v>0.151</v>
      </c>
      <c r="S1680" s="1">
        <v>0.47899999999999998</v>
      </c>
      <c r="T1680" s="1">
        <v>0.93500000000000005</v>
      </c>
      <c r="U1680" s="1">
        <v>0.86299999999999999</v>
      </c>
      <c r="V1680" s="1">
        <v>81.978999999999999</v>
      </c>
      <c r="W1680">
        <v>4</v>
      </c>
    </row>
    <row r="1681" spans="1:23" x14ac:dyDescent="0.25">
      <c r="A1681" s="1" t="s">
        <v>17306</v>
      </c>
      <c r="B1681" s="1" t="s">
        <v>11142</v>
      </c>
      <c r="C1681" s="1" t="s">
        <v>5261</v>
      </c>
      <c r="D1681" s="1" t="s">
        <v>11143</v>
      </c>
      <c r="E1681" s="1" t="s">
        <v>5259</v>
      </c>
      <c r="F1681" s="1" t="s">
        <v>15530</v>
      </c>
      <c r="G1681">
        <v>240187</v>
      </c>
      <c r="H1681">
        <v>59</v>
      </c>
      <c r="I1681" s="1" t="s">
        <v>11063</v>
      </c>
      <c r="J1681" s="11">
        <v>44729.706458333334</v>
      </c>
      <c r="K1681" s="1" t="s">
        <v>5260</v>
      </c>
      <c r="L1681" s="1">
        <v>0.43099999999999999</v>
      </c>
      <c r="M1681" s="1">
        <v>0.64900000000000002</v>
      </c>
      <c r="N1681">
        <v>11</v>
      </c>
      <c r="O1681" s="1">
        <v>-3.5649999999999999</v>
      </c>
      <c r="P1681">
        <v>0</v>
      </c>
      <c r="Q1681" s="1">
        <v>0.50800000000000001</v>
      </c>
      <c r="R1681" s="1">
        <v>0.46600000000000003</v>
      </c>
      <c r="S1681" s="1">
        <v>0.49199999999999999</v>
      </c>
      <c r="T1681" s="1">
        <v>0.10199999999999999</v>
      </c>
      <c r="U1681" s="1">
        <v>0.56399999999999995</v>
      </c>
      <c r="V1681" s="1">
        <v>167.851</v>
      </c>
      <c r="W1681">
        <v>3</v>
      </c>
    </row>
    <row r="1682" spans="1:23" x14ac:dyDescent="0.25">
      <c r="A1682" s="1" t="s">
        <v>17307</v>
      </c>
      <c r="B1682" s="1" t="s">
        <v>17308</v>
      </c>
      <c r="C1682" s="1" t="s">
        <v>5262</v>
      </c>
      <c r="D1682" s="1" t="s">
        <v>5262</v>
      </c>
      <c r="E1682" s="1" t="s">
        <v>5263</v>
      </c>
      <c r="F1682" s="1" t="s">
        <v>17309</v>
      </c>
      <c r="G1682">
        <v>213895</v>
      </c>
      <c r="H1682">
        <v>43</v>
      </c>
      <c r="I1682" s="1" t="s">
        <v>11063</v>
      </c>
      <c r="J1682" s="11">
        <v>44729.706458333334</v>
      </c>
      <c r="K1682" s="1" t="s">
        <v>5264</v>
      </c>
      <c r="L1682" s="1">
        <v>0.76100000000000001</v>
      </c>
      <c r="M1682" s="1">
        <v>0.65400000000000003</v>
      </c>
      <c r="N1682">
        <v>10</v>
      </c>
      <c r="O1682" s="1">
        <v>-5.9509999999999996</v>
      </c>
      <c r="P1682">
        <v>0</v>
      </c>
      <c r="Q1682" s="1">
        <v>0.41099999999999998</v>
      </c>
      <c r="R1682" s="1">
        <v>0.27600000000000002</v>
      </c>
      <c r="S1682" s="1">
        <v>0.23699999999999999</v>
      </c>
      <c r="T1682" s="1">
        <v>0.106</v>
      </c>
      <c r="U1682" s="1">
        <v>0.57299999999999995</v>
      </c>
      <c r="V1682" s="1">
        <v>104.97199999999999</v>
      </c>
      <c r="W1682">
        <v>4</v>
      </c>
    </row>
    <row r="1683" spans="1:23" x14ac:dyDescent="0.25">
      <c r="A1683" s="1" t="s">
        <v>17310</v>
      </c>
      <c r="B1683" s="1" t="s">
        <v>17311</v>
      </c>
      <c r="C1683" s="1" t="s">
        <v>5265</v>
      </c>
      <c r="D1683" s="1" t="s">
        <v>6520</v>
      </c>
      <c r="E1683" s="1" t="s">
        <v>5266</v>
      </c>
      <c r="F1683" s="1" t="s">
        <v>17312</v>
      </c>
      <c r="G1683">
        <v>188529</v>
      </c>
      <c r="H1683">
        <v>50</v>
      </c>
      <c r="I1683" s="1" t="s">
        <v>11063</v>
      </c>
      <c r="J1683" s="11">
        <v>44729.706458333334</v>
      </c>
      <c r="K1683" s="1" t="s">
        <v>2356</v>
      </c>
      <c r="L1683" s="1">
        <v>0.54400000000000004</v>
      </c>
      <c r="M1683" s="1">
        <v>0.57399999999999995</v>
      </c>
      <c r="N1683">
        <v>0</v>
      </c>
      <c r="O1683" s="1">
        <v>-8.3629999999999995</v>
      </c>
      <c r="P1683">
        <v>0</v>
      </c>
      <c r="Q1683" s="1">
        <v>0.29899999999999999</v>
      </c>
      <c r="R1683" s="1">
        <v>0.217</v>
      </c>
      <c r="S1683" s="1">
        <v>0.155</v>
      </c>
      <c r="T1683" s="1">
        <v>0.214</v>
      </c>
      <c r="U1683" s="1">
        <v>0.90200000000000002</v>
      </c>
      <c r="V1683" s="1">
        <v>100.059</v>
      </c>
      <c r="W1683">
        <v>4</v>
      </c>
    </row>
    <row r="1684" spans="1:23" x14ac:dyDescent="0.25">
      <c r="A1684" s="1" t="s">
        <v>17313</v>
      </c>
      <c r="B1684" s="1" t="s">
        <v>16521</v>
      </c>
      <c r="C1684" s="1" t="s">
        <v>5267</v>
      </c>
      <c r="D1684" s="1" t="s">
        <v>5267</v>
      </c>
      <c r="E1684" s="1" t="s">
        <v>4577</v>
      </c>
      <c r="F1684" s="1" t="s">
        <v>17314</v>
      </c>
      <c r="G1684">
        <v>166235</v>
      </c>
      <c r="H1684">
        <v>0</v>
      </c>
      <c r="I1684" s="1" t="s">
        <v>11063</v>
      </c>
      <c r="J1684" s="11">
        <v>44729.706458333334</v>
      </c>
      <c r="K1684" s="1" t="s">
        <v>4578</v>
      </c>
      <c r="L1684" s="1">
        <v>0.54500000000000004</v>
      </c>
      <c r="M1684" s="1">
        <v>0.80800000000000005</v>
      </c>
      <c r="N1684">
        <v>5</v>
      </c>
      <c r="O1684" s="1">
        <v>-5.0709999999999997</v>
      </c>
      <c r="P1684">
        <v>0</v>
      </c>
      <c r="Q1684" s="1">
        <v>0.36599999999999999</v>
      </c>
      <c r="R1684" s="1">
        <v>0.39800000000000002</v>
      </c>
      <c r="S1684" s="1">
        <v>0</v>
      </c>
      <c r="T1684" s="1">
        <v>0.995</v>
      </c>
      <c r="U1684" s="1">
        <v>0.58299999999999996</v>
      </c>
      <c r="V1684" s="1">
        <v>78.451999999999998</v>
      </c>
      <c r="W1684">
        <v>4</v>
      </c>
    </row>
    <row r="1685" spans="1:23" x14ac:dyDescent="0.25">
      <c r="A1685" s="1" t="s">
        <v>17315</v>
      </c>
      <c r="B1685" s="1" t="s">
        <v>17316</v>
      </c>
      <c r="C1685" s="1" t="s">
        <v>5268</v>
      </c>
      <c r="D1685" s="1" t="s">
        <v>17317</v>
      </c>
      <c r="E1685" s="1" t="s">
        <v>5269</v>
      </c>
      <c r="F1685" s="1" t="s">
        <v>17318</v>
      </c>
      <c r="G1685">
        <v>215226</v>
      </c>
      <c r="H1685">
        <v>76</v>
      </c>
      <c r="I1685" s="1" t="s">
        <v>11063</v>
      </c>
      <c r="J1685" s="11">
        <v>44729.706458333334</v>
      </c>
      <c r="K1685" s="1" t="s">
        <v>5270</v>
      </c>
      <c r="L1685" s="1">
        <v>0.73499999999999999</v>
      </c>
      <c r="M1685" s="1">
        <v>0.76600000000000001</v>
      </c>
      <c r="N1685">
        <v>1</v>
      </c>
      <c r="O1685" s="1">
        <v>-4.4850000000000003</v>
      </c>
      <c r="P1685">
        <v>1</v>
      </c>
      <c r="Q1685" s="1">
        <v>0.38300000000000001</v>
      </c>
      <c r="R1685" s="1">
        <v>0.25</v>
      </c>
      <c r="S1685" s="1">
        <v>0.13800000000000001</v>
      </c>
      <c r="T1685" s="1">
        <v>0.108</v>
      </c>
      <c r="U1685" s="1">
        <v>0.6</v>
      </c>
      <c r="V1685" s="1">
        <v>127.985</v>
      </c>
      <c r="W1685">
        <v>4</v>
      </c>
    </row>
    <row r="1686" spans="1:23" x14ac:dyDescent="0.25">
      <c r="A1686" s="1" t="s">
        <v>17319</v>
      </c>
      <c r="B1686" s="1" t="s">
        <v>17320</v>
      </c>
      <c r="C1686" s="1" t="s">
        <v>5271</v>
      </c>
      <c r="D1686" s="1" t="s">
        <v>17321</v>
      </c>
      <c r="E1686" s="1" t="s">
        <v>5272</v>
      </c>
      <c r="F1686" s="1" t="s">
        <v>13922</v>
      </c>
      <c r="G1686">
        <v>279026</v>
      </c>
      <c r="H1686">
        <v>63</v>
      </c>
      <c r="I1686" s="1" t="s">
        <v>11063</v>
      </c>
      <c r="J1686" s="11">
        <v>44729.706458333334</v>
      </c>
      <c r="K1686" s="1" t="s">
        <v>5273</v>
      </c>
      <c r="L1686" s="1">
        <v>0.53500000000000003</v>
      </c>
      <c r="M1686" s="1">
        <v>0.79600000000000004</v>
      </c>
      <c r="N1686">
        <v>0</v>
      </c>
      <c r="O1686" s="1">
        <v>-3.4460000000000002</v>
      </c>
      <c r="P1686">
        <v>0</v>
      </c>
      <c r="Q1686" s="1">
        <v>0.44500000000000001</v>
      </c>
      <c r="R1686" s="1">
        <v>0.47299999999999998</v>
      </c>
      <c r="S1686" s="1">
        <v>0</v>
      </c>
      <c r="T1686" s="1">
        <v>0.14499999999999999</v>
      </c>
      <c r="U1686" s="1">
        <v>0.28199999999999997</v>
      </c>
      <c r="V1686" s="1">
        <v>128.95400000000001</v>
      </c>
      <c r="W1686">
        <v>4</v>
      </c>
    </row>
    <row r="1687" spans="1:23" x14ac:dyDescent="0.25">
      <c r="A1687" s="1" t="s">
        <v>17322</v>
      </c>
      <c r="B1687" s="1" t="s">
        <v>17323</v>
      </c>
      <c r="C1687" s="1" t="s">
        <v>5274</v>
      </c>
      <c r="D1687" s="1" t="s">
        <v>17321</v>
      </c>
      <c r="E1687" s="1" t="s">
        <v>5275</v>
      </c>
      <c r="F1687" s="1" t="s">
        <v>13922</v>
      </c>
      <c r="G1687">
        <v>279506</v>
      </c>
      <c r="H1687">
        <v>69</v>
      </c>
      <c r="I1687" s="1" t="s">
        <v>11063</v>
      </c>
      <c r="J1687" s="11">
        <v>44729.706458333334</v>
      </c>
      <c r="K1687" s="1" t="s">
        <v>5276</v>
      </c>
      <c r="L1687" s="1">
        <v>0.79700000000000004</v>
      </c>
      <c r="M1687" s="1">
        <v>0.60799999999999998</v>
      </c>
      <c r="N1687">
        <v>6</v>
      </c>
      <c r="O1687" s="1">
        <v>-6.0960000000000001</v>
      </c>
      <c r="P1687">
        <v>0</v>
      </c>
      <c r="Q1687" s="1">
        <v>0.58399999999999996</v>
      </c>
      <c r="R1687" s="1">
        <v>0.112</v>
      </c>
      <c r="S1687" s="1">
        <v>0.76600000000000001</v>
      </c>
      <c r="T1687" s="1">
        <v>0.748</v>
      </c>
      <c r="U1687" s="1">
        <v>0.40200000000000002</v>
      </c>
      <c r="V1687" s="1">
        <v>127.999</v>
      </c>
      <c r="W1687">
        <v>4</v>
      </c>
    </row>
    <row r="1688" spans="1:23" x14ac:dyDescent="0.25">
      <c r="A1688" s="1" t="s">
        <v>17324</v>
      </c>
      <c r="B1688" s="1" t="s">
        <v>17325</v>
      </c>
      <c r="C1688" s="1" t="s">
        <v>5277</v>
      </c>
      <c r="D1688" s="1" t="s">
        <v>17326</v>
      </c>
      <c r="E1688" s="1" t="s">
        <v>5278</v>
      </c>
      <c r="F1688" s="1" t="s">
        <v>13922</v>
      </c>
      <c r="G1688">
        <v>283400</v>
      </c>
      <c r="H1688">
        <v>79</v>
      </c>
      <c r="I1688" s="1" t="s">
        <v>11063</v>
      </c>
      <c r="J1688" s="11">
        <v>44729.706458333334</v>
      </c>
      <c r="K1688" s="1" t="s">
        <v>5279</v>
      </c>
      <c r="L1688" s="1">
        <v>0.77200000000000002</v>
      </c>
      <c r="M1688" s="1">
        <v>0.68500000000000005</v>
      </c>
      <c r="N1688">
        <v>5</v>
      </c>
      <c r="O1688" s="1">
        <v>-6.8490000000000002</v>
      </c>
      <c r="P1688">
        <v>1</v>
      </c>
      <c r="Q1688" s="1">
        <v>0.69599999999999995</v>
      </c>
      <c r="R1688" s="1">
        <v>0.19</v>
      </c>
      <c r="S1688" s="1">
        <v>0.89600000000000002</v>
      </c>
      <c r="T1688" s="1">
        <v>0.13100000000000001</v>
      </c>
      <c r="U1688" s="1">
        <v>0.501</v>
      </c>
      <c r="V1688" s="1">
        <v>130.03299999999999</v>
      </c>
      <c r="W1688">
        <v>4</v>
      </c>
    </row>
    <row r="1689" spans="1:23" x14ac:dyDescent="0.25">
      <c r="A1689" s="1" t="s">
        <v>11740</v>
      </c>
      <c r="B1689" s="1" t="s">
        <v>11741</v>
      </c>
      <c r="C1689" s="1" t="s">
        <v>441</v>
      </c>
      <c r="D1689" s="1" t="s">
        <v>11742</v>
      </c>
      <c r="E1689" s="1" t="s">
        <v>442</v>
      </c>
      <c r="F1689" s="1" t="s">
        <v>11743</v>
      </c>
      <c r="G1689">
        <v>238626</v>
      </c>
      <c r="H1689">
        <v>78</v>
      </c>
      <c r="I1689" s="1" t="s">
        <v>11063</v>
      </c>
      <c r="J1689" s="11">
        <v>44729.706458333334</v>
      </c>
      <c r="K1689" s="1" t="s">
        <v>443</v>
      </c>
      <c r="L1689" s="1">
        <v>0.70699999999999996</v>
      </c>
      <c r="M1689" s="1">
        <v>0.81299999999999994</v>
      </c>
      <c r="N1689">
        <v>11</v>
      </c>
      <c r="O1689" s="1">
        <v>-4.5149999999999997</v>
      </c>
      <c r="P1689">
        <v>0</v>
      </c>
      <c r="Q1689" s="1">
        <v>0.57099999999999995</v>
      </c>
      <c r="R1689" s="1">
        <v>0.86299999999999999</v>
      </c>
      <c r="S1689" s="1">
        <v>0</v>
      </c>
      <c r="T1689" s="1">
        <v>0.16800000000000001</v>
      </c>
      <c r="U1689" s="1">
        <v>0.72199999999999998</v>
      </c>
      <c r="V1689" s="1">
        <v>124.92100000000001</v>
      </c>
      <c r="W1689">
        <v>4</v>
      </c>
    </row>
    <row r="1690" spans="1:23" x14ac:dyDescent="0.25">
      <c r="A1690" s="1" t="s">
        <v>17327</v>
      </c>
      <c r="B1690" s="1" t="s">
        <v>17328</v>
      </c>
      <c r="C1690" s="1" t="s">
        <v>5280</v>
      </c>
      <c r="D1690" s="1" t="s">
        <v>17329</v>
      </c>
      <c r="E1690" s="1" t="s">
        <v>5281</v>
      </c>
      <c r="F1690" s="1" t="s">
        <v>14506</v>
      </c>
      <c r="G1690">
        <v>209310</v>
      </c>
      <c r="H1690">
        <v>24</v>
      </c>
      <c r="I1690" s="1" t="s">
        <v>11063</v>
      </c>
      <c r="J1690" s="11">
        <v>44729.706458333334</v>
      </c>
      <c r="K1690" s="1" t="s">
        <v>5282</v>
      </c>
      <c r="L1690" s="1">
        <v>0.40500000000000003</v>
      </c>
      <c r="M1690" s="1">
        <v>0.38100000000000001</v>
      </c>
      <c r="N1690">
        <v>11</v>
      </c>
      <c r="O1690" s="1">
        <v>-10.425000000000001</v>
      </c>
      <c r="P1690">
        <v>1</v>
      </c>
      <c r="Q1690" s="1">
        <v>0.33500000000000002</v>
      </c>
      <c r="R1690" s="1">
        <v>0.88</v>
      </c>
      <c r="S1690" s="1">
        <v>0.75700000000000001</v>
      </c>
      <c r="T1690" s="1">
        <v>0.374</v>
      </c>
      <c r="U1690" s="1">
        <v>0.53900000000000003</v>
      </c>
      <c r="V1690" s="1">
        <v>174.12200000000001</v>
      </c>
      <c r="W1690">
        <v>4</v>
      </c>
    </row>
    <row r="1691" spans="1:23" x14ac:dyDescent="0.25">
      <c r="A1691" s="1" t="s">
        <v>17330</v>
      </c>
      <c r="B1691" s="1" t="s">
        <v>17331</v>
      </c>
      <c r="C1691" s="1" t="s">
        <v>5283</v>
      </c>
      <c r="D1691" s="1" t="s">
        <v>5283</v>
      </c>
      <c r="E1691" s="1" t="s">
        <v>5284</v>
      </c>
      <c r="F1691" s="1" t="s">
        <v>14506</v>
      </c>
      <c r="G1691">
        <v>199007</v>
      </c>
      <c r="H1691">
        <v>68</v>
      </c>
      <c r="I1691" s="1" t="s">
        <v>11063</v>
      </c>
      <c r="J1691" s="11">
        <v>44729.706458333334</v>
      </c>
      <c r="K1691" s="1" t="s">
        <v>5285</v>
      </c>
      <c r="L1691" s="1">
        <v>0.68100000000000005</v>
      </c>
      <c r="M1691" s="1">
        <v>0.77300000000000002</v>
      </c>
      <c r="N1691">
        <v>5</v>
      </c>
      <c r="O1691" s="1">
        <v>-5.7489999999999997</v>
      </c>
      <c r="P1691">
        <v>1</v>
      </c>
      <c r="Q1691" s="1">
        <v>0.14799999999999999</v>
      </c>
      <c r="R1691" s="1">
        <v>0.19</v>
      </c>
      <c r="S1691" s="1">
        <v>0.128</v>
      </c>
      <c r="T1691" s="1">
        <v>0.11</v>
      </c>
      <c r="U1691" s="1">
        <v>0.42899999999999999</v>
      </c>
      <c r="V1691" s="1">
        <v>119.961</v>
      </c>
      <c r="W1691">
        <v>4</v>
      </c>
    </row>
    <row r="1692" spans="1:23" x14ac:dyDescent="0.25">
      <c r="A1692" s="1" t="s">
        <v>17332</v>
      </c>
      <c r="B1692" s="1" t="s">
        <v>14974</v>
      </c>
      <c r="C1692" s="1" t="s">
        <v>5286</v>
      </c>
      <c r="D1692" s="1" t="s">
        <v>17333</v>
      </c>
      <c r="E1692" s="1" t="s">
        <v>3250</v>
      </c>
      <c r="F1692" s="1" t="s">
        <v>17334</v>
      </c>
      <c r="G1692">
        <v>219001</v>
      </c>
      <c r="H1692">
        <v>48</v>
      </c>
      <c r="I1692" s="1" t="s">
        <v>11063</v>
      </c>
      <c r="J1692" s="11">
        <v>44729.706458333334</v>
      </c>
      <c r="K1692" s="1" t="s">
        <v>235</v>
      </c>
      <c r="L1692" s="1">
        <v>0.60599999999999998</v>
      </c>
      <c r="M1692" s="1">
        <v>0.318</v>
      </c>
      <c r="N1692">
        <v>4</v>
      </c>
      <c r="O1692" s="1">
        <v>-8.1869999999999994</v>
      </c>
      <c r="P1692">
        <v>1</v>
      </c>
      <c r="Q1692" s="1">
        <v>0.33400000000000002</v>
      </c>
      <c r="R1692" s="1">
        <v>0.89200000000000002</v>
      </c>
      <c r="S1692" s="1">
        <v>0</v>
      </c>
      <c r="T1692" s="1">
        <v>0.36599999999999999</v>
      </c>
      <c r="U1692" s="1">
        <v>0.55200000000000005</v>
      </c>
      <c r="V1692" s="1">
        <v>102.735</v>
      </c>
      <c r="W1692">
        <v>4</v>
      </c>
    </row>
    <row r="1693" spans="1:23" x14ac:dyDescent="0.25">
      <c r="A1693" s="1" t="s">
        <v>17335</v>
      </c>
      <c r="B1693" s="1" t="s">
        <v>17336</v>
      </c>
      <c r="C1693" s="1" t="s">
        <v>5287</v>
      </c>
      <c r="D1693" s="1" t="s">
        <v>5287</v>
      </c>
      <c r="E1693" s="1" t="s">
        <v>5288</v>
      </c>
      <c r="F1693" s="1" t="s">
        <v>15092</v>
      </c>
      <c r="G1693">
        <v>189848</v>
      </c>
      <c r="H1693">
        <v>37</v>
      </c>
      <c r="I1693" s="1" t="s">
        <v>11063</v>
      </c>
      <c r="J1693" s="11">
        <v>44729.706458333334</v>
      </c>
      <c r="K1693" s="1" t="s">
        <v>50</v>
      </c>
      <c r="L1693" s="1">
        <v>0.437</v>
      </c>
      <c r="M1693" s="1">
        <v>0.90200000000000002</v>
      </c>
      <c r="N1693">
        <v>10</v>
      </c>
      <c r="O1693" s="1">
        <v>-3.613</v>
      </c>
      <c r="P1693">
        <v>0</v>
      </c>
      <c r="Q1693" s="1">
        <v>0.21099999999999999</v>
      </c>
      <c r="R1693" s="1">
        <v>0.443</v>
      </c>
      <c r="S1693" s="1">
        <v>0.121</v>
      </c>
      <c r="T1693" s="1">
        <v>0.32400000000000001</v>
      </c>
      <c r="U1693" s="1">
        <v>0.34799999999999998</v>
      </c>
      <c r="V1693" s="1">
        <v>127.97</v>
      </c>
      <c r="W1693">
        <v>4</v>
      </c>
    </row>
    <row r="1694" spans="1:23" x14ac:dyDescent="0.25">
      <c r="A1694" s="1" t="s">
        <v>17337</v>
      </c>
      <c r="B1694" s="1" t="s">
        <v>16989</v>
      </c>
      <c r="C1694" s="1" t="s">
        <v>5289</v>
      </c>
      <c r="D1694" s="1" t="s">
        <v>17338</v>
      </c>
      <c r="E1694" s="1" t="s">
        <v>4985</v>
      </c>
      <c r="F1694" s="1" t="s">
        <v>15610</v>
      </c>
      <c r="G1694">
        <v>275342</v>
      </c>
      <c r="H1694">
        <v>28</v>
      </c>
      <c r="I1694" s="1" t="s">
        <v>11063</v>
      </c>
      <c r="J1694" s="11">
        <v>44729.706458333334</v>
      </c>
      <c r="K1694" s="1" t="s">
        <v>4986</v>
      </c>
      <c r="L1694" s="1">
        <v>0.84</v>
      </c>
      <c r="M1694" s="1">
        <v>0.61599999999999999</v>
      </c>
      <c r="N1694">
        <v>2</v>
      </c>
      <c r="O1694" s="1">
        <v>-7.4859999999999998</v>
      </c>
      <c r="P1694">
        <v>0</v>
      </c>
      <c r="Q1694" s="1">
        <v>0.64300000000000002</v>
      </c>
      <c r="R1694" s="1">
        <v>0.61</v>
      </c>
      <c r="S1694" s="1">
        <v>0.307</v>
      </c>
      <c r="T1694" s="1">
        <v>0.11600000000000001</v>
      </c>
      <c r="U1694" s="1">
        <v>0.34899999999999998</v>
      </c>
      <c r="V1694" s="1">
        <v>130.03700000000001</v>
      </c>
      <c r="W1694">
        <v>4</v>
      </c>
    </row>
    <row r="1695" spans="1:23" x14ac:dyDescent="0.25">
      <c r="A1695" s="1" t="s">
        <v>17339</v>
      </c>
      <c r="B1695" s="1" t="s">
        <v>17340</v>
      </c>
      <c r="C1695" s="1" t="s">
        <v>5290</v>
      </c>
      <c r="D1695" s="1" t="s">
        <v>5290</v>
      </c>
      <c r="E1695" s="1" t="s">
        <v>5291</v>
      </c>
      <c r="F1695" s="1" t="s">
        <v>14068</v>
      </c>
      <c r="G1695">
        <v>227258</v>
      </c>
      <c r="H1695">
        <v>30</v>
      </c>
      <c r="I1695" s="1" t="s">
        <v>11063</v>
      </c>
      <c r="J1695" s="11">
        <v>44729.706458333334</v>
      </c>
      <c r="K1695" s="1" t="s">
        <v>5292</v>
      </c>
      <c r="L1695" s="1">
        <v>0.55300000000000005</v>
      </c>
      <c r="M1695" s="1">
        <v>0.77900000000000003</v>
      </c>
      <c r="N1695">
        <v>10</v>
      </c>
      <c r="O1695" s="1">
        <v>-4.2750000000000004</v>
      </c>
      <c r="P1695">
        <v>0</v>
      </c>
      <c r="Q1695" s="1">
        <v>0.749</v>
      </c>
      <c r="R1695" s="1">
        <v>0.11899999999999999</v>
      </c>
      <c r="S1695" s="1">
        <v>0</v>
      </c>
      <c r="T1695" s="1">
        <v>0.10100000000000001</v>
      </c>
      <c r="U1695" s="1">
        <v>0.44500000000000001</v>
      </c>
      <c r="V1695" s="1">
        <v>153.096</v>
      </c>
      <c r="W1695">
        <v>4</v>
      </c>
    </row>
    <row r="1696" spans="1:23" x14ac:dyDescent="0.25">
      <c r="A1696" s="1" t="s">
        <v>17341</v>
      </c>
      <c r="B1696" s="1" t="s">
        <v>17342</v>
      </c>
      <c r="C1696" s="1" t="s">
        <v>5293</v>
      </c>
      <c r="D1696" s="1" t="s">
        <v>5293</v>
      </c>
      <c r="E1696" s="1" t="s">
        <v>5294</v>
      </c>
      <c r="F1696" s="1" t="s">
        <v>17343</v>
      </c>
      <c r="G1696">
        <v>204248</v>
      </c>
      <c r="H1696">
        <v>0</v>
      </c>
      <c r="I1696" s="1" t="s">
        <v>11063</v>
      </c>
      <c r="J1696" s="11">
        <v>44729.706458333334</v>
      </c>
      <c r="K1696" s="1" t="s">
        <v>50</v>
      </c>
      <c r="L1696" s="1">
        <v>0.61399999999999999</v>
      </c>
      <c r="M1696" s="1">
        <v>0.80200000000000005</v>
      </c>
      <c r="N1696">
        <v>6</v>
      </c>
      <c r="O1696" s="1">
        <v>-4.5810000000000004</v>
      </c>
      <c r="P1696">
        <v>0</v>
      </c>
      <c r="Q1696" s="1">
        <v>0.35</v>
      </c>
      <c r="R1696" s="1">
        <v>0.95</v>
      </c>
      <c r="S1696" s="1">
        <v>0</v>
      </c>
      <c r="T1696" s="1">
        <v>0.67</v>
      </c>
      <c r="U1696" s="1">
        <v>0.217</v>
      </c>
      <c r="V1696" s="1">
        <v>103.98399999999999</v>
      </c>
      <c r="W1696">
        <v>4</v>
      </c>
    </row>
    <row r="1697" spans="1:23" x14ac:dyDescent="0.25">
      <c r="A1697" s="1" t="s">
        <v>17344</v>
      </c>
      <c r="B1697" s="1" t="s">
        <v>17345</v>
      </c>
      <c r="C1697" s="1" t="s">
        <v>5295</v>
      </c>
      <c r="D1697" s="1" t="s">
        <v>5295</v>
      </c>
      <c r="E1697" s="1" t="s">
        <v>5296</v>
      </c>
      <c r="F1697" s="1" t="s">
        <v>14446</v>
      </c>
      <c r="G1697">
        <v>249400</v>
      </c>
      <c r="H1697">
        <v>26</v>
      </c>
      <c r="I1697" s="1" t="s">
        <v>11063</v>
      </c>
      <c r="J1697" s="11">
        <v>44729.706458333334</v>
      </c>
      <c r="K1697" s="1" t="s">
        <v>50</v>
      </c>
      <c r="L1697" s="1">
        <v>0.39500000000000002</v>
      </c>
      <c r="M1697" s="1">
        <v>0.59299999999999997</v>
      </c>
      <c r="N1697">
        <v>0</v>
      </c>
      <c r="O1697" s="1">
        <v>-8.1140000000000008</v>
      </c>
      <c r="P1697">
        <v>0</v>
      </c>
      <c r="Q1697" s="1">
        <v>0.35799999999999998</v>
      </c>
      <c r="R1697" s="1">
        <v>0.51900000000000002</v>
      </c>
      <c r="S1697" s="1">
        <v>0</v>
      </c>
      <c r="T1697" s="1">
        <v>0.29099999999999998</v>
      </c>
      <c r="U1697" s="1">
        <v>0.11600000000000001</v>
      </c>
      <c r="V1697" s="1">
        <v>98.316999999999993</v>
      </c>
      <c r="W1697">
        <v>4</v>
      </c>
    </row>
    <row r="1698" spans="1:23" x14ac:dyDescent="0.25">
      <c r="A1698" s="1" t="s">
        <v>17346</v>
      </c>
      <c r="B1698" s="1" t="s">
        <v>16433</v>
      </c>
      <c r="C1698" s="1" t="s">
        <v>3095</v>
      </c>
      <c r="D1698" s="1" t="s">
        <v>4498</v>
      </c>
      <c r="E1698" s="1" t="s">
        <v>4499</v>
      </c>
      <c r="F1698" s="1" t="s">
        <v>15781</v>
      </c>
      <c r="G1698">
        <v>270510</v>
      </c>
      <c r="H1698">
        <v>58</v>
      </c>
      <c r="I1698" s="1" t="s">
        <v>11063</v>
      </c>
      <c r="J1698" s="11">
        <v>44729.706458333334</v>
      </c>
      <c r="K1698" s="1" t="s">
        <v>4500</v>
      </c>
      <c r="L1698" s="1">
        <v>0.32300000000000001</v>
      </c>
      <c r="M1698" s="1">
        <v>0.55800000000000005</v>
      </c>
      <c r="N1698">
        <v>5</v>
      </c>
      <c r="O1698" s="1">
        <v>-5.2919999999999998</v>
      </c>
      <c r="P1698">
        <v>0</v>
      </c>
      <c r="Q1698" s="1">
        <v>0.33700000000000002</v>
      </c>
      <c r="R1698" s="1">
        <v>0.45900000000000002</v>
      </c>
      <c r="S1698" s="1">
        <v>0.28100000000000003</v>
      </c>
      <c r="T1698" s="1">
        <v>0.67600000000000005</v>
      </c>
      <c r="U1698" s="1">
        <v>0.19900000000000001</v>
      </c>
      <c r="V1698" s="1">
        <v>73.552000000000007</v>
      </c>
      <c r="W1698">
        <v>4</v>
      </c>
    </row>
    <row r="1699" spans="1:23" x14ac:dyDescent="0.25">
      <c r="A1699" s="1" t="s">
        <v>17347</v>
      </c>
      <c r="B1699" s="1" t="s">
        <v>17348</v>
      </c>
      <c r="C1699" s="1" t="s">
        <v>5297</v>
      </c>
      <c r="D1699" s="1" t="s">
        <v>5297</v>
      </c>
      <c r="E1699" s="1" t="s">
        <v>5298</v>
      </c>
      <c r="F1699" s="1" t="s">
        <v>11630</v>
      </c>
      <c r="G1699">
        <v>189778</v>
      </c>
      <c r="H1699">
        <v>39</v>
      </c>
      <c r="I1699" s="1" t="s">
        <v>11063</v>
      </c>
      <c r="J1699" s="11">
        <v>44729.706458333334</v>
      </c>
      <c r="K1699" s="1" t="s">
        <v>5299</v>
      </c>
      <c r="L1699" s="1">
        <v>0.36099999999999999</v>
      </c>
      <c r="M1699" s="1">
        <v>0.65900000000000003</v>
      </c>
      <c r="N1699">
        <v>10</v>
      </c>
      <c r="O1699" s="1">
        <v>-5.6920000000000002</v>
      </c>
      <c r="P1699">
        <v>0</v>
      </c>
      <c r="Q1699" s="1">
        <v>0.36599999999999999</v>
      </c>
      <c r="R1699" s="1">
        <v>0.89500000000000002</v>
      </c>
      <c r="S1699" s="1">
        <v>0.56899999999999995</v>
      </c>
      <c r="T1699" s="1">
        <v>0.77700000000000002</v>
      </c>
      <c r="U1699" s="1">
        <v>0.13700000000000001</v>
      </c>
      <c r="V1699" s="1">
        <v>85.923000000000002</v>
      </c>
      <c r="W1699">
        <v>4</v>
      </c>
    </row>
    <row r="1700" spans="1:23" x14ac:dyDescent="0.25">
      <c r="A1700" s="1" t="s">
        <v>17349</v>
      </c>
      <c r="B1700" s="1" t="s">
        <v>16776</v>
      </c>
      <c r="C1700" s="1" t="s">
        <v>4860</v>
      </c>
      <c r="D1700" s="1" t="s">
        <v>4860</v>
      </c>
      <c r="E1700" s="1" t="s">
        <v>4801</v>
      </c>
      <c r="F1700" s="1" t="s">
        <v>17350</v>
      </c>
      <c r="G1700">
        <v>186697</v>
      </c>
      <c r="H1700">
        <v>0</v>
      </c>
      <c r="I1700" s="1" t="s">
        <v>11063</v>
      </c>
      <c r="J1700" s="11">
        <v>44729.706458333334</v>
      </c>
      <c r="K1700" s="1" t="s">
        <v>1066</v>
      </c>
      <c r="L1700" s="1">
        <v>0.58499999999999996</v>
      </c>
      <c r="M1700" s="1">
        <v>0.82099999999999995</v>
      </c>
      <c r="N1700">
        <v>1</v>
      </c>
      <c r="O1700" s="1">
        <v>-5.194</v>
      </c>
      <c r="P1700">
        <v>0</v>
      </c>
      <c r="Q1700" s="1">
        <v>0.53900000000000003</v>
      </c>
      <c r="R1700" s="1">
        <v>0.193</v>
      </c>
      <c r="S1700" s="1">
        <v>0.26300000000000001</v>
      </c>
      <c r="T1700" s="1">
        <v>0.34399999999999997</v>
      </c>
      <c r="U1700" s="1">
        <v>0.47499999999999998</v>
      </c>
      <c r="V1700" s="1">
        <v>116.93600000000001</v>
      </c>
      <c r="W1700">
        <v>4</v>
      </c>
    </row>
    <row r="1701" spans="1:23" x14ac:dyDescent="0.25">
      <c r="A1701" s="1" t="s">
        <v>17351</v>
      </c>
      <c r="B1701" s="1" t="s">
        <v>15327</v>
      </c>
      <c r="C1701" s="1" t="s">
        <v>5300</v>
      </c>
      <c r="D1701" s="1" t="s">
        <v>5300</v>
      </c>
      <c r="E1701" s="1" t="s">
        <v>3565</v>
      </c>
      <c r="F1701" s="1" t="s">
        <v>16130</v>
      </c>
      <c r="G1701">
        <v>186630</v>
      </c>
      <c r="H1701">
        <v>0</v>
      </c>
      <c r="I1701" s="1" t="s">
        <v>11063</v>
      </c>
      <c r="J1701" s="11">
        <v>44729.706458333334</v>
      </c>
      <c r="K1701" s="1" t="s">
        <v>1943</v>
      </c>
      <c r="L1701" s="1">
        <v>0.59599999999999997</v>
      </c>
      <c r="M1701" s="1">
        <v>0.57799999999999996</v>
      </c>
      <c r="N1701">
        <v>1</v>
      </c>
      <c r="O1701" s="1">
        <v>-8.2780000000000005</v>
      </c>
      <c r="P1701">
        <v>1</v>
      </c>
      <c r="Q1701" s="1">
        <v>0.23899999999999999</v>
      </c>
      <c r="R1701" s="1">
        <v>0.246</v>
      </c>
      <c r="S1701" s="1">
        <v>0</v>
      </c>
      <c r="T1701" s="1">
        <v>0.81299999999999994</v>
      </c>
      <c r="U1701" s="1">
        <v>0.41299999999999998</v>
      </c>
      <c r="V1701" s="1">
        <v>87.009</v>
      </c>
      <c r="W1701">
        <v>4</v>
      </c>
    </row>
    <row r="1702" spans="1:23" x14ac:dyDescent="0.25">
      <c r="A1702" s="1" t="s">
        <v>17352</v>
      </c>
      <c r="B1702" s="1" t="s">
        <v>17353</v>
      </c>
      <c r="C1702" s="1" t="s">
        <v>5301</v>
      </c>
      <c r="D1702" s="1" t="s">
        <v>5301</v>
      </c>
      <c r="E1702" s="1" t="s">
        <v>5302</v>
      </c>
      <c r="F1702" s="1" t="s">
        <v>17354</v>
      </c>
      <c r="G1702">
        <v>150720</v>
      </c>
      <c r="H1702">
        <v>62</v>
      </c>
      <c r="I1702" s="1" t="s">
        <v>11063</v>
      </c>
      <c r="J1702" s="11">
        <v>44729.706458333334</v>
      </c>
      <c r="K1702" s="1" t="s">
        <v>5303</v>
      </c>
      <c r="L1702" s="1">
        <v>0.60799999999999998</v>
      </c>
      <c r="M1702" s="1">
        <v>0.76900000000000002</v>
      </c>
      <c r="N1702">
        <v>0</v>
      </c>
      <c r="O1702" s="1">
        <v>-7.0860000000000003</v>
      </c>
      <c r="P1702">
        <v>1</v>
      </c>
      <c r="Q1702" s="1">
        <v>0.373</v>
      </c>
      <c r="R1702" s="1">
        <v>0.65800000000000003</v>
      </c>
      <c r="S1702" s="1">
        <v>0.71699999999999997</v>
      </c>
      <c r="T1702" s="1">
        <v>0.14199999999999999</v>
      </c>
      <c r="U1702" s="1">
        <v>0.49399999999999999</v>
      </c>
      <c r="V1702" s="1">
        <v>125.05200000000001</v>
      </c>
      <c r="W1702">
        <v>4</v>
      </c>
    </row>
    <row r="1703" spans="1:23" x14ac:dyDescent="0.25">
      <c r="A1703" s="1" t="s">
        <v>17355</v>
      </c>
      <c r="B1703" s="1" t="s">
        <v>17356</v>
      </c>
      <c r="C1703" s="1" t="s">
        <v>5304</v>
      </c>
      <c r="D1703" s="1" t="s">
        <v>17357</v>
      </c>
      <c r="E1703" s="1" t="s">
        <v>5305</v>
      </c>
      <c r="F1703" s="1" t="s">
        <v>15135</v>
      </c>
      <c r="G1703">
        <v>279635</v>
      </c>
      <c r="H1703">
        <v>64</v>
      </c>
      <c r="I1703" s="1" t="s">
        <v>11063</v>
      </c>
      <c r="J1703" s="11">
        <v>44729.706458333334</v>
      </c>
      <c r="K1703" s="1" t="s">
        <v>5306</v>
      </c>
      <c r="L1703" s="1">
        <v>0.78500000000000003</v>
      </c>
      <c r="M1703" s="1">
        <v>0.7</v>
      </c>
      <c r="N1703">
        <v>9</v>
      </c>
      <c r="O1703" s="1">
        <v>-5.8109999999999999</v>
      </c>
      <c r="P1703">
        <v>0</v>
      </c>
      <c r="Q1703" s="1">
        <v>0.40600000000000003</v>
      </c>
      <c r="R1703" s="1">
        <v>0.182</v>
      </c>
      <c r="S1703" s="1">
        <v>0.23699999999999999</v>
      </c>
      <c r="T1703" s="1">
        <v>0.82299999999999995</v>
      </c>
      <c r="U1703" s="1">
        <v>0.29599999999999999</v>
      </c>
      <c r="V1703" s="1">
        <v>122.032</v>
      </c>
      <c r="W1703">
        <v>4</v>
      </c>
    </row>
    <row r="1704" spans="1:23" x14ac:dyDescent="0.25">
      <c r="A1704" s="1" t="s">
        <v>17358</v>
      </c>
      <c r="B1704" s="1" t="s">
        <v>17359</v>
      </c>
      <c r="C1704" s="1" t="s">
        <v>5307</v>
      </c>
      <c r="D1704" s="1" t="s">
        <v>5307</v>
      </c>
      <c r="E1704" s="1" t="s">
        <v>5308</v>
      </c>
      <c r="F1704" s="1" t="s">
        <v>17360</v>
      </c>
      <c r="G1704">
        <v>217594</v>
      </c>
      <c r="H1704">
        <v>45</v>
      </c>
      <c r="I1704" s="1" t="s">
        <v>11063</v>
      </c>
      <c r="J1704" s="11">
        <v>44729.706458333334</v>
      </c>
      <c r="K1704" s="1" t="s">
        <v>933</v>
      </c>
      <c r="L1704" s="1">
        <v>0.63200000000000001</v>
      </c>
      <c r="M1704" s="1">
        <v>0.51700000000000002</v>
      </c>
      <c r="N1704">
        <v>8</v>
      </c>
      <c r="O1704" s="1">
        <v>-7.2770000000000001</v>
      </c>
      <c r="P1704">
        <v>0</v>
      </c>
      <c r="Q1704" s="1">
        <v>0.44900000000000001</v>
      </c>
      <c r="R1704" s="1">
        <v>0.14499999999999999</v>
      </c>
      <c r="S1704" s="1">
        <v>0.376</v>
      </c>
      <c r="T1704" s="1">
        <v>0.156</v>
      </c>
      <c r="U1704" s="1">
        <v>0.34100000000000003</v>
      </c>
      <c r="V1704" s="1">
        <v>79.03</v>
      </c>
      <c r="W1704">
        <v>4</v>
      </c>
    </row>
    <row r="1705" spans="1:23" x14ac:dyDescent="0.25">
      <c r="A1705" s="1" t="s">
        <v>17361</v>
      </c>
      <c r="B1705" s="1" t="s">
        <v>17362</v>
      </c>
      <c r="C1705" s="1" t="s">
        <v>5309</v>
      </c>
      <c r="D1705" s="1" t="s">
        <v>17363</v>
      </c>
      <c r="E1705" s="1" t="s">
        <v>5310</v>
      </c>
      <c r="F1705" s="1" t="s">
        <v>17364</v>
      </c>
      <c r="G1705">
        <v>359500</v>
      </c>
      <c r="H1705">
        <v>38</v>
      </c>
      <c r="I1705" s="1" t="s">
        <v>11063</v>
      </c>
      <c r="J1705" s="11">
        <v>44729.706458333334</v>
      </c>
      <c r="K1705" s="1" t="s">
        <v>5311</v>
      </c>
      <c r="L1705" s="1">
        <v>0.44800000000000001</v>
      </c>
      <c r="M1705" s="1">
        <v>0.72499999999999998</v>
      </c>
      <c r="N1705">
        <v>9</v>
      </c>
      <c r="O1705" s="1">
        <v>-5.2590000000000003</v>
      </c>
      <c r="P1705">
        <v>0</v>
      </c>
      <c r="Q1705" s="1">
        <v>0.45400000000000001</v>
      </c>
      <c r="R1705" s="1">
        <v>0.316</v>
      </c>
      <c r="S1705" s="1">
        <v>0.125</v>
      </c>
      <c r="T1705" s="1">
        <v>0.42599999999999999</v>
      </c>
      <c r="U1705" s="1">
        <v>0.23100000000000001</v>
      </c>
      <c r="V1705" s="1">
        <v>151.96199999999999</v>
      </c>
      <c r="W1705">
        <v>4</v>
      </c>
    </row>
    <row r="1706" spans="1:23" x14ac:dyDescent="0.25">
      <c r="A1706" s="1" t="s">
        <v>17365</v>
      </c>
      <c r="B1706" s="1" t="s">
        <v>11315</v>
      </c>
      <c r="C1706" s="1" t="s">
        <v>5312</v>
      </c>
      <c r="D1706" s="1" t="s">
        <v>17366</v>
      </c>
      <c r="E1706" s="1" t="s">
        <v>112</v>
      </c>
      <c r="F1706" s="1" t="s">
        <v>17367</v>
      </c>
      <c r="G1706">
        <v>237986</v>
      </c>
      <c r="H1706">
        <v>67</v>
      </c>
      <c r="I1706" s="1" t="s">
        <v>11063</v>
      </c>
      <c r="J1706" s="11">
        <v>44729.706458333334</v>
      </c>
      <c r="K1706" s="1" t="s">
        <v>113</v>
      </c>
      <c r="L1706" s="1">
        <v>0.65600000000000003</v>
      </c>
      <c r="M1706" s="1">
        <v>0.88400000000000001</v>
      </c>
      <c r="N1706">
        <v>2</v>
      </c>
      <c r="O1706" s="1">
        <v>-4.7480000000000002</v>
      </c>
      <c r="P1706">
        <v>1</v>
      </c>
      <c r="Q1706" s="1">
        <v>0.372</v>
      </c>
      <c r="R1706" s="1">
        <v>0.16200000000000001</v>
      </c>
      <c r="S1706" s="1">
        <v>0</v>
      </c>
      <c r="T1706" s="1">
        <v>0.14499999999999999</v>
      </c>
      <c r="U1706" s="1">
        <v>0.86</v>
      </c>
      <c r="V1706" s="1">
        <v>105.009</v>
      </c>
      <c r="W1706">
        <v>4</v>
      </c>
    </row>
    <row r="1707" spans="1:23" x14ac:dyDescent="0.25">
      <c r="A1707" s="1" t="s">
        <v>17368</v>
      </c>
      <c r="B1707" s="1" t="s">
        <v>13920</v>
      </c>
      <c r="C1707" s="1" t="s">
        <v>2326</v>
      </c>
      <c r="D1707" s="1" t="s">
        <v>13921</v>
      </c>
      <c r="E1707" s="1" t="s">
        <v>2327</v>
      </c>
      <c r="F1707" s="1" t="s">
        <v>13922</v>
      </c>
      <c r="G1707">
        <v>247426</v>
      </c>
      <c r="H1707">
        <v>47</v>
      </c>
      <c r="I1707" s="1" t="s">
        <v>11063</v>
      </c>
      <c r="J1707" s="11">
        <v>44729.706458333334</v>
      </c>
      <c r="K1707" s="1" t="s">
        <v>2328</v>
      </c>
      <c r="L1707" s="1">
        <v>0.53200000000000003</v>
      </c>
      <c r="M1707" s="1">
        <v>0.78300000000000003</v>
      </c>
      <c r="N1707">
        <v>2</v>
      </c>
      <c r="O1707" s="1">
        <v>-5.6970000000000001</v>
      </c>
      <c r="P1707">
        <v>1</v>
      </c>
      <c r="Q1707" s="1">
        <v>0.52300000000000002</v>
      </c>
      <c r="R1707" s="1">
        <v>0.375</v>
      </c>
      <c r="S1707" s="1">
        <v>0.123</v>
      </c>
      <c r="T1707" s="1">
        <v>0.161</v>
      </c>
      <c r="U1707" s="1">
        <v>0.64300000000000002</v>
      </c>
      <c r="V1707" s="1">
        <v>124.084</v>
      </c>
      <c r="W1707">
        <v>4</v>
      </c>
    </row>
    <row r="1708" spans="1:23" x14ac:dyDescent="0.25">
      <c r="A1708" s="1" t="s">
        <v>17369</v>
      </c>
      <c r="B1708" s="1" t="s">
        <v>17370</v>
      </c>
      <c r="C1708" s="1" t="s">
        <v>5313</v>
      </c>
      <c r="D1708" s="1" t="s">
        <v>5313</v>
      </c>
      <c r="E1708" s="1" t="s">
        <v>5314</v>
      </c>
      <c r="F1708" s="1" t="s">
        <v>17371</v>
      </c>
      <c r="G1708">
        <v>260227</v>
      </c>
      <c r="H1708">
        <v>44</v>
      </c>
      <c r="I1708" s="1" t="s">
        <v>11063</v>
      </c>
      <c r="J1708" s="11">
        <v>44729.706458333334</v>
      </c>
      <c r="K1708" s="1" t="s">
        <v>50</v>
      </c>
      <c r="L1708" s="1">
        <v>0.66100000000000003</v>
      </c>
      <c r="M1708" s="1">
        <v>0.64200000000000002</v>
      </c>
      <c r="N1708">
        <v>5</v>
      </c>
      <c r="O1708" s="1">
        <v>-5.67</v>
      </c>
      <c r="P1708">
        <v>1</v>
      </c>
      <c r="Q1708" s="1">
        <v>0.25900000000000001</v>
      </c>
      <c r="R1708" s="1">
        <v>0.248</v>
      </c>
      <c r="S1708" s="1">
        <v>0.56399999999999995</v>
      </c>
      <c r="T1708" s="1">
        <v>0.93500000000000005</v>
      </c>
      <c r="U1708" s="1">
        <v>0.23300000000000001</v>
      </c>
      <c r="V1708" s="1">
        <v>131.99199999999999</v>
      </c>
      <c r="W1708">
        <v>4</v>
      </c>
    </row>
    <row r="1709" spans="1:23" x14ac:dyDescent="0.25">
      <c r="A1709" s="1" t="s">
        <v>17372</v>
      </c>
      <c r="B1709" s="1" t="s">
        <v>17373</v>
      </c>
      <c r="C1709" s="1" t="s">
        <v>5315</v>
      </c>
      <c r="D1709" s="1" t="s">
        <v>17374</v>
      </c>
      <c r="E1709" s="1" t="s">
        <v>5316</v>
      </c>
      <c r="F1709" s="1" t="s">
        <v>17375</v>
      </c>
      <c r="G1709">
        <v>212613</v>
      </c>
      <c r="H1709">
        <v>49</v>
      </c>
      <c r="I1709" s="1" t="s">
        <v>11063</v>
      </c>
      <c r="J1709" s="11">
        <v>44729.706458333334</v>
      </c>
      <c r="K1709" s="1" t="s">
        <v>5317</v>
      </c>
      <c r="L1709" s="1">
        <v>0.72899999999999998</v>
      </c>
      <c r="M1709" s="1">
        <v>0.73</v>
      </c>
      <c r="N1709">
        <v>2</v>
      </c>
      <c r="O1709" s="1">
        <v>-8.5969999999999995</v>
      </c>
      <c r="P1709">
        <v>0</v>
      </c>
      <c r="Q1709" s="1">
        <v>0.438</v>
      </c>
      <c r="R1709" s="1">
        <v>0.35299999999999998</v>
      </c>
      <c r="S1709" s="1">
        <v>0.14000000000000001</v>
      </c>
      <c r="T1709" s="1">
        <v>0.92</v>
      </c>
      <c r="U1709" s="1">
        <v>0.58399999999999996</v>
      </c>
      <c r="V1709" s="1">
        <v>128.99799999999999</v>
      </c>
      <c r="W1709">
        <v>4</v>
      </c>
    </row>
    <row r="1710" spans="1:23" x14ac:dyDescent="0.25">
      <c r="A1710" s="1" t="s">
        <v>17376</v>
      </c>
      <c r="B1710" s="1" t="s">
        <v>16974</v>
      </c>
      <c r="C1710" s="1" t="s">
        <v>5318</v>
      </c>
      <c r="D1710" s="1" t="s">
        <v>5318</v>
      </c>
      <c r="E1710" s="1" t="s">
        <v>4971</v>
      </c>
      <c r="F1710" s="1" t="s">
        <v>15172</v>
      </c>
      <c r="G1710">
        <v>190487</v>
      </c>
      <c r="H1710">
        <v>74</v>
      </c>
      <c r="I1710" s="1" t="s">
        <v>11063</v>
      </c>
      <c r="J1710" s="11">
        <v>44729.706458333334</v>
      </c>
      <c r="K1710" s="1" t="s">
        <v>4972</v>
      </c>
      <c r="L1710" s="1">
        <v>0.67700000000000005</v>
      </c>
      <c r="M1710" s="1">
        <v>0.76600000000000001</v>
      </c>
      <c r="N1710">
        <v>6</v>
      </c>
      <c r="O1710" s="1">
        <v>-6.8959999999999999</v>
      </c>
      <c r="P1710">
        <v>1</v>
      </c>
      <c r="Q1710" s="1">
        <v>0.56799999999999995</v>
      </c>
      <c r="R1710" s="1">
        <v>0.219</v>
      </c>
      <c r="S1710" s="1">
        <v>0.68100000000000005</v>
      </c>
      <c r="T1710" s="1">
        <v>0.129</v>
      </c>
      <c r="U1710" s="1">
        <v>0.19800000000000001</v>
      </c>
      <c r="V1710" s="1">
        <v>123.062</v>
      </c>
      <c r="W1710">
        <v>4</v>
      </c>
    </row>
    <row r="1711" spans="1:23" x14ac:dyDescent="0.25">
      <c r="A1711" s="1" t="s">
        <v>17377</v>
      </c>
      <c r="B1711" s="1" t="s">
        <v>17378</v>
      </c>
      <c r="C1711" s="1" t="s">
        <v>5319</v>
      </c>
      <c r="D1711" s="1" t="s">
        <v>5319</v>
      </c>
      <c r="E1711" s="1" t="s">
        <v>5320</v>
      </c>
      <c r="F1711" s="1" t="s">
        <v>17379</v>
      </c>
      <c r="G1711">
        <v>161280</v>
      </c>
      <c r="H1711">
        <v>62</v>
      </c>
      <c r="I1711" s="1" t="s">
        <v>11063</v>
      </c>
      <c r="J1711" s="11">
        <v>44729.706458333334</v>
      </c>
      <c r="K1711" s="1" t="s">
        <v>5321</v>
      </c>
      <c r="L1711" s="1">
        <v>0.71699999999999997</v>
      </c>
      <c r="M1711" s="1">
        <v>0.71599999999999997</v>
      </c>
      <c r="N1711">
        <v>3</v>
      </c>
      <c r="O1711" s="1">
        <v>-5.4850000000000003</v>
      </c>
      <c r="P1711">
        <v>0</v>
      </c>
      <c r="Q1711" s="1">
        <v>0.432</v>
      </c>
      <c r="R1711" s="1">
        <v>0.42099999999999999</v>
      </c>
      <c r="S1711" s="1">
        <v>0.46700000000000003</v>
      </c>
      <c r="T1711" s="1">
        <v>0.69899999999999995</v>
      </c>
      <c r="U1711" s="1">
        <v>0.20599999999999999</v>
      </c>
      <c r="V1711" s="1">
        <v>125.06399999999999</v>
      </c>
      <c r="W1711">
        <v>4</v>
      </c>
    </row>
    <row r="1712" spans="1:23" x14ac:dyDescent="0.25">
      <c r="A1712" s="1" t="s">
        <v>17380</v>
      </c>
      <c r="B1712" s="1" t="s">
        <v>17381</v>
      </c>
      <c r="C1712" s="1" t="s">
        <v>5322</v>
      </c>
      <c r="D1712" s="1" t="s">
        <v>5322</v>
      </c>
      <c r="E1712" s="1" t="s">
        <v>5323</v>
      </c>
      <c r="F1712" s="1" t="s">
        <v>16565</v>
      </c>
      <c r="G1712">
        <v>152908</v>
      </c>
      <c r="H1712">
        <v>55</v>
      </c>
      <c r="I1712" s="1" t="s">
        <v>11063</v>
      </c>
      <c r="J1712" s="11">
        <v>44729.706458333334</v>
      </c>
      <c r="K1712" s="1" t="s">
        <v>840</v>
      </c>
      <c r="L1712" s="1">
        <v>0.60199999999999998</v>
      </c>
      <c r="M1712" s="1">
        <v>0.72399999999999998</v>
      </c>
      <c r="N1712">
        <v>2</v>
      </c>
      <c r="O1712" s="1">
        <v>-6.3659999999999997</v>
      </c>
      <c r="P1712">
        <v>1</v>
      </c>
      <c r="Q1712" s="1">
        <v>0.122</v>
      </c>
      <c r="R1712" s="1">
        <v>0.20499999999999999</v>
      </c>
      <c r="S1712" s="1">
        <v>0.78300000000000003</v>
      </c>
      <c r="T1712" s="1">
        <v>0.108</v>
      </c>
      <c r="U1712" s="1">
        <v>0.222</v>
      </c>
      <c r="V1712" s="1">
        <v>134.01599999999999</v>
      </c>
      <c r="W1712">
        <v>4</v>
      </c>
    </row>
    <row r="1713" spans="1:23" x14ac:dyDescent="0.25">
      <c r="A1713" s="1" t="s">
        <v>17382</v>
      </c>
      <c r="B1713" s="1" t="s">
        <v>17383</v>
      </c>
      <c r="C1713" s="1" t="s">
        <v>5324</v>
      </c>
      <c r="D1713" s="1" t="s">
        <v>5324</v>
      </c>
      <c r="E1713" s="1" t="s">
        <v>5325</v>
      </c>
      <c r="F1713" s="1" t="s">
        <v>14073</v>
      </c>
      <c r="G1713">
        <v>161453</v>
      </c>
      <c r="H1713">
        <v>70</v>
      </c>
      <c r="I1713" s="1" t="s">
        <v>11063</v>
      </c>
      <c r="J1713" s="11">
        <v>44729.706458333334</v>
      </c>
      <c r="K1713" s="1" t="s">
        <v>5326</v>
      </c>
      <c r="L1713" s="1">
        <v>0.78700000000000003</v>
      </c>
      <c r="M1713" s="1">
        <v>0.75900000000000001</v>
      </c>
      <c r="N1713">
        <v>2</v>
      </c>
      <c r="O1713" s="1">
        <v>-4.9569999999999999</v>
      </c>
      <c r="P1713">
        <v>0</v>
      </c>
      <c r="Q1713" s="1">
        <v>0.121</v>
      </c>
      <c r="R1713" s="1">
        <v>0.66500000000000004</v>
      </c>
      <c r="S1713" s="1">
        <v>0</v>
      </c>
      <c r="T1713" s="1">
        <v>0.71099999999999997</v>
      </c>
      <c r="U1713" s="1">
        <v>0.14599999999999999</v>
      </c>
      <c r="V1713" s="1">
        <v>126.004</v>
      </c>
      <c r="W1713">
        <v>4</v>
      </c>
    </row>
    <row r="1714" spans="1:23" x14ac:dyDescent="0.25">
      <c r="A1714" s="1" t="s">
        <v>17384</v>
      </c>
      <c r="B1714" s="1" t="s">
        <v>17385</v>
      </c>
      <c r="C1714" s="1" t="s">
        <v>5327</v>
      </c>
      <c r="D1714" s="1" t="s">
        <v>17386</v>
      </c>
      <c r="E1714" s="1" t="s">
        <v>5328</v>
      </c>
      <c r="F1714" s="1" t="s">
        <v>14558</v>
      </c>
      <c r="G1714">
        <v>168576</v>
      </c>
      <c r="H1714">
        <v>71</v>
      </c>
      <c r="I1714" s="1" t="s">
        <v>11063</v>
      </c>
      <c r="J1714" s="11">
        <v>44729.706458333334</v>
      </c>
      <c r="K1714" s="1" t="s">
        <v>5329</v>
      </c>
      <c r="L1714" s="1">
        <v>0.78900000000000003</v>
      </c>
      <c r="M1714" s="1">
        <v>0.752</v>
      </c>
      <c r="N1714">
        <v>1</v>
      </c>
      <c r="O1714" s="1">
        <v>-4.274</v>
      </c>
      <c r="P1714">
        <v>0</v>
      </c>
      <c r="Q1714" s="1">
        <v>0.16400000000000001</v>
      </c>
      <c r="R1714" s="1">
        <v>0.27</v>
      </c>
      <c r="S1714" s="1">
        <v>0.26900000000000002</v>
      </c>
      <c r="T1714" s="1">
        <v>0.61299999999999999</v>
      </c>
      <c r="U1714" s="1">
        <v>0.73899999999999999</v>
      </c>
      <c r="V1714" s="1">
        <v>122.98</v>
      </c>
      <c r="W1714">
        <v>4</v>
      </c>
    </row>
    <row r="1715" spans="1:23" x14ac:dyDescent="0.25">
      <c r="A1715" s="1" t="s">
        <v>17387</v>
      </c>
      <c r="B1715" s="1" t="s">
        <v>17388</v>
      </c>
      <c r="C1715" s="1" t="s">
        <v>5330</v>
      </c>
      <c r="D1715" s="1" t="s">
        <v>17389</v>
      </c>
      <c r="E1715" s="1" t="s">
        <v>5331</v>
      </c>
      <c r="F1715" s="1" t="s">
        <v>13822</v>
      </c>
      <c r="G1715">
        <v>255946</v>
      </c>
      <c r="H1715">
        <v>70</v>
      </c>
      <c r="I1715" s="1" t="s">
        <v>11063</v>
      </c>
      <c r="J1715" s="11">
        <v>44729.706458333334</v>
      </c>
      <c r="K1715" s="1" t="s">
        <v>5332</v>
      </c>
      <c r="L1715" s="1">
        <v>0.75700000000000001</v>
      </c>
      <c r="M1715" s="1">
        <v>0.89200000000000002</v>
      </c>
      <c r="N1715">
        <v>6</v>
      </c>
      <c r="O1715" s="1">
        <v>-5.3209999999999997</v>
      </c>
      <c r="P1715">
        <v>1</v>
      </c>
      <c r="Q1715" s="1">
        <v>0.124</v>
      </c>
      <c r="R1715" s="1">
        <v>0.17799999999999999</v>
      </c>
      <c r="S1715" s="1">
        <v>0.41899999999999998</v>
      </c>
      <c r="T1715" s="1">
        <v>0.71899999999999997</v>
      </c>
      <c r="U1715" s="1">
        <v>0.93600000000000005</v>
      </c>
      <c r="V1715" s="1">
        <v>127.014</v>
      </c>
      <c r="W1715">
        <v>4</v>
      </c>
    </row>
    <row r="1716" spans="1:23" x14ac:dyDescent="0.25">
      <c r="A1716" s="1" t="s">
        <v>17390</v>
      </c>
      <c r="B1716" s="1" t="s">
        <v>17391</v>
      </c>
      <c r="C1716" s="1" t="s">
        <v>5333</v>
      </c>
      <c r="D1716" s="1" t="s">
        <v>5333</v>
      </c>
      <c r="E1716" s="1" t="s">
        <v>5334</v>
      </c>
      <c r="F1716" s="1" t="s">
        <v>16392</v>
      </c>
      <c r="G1716">
        <v>222857</v>
      </c>
      <c r="H1716">
        <v>37</v>
      </c>
      <c r="I1716" s="1" t="s">
        <v>11063</v>
      </c>
      <c r="J1716" s="11">
        <v>44729.706458333334</v>
      </c>
      <c r="K1716" s="1" t="s">
        <v>5335</v>
      </c>
      <c r="L1716" s="1">
        <v>0.84399999999999997</v>
      </c>
      <c r="M1716" s="1">
        <v>0.76700000000000002</v>
      </c>
      <c r="N1716">
        <v>10</v>
      </c>
      <c r="O1716" s="1">
        <v>-4.851</v>
      </c>
      <c r="P1716">
        <v>1</v>
      </c>
      <c r="Q1716" s="1">
        <v>0.46100000000000002</v>
      </c>
      <c r="R1716" s="1">
        <v>0.53</v>
      </c>
      <c r="S1716" s="1">
        <v>0.153</v>
      </c>
      <c r="T1716" s="1">
        <v>0.16600000000000001</v>
      </c>
      <c r="U1716" s="1">
        <v>0.34200000000000003</v>
      </c>
      <c r="V1716" s="1">
        <v>125.989</v>
      </c>
      <c r="W1716">
        <v>4</v>
      </c>
    </row>
    <row r="1717" spans="1:23" x14ac:dyDescent="0.25">
      <c r="A1717" s="1" t="s">
        <v>11603</v>
      </c>
      <c r="B1717" s="1" t="s">
        <v>11604</v>
      </c>
      <c r="C1717" s="1" t="s">
        <v>323</v>
      </c>
      <c r="D1717" s="1" t="s">
        <v>323</v>
      </c>
      <c r="E1717" s="1" t="s">
        <v>324</v>
      </c>
      <c r="F1717" s="1" t="s">
        <v>11605</v>
      </c>
      <c r="G1717">
        <v>168387</v>
      </c>
      <c r="H1717">
        <v>78</v>
      </c>
      <c r="I1717" s="1" t="s">
        <v>11063</v>
      </c>
      <c r="J1717" s="11">
        <v>44729.706458333334</v>
      </c>
      <c r="K1717" s="1" t="s">
        <v>325</v>
      </c>
      <c r="L1717" s="1">
        <v>0.59799999999999998</v>
      </c>
      <c r="M1717" s="1">
        <v>0.52600000000000002</v>
      </c>
      <c r="N1717">
        <v>10</v>
      </c>
      <c r="O1717" s="1">
        <v>-8.6590000000000007</v>
      </c>
      <c r="P1717">
        <v>0</v>
      </c>
      <c r="Q1717" s="1">
        <v>0.41499999999999998</v>
      </c>
      <c r="R1717" s="1">
        <v>0.129</v>
      </c>
      <c r="S1717" s="1">
        <v>0</v>
      </c>
      <c r="T1717" s="1">
        <v>0.14000000000000001</v>
      </c>
      <c r="U1717" s="1">
        <v>0.52900000000000003</v>
      </c>
      <c r="V1717" s="1">
        <v>123.935</v>
      </c>
      <c r="W1717">
        <v>4</v>
      </c>
    </row>
    <row r="1718" spans="1:23" x14ac:dyDescent="0.25">
      <c r="A1718" s="1" t="s">
        <v>17392</v>
      </c>
      <c r="B1718" s="1" t="s">
        <v>17393</v>
      </c>
      <c r="C1718" s="1" t="s">
        <v>5336</v>
      </c>
      <c r="D1718" s="1" t="s">
        <v>5336</v>
      </c>
      <c r="E1718" s="1" t="s">
        <v>5337</v>
      </c>
      <c r="F1718" s="1" t="s">
        <v>17394</v>
      </c>
      <c r="G1718">
        <v>158142</v>
      </c>
      <c r="H1718">
        <v>0</v>
      </c>
      <c r="I1718" s="1" t="s">
        <v>11063</v>
      </c>
      <c r="J1718" s="11">
        <v>44729.706458333334</v>
      </c>
      <c r="K1718" s="1" t="s">
        <v>2541</v>
      </c>
      <c r="L1718" s="1">
        <v>0.56399999999999995</v>
      </c>
      <c r="M1718" s="1">
        <v>0.79500000000000004</v>
      </c>
      <c r="N1718">
        <v>7</v>
      </c>
      <c r="O1718" s="1">
        <v>-5.9690000000000003</v>
      </c>
      <c r="P1718">
        <v>1</v>
      </c>
      <c r="Q1718" s="1">
        <v>0.35899999999999999</v>
      </c>
      <c r="R1718" s="1">
        <v>0.23899999999999999</v>
      </c>
      <c r="S1718" s="1">
        <v>0.435</v>
      </c>
      <c r="T1718" s="1">
        <v>0.159</v>
      </c>
      <c r="U1718" s="1">
        <v>0.41</v>
      </c>
      <c r="V1718" s="1">
        <v>140.04900000000001</v>
      </c>
      <c r="W1718">
        <v>4</v>
      </c>
    </row>
    <row r="1719" spans="1:23" x14ac:dyDescent="0.25">
      <c r="A1719" s="1" t="s">
        <v>17395</v>
      </c>
      <c r="B1719" s="1" t="s">
        <v>17396</v>
      </c>
      <c r="C1719" s="1" t="s">
        <v>5338</v>
      </c>
      <c r="D1719" s="1" t="s">
        <v>17397</v>
      </c>
      <c r="E1719" s="1" t="s">
        <v>5339</v>
      </c>
      <c r="F1719" s="1" t="s">
        <v>17398</v>
      </c>
      <c r="G1719">
        <v>161250</v>
      </c>
      <c r="H1719">
        <v>61</v>
      </c>
      <c r="I1719" s="1" t="s">
        <v>11063</v>
      </c>
      <c r="J1719" s="11">
        <v>44729.706458333334</v>
      </c>
      <c r="K1719" s="1" t="s">
        <v>5340</v>
      </c>
      <c r="L1719" s="1">
        <v>0.70799999999999996</v>
      </c>
      <c r="M1719" s="1">
        <v>0.72899999999999998</v>
      </c>
      <c r="N1719">
        <v>3</v>
      </c>
      <c r="O1719" s="1">
        <v>-5.49</v>
      </c>
      <c r="P1719">
        <v>0</v>
      </c>
      <c r="Q1719" s="1">
        <v>0.40600000000000003</v>
      </c>
      <c r="R1719" s="1">
        <v>0.23300000000000001</v>
      </c>
      <c r="S1719" s="1">
        <v>0.56499999999999995</v>
      </c>
      <c r="T1719" s="1">
        <v>0.186</v>
      </c>
      <c r="U1719" s="1">
        <v>0.32500000000000001</v>
      </c>
      <c r="V1719" s="1">
        <v>127.926</v>
      </c>
      <c r="W1719">
        <v>4</v>
      </c>
    </row>
    <row r="1720" spans="1:23" x14ac:dyDescent="0.25">
      <c r="A1720" s="1" t="s">
        <v>17399</v>
      </c>
      <c r="B1720" s="1" t="s">
        <v>17400</v>
      </c>
      <c r="C1720" s="1" t="s">
        <v>2480</v>
      </c>
      <c r="D1720" s="1" t="s">
        <v>2480</v>
      </c>
      <c r="E1720" s="1" t="s">
        <v>5341</v>
      </c>
      <c r="F1720" s="1" t="s">
        <v>14251</v>
      </c>
      <c r="G1720">
        <v>173066</v>
      </c>
      <c r="H1720">
        <v>67</v>
      </c>
      <c r="I1720" s="1" t="s">
        <v>11063</v>
      </c>
      <c r="J1720" s="11">
        <v>44729.706458333334</v>
      </c>
      <c r="K1720" s="1" t="s">
        <v>5342</v>
      </c>
      <c r="L1720" s="1">
        <v>0.81299999999999994</v>
      </c>
      <c r="M1720" s="1">
        <v>0.76100000000000001</v>
      </c>
      <c r="N1720">
        <v>10</v>
      </c>
      <c r="O1720" s="1">
        <v>-5.6870000000000003</v>
      </c>
      <c r="P1720">
        <v>0</v>
      </c>
      <c r="Q1720" s="1">
        <v>0.85</v>
      </c>
      <c r="R1720" s="1">
        <v>0.52900000000000003</v>
      </c>
      <c r="S1720" s="1">
        <v>0.11899999999999999</v>
      </c>
      <c r="T1720" s="1">
        <v>0.33700000000000002</v>
      </c>
      <c r="U1720" s="1">
        <v>0.28999999999999998</v>
      </c>
      <c r="V1720" s="1">
        <v>124.95699999999999</v>
      </c>
      <c r="W1720">
        <v>4</v>
      </c>
    </row>
    <row r="1721" spans="1:23" x14ac:dyDescent="0.25">
      <c r="A1721" s="1" t="s">
        <v>11606</v>
      </c>
      <c r="B1721" s="1" t="s">
        <v>11607</v>
      </c>
      <c r="C1721" s="1" t="s">
        <v>326</v>
      </c>
      <c r="D1721" s="1" t="s">
        <v>326</v>
      </c>
      <c r="E1721" s="1" t="s">
        <v>327</v>
      </c>
      <c r="F1721" s="1" t="s">
        <v>11608</v>
      </c>
      <c r="G1721">
        <v>163208</v>
      </c>
      <c r="H1721">
        <v>76</v>
      </c>
      <c r="I1721" s="1" t="s">
        <v>11063</v>
      </c>
      <c r="J1721" s="11">
        <v>44729.706458333334</v>
      </c>
      <c r="K1721" s="1" t="s">
        <v>328</v>
      </c>
      <c r="L1721" s="1">
        <v>0.76700000000000002</v>
      </c>
      <c r="M1721" s="1">
        <v>0.65900000000000003</v>
      </c>
      <c r="N1721">
        <v>1</v>
      </c>
      <c r="O1721" s="1">
        <v>-7.4290000000000003</v>
      </c>
      <c r="P1721">
        <v>1</v>
      </c>
      <c r="Q1721" s="1">
        <v>0.44400000000000001</v>
      </c>
      <c r="R1721" s="1">
        <v>0.32500000000000001</v>
      </c>
      <c r="S1721" s="1">
        <v>0</v>
      </c>
      <c r="T1721" s="1">
        <v>0.13</v>
      </c>
      <c r="U1721" s="1">
        <v>0.439</v>
      </c>
      <c r="V1721" s="1">
        <v>124.946</v>
      </c>
      <c r="W1721">
        <v>4</v>
      </c>
    </row>
    <row r="1722" spans="1:23" x14ac:dyDescent="0.25">
      <c r="A1722" s="1" t="s">
        <v>17401</v>
      </c>
      <c r="B1722" s="1" t="s">
        <v>14974</v>
      </c>
      <c r="C1722" s="1" t="s">
        <v>5343</v>
      </c>
      <c r="D1722" s="1" t="s">
        <v>14975</v>
      </c>
      <c r="E1722" s="1" t="s">
        <v>3250</v>
      </c>
      <c r="F1722" s="1" t="s">
        <v>14976</v>
      </c>
      <c r="G1722">
        <v>206458</v>
      </c>
      <c r="H1722">
        <v>58</v>
      </c>
      <c r="I1722" s="1" t="s">
        <v>11063</v>
      </c>
      <c r="J1722" s="11">
        <v>44729.706458333334</v>
      </c>
      <c r="K1722" s="1" t="s">
        <v>235</v>
      </c>
      <c r="L1722" s="1">
        <v>0.48799999999999999</v>
      </c>
      <c r="M1722" s="1">
        <v>0.34300000000000003</v>
      </c>
      <c r="N1722">
        <v>4</v>
      </c>
      <c r="O1722" s="1">
        <v>-8.9849999999999994</v>
      </c>
      <c r="P1722">
        <v>1</v>
      </c>
      <c r="Q1722" s="1">
        <v>0.436</v>
      </c>
      <c r="R1722" s="1">
        <v>0.55600000000000005</v>
      </c>
      <c r="S1722" s="1">
        <v>0</v>
      </c>
      <c r="T1722" s="1">
        <v>0.21</v>
      </c>
      <c r="U1722" s="1">
        <v>0.97799999999999998</v>
      </c>
      <c r="V1722" s="1">
        <v>102.819</v>
      </c>
      <c r="W1722">
        <v>4</v>
      </c>
    </row>
    <row r="1723" spans="1:23" x14ac:dyDescent="0.25">
      <c r="A1723" s="1" t="s">
        <v>17402</v>
      </c>
      <c r="B1723" s="1" t="s">
        <v>14974</v>
      </c>
      <c r="C1723" s="1" t="s">
        <v>5344</v>
      </c>
      <c r="D1723" s="1" t="s">
        <v>14975</v>
      </c>
      <c r="E1723" s="1" t="s">
        <v>3250</v>
      </c>
      <c r="F1723" s="1" t="s">
        <v>14976</v>
      </c>
      <c r="G1723">
        <v>220589</v>
      </c>
      <c r="H1723">
        <v>55</v>
      </c>
      <c r="I1723" s="1" t="s">
        <v>11063</v>
      </c>
      <c r="J1723" s="11">
        <v>44729.706458333334</v>
      </c>
      <c r="K1723" s="1" t="s">
        <v>235</v>
      </c>
      <c r="L1723" s="1">
        <v>0.83799999999999997</v>
      </c>
      <c r="M1723" s="1">
        <v>0.54500000000000004</v>
      </c>
      <c r="N1723">
        <v>5</v>
      </c>
      <c r="O1723" s="1">
        <v>-6.7130000000000001</v>
      </c>
      <c r="P1723">
        <v>1</v>
      </c>
      <c r="Q1723" s="1">
        <v>0.70599999999999996</v>
      </c>
      <c r="R1723" s="1">
        <v>0.20799999999999999</v>
      </c>
      <c r="S1723" s="1">
        <v>0.80100000000000005</v>
      </c>
      <c r="T1723" s="1">
        <v>0.10299999999999999</v>
      </c>
      <c r="U1723" s="1">
        <v>0.63100000000000001</v>
      </c>
      <c r="V1723" s="1">
        <v>114.998</v>
      </c>
      <c r="W1723">
        <v>4</v>
      </c>
    </row>
    <row r="1724" spans="1:23" x14ac:dyDescent="0.25">
      <c r="A1724" s="1" t="s">
        <v>17403</v>
      </c>
      <c r="B1724" s="1" t="s">
        <v>17404</v>
      </c>
      <c r="C1724" s="1" t="s">
        <v>5345</v>
      </c>
      <c r="D1724" s="1" t="s">
        <v>17405</v>
      </c>
      <c r="E1724" s="1" t="s">
        <v>5346</v>
      </c>
      <c r="F1724" s="1" t="s">
        <v>15135</v>
      </c>
      <c r="G1724">
        <v>200946</v>
      </c>
      <c r="H1724">
        <v>0</v>
      </c>
      <c r="I1724" s="1" t="s">
        <v>11063</v>
      </c>
      <c r="J1724" s="11">
        <v>44729.706458333334</v>
      </c>
      <c r="K1724" s="1" t="s">
        <v>5347</v>
      </c>
      <c r="L1724" s="1">
        <v>0.51</v>
      </c>
      <c r="M1724" s="1">
        <v>0.82499999999999996</v>
      </c>
      <c r="N1724">
        <v>11</v>
      </c>
      <c r="O1724" s="1">
        <v>-2.5409999999999999</v>
      </c>
      <c r="P1724">
        <v>1</v>
      </c>
      <c r="Q1724" s="1">
        <v>0.41699999999999998</v>
      </c>
      <c r="R1724" s="1">
        <v>0.81299999999999994</v>
      </c>
      <c r="S1724" s="1">
        <v>0</v>
      </c>
      <c r="T1724" s="1">
        <v>0.81799999999999995</v>
      </c>
      <c r="U1724" s="1">
        <v>0.53400000000000003</v>
      </c>
      <c r="V1724" s="1">
        <v>125.995</v>
      </c>
      <c r="W1724">
        <v>4</v>
      </c>
    </row>
    <row r="1725" spans="1:23" x14ac:dyDescent="0.25">
      <c r="A1725" s="1" t="s">
        <v>17406</v>
      </c>
      <c r="B1725" s="1" t="s">
        <v>17407</v>
      </c>
      <c r="C1725" s="1" t="s">
        <v>5348</v>
      </c>
      <c r="D1725" s="1" t="s">
        <v>5348</v>
      </c>
      <c r="E1725" s="1" t="s">
        <v>5349</v>
      </c>
      <c r="F1725" s="1" t="s">
        <v>17408</v>
      </c>
      <c r="G1725">
        <v>187500</v>
      </c>
      <c r="H1725">
        <v>0</v>
      </c>
      <c r="I1725" s="1" t="s">
        <v>11063</v>
      </c>
      <c r="J1725" s="11">
        <v>44729.706458333334</v>
      </c>
      <c r="K1725" s="1" t="s">
        <v>5350</v>
      </c>
      <c r="L1725" s="1">
        <v>0.54100000000000004</v>
      </c>
      <c r="M1725" s="1">
        <v>0.88300000000000001</v>
      </c>
      <c r="N1725">
        <v>1</v>
      </c>
      <c r="O1725" s="1">
        <v>-3.33</v>
      </c>
      <c r="P1725">
        <v>0</v>
      </c>
      <c r="Q1725" s="1">
        <v>0.14699999999999999</v>
      </c>
      <c r="R1725" s="1">
        <v>0.40100000000000002</v>
      </c>
      <c r="S1725" s="1">
        <v>0</v>
      </c>
      <c r="T1725" s="1">
        <v>0.123</v>
      </c>
      <c r="U1725" s="1">
        <v>0.40500000000000003</v>
      </c>
      <c r="V1725" s="1">
        <v>127.681</v>
      </c>
      <c r="W1725">
        <v>4</v>
      </c>
    </row>
    <row r="1726" spans="1:23" x14ac:dyDescent="0.25">
      <c r="A1726" s="1" t="s">
        <v>17409</v>
      </c>
      <c r="B1726" s="1" t="s">
        <v>17410</v>
      </c>
      <c r="C1726" s="1" t="s">
        <v>5351</v>
      </c>
      <c r="D1726" s="1" t="s">
        <v>5351</v>
      </c>
      <c r="E1726" s="1" t="s">
        <v>5352</v>
      </c>
      <c r="F1726" s="1" t="s">
        <v>17411</v>
      </c>
      <c r="G1726">
        <v>271058</v>
      </c>
      <c r="H1726">
        <v>61</v>
      </c>
      <c r="I1726" s="1" t="s">
        <v>11063</v>
      </c>
      <c r="J1726" s="11">
        <v>44729.706458333334</v>
      </c>
      <c r="K1726" s="1" t="s">
        <v>2596</v>
      </c>
      <c r="L1726" s="1">
        <v>0.53100000000000003</v>
      </c>
      <c r="M1726" s="1">
        <v>0.89600000000000002</v>
      </c>
      <c r="N1726">
        <v>1</v>
      </c>
      <c r="O1726" s="1">
        <v>-3.2970000000000002</v>
      </c>
      <c r="P1726">
        <v>0</v>
      </c>
      <c r="Q1726" s="1">
        <v>0.107</v>
      </c>
      <c r="R1726" s="1">
        <v>0.316</v>
      </c>
      <c r="S1726" s="1">
        <v>0.72299999999999998</v>
      </c>
      <c r="T1726" s="1">
        <v>0.29699999999999999</v>
      </c>
      <c r="U1726" s="1">
        <v>0.34</v>
      </c>
      <c r="V1726" s="1">
        <v>169.95500000000001</v>
      </c>
      <c r="W1726">
        <v>4</v>
      </c>
    </row>
    <row r="1727" spans="1:23" x14ac:dyDescent="0.25">
      <c r="A1727" s="1" t="s">
        <v>17412</v>
      </c>
      <c r="B1727" s="1" t="s">
        <v>17413</v>
      </c>
      <c r="C1727" s="1" t="s">
        <v>5353</v>
      </c>
      <c r="D1727" s="1" t="s">
        <v>17414</v>
      </c>
      <c r="E1727" s="1" t="s">
        <v>5354</v>
      </c>
      <c r="F1727" s="1" t="s">
        <v>11356</v>
      </c>
      <c r="G1727">
        <v>233633</v>
      </c>
      <c r="H1727">
        <v>0</v>
      </c>
      <c r="I1727" s="1" t="s">
        <v>11063</v>
      </c>
      <c r="J1727" s="11">
        <v>44729.706458333334</v>
      </c>
      <c r="K1727" s="1" t="s">
        <v>1150</v>
      </c>
      <c r="L1727" s="1">
        <v>0.35899999999999999</v>
      </c>
      <c r="M1727" s="1">
        <v>0.874</v>
      </c>
      <c r="N1727">
        <v>1</v>
      </c>
      <c r="O1727" s="1">
        <v>-3.2210000000000001</v>
      </c>
      <c r="P1727">
        <v>1</v>
      </c>
      <c r="Q1727" s="1">
        <v>0.17199999999999999</v>
      </c>
      <c r="R1727" s="1">
        <v>0.23</v>
      </c>
      <c r="S1727" s="1">
        <v>0.39200000000000002</v>
      </c>
      <c r="T1727" s="1">
        <v>0.19500000000000001</v>
      </c>
      <c r="U1727" s="1">
        <v>0.158</v>
      </c>
      <c r="V1727" s="1">
        <v>75.141999999999996</v>
      </c>
      <c r="W1727">
        <v>4</v>
      </c>
    </row>
    <row r="1728" spans="1:23" x14ac:dyDescent="0.25">
      <c r="A1728" s="1" t="s">
        <v>17415</v>
      </c>
      <c r="B1728" s="1" t="s">
        <v>17014</v>
      </c>
      <c r="C1728" s="1" t="s">
        <v>5355</v>
      </c>
      <c r="D1728" s="1" t="s">
        <v>17416</v>
      </c>
      <c r="E1728" s="1" t="s">
        <v>5006</v>
      </c>
      <c r="F1728" s="1" t="s">
        <v>17417</v>
      </c>
      <c r="G1728">
        <v>246271</v>
      </c>
      <c r="H1728">
        <v>0</v>
      </c>
      <c r="I1728" s="1" t="s">
        <v>11063</v>
      </c>
      <c r="J1728" s="11">
        <v>44729.706458333334</v>
      </c>
      <c r="K1728" s="1" t="s">
        <v>5007</v>
      </c>
      <c r="L1728" s="1">
        <v>0.26200000000000001</v>
      </c>
      <c r="M1728" s="1">
        <v>0.224</v>
      </c>
      <c r="N1728">
        <v>9</v>
      </c>
      <c r="O1728" s="1">
        <v>-20.231000000000002</v>
      </c>
      <c r="P1728">
        <v>0</v>
      </c>
      <c r="Q1728" s="1">
        <v>0.46300000000000002</v>
      </c>
      <c r="R1728" s="1">
        <v>0.54500000000000004</v>
      </c>
      <c r="S1728" s="1">
        <v>0.95</v>
      </c>
      <c r="T1728" s="1">
        <v>0.11799999999999999</v>
      </c>
      <c r="U1728" s="1">
        <v>0.38800000000000001</v>
      </c>
      <c r="V1728" s="1">
        <v>119.715</v>
      </c>
      <c r="W1728">
        <v>4</v>
      </c>
    </row>
    <row r="1729" spans="1:23" x14ac:dyDescent="0.25">
      <c r="A1729" s="1" t="s">
        <v>17418</v>
      </c>
      <c r="B1729" s="1" t="s">
        <v>17014</v>
      </c>
      <c r="C1729" s="1" t="s">
        <v>5356</v>
      </c>
      <c r="D1729" s="1" t="s">
        <v>17416</v>
      </c>
      <c r="E1729" s="1" t="s">
        <v>5006</v>
      </c>
      <c r="F1729" s="1" t="s">
        <v>17417</v>
      </c>
      <c r="G1729">
        <v>461268</v>
      </c>
      <c r="H1729">
        <v>0</v>
      </c>
      <c r="I1729" s="1" t="s">
        <v>11063</v>
      </c>
      <c r="J1729" s="11">
        <v>44729.706458333334</v>
      </c>
      <c r="K1729" s="1" t="s">
        <v>5007</v>
      </c>
      <c r="L1729" s="1">
        <v>0.22600000000000001</v>
      </c>
      <c r="M1729" s="1">
        <v>0.24399999999999999</v>
      </c>
      <c r="N1729">
        <v>0</v>
      </c>
      <c r="O1729" s="1">
        <v>-23.512</v>
      </c>
      <c r="P1729">
        <v>1</v>
      </c>
      <c r="Q1729" s="1">
        <v>0.42099999999999999</v>
      </c>
      <c r="R1729" s="1">
        <v>0.86299999999999999</v>
      </c>
      <c r="S1729" s="1">
        <v>0.95199999999999996</v>
      </c>
      <c r="T1729" s="1">
        <v>0.371</v>
      </c>
      <c r="U1729" s="1">
        <v>0.26600000000000001</v>
      </c>
      <c r="V1729" s="1">
        <v>95.950999999999993</v>
      </c>
      <c r="W1729">
        <v>3</v>
      </c>
    </row>
    <row r="1730" spans="1:23" x14ac:dyDescent="0.25">
      <c r="A1730" s="1" t="s">
        <v>17419</v>
      </c>
      <c r="B1730" s="1" t="s">
        <v>17014</v>
      </c>
      <c r="C1730" s="1" t="s">
        <v>5357</v>
      </c>
      <c r="D1730" s="1" t="s">
        <v>17416</v>
      </c>
      <c r="E1730" s="1" t="s">
        <v>5006</v>
      </c>
      <c r="F1730" s="1" t="s">
        <v>17417</v>
      </c>
      <c r="G1730">
        <v>383513</v>
      </c>
      <c r="H1730">
        <v>0</v>
      </c>
      <c r="I1730" s="1" t="s">
        <v>11063</v>
      </c>
      <c r="J1730" s="11">
        <v>44729.706458333334</v>
      </c>
      <c r="K1730" s="1" t="s">
        <v>5007</v>
      </c>
      <c r="L1730" s="1">
        <v>0.79300000000000004</v>
      </c>
      <c r="M1730" s="1">
        <v>0.30099999999999999</v>
      </c>
      <c r="N1730">
        <v>5</v>
      </c>
      <c r="O1730" s="1">
        <v>-30.777000000000001</v>
      </c>
      <c r="P1730">
        <v>1</v>
      </c>
      <c r="Q1730" s="1">
        <v>0.42499999999999999</v>
      </c>
      <c r="R1730" s="1">
        <v>0.93300000000000005</v>
      </c>
      <c r="S1730" s="1">
        <v>0.92900000000000005</v>
      </c>
      <c r="T1730" s="1">
        <v>0.74099999999999999</v>
      </c>
      <c r="U1730" s="1">
        <v>0.25600000000000001</v>
      </c>
      <c r="V1730" s="1">
        <v>191.41300000000001</v>
      </c>
      <c r="W1730">
        <v>3</v>
      </c>
    </row>
    <row r="1731" spans="1:23" x14ac:dyDescent="0.25">
      <c r="A1731" s="1" t="s">
        <v>17420</v>
      </c>
      <c r="B1731" s="1" t="s">
        <v>17014</v>
      </c>
      <c r="C1731" s="1" t="s">
        <v>5012</v>
      </c>
      <c r="D1731" s="1" t="s">
        <v>17421</v>
      </c>
      <c r="E1731" s="1" t="s">
        <v>5006</v>
      </c>
      <c r="F1731" s="1" t="s">
        <v>17422</v>
      </c>
      <c r="G1731">
        <v>275546</v>
      </c>
      <c r="H1731">
        <v>71</v>
      </c>
      <c r="I1731" s="1" t="s">
        <v>11063</v>
      </c>
      <c r="J1731" s="11">
        <v>44729.706458333334</v>
      </c>
      <c r="K1731" s="1" t="s">
        <v>5007</v>
      </c>
      <c r="L1731" s="1">
        <v>0.221</v>
      </c>
      <c r="M1731" s="1">
        <v>0.879</v>
      </c>
      <c r="N1731">
        <v>7</v>
      </c>
      <c r="O1731" s="1">
        <v>-16.995999999999999</v>
      </c>
      <c r="P1731">
        <v>1</v>
      </c>
      <c r="Q1731" s="1">
        <v>0.38100000000000001</v>
      </c>
      <c r="R1731" s="1">
        <v>0.155</v>
      </c>
      <c r="S1731" s="1">
        <v>0.69799999999999995</v>
      </c>
      <c r="T1731" s="1">
        <v>0.86899999999999999</v>
      </c>
      <c r="U1731" s="1">
        <v>0.40100000000000002</v>
      </c>
      <c r="V1731" s="1">
        <v>126.622</v>
      </c>
      <c r="W1731">
        <v>4</v>
      </c>
    </row>
    <row r="1732" spans="1:23" x14ac:dyDescent="0.25">
      <c r="A1732" s="1" t="s">
        <v>17423</v>
      </c>
      <c r="B1732" s="1" t="s">
        <v>17424</v>
      </c>
      <c r="C1732" s="1" t="s">
        <v>3107</v>
      </c>
      <c r="D1732" s="1" t="s">
        <v>17425</v>
      </c>
      <c r="E1732" s="1" t="s">
        <v>5358</v>
      </c>
      <c r="F1732" s="1" t="s">
        <v>16794</v>
      </c>
      <c r="G1732">
        <v>194062</v>
      </c>
      <c r="H1732">
        <v>49</v>
      </c>
      <c r="I1732" s="1" t="s">
        <v>11063</v>
      </c>
      <c r="J1732" s="11">
        <v>44729.706458333334</v>
      </c>
      <c r="K1732" s="1" t="s">
        <v>5359</v>
      </c>
      <c r="L1732" s="1">
        <v>0.60599999999999998</v>
      </c>
      <c r="M1732" s="1">
        <v>0.63600000000000001</v>
      </c>
      <c r="N1732">
        <v>4</v>
      </c>
      <c r="O1732" s="1">
        <v>-3.1819999999999999</v>
      </c>
      <c r="P1732">
        <v>1</v>
      </c>
      <c r="Q1732" s="1">
        <v>0.434</v>
      </c>
      <c r="R1732" s="1">
        <v>0.28999999999999998</v>
      </c>
      <c r="S1732" s="1">
        <v>0</v>
      </c>
      <c r="T1732" s="1">
        <v>0.95</v>
      </c>
      <c r="U1732" s="1">
        <v>0.76800000000000002</v>
      </c>
      <c r="V1732" s="1">
        <v>127.98099999999999</v>
      </c>
      <c r="W1732">
        <v>4</v>
      </c>
    </row>
    <row r="1733" spans="1:23" x14ac:dyDescent="0.25">
      <c r="A1733" s="1" t="s">
        <v>17426</v>
      </c>
      <c r="B1733" s="1" t="s">
        <v>17427</v>
      </c>
      <c r="C1733" s="1" t="s">
        <v>5360</v>
      </c>
      <c r="D1733" s="1" t="s">
        <v>17428</v>
      </c>
      <c r="E1733" s="1" t="s">
        <v>5361</v>
      </c>
      <c r="F1733" s="1" t="s">
        <v>13459</v>
      </c>
      <c r="G1733">
        <v>242117</v>
      </c>
      <c r="H1733">
        <v>36</v>
      </c>
      <c r="I1733" s="1" t="s">
        <v>11063</v>
      </c>
      <c r="J1733" s="11">
        <v>44729.706458333334</v>
      </c>
      <c r="K1733" s="1" t="s">
        <v>5362</v>
      </c>
      <c r="L1733" s="1">
        <v>0.371</v>
      </c>
      <c r="M1733" s="1">
        <v>0.66700000000000004</v>
      </c>
      <c r="N1733">
        <v>0</v>
      </c>
      <c r="O1733" s="1">
        <v>-5.3280000000000003</v>
      </c>
      <c r="P1733">
        <v>0</v>
      </c>
      <c r="Q1733" s="1">
        <v>0.59599999999999997</v>
      </c>
      <c r="R1733" s="1">
        <v>0.16600000000000001</v>
      </c>
      <c r="S1733" s="1">
        <v>0</v>
      </c>
      <c r="T1733" s="1">
        <v>0.36399999999999999</v>
      </c>
      <c r="U1733" s="1">
        <v>0.23400000000000001</v>
      </c>
      <c r="V1733" s="1">
        <v>170.01300000000001</v>
      </c>
      <c r="W1733">
        <v>4</v>
      </c>
    </row>
    <row r="1734" spans="1:23" x14ac:dyDescent="0.25">
      <c r="A1734" s="1" t="s">
        <v>17429</v>
      </c>
      <c r="B1734" s="1" t="s">
        <v>17430</v>
      </c>
      <c r="C1734" s="1" t="s">
        <v>5363</v>
      </c>
      <c r="D1734" s="1" t="s">
        <v>17170</v>
      </c>
      <c r="E1734" s="1" t="s">
        <v>5364</v>
      </c>
      <c r="F1734" s="1" t="s">
        <v>13569</v>
      </c>
      <c r="G1734">
        <v>258440</v>
      </c>
      <c r="H1734">
        <v>59</v>
      </c>
      <c r="I1734" s="1" t="s">
        <v>11063</v>
      </c>
      <c r="J1734" s="11">
        <v>44729.706458333334</v>
      </c>
      <c r="K1734" s="1" t="s">
        <v>5365</v>
      </c>
      <c r="L1734" s="1">
        <v>0.59699999999999998</v>
      </c>
      <c r="M1734" s="1">
        <v>0.73599999999999999</v>
      </c>
      <c r="N1734">
        <v>1</v>
      </c>
      <c r="O1734" s="1">
        <v>-7.7930000000000001</v>
      </c>
      <c r="P1734">
        <v>0</v>
      </c>
      <c r="Q1734" s="1">
        <v>0.309</v>
      </c>
      <c r="R1734" s="1">
        <v>0.29599999999999999</v>
      </c>
      <c r="S1734" s="1">
        <v>0.92100000000000004</v>
      </c>
      <c r="T1734" s="1">
        <v>0.91400000000000003</v>
      </c>
      <c r="U1734" s="1">
        <v>0.17199999999999999</v>
      </c>
      <c r="V1734" s="1">
        <v>128.179</v>
      </c>
      <c r="W1734">
        <v>4</v>
      </c>
    </row>
    <row r="1735" spans="1:23" x14ac:dyDescent="0.25">
      <c r="A1735" s="1" t="s">
        <v>17431</v>
      </c>
      <c r="B1735" s="1" t="s">
        <v>11739</v>
      </c>
      <c r="C1735" s="1" t="s">
        <v>5366</v>
      </c>
      <c r="D1735" s="1" t="s">
        <v>5366</v>
      </c>
      <c r="E1735" s="1" t="s">
        <v>439</v>
      </c>
      <c r="F1735" s="1" t="s">
        <v>17432</v>
      </c>
      <c r="G1735">
        <v>259934</v>
      </c>
      <c r="H1735">
        <v>74</v>
      </c>
      <c r="I1735" s="1" t="s">
        <v>11063</v>
      </c>
      <c r="J1735" s="11">
        <v>44729.706458333334</v>
      </c>
      <c r="K1735" s="1" t="s">
        <v>440</v>
      </c>
      <c r="L1735" s="1">
        <v>0.81399999999999995</v>
      </c>
      <c r="M1735" s="1">
        <v>0.622</v>
      </c>
      <c r="N1735">
        <v>8</v>
      </c>
      <c r="O1735" s="1">
        <v>-7.5730000000000004</v>
      </c>
      <c r="P1735">
        <v>1</v>
      </c>
      <c r="Q1735" s="1">
        <v>0.49199999999999999</v>
      </c>
      <c r="R1735" s="1">
        <v>0.13200000000000001</v>
      </c>
      <c r="S1735" s="1">
        <v>0.72</v>
      </c>
      <c r="T1735" s="1">
        <v>0.65800000000000003</v>
      </c>
      <c r="U1735" s="1">
        <v>0.72599999999999998</v>
      </c>
      <c r="V1735" s="1">
        <v>119.976</v>
      </c>
      <c r="W1735">
        <v>4</v>
      </c>
    </row>
    <row r="1736" spans="1:23" x14ac:dyDescent="0.25">
      <c r="A1736" s="1" t="s">
        <v>17433</v>
      </c>
      <c r="B1736" s="1" t="s">
        <v>17434</v>
      </c>
      <c r="C1736" s="1" t="s">
        <v>5367</v>
      </c>
      <c r="D1736" s="1" t="s">
        <v>5367</v>
      </c>
      <c r="E1736" s="1" t="s">
        <v>5368</v>
      </c>
      <c r="F1736" s="1" t="s">
        <v>17435</v>
      </c>
      <c r="G1736">
        <v>329067</v>
      </c>
      <c r="H1736">
        <v>41</v>
      </c>
      <c r="I1736" s="1" t="s">
        <v>11063</v>
      </c>
      <c r="J1736" s="11">
        <v>44729.706458333334</v>
      </c>
      <c r="K1736" s="1" t="s">
        <v>5369</v>
      </c>
      <c r="L1736" s="1">
        <v>0.56399999999999995</v>
      </c>
      <c r="M1736" s="1">
        <v>0.82299999999999995</v>
      </c>
      <c r="N1736">
        <v>9</v>
      </c>
      <c r="O1736" s="1">
        <v>-6.3159999999999998</v>
      </c>
      <c r="P1736">
        <v>0</v>
      </c>
      <c r="Q1736" s="1">
        <v>0.46</v>
      </c>
      <c r="R1736" s="1">
        <v>0.40600000000000003</v>
      </c>
      <c r="S1736" s="1">
        <v>0.71599999999999997</v>
      </c>
      <c r="T1736" s="1">
        <v>0.68400000000000005</v>
      </c>
      <c r="U1736" s="1">
        <v>0.221</v>
      </c>
      <c r="V1736" s="1">
        <v>128.018</v>
      </c>
      <c r="W1736">
        <v>4</v>
      </c>
    </row>
    <row r="1737" spans="1:23" x14ac:dyDescent="0.25">
      <c r="A1737" s="1" t="s">
        <v>17436</v>
      </c>
      <c r="B1737" s="1" t="s">
        <v>17437</v>
      </c>
      <c r="C1737" s="1" t="s">
        <v>5370</v>
      </c>
      <c r="D1737" s="1" t="s">
        <v>17438</v>
      </c>
      <c r="E1737" s="1" t="s">
        <v>5371</v>
      </c>
      <c r="F1737" s="1" t="s">
        <v>17439</v>
      </c>
      <c r="G1737">
        <v>251986</v>
      </c>
      <c r="H1737">
        <v>66</v>
      </c>
      <c r="I1737" s="1" t="s">
        <v>11063</v>
      </c>
      <c r="J1737" s="11">
        <v>44729.706458333334</v>
      </c>
      <c r="K1737" s="1" t="s">
        <v>5372</v>
      </c>
      <c r="L1737" s="1">
        <v>0.83799999999999997</v>
      </c>
      <c r="M1737" s="1">
        <v>0.72</v>
      </c>
      <c r="N1737">
        <v>7</v>
      </c>
      <c r="O1737" s="1">
        <v>-4.1349999999999998</v>
      </c>
      <c r="P1737">
        <v>0</v>
      </c>
      <c r="Q1737" s="1">
        <v>0.48299999999999998</v>
      </c>
      <c r="R1737" s="1">
        <v>0.86199999999999999</v>
      </c>
      <c r="S1737" s="1">
        <v>0.69599999999999995</v>
      </c>
      <c r="T1737" s="1">
        <v>0.77200000000000002</v>
      </c>
      <c r="U1737" s="1">
        <v>0.20300000000000001</v>
      </c>
      <c r="V1737" s="1">
        <v>122.99299999999999</v>
      </c>
      <c r="W1737">
        <v>4</v>
      </c>
    </row>
    <row r="1738" spans="1:23" x14ac:dyDescent="0.25">
      <c r="A1738" s="1" t="s">
        <v>17440</v>
      </c>
      <c r="B1738" s="1" t="s">
        <v>13939</v>
      </c>
      <c r="C1738" s="1" t="s">
        <v>5373</v>
      </c>
      <c r="D1738" s="1" t="s">
        <v>13940</v>
      </c>
      <c r="E1738" s="1" t="s">
        <v>2343</v>
      </c>
      <c r="F1738" s="1" t="s">
        <v>13941</v>
      </c>
      <c r="G1738">
        <v>187142</v>
      </c>
      <c r="H1738">
        <v>42</v>
      </c>
      <c r="I1738" s="1" t="s">
        <v>11063</v>
      </c>
      <c r="J1738" s="11">
        <v>44729.706458333334</v>
      </c>
      <c r="K1738" s="1" t="s">
        <v>2344</v>
      </c>
      <c r="L1738" s="1">
        <v>0.67200000000000004</v>
      </c>
      <c r="M1738" s="1">
        <v>0.96399999999999997</v>
      </c>
      <c r="N1738">
        <v>5</v>
      </c>
      <c r="O1738" s="1">
        <v>-2.0760000000000001</v>
      </c>
      <c r="P1738">
        <v>0</v>
      </c>
      <c r="Q1738" s="1">
        <v>0.128</v>
      </c>
      <c r="R1738" s="1">
        <v>0.26500000000000001</v>
      </c>
      <c r="S1738" s="1">
        <v>0.95899999999999996</v>
      </c>
      <c r="T1738" s="1">
        <v>0.379</v>
      </c>
      <c r="U1738" s="1">
        <v>0.49299999999999999</v>
      </c>
      <c r="V1738" s="1">
        <v>125.959</v>
      </c>
      <c r="W1738">
        <v>4</v>
      </c>
    </row>
    <row r="1739" spans="1:23" x14ac:dyDescent="0.25">
      <c r="A1739" s="1" t="s">
        <v>17441</v>
      </c>
      <c r="B1739" s="1" t="s">
        <v>11717</v>
      </c>
      <c r="C1739" s="1" t="s">
        <v>5374</v>
      </c>
      <c r="D1739" s="1" t="s">
        <v>5374</v>
      </c>
      <c r="E1739" s="1" t="s">
        <v>423</v>
      </c>
      <c r="F1739" s="1" t="s">
        <v>17442</v>
      </c>
      <c r="G1739">
        <v>269906</v>
      </c>
      <c r="H1739">
        <v>48</v>
      </c>
      <c r="I1739" s="1" t="s">
        <v>11063</v>
      </c>
      <c r="J1739" s="11">
        <v>44729.706458333334</v>
      </c>
      <c r="K1739" s="1" t="s">
        <v>394</v>
      </c>
      <c r="L1739" s="1">
        <v>0.623</v>
      </c>
      <c r="M1739" s="1">
        <v>0.998</v>
      </c>
      <c r="N1739">
        <v>5</v>
      </c>
      <c r="O1739" s="1">
        <v>-1.4359999999999999</v>
      </c>
      <c r="P1739">
        <v>1</v>
      </c>
      <c r="Q1739" s="1">
        <v>0.36399999999999999</v>
      </c>
      <c r="R1739" s="1">
        <v>0.34200000000000003</v>
      </c>
      <c r="S1739" s="1">
        <v>0.85299999999999998</v>
      </c>
      <c r="T1739" s="1">
        <v>0.86199999999999999</v>
      </c>
      <c r="U1739" s="1">
        <v>0.67900000000000005</v>
      </c>
      <c r="V1739" s="1">
        <v>127.988</v>
      </c>
      <c r="W1739">
        <v>4</v>
      </c>
    </row>
    <row r="1740" spans="1:23" x14ac:dyDescent="0.25">
      <c r="A1740" s="1" t="s">
        <v>17443</v>
      </c>
      <c r="B1740" s="1" t="s">
        <v>17444</v>
      </c>
      <c r="C1740" s="1" t="s">
        <v>5375</v>
      </c>
      <c r="D1740" s="1" t="s">
        <v>5375</v>
      </c>
      <c r="E1740" s="1" t="s">
        <v>5376</v>
      </c>
      <c r="F1740" s="1" t="s">
        <v>17445</v>
      </c>
      <c r="G1740">
        <v>276340</v>
      </c>
      <c r="H1740">
        <v>26</v>
      </c>
      <c r="I1740" s="1" t="s">
        <v>11063</v>
      </c>
      <c r="J1740" s="11">
        <v>44729.706458333334</v>
      </c>
      <c r="K1740" s="1" t="s">
        <v>2639</v>
      </c>
      <c r="L1740" s="1">
        <v>0.45800000000000002</v>
      </c>
      <c r="M1740" s="1">
        <v>0.93</v>
      </c>
      <c r="N1740">
        <v>11</v>
      </c>
      <c r="O1740" s="1">
        <v>-4.2279999999999998</v>
      </c>
      <c r="P1740">
        <v>0</v>
      </c>
      <c r="Q1740" s="1">
        <v>0.84599999999999997</v>
      </c>
      <c r="R1740" s="1">
        <v>0.27900000000000003</v>
      </c>
      <c r="S1740" s="1">
        <v>0.33600000000000002</v>
      </c>
      <c r="T1740" s="1">
        <v>0.35899999999999999</v>
      </c>
      <c r="U1740" s="1">
        <v>0.61799999999999999</v>
      </c>
      <c r="V1740" s="1" t="s">
        <v>5377</v>
      </c>
      <c r="W1740">
        <v>4</v>
      </c>
    </row>
    <row r="1741" spans="1:23" x14ac:dyDescent="0.25">
      <c r="A1741" s="1" t="s">
        <v>17446</v>
      </c>
      <c r="B1741" s="1" t="s">
        <v>17447</v>
      </c>
      <c r="C1741" s="1" t="s">
        <v>5378</v>
      </c>
      <c r="D1741" s="1" t="s">
        <v>5378</v>
      </c>
      <c r="E1741" s="1" t="s">
        <v>5379</v>
      </c>
      <c r="F1741" s="1" t="s">
        <v>15956</v>
      </c>
      <c r="G1741">
        <v>192941</v>
      </c>
      <c r="H1741">
        <v>61</v>
      </c>
      <c r="I1741" s="1" t="s">
        <v>11063</v>
      </c>
      <c r="J1741" s="11">
        <v>44729.706458333334</v>
      </c>
      <c r="K1741" s="1" t="s">
        <v>5380</v>
      </c>
      <c r="L1741" s="1">
        <v>0.57099999999999995</v>
      </c>
      <c r="M1741" s="1">
        <v>0.752</v>
      </c>
      <c r="N1741">
        <v>3</v>
      </c>
      <c r="O1741" s="1">
        <v>-4.8719999999999999</v>
      </c>
      <c r="P1741">
        <v>1</v>
      </c>
      <c r="Q1741" s="1">
        <v>0.29299999999999998</v>
      </c>
      <c r="R1741" s="1">
        <v>0.19600000000000001</v>
      </c>
      <c r="S1741" s="1">
        <v>0.69199999999999995</v>
      </c>
      <c r="T1741" s="1">
        <v>0.114</v>
      </c>
      <c r="U1741" s="1">
        <v>0.25</v>
      </c>
      <c r="V1741" s="1">
        <v>102.04300000000001</v>
      </c>
      <c r="W1741">
        <v>4</v>
      </c>
    </row>
    <row r="1742" spans="1:23" x14ac:dyDescent="0.25">
      <c r="A1742" s="1" t="s">
        <v>17448</v>
      </c>
      <c r="B1742" s="1" t="s">
        <v>17449</v>
      </c>
      <c r="C1742" s="1" t="s">
        <v>483</v>
      </c>
      <c r="D1742" s="1" t="s">
        <v>483</v>
      </c>
      <c r="E1742" s="1" t="s">
        <v>5381</v>
      </c>
      <c r="F1742" s="1" t="s">
        <v>11758</v>
      </c>
      <c r="G1742">
        <v>188147</v>
      </c>
      <c r="H1742">
        <v>0</v>
      </c>
      <c r="I1742" s="1" t="s">
        <v>11063</v>
      </c>
      <c r="J1742" s="11">
        <v>44729.706458333334</v>
      </c>
      <c r="K1742" s="1" t="s">
        <v>3626</v>
      </c>
      <c r="L1742" s="1">
        <v>0.499</v>
      </c>
      <c r="M1742" s="1">
        <v>0.872</v>
      </c>
      <c r="N1742">
        <v>5</v>
      </c>
      <c r="O1742" s="1">
        <v>-4.58</v>
      </c>
      <c r="P1742">
        <v>1</v>
      </c>
      <c r="Q1742" s="1">
        <v>0.10199999999999999</v>
      </c>
      <c r="R1742" s="1">
        <v>0.56100000000000005</v>
      </c>
      <c r="S1742" s="1">
        <v>0</v>
      </c>
      <c r="T1742" s="1">
        <v>0.106</v>
      </c>
      <c r="U1742" s="1">
        <v>0.25</v>
      </c>
      <c r="V1742" s="1">
        <v>146.88800000000001</v>
      </c>
      <c r="W1742">
        <v>4</v>
      </c>
    </row>
    <row r="1743" spans="1:23" x14ac:dyDescent="0.25">
      <c r="A1743" s="1" t="s">
        <v>17450</v>
      </c>
      <c r="B1743" s="1" t="s">
        <v>17451</v>
      </c>
      <c r="C1743" s="1" t="s">
        <v>1347</v>
      </c>
      <c r="D1743" s="1" t="s">
        <v>1347</v>
      </c>
      <c r="E1743" s="1" t="s">
        <v>5382</v>
      </c>
      <c r="F1743" s="1" t="s">
        <v>14196</v>
      </c>
      <c r="G1743">
        <v>208000</v>
      </c>
      <c r="H1743">
        <v>40</v>
      </c>
      <c r="I1743" s="1" t="s">
        <v>11063</v>
      </c>
      <c r="J1743" s="11">
        <v>44729.706458333334</v>
      </c>
      <c r="K1743" s="1" t="s">
        <v>5383</v>
      </c>
      <c r="L1743" s="1">
        <v>0.40500000000000003</v>
      </c>
      <c r="M1743" s="1">
        <v>0.70499999999999996</v>
      </c>
      <c r="N1743">
        <v>9</v>
      </c>
      <c r="O1743" s="1">
        <v>-4.6109999999999998</v>
      </c>
      <c r="P1743">
        <v>1</v>
      </c>
      <c r="Q1743" s="1">
        <v>0.375</v>
      </c>
      <c r="R1743" s="1">
        <v>0.27800000000000002</v>
      </c>
      <c r="S1743" s="1">
        <v>0.50600000000000001</v>
      </c>
      <c r="T1743" s="1">
        <v>0.157</v>
      </c>
      <c r="U1743" s="1">
        <v>0.13600000000000001</v>
      </c>
      <c r="V1743" s="1">
        <v>149.34200000000001</v>
      </c>
      <c r="W1743">
        <v>4</v>
      </c>
    </row>
    <row r="1744" spans="1:23" x14ac:dyDescent="0.25">
      <c r="A1744" s="1" t="s">
        <v>17452</v>
      </c>
      <c r="B1744" s="1" t="s">
        <v>14106</v>
      </c>
      <c r="C1744" s="1" t="s">
        <v>2489</v>
      </c>
      <c r="D1744" s="1" t="s">
        <v>2490</v>
      </c>
      <c r="E1744" s="1" t="s">
        <v>2487</v>
      </c>
      <c r="F1744" s="1" t="s">
        <v>14014</v>
      </c>
      <c r="G1744">
        <v>227893</v>
      </c>
      <c r="H1744">
        <v>52</v>
      </c>
      <c r="I1744" s="1" t="s">
        <v>11063</v>
      </c>
      <c r="J1744" s="11">
        <v>44729.706458333334</v>
      </c>
      <c r="K1744" s="1" t="s">
        <v>235</v>
      </c>
      <c r="L1744" s="1">
        <v>0.63800000000000001</v>
      </c>
      <c r="M1744" s="1">
        <v>0.83199999999999996</v>
      </c>
      <c r="N1744">
        <v>8</v>
      </c>
      <c r="O1744" s="1">
        <v>-5.0389999999999997</v>
      </c>
      <c r="P1744">
        <v>1</v>
      </c>
      <c r="Q1744" s="1">
        <v>0.49</v>
      </c>
      <c r="R1744" s="1">
        <v>0.14099999999999999</v>
      </c>
      <c r="S1744" s="1">
        <v>0</v>
      </c>
      <c r="T1744" s="1">
        <v>0.113</v>
      </c>
      <c r="U1744" s="1">
        <v>0.64800000000000002</v>
      </c>
      <c r="V1744" s="1">
        <v>124.071</v>
      </c>
      <c r="W1744">
        <v>4</v>
      </c>
    </row>
    <row r="1745" spans="1:23" x14ac:dyDescent="0.25">
      <c r="A1745" s="1" t="s">
        <v>17453</v>
      </c>
      <c r="B1745" s="1" t="s">
        <v>14106</v>
      </c>
      <c r="C1745" s="1" t="s">
        <v>5384</v>
      </c>
      <c r="D1745" s="1" t="s">
        <v>2490</v>
      </c>
      <c r="E1745" s="1" t="s">
        <v>2487</v>
      </c>
      <c r="F1745" s="1" t="s">
        <v>14014</v>
      </c>
      <c r="G1745">
        <v>230733</v>
      </c>
      <c r="H1745">
        <v>51</v>
      </c>
      <c r="I1745" s="1" t="s">
        <v>11063</v>
      </c>
      <c r="J1745" s="11">
        <v>44729.706458333334</v>
      </c>
      <c r="K1745" s="1" t="s">
        <v>235</v>
      </c>
      <c r="L1745" s="1">
        <v>0.65200000000000002</v>
      </c>
      <c r="M1745" s="1">
        <v>0.81200000000000006</v>
      </c>
      <c r="N1745">
        <v>3</v>
      </c>
      <c r="O1745" s="1">
        <v>-3.7970000000000002</v>
      </c>
      <c r="P1745">
        <v>0</v>
      </c>
      <c r="Q1745" s="1">
        <v>0.40899999999999997</v>
      </c>
      <c r="R1745" s="1">
        <v>0.125</v>
      </c>
      <c r="S1745" s="1">
        <v>0.30099999999999999</v>
      </c>
      <c r="T1745" s="1">
        <v>0.66700000000000004</v>
      </c>
      <c r="U1745" s="1">
        <v>0.72</v>
      </c>
      <c r="V1745" s="1">
        <v>126.023</v>
      </c>
      <c r="W1745">
        <v>4</v>
      </c>
    </row>
    <row r="1746" spans="1:23" x14ac:dyDescent="0.25">
      <c r="A1746" s="1" t="s">
        <v>17454</v>
      </c>
      <c r="B1746" s="1" t="s">
        <v>14106</v>
      </c>
      <c r="C1746" s="1" t="s">
        <v>5385</v>
      </c>
      <c r="D1746" s="1" t="s">
        <v>17455</v>
      </c>
      <c r="E1746" s="1" t="s">
        <v>2487</v>
      </c>
      <c r="F1746" s="1" t="s">
        <v>13922</v>
      </c>
      <c r="G1746">
        <v>223546</v>
      </c>
      <c r="H1746">
        <v>77</v>
      </c>
      <c r="I1746" s="1" t="s">
        <v>11063</v>
      </c>
      <c r="J1746" s="11">
        <v>44729.706458333334</v>
      </c>
      <c r="K1746" s="1" t="s">
        <v>235</v>
      </c>
      <c r="L1746" s="1">
        <v>0.67100000000000004</v>
      </c>
      <c r="M1746" s="1">
        <v>0.77100000000000002</v>
      </c>
      <c r="N1746">
        <v>7</v>
      </c>
      <c r="O1746" s="1">
        <v>-4.8209999999999997</v>
      </c>
      <c r="P1746">
        <v>0</v>
      </c>
      <c r="Q1746" s="1">
        <v>0.316</v>
      </c>
      <c r="R1746" s="1">
        <v>0.49199999999999999</v>
      </c>
      <c r="S1746" s="1">
        <v>0.72799999999999998</v>
      </c>
      <c r="T1746" s="1">
        <v>0.35399999999999998</v>
      </c>
      <c r="U1746" s="1">
        <v>0.436</v>
      </c>
      <c r="V1746" s="1">
        <v>90.003</v>
      </c>
      <c r="W1746">
        <v>4</v>
      </c>
    </row>
    <row r="1747" spans="1:23" x14ac:dyDescent="0.25">
      <c r="A1747" s="1" t="s">
        <v>17456</v>
      </c>
      <c r="B1747" s="1" t="s">
        <v>17457</v>
      </c>
      <c r="C1747" s="1" t="s">
        <v>5386</v>
      </c>
      <c r="D1747" s="1" t="s">
        <v>17455</v>
      </c>
      <c r="E1747" s="1" t="s">
        <v>5387</v>
      </c>
      <c r="F1747" s="1" t="s">
        <v>13922</v>
      </c>
      <c r="G1747">
        <v>215672</v>
      </c>
      <c r="H1747">
        <v>75</v>
      </c>
      <c r="I1747" s="1" t="s">
        <v>11063</v>
      </c>
      <c r="J1747" s="11">
        <v>44729.706458333334</v>
      </c>
      <c r="K1747" s="1" t="s">
        <v>5388</v>
      </c>
      <c r="L1747" s="1">
        <v>0.64700000000000002</v>
      </c>
      <c r="M1747" s="1">
        <v>0.58499999999999996</v>
      </c>
      <c r="N1747">
        <v>6</v>
      </c>
      <c r="O1747" s="1">
        <v>-6.1230000000000002</v>
      </c>
      <c r="P1747">
        <v>1</v>
      </c>
      <c r="Q1747" s="1">
        <v>0.51200000000000001</v>
      </c>
      <c r="R1747" s="1">
        <v>0.314</v>
      </c>
      <c r="S1747" s="1">
        <v>0</v>
      </c>
      <c r="T1747" s="1">
        <v>0.16500000000000001</v>
      </c>
      <c r="U1747" s="1">
        <v>0.35299999999999998</v>
      </c>
      <c r="V1747" s="1">
        <v>131.934</v>
      </c>
      <c r="W1747">
        <v>4</v>
      </c>
    </row>
    <row r="1748" spans="1:23" x14ac:dyDescent="0.25">
      <c r="A1748" s="1" t="s">
        <v>17458</v>
      </c>
      <c r="B1748" s="1" t="s">
        <v>17459</v>
      </c>
      <c r="C1748" s="1" t="s">
        <v>5389</v>
      </c>
      <c r="D1748" s="1" t="s">
        <v>17460</v>
      </c>
      <c r="E1748" s="1" t="s">
        <v>5390</v>
      </c>
      <c r="F1748" s="1" t="s">
        <v>17461</v>
      </c>
      <c r="G1748">
        <v>219720</v>
      </c>
      <c r="H1748">
        <v>77</v>
      </c>
      <c r="I1748" s="1" t="s">
        <v>11063</v>
      </c>
      <c r="J1748" s="11">
        <v>44729.706458333334</v>
      </c>
      <c r="K1748" s="1" t="s">
        <v>919</v>
      </c>
      <c r="L1748" s="1">
        <v>0.622</v>
      </c>
      <c r="M1748" s="1">
        <v>0.46899999999999997</v>
      </c>
      <c r="N1748">
        <v>3</v>
      </c>
      <c r="O1748" s="1">
        <v>-6.798</v>
      </c>
      <c r="P1748">
        <v>0</v>
      </c>
      <c r="Q1748" s="1">
        <v>0.36299999999999999</v>
      </c>
      <c r="R1748" s="1">
        <v>0.45400000000000001</v>
      </c>
      <c r="S1748" s="1">
        <v>0.22500000000000001</v>
      </c>
      <c r="T1748" s="1">
        <v>0.33500000000000002</v>
      </c>
      <c r="U1748" s="1">
        <v>0.67900000000000005</v>
      </c>
      <c r="V1748" s="1">
        <v>77.019000000000005</v>
      </c>
      <c r="W1748">
        <v>4</v>
      </c>
    </row>
    <row r="1749" spans="1:23" x14ac:dyDescent="0.25">
      <c r="A1749" s="1" t="s">
        <v>17462</v>
      </c>
      <c r="B1749" s="1" t="s">
        <v>17463</v>
      </c>
      <c r="C1749" s="1" t="s">
        <v>5391</v>
      </c>
      <c r="D1749" s="1" t="s">
        <v>14975</v>
      </c>
      <c r="E1749" s="1" t="s">
        <v>5392</v>
      </c>
      <c r="F1749" s="1" t="s">
        <v>14976</v>
      </c>
      <c r="G1749">
        <v>263305</v>
      </c>
      <c r="H1749">
        <v>46</v>
      </c>
      <c r="I1749" s="1" t="s">
        <v>11063</v>
      </c>
      <c r="J1749" s="11">
        <v>44729.706458333334</v>
      </c>
      <c r="K1749" s="1" t="s">
        <v>5393</v>
      </c>
      <c r="L1749" s="1">
        <v>0.58299999999999996</v>
      </c>
      <c r="M1749" s="1">
        <v>0.77700000000000002</v>
      </c>
      <c r="N1749">
        <v>10</v>
      </c>
      <c r="O1749" s="1">
        <v>-6.9909999999999997</v>
      </c>
      <c r="P1749">
        <v>0</v>
      </c>
      <c r="Q1749" s="1">
        <v>0.185</v>
      </c>
      <c r="R1749" s="1">
        <v>0.109</v>
      </c>
      <c r="S1749" s="1">
        <v>0.50900000000000001</v>
      </c>
      <c r="T1749" s="1">
        <v>0.108</v>
      </c>
      <c r="U1749" s="1">
        <v>0.31</v>
      </c>
      <c r="V1749" s="1">
        <v>190.054</v>
      </c>
      <c r="W1749">
        <v>4</v>
      </c>
    </row>
    <row r="1750" spans="1:23" x14ac:dyDescent="0.25">
      <c r="A1750" s="1" t="s">
        <v>17464</v>
      </c>
      <c r="B1750" s="1" t="s">
        <v>17465</v>
      </c>
      <c r="C1750" s="1" t="s">
        <v>5394</v>
      </c>
      <c r="D1750" s="1" t="s">
        <v>5394</v>
      </c>
      <c r="E1750" s="1" t="s">
        <v>5395</v>
      </c>
      <c r="F1750" s="1" t="s">
        <v>13290</v>
      </c>
      <c r="G1750">
        <v>218401</v>
      </c>
      <c r="H1750">
        <v>52</v>
      </c>
      <c r="I1750" s="1" t="s">
        <v>11063</v>
      </c>
      <c r="J1750" s="11">
        <v>44729.706458333334</v>
      </c>
      <c r="K1750" s="1" t="s">
        <v>5396</v>
      </c>
      <c r="L1750" s="1">
        <v>0.45800000000000002</v>
      </c>
      <c r="M1750" s="1">
        <v>0.80200000000000005</v>
      </c>
      <c r="N1750">
        <v>1</v>
      </c>
      <c r="O1750" s="1">
        <v>-3.9140000000000001</v>
      </c>
      <c r="P1750">
        <v>1</v>
      </c>
      <c r="Q1750" s="1">
        <v>0.41599999999999998</v>
      </c>
      <c r="R1750" s="1">
        <v>0.155</v>
      </c>
      <c r="S1750" s="1">
        <v>0</v>
      </c>
      <c r="T1750" s="1">
        <v>0.70599999999999996</v>
      </c>
      <c r="U1750" s="1">
        <v>0.51</v>
      </c>
      <c r="V1750" s="1">
        <v>145.13499999999999</v>
      </c>
      <c r="W1750">
        <v>4</v>
      </c>
    </row>
    <row r="1751" spans="1:23" x14ac:dyDescent="0.25">
      <c r="A1751" s="1" t="s">
        <v>17466</v>
      </c>
      <c r="B1751" s="1" t="s">
        <v>17467</v>
      </c>
      <c r="C1751" s="1" t="s">
        <v>5397</v>
      </c>
      <c r="D1751" s="1" t="s">
        <v>5397</v>
      </c>
      <c r="E1751" s="1" t="s">
        <v>5398</v>
      </c>
      <c r="F1751" s="1" t="s">
        <v>14368</v>
      </c>
      <c r="G1751">
        <v>225520</v>
      </c>
      <c r="H1751">
        <v>64</v>
      </c>
      <c r="I1751" s="1" t="s">
        <v>11063</v>
      </c>
      <c r="J1751" s="11">
        <v>44729.706458333334</v>
      </c>
      <c r="K1751" s="1" t="s">
        <v>5399</v>
      </c>
      <c r="L1751" s="1">
        <v>0.57199999999999995</v>
      </c>
      <c r="M1751" s="1">
        <v>0.77800000000000002</v>
      </c>
      <c r="N1751">
        <v>1</v>
      </c>
      <c r="O1751" s="1">
        <v>-5.2080000000000002</v>
      </c>
      <c r="P1751">
        <v>1</v>
      </c>
      <c r="Q1751" s="1">
        <v>0.23300000000000001</v>
      </c>
      <c r="R1751" s="1">
        <v>0.63800000000000001</v>
      </c>
      <c r="S1751" s="1">
        <v>0</v>
      </c>
      <c r="T1751" s="1">
        <v>0.56299999999999994</v>
      </c>
      <c r="U1751" s="1">
        <v>0.54</v>
      </c>
      <c r="V1751" s="1">
        <v>168.07300000000001</v>
      </c>
      <c r="W1751">
        <v>4</v>
      </c>
    </row>
    <row r="1752" spans="1:23" x14ac:dyDescent="0.25">
      <c r="A1752" s="1" t="s">
        <v>17468</v>
      </c>
      <c r="B1752" s="1" t="s">
        <v>17469</v>
      </c>
      <c r="C1752" s="1" t="s">
        <v>5400</v>
      </c>
      <c r="D1752" s="1" t="s">
        <v>17470</v>
      </c>
      <c r="E1752" s="1" t="s">
        <v>5401</v>
      </c>
      <c r="F1752" s="1" t="s">
        <v>17471</v>
      </c>
      <c r="G1752">
        <v>222095</v>
      </c>
      <c r="H1752">
        <v>0</v>
      </c>
      <c r="I1752" s="1" t="s">
        <v>11063</v>
      </c>
      <c r="J1752" s="11">
        <v>44729.706458333334</v>
      </c>
      <c r="K1752" s="1" t="s">
        <v>50</v>
      </c>
      <c r="L1752" s="1">
        <v>0.70699999999999996</v>
      </c>
      <c r="M1752" s="1">
        <v>0.69</v>
      </c>
      <c r="N1752">
        <v>1</v>
      </c>
      <c r="O1752" s="1">
        <v>-6.11</v>
      </c>
      <c r="P1752">
        <v>1</v>
      </c>
      <c r="Q1752" s="1">
        <v>0.40799999999999997</v>
      </c>
      <c r="R1752" s="1">
        <v>0.16400000000000001</v>
      </c>
      <c r="S1752" s="1">
        <v>0.51700000000000002</v>
      </c>
      <c r="T1752" s="1">
        <v>0.496</v>
      </c>
      <c r="U1752" s="1">
        <v>0.61399999999999999</v>
      </c>
      <c r="V1752" s="1">
        <v>122.018</v>
      </c>
      <c r="W1752">
        <v>4</v>
      </c>
    </row>
    <row r="1753" spans="1:23" x14ac:dyDescent="0.25">
      <c r="A1753" s="1" t="s">
        <v>17472</v>
      </c>
      <c r="B1753" s="1" t="s">
        <v>13505</v>
      </c>
      <c r="C1753" s="1" t="s">
        <v>1974</v>
      </c>
      <c r="D1753" s="1" t="s">
        <v>17473</v>
      </c>
      <c r="E1753" s="1" t="s">
        <v>1975</v>
      </c>
      <c r="F1753" s="1" t="s">
        <v>16928</v>
      </c>
      <c r="G1753">
        <v>251320</v>
      </c>
      <c r="H1753">
        <v>36</v>
      </c>
      <c r="I1753" s="1" t="s">
        <v>11063</v>
      </c>
      <c r="J1753" s="11">
        <v>44729.706458333334</v>
      </c>
      <c r="K1753" s="1" t="s">
        <v>1976</v>
      </c>
      <c r="L1753" s="1">
        <v>0.56399999999999995</v>
      </c>
      <c r="M1753" s="1">
        <v>0.71899999999999997</v>
      </c>
      <c r="N1753">
        <v>1</v>
      </c>
      <c r="O1753" s="1">
        <v>-5.5049999999999999</v>
      </c>
      <c r="P1753">
        <v>1</v>
      </c>
      <c r="Q1753" s="1">
        <v>0.47499999999999998</v>
      </c>
      <c r="R1753" s="1">
        <v>0.126</v>
      </c>
      <c r="S1753" s="1">
        <v>0.17699999999999999</v>
      </c>
      <c r="T1753" s="1">
        <v>0.53600000000000003</v>
      </c>
      <c r="U1753" s="1">
        <v>0.251</v>
      </c>
      <c r="V1753" s="1">
        <v>119.027</v>
      </c>
      <c r="W1753">
        <v>4</v>
      </c>
    </row>
    <row r="1754" spans="1:23" x14ac:dyDescent="0.25">
      <c r="A1754" s="1" t="s">
        <v>17474</v>
      </c>
      <c r="B1754" s="1" t="s">
        <v>17475</v>
      </c>
      <c r="C1754" s="1" t="s">
        <v>5402</v>
      </c>
      <c r="D1754" s="1" t="s">
        <v>5402</v>
      </c>
      <c r="E1754" s="1" t="s">
        <v>5403</v>
      </c>
      <c r="F1754" s="1" t="s">
        <v>17476</v>
      </c>
      <c r="G1754">
        <v>170858</v>
      </c>
      <c r="H1754">
        <v>57</v>
      </c>
      <c r="I1754" s="1" t="s">
        <v>11063</v>
      </c>
      <c r="J1754" s="11">
        <v>44729.706458333334</v>
      </c>
      <c r="K1754" s="1" t="s">
        <v>983</v>
      </c>
      <c r="L1754" s="1">
        <v>0.74</v>
      </c>
      <c r="M1754" s="1">
        <v>0.51700000000000002</v>
      </c>
      <c r="N1754">
        <v>1</v>
      </c>
      <c r="O1754" s="1">
        <v>-6.2329999999999997</v>
      </c>
      <c r="P1754">
        <v>0</v>
      </c>
      <c r="Q1754" s="1">
        <v>0.50600000000000001</v>
      </c>
      <c r="R1754" s="1">
        <v>0.183</v>
      </c>
      <c r="S1754" s="1">
        <v>0</v>
      </c>
      <c r="T1754" s="1">
        <v>0.55800000000000005</v>
      </c>
      <c r="U1754" s="1">
        <v>0.69799999999999995</v>
      </c>
      <c r="V1754" s="1">
        <v>139.917</v>
      </c>
      <c r="W1754">
        <v>4</v>
      </c>
    </row>
    <row r="1755" spans="1:23" x14ac:dyDescent="0.25">
      <c r="A1755" s="1" t="s">
        <v>17477</v>
      </c>
      <c r="B1755" s="1" t="s">
        <v>16552</v>
      </c>
      <c r="C1755" s="1" t="s">
        <v>5404</v>
      </c>
      <c r="D1755" s="1" t="s">
        <v>16553</v>
      </c>
      <c r="E1755" s="1" t="s">
        <v>4604</v>
      </c>
      <c r="F1755" s="1" t="s">
        <v>11498</v>
      </c>
      <c r="G1755">
        <v>188552</v>
      </c>
      <c r="H1755">
        <v>23</v>
      </c>
      <c r="I1755" s="1" t="s">
        <v>11063</v>
      </c>
      <c r="J1755" s="11">
        <v>44729.706458333334</v>
      </c>
      <c r="K1755" s="1" t="s">
        <v>50</v>
      </c>
      <c r="L1755" s="1">
        <v>0.47899999999999998</v>
      </c>
      <c r="M1755" s="1">
        <v>0.71699999999999997</v>
      </c>
      <c r="N1755">
        <v>7</v>
      </c>
      <c r="O1755" s="1">
        <v>-7.2519999999999998</v>
      </c>
      <c r="P1755">
        <v>0</v>
      </c>
      <c r="Q1755" s="1">
        <v>0.13</v>
      </c>
      <c r="R1755" s="1">
        <v>0.23699999999999999</v>
      </c>
      <c r="S1755" s="1">
        <v>0.61399999999999999</v>
      </c>
      <c r="T1755" s="1">
        <v>0.107</v>
      </c>
      <c r="U1755" s="1">
        <v>0.25600000000000001</v>
      </c>
      <c r="V1755" s="1">
        <v>80.432000000000002</v>
      </c>
      <c r="W1755">
        <v>4</v>
      </c>
    </row>
    <row r="1756" spans="1:23" x14ac:dyDescent="0.25">
      <c r="A1756" s="1" t="s">
        <v>17478</v>
      </c>
      <c r="B1756" s="1" t="s">
        <v>17479</v>
      </c>
      <c r="C1756" s="1" t="s">
        <v>5405</v>
      </c>
      <c r="D1756" s="1" t="s">
        <v>17480</v>
      </c>
      <c r="E1756" s="1" t="s">
        <v>5406</v>
      </c>
      <c r="F1756" s="1" t="s">
        <v>17481</v>
      </c>
      <c r="G1756">
        <v>222640</v>
      </c>
      <c r="H1756">
        <v>84</v>
      </c>
      <c r="I1756" s="1" t="s">
        <v>11063</v>
      </c>
      <c r="J1756" s="11">
        <v>44729.706458333334</v>
      </c>
      <c r="K1756" s="1" t="s">
        <v>5407</v>
      </c>
      <c r="L1756" s="1">
        <v>0.81799999999999995</v>
      </c>
      <c r="M1756" s="1">
        <v>0.70499999999999996</v>
      </c>
      <c r="N1756">
        <v>6</v>
      </c>
      <c r="O1756" s="1">
        <v>-6.6790000000000003</v>
      </c>
      <c r="P1756">
        <v>1</v>
      </c>
      <c r="Q1756" s="1">
        <v>0.17699999999999999</v>
      </c>
      <c r="R1756" s="1">
        <v>0.83599999999999997</v>
      </c>
      <c r="S1756" s="1">
        <v>0.23300000000000001</v>
      </c>
      <c r="T1756" s="1">
        <v>0.61299999999999999</v>
      </c>
      <c r="U1756" s="1">
        <v>0.77200000000000002</v>
      </c>
      <c r="V1756" s="1">
        <v>138.559</v>
      </c>
      <c r="W1756">
        <v>4</v>
      </c>
    </row>
    <row r="1757" spans="1:23" x14ac:dyDescent="0.25">
      <c r="A1757" s="1" t="s">
        <v>17482</v>
      </c>
      <c r="B1757" s="1" t="s">
        <v>17479</v>
      </c>
      <c r="C1757" s="1" t="s">
        <v>5408</v>
      </c>
      <c r="D1757" s="1" t="s">
        <v>5406</v>
      </c>
      <c r="E1757" s="1" t="s">
        <v>5406</v>
      </c>
      <c r="F1757" s="1" t="s">
        <v>17483</v>
      </c>
      <c r="G1757">
        <v>340920</v>
      </c>
      <c r="H1757">
        <v>77</v>
      </c>
      <c r="I1757" s="1" t="s">
        <v>11063</v>
      </c>
      <c r="J1757" s="11">
        <v>44729.706458333334</v>
      </c>
      <c r="K1757" s="1" t="s">
        <v>5407</v>
      </c>
      <c r="L1757" s="1">
        <v>0.66300000000000003</v>
      </c>
      <c r="M1757" s="1">
        <v>0.69399999999999995</v>
      </c>
      <c r="N1757">
        <v>10</v>
      </c>
      <c r="O1757" s="1">
        <v>-8.6270000000000007</v>
      </c>
      <c r="P1757">
        <v>0</v>
      </c>
      <c r="Q1757" s="1">
        <v>0.17100000000000001</v>
      </c>
      <c r="R1757" s="1">
        <v>0.253</v>
      </c>
      <c r="S1757" s="1">
        <v>0</v>
      </c>
      <c r="T1757" s="1">
        <v>0.69799999999999995</v>
      </c>
      <c r="U1757" s="1">
        <v>0.52500000000000002</v>
      </c>
      <c r="V1757" s="1">
        <v>167.953</v>
      </c>
      <c r="W1757">
        <v>4</v>
      </c>
    </row>
    <row r="1758" spans="1:23" x14ac:dyDescent="0.25">
      <c r="A1758" s="1" t="s">
        <v>17484</v>
      </c>
      <c r="B1758" s="1" t="s">
        <v>14889</v>
      </c>
      <c r="C1758" s="1" t="s">
        <v>3167</v>
      </c>
      <c r="D1758" s="1" t="s">
        <v>3167</v>
      </c>
      <c r="E1758" s="1" t="s">
        <v>3168</v>
      </c>
      <c r="F1758" s="1" t="s">
        <v>16981</v>
      </c>
      <c r="G1758">
        <v>222400</v>
      </c>
      <c r="H1758">
        <v>61</v>
      </c>
      <c r="I1758" s="1" t="s">
        <v>11063</v>
      </c>
      <c r="J1758" s="11">
        <v>44729.706458333334</v>
      </c>
      <c r="K1758" s="1" t="s">
        <v>3169</v>
      </c>
      <c r="L1758" s="1">
        <v>0.49399999999999999</v>
      </c>
      <c r="M1758" s="1">
        <v>0.65100000000000002</v>
      </c>
      <c r="N1758">
        <v>11</v>
      </c>
      <c r="O1758" s="1">
        <v>-4.1269999999999998</v>
      </c>
      <c r="P1758">
        <v>0</v>
      </c>
      <c r="Q1758" s="1">
        <v>0.38400000000000001</v>
      </c>
      <c r="R1758" s="1">
        <v>0.81899999999999995</v>
      </c>
      <c r="S1758" s="1">
        <v>0</v>
      </c>
      <c r="T1758" s="1">
        <v>0.104</v>
      </c>
      <c r="U1758" s="1">
        <v>0.16200000000000001</v>
      </c>
      <c r="V1758" s="1">
        <v>149.97900000000001</v>
      </c>
      <c r="W1758">
        <v>4</v>
      </c>
    </row>
    <row r="1759" spans="1:23" x14ac:dyDescent="0.25">
      <c r="A1759" s="1" t="s">
        <v>17485</v>
      </c>
      <c r="B1759" s="1" t="s">
        <v>17486</v>
      </c>
      <c r="C1759" s="1" t="s">
        <v>5409</v>
      </c>
      <c r="D1759" s="1" t="s">
        <v>17487</v>
      </c>
      <c r="E1759" s="1" t="s">
        <v>5410</v>
      </c>
      <c r="F1759" s="1" t="s">
        <v>16938</v>
      </c>
      <c r="G1759">
        <v>157152</v>
      </c>
      <c r="H1759">
        <v>70</v>
      </c>
      <c r="I1759" s="1" t="s">
        <v>11063</v>
      </c>
      <c r="J1759" s="11">
        <v>44729.706458333334</v>
      </c>
      <c r="K1759" s="1" t="s">
        <v>5411</v>
      </c>
      <c r="L1759" s="1">
        <v>0.71099999999999997</v>
      </c>
      <c r="M1759" s="1">
        <v>0.90600000000000003</v>
      </c>
      <c r="N1759">
        <v>8</v>
      </c>
      <c r="O1759" s="1">
        <v>-2.6709999999999998</v>
      </c>
      <c r="P1759">
        <v>1</v>
      </c>
      <c r="Q1759" s="1">
        <v>0.28399999999999997</v>
      </c>
      <c r="R1759" s="1">
        <v>0.95199999999999996</v>
      </c>
      <c r="S1759" s="1">
        <v>0.16400000000000001</v>
      </c>
      <c r="T1759" s="1">
        <v>0.153</v>
      </c>
      <c r="U1759" s="1">
        <v>0.82399999999999995</v>
      </c>
      <c r="V1759" s="1">
        <v>125.916</v>
      </c>
      <c r="W1759">
        <v>4</v>
      </c>
    </row>
    <row r="1760" spans="1:23" x14ac:dyDescent="0.25">
      <c r="A1760" s="1" t="s">
        <v>17488</v>
      </c>
      <c r="B1760" s="1" t="s">
        <v>17489</v>
      </c>
      <c r="C1760" s="1" t="s">
        <v>5412</v>
      </c>
      <c r="D1760" s="1" t="s">
        <v>17490</v>
      </c>
      <c r="E1760" s="1" t="s">
        <v>5413</v>
      </c>
      <c r="F1760" s="1" t="s">
        <v>17491</v>
      </c>
      <c r="G1760">
        <v>191406</v>
      </c>
      <c r="H1760">
        <v>76</v>
      </c>
      <c r="I1760" s="1" t="s">
        <v>11063</v>
      </c>
      <c r="J1760" s="11">
        <v>44729.706458333334</v>
      </c>
      <c r="K1760" s="1" t="s">
        <v>5414</v>
      </c>
      <c r="L1760" s="1">
        <v>0.72699999999999998</v>
      </c>
      <c r="M1760" s="1">
        <v>0.626</v>
      </c>
      <c r="N1760">
        <v>7</v>
      </c>
      <c r="O1760" s="1">
        <v>-8.4149999999999991</v>
      </c>
      <c r="P1760">
        <v>1</v>
      </c>
      <c r="Q1760" s="1">
        <v>0.72599999999999998</v>
      </c>
      <c r="R1760" s="1">
        <v>0.46899999999999997</v>
      </c>
      <c r="S1760" s="1">
        <v>0.25800000000000001</v>
      </c>
      <c r="T1760" s="1">
        <v>0.126</v>
      </c>
      <c r="U1760" s="1">
        <v>0.32200000000000001</v>
      </c>
      <c r="V1760" s="1">
        <v>86.97</v>
      </c>
      <c r="W1760">
        <v>4</v>
      </c>
    </row>
    <row r="1761" spans="1:23" x14ac:dyDescent="0.25">
      <c r="A1761" s="1" t="s">
        <v>17492</v>
      </c>
      <c r="B1761" s="1" t="s">
        <v>17493</v>
      </c>
      <c r="C1761" s="1" t="s">
        <v>5415</v>
      </c>
      <c r="D1761" s="1" t="s">
        <v>5415</v>
      </c>
      <c r="E1761" s="1" t="s">
        <v>5416</v>
      </c>
      <c r="F1761" s="1" t="s">
        <v>17354</v>
      </c>
      <c r="G1761">
        <v>178373</v>
      </c>
      <c r="H1761">
        <v>74</v>
      </c>
      <c r="I1761" s="1" t="s">
        <v>11063</v>
      </c>
      <c r="J1761" s="11">
        <v>44729.706458333334</v>
      </c>
      <c r="K1761" s="1" t="s">
        <v>5417</v>
      </c>
      <c r="L1761" s="1">
        <v>0.77900000000000003</v>
      </c>
      <c r="M1761" s="1">
        <v>0.70499999999999996</v>
      </c>
      <c r="N1761">
        <v>0</v>
      </c>
      <c r="O1761" s="1">
        <v>-3.895</v>
      </c>
      <c r="P1761">
        <v>1</v>
      </c>
      <c r="Q1761" s="1">
        <v>0.34399999999999997</v>
      </c>
      <c r="R1761" s="1">
        <v>0.36899999999999999</v>
      </c>
      <c r="S1761" s="1">
        <v>0.79100000000000004</v>
      </c>
      <c r="T1761" s="1">
        <v>0.124</v>
      </c>
      <c r="U1761" s="1">
        <v>0.94599999999999995</v>
      </c>
      <c r="V1761" s="1">
        <v>101.02200000000001</v>
      </c>
      <c r="W1761">
        <v>4</v>
      </c>
    </row>
    <row r="1762" spans="1:23" x14ac:dyDescent="0.25">
      <c r="A1762" s="1" t="s">
        <v>17494</v>
      </c>
      <c r="B1762" s="1" t="s">
        <v>17495</v>
      </c>
      <c r="C1762" s="1" t="s">
        <v>5418</v>
      </c>
      <c r="D1762" s="1" t="s">
        <v>5418</v>
      </c>
      <c r="E1762" s="1" t="s">
        <v>5419</v>
      </c>
      <c r="F1762" s="1" t="s">
        <v>14667</v>
      </c>
      <c r="G1762">
        <v>247741</v>
      </c>
      <c r="H1762">
        <v>30</v>
      </c>
      <c r="I1762" s="1" t="s">
        <v>11063</v>
      </c>
      <c r="J1762" s="11">
        <v>44729.706458333334</v>
      </c>
      <c r="K1762" s="1" t="s">
        <v>3898</v>
      </c>
      <c r="L1762" s="1">
        <v>0.54100000000000004</v>
      </c>
      <c r="M1762" s="1">
        <v>0.83599999999999997</v>
      </c>
      <c r="N1762">
        <v>2</v>
      </c>
      <c r="O1762" s="1">
        <v>-4.0220000000000002</v>
      </c>
      <c r="P1762">
        <v>1</v>
      </c>
      <c r="Q1762" s="1">
        <v>0.439</v>
      </c>
      <c r="R1762" s="1">
        <v>0.90400000000000003</v>
      </c>
      <c r="S1762" s="1">
        <v>0.14899999999999999</v>
      </c>
      <c r="T1762" s="1">
        <v>0.13900000000000001</v>
      </c>
      <c r="U1762" s="1">
        <v>0.27800000000000002</v>
      </c>
      <c r="V1762" s="1">
        <v>93.001000000000005</v>
      </c>
      <c r="W1762">
        <v>4</v>
      </c>
    </row>
    <row r="1763" spans="1:23" x14ac:dyDescent="0.25">
      <c r="A1763" s="1" t="s">
        <v>17496</v>
      </c>
      <c r="B1763" s="1" t="s">
        <v>17497</v>
      </c>
      <c r="C1763" s="1" t="s">
        <v>5420</v>
      </c>
      <c r="D1763" s="1" t="s">
        <v>5420</v>
      </c>
      <c r="E1763" s="1" t="s">
        <v>5421</v>
      </c>
      <c r="F1763" s="1" t="s">
        <v>16525</v>
      </c>
      <c r="G1763">
        <v>201585</v>
      </c>
      <c r="H1763">
        <v>32</v>
      </c>
      <c r="I1763" s="1" t="s">
        <v>11063</v>
      </c>
      <c r="J1763" s="11">
        <v>44729.706458333334</v>
      </c>
      <c r="K1763" s="1" t="s">
        <v>50</v>
      </c>
      <c r="L1763" s="1">
        <v>0.50600000000000001</v>
      </c>
      <c r="M1763" s="1">
        <v>0.71099999999999997</v>
      </c>
      <c r="N1763">
        <v>6</v>
      </c>
      <c r="O1763" s="1">
        <v>-5.0010000000000003</v>
      </c>
      <c r="P1763">
        <v>0</v>
      </c>
      <c r="Q1763" s="1">
        <v>0.35</v>
      </c>
      <c r="R1763" s="1">
        <v>0.30399999999999999</v>
      </c>
      <c r="S1763" s="1">
        <v>0</v>
      </c>
      <c r="T1763" s="1">
        <v>0.65600000000000003</v>
      </c>
      <c r="U1763" s="1">
        <v>0.16400000000000001</v>
      </c>
      <c r="V1763" s="1">
        <v>140.05500000000001</v>
      </c>
      <c r="W1763">
        <v>4</v>
      </c>
    </row>
    <row r="1764" spans="1:23" x14ac:dyDescent="0.25">
      <c r="A1764" s="1" t="s">
        <v>17498</v>
      </c>
      <c r="B1764" s="1" t="s">
        <v>17499</v>
      </c>
      <c r="C1764" s="1" t="s">
        <v>5422</v>
      </c>
      <c r="D1764" s="1" t="s">
        <v>5422</v>
      </c>
      <c r="E1764" s="1" t="s">
        <v>5423</v>
      </c>
      <c r="F1764" s="1" t="s">
        <v>17500</v>
      </c>
      <c r="G1764">
        <v>265714</v>
      </c>
      <c r="H1764">
        <v>35</v>
      </c>
      <c r="I1764" s="1" t="s">
        <v>11063</v>
      </c>
      <c r="J1764" s="11">
        <v>44729.706458333334</v>
      </c>
      <c r="K1764" s="1" t="s">
        <v>50</v>
      </c>
      <c r="L1764" s="1">
        <v>0.42599999999999999</v>
      </c>
      <c r="M1764" s="1">
        <v>0.50700000000000001</v>
      </c>
      <c r="N1764">
        <v>0</v>
      </c>
      <c r="O1764" s="1">
        <v>-10.539</v>
      </c>
      <c r="P1764">
        <v>0</v>
      </c>
      <c r="Q1764" s="1">
        <v>0.36599999999999999</v>
      </c>
      <c r="R1764" s="1">
        <v>0.53100000000000003</v>
      </c>
      <c r="S1764" s="1">
        <v>0.45800000000000002</v>
      </c>
      <c r="T1764" s="1">
        <v>0.126</v>
      </c>
      <c r="U1764" s="1">
        <v>0.78100000000000003</v>
      </c>
      <c r="V1764" s="1">
        <v>139.97999999999999</v>
      </c>
      <c r="W1764">
        <v>4</v>
      </c>
    </row>
    <row r="1765" spans="1:23" x14ac:dyDescent="0.25">
      <c r="A1765" s="1" t="s">
        <v>17501</v>
      </c>
      <c r="B1765" s="1" t="s">
        <v>17444</v>
      </c>
      <c r="C1765" s="1" t="s">
        <v>5424</v>
      </c>
      <c r="D1765" s="1" t="s">
        <v>5424</v>
      </c>
      <c r="E1765" s="1" t="s">
        <v>5376</v>
      </c>
      <c r="F1765" s="1" t="s">
        <v>11327</v>
      </c>
      <c r="G1765">
        <v>199958</v>
      </c>
      <c r="H1765">
        <v>42</v>
      </c>
      <c r="I1765" s="1" t="s">
        <v>11063</v>
      </c>
      <c r="J1765" s="11">
        <v>44729.706458333334</v>
      </c>
      <c r="K1765" s="1" t="s">
        <v>2639</v>
      </c>
      <c r="L1765" s="1">
        <v>0.66700000000000004</v>
      </c>
      <c r="M1765" s="1">
        <v>0.78300000000000003</v>
      </c>
      <c r="N1765">
        <v>11</v>
      </c>
      <c r="O1765" s="1">
        <v>-2.3540000000000001</v>
      </c>
      <c r="P1765">
        <v>0</v>
      </c>
      <c r="Q1765" s="1">
        <v>0.313</v>
      </c>
      <c r="R1765" s="1">
        <v>0.14599999999999999</v>
      </c>
      <c r="S1765" s="1">
        <v>0.113</v>
      </c>
      <c r="T1765" s="1">
        <v>0.14399999999999999</v>
      </c>
      <c r="U1765" s="1">
        <v>0.504</v>
      </c>
      <c r="V1765" s="1">
        <v>107.955</v>
      </c>
      <c r="W1765">
        <v>4</v>
      </c>
    </row>
    <row r="1766" spans="1:23" x14ac:dyDescent="0.25">
      <c r="A1766" s="1" t="s">
        <v>17502</v>
      </c>
      <c r="B1766" s="1" t="s">
        <v>17503</v>
      </c>
      <c r="C1766" s="1" t="s">
        <v>5425</v>
      </c>
      <c r="D1766" s="1" t="s">
        <v>5425</v>
      </c>
      <c r="E1766" s="1" t="s">
        <v>5426</v>
      </c>
      <c r="F1766" s="1" t="s">
        <v>13934</v>
      </c>
      <c r="G1766">
        <v>264302</v>
      </c>
      <c r="H1766">
        <v>0</v>
      </c>
      <c r="I1766" s="1" t="s">
        <v>11063</v>
      </c>
      <c r="J1766" s="11">
        <v>44729.706458333334</v>
      </c>
      <c r="K1766" s="1" t="s">
        <v>50</v>
      </c>
      <c r="L1766" s="1">
        <v>0.52500000000000002</v>
      </c>
      <c r="M1766" s="1">
        <v>0.67200000000000004</v>
      </c>
      <c r="N1766">
        <v>10</v>
      </c>
      <c r="O1766" s="1">
        <v>-5.1909999999999998</v>
      </c>
      <c r="P1766">
        <v>1</v>
      </c>
      <c r="Q1766" s="1">
        <v>0.40799999999999997</v>
      </c>
      <c r="R1766" s="1">
        <v>0.69499999999999995</v>
      </c>
      <c r="S1766" s="1">
        <v>0</v>
      </c>
      <c r="T1766" s="1">
        <v>0.151</v>
      </c>
      <c r="U1766" s="1">
        <v>0.191</v>
      </c>
      <c r="V1766" s="1">
        <v>125.026</v>
      </c>
      <c r="W1766">
        <v>4</v>
      </c>
    </row>
    <row r="1767" spans="1:23" x14ac:dyDescent="0.25">
      <c r="A1767" s="1" t="s">
        <v>11208</v>
      </c>
      <c r="B1767" s="1" t="s">
        <v>11209</v>
      </c>
      <c r="C1767" s="1" t="s">
        <v>5427</v>
      </c>
      <c r="D1767" s="1" t="s">
        <v>11210</v>
      </c>
      <c r="E1767" s="1" t="s">
        <v>5428</v>
      </c>
      <c r="F1767" s="1" t="s">
        <v>14429</v>
      </c>
      <c r="G1767">
        <v>236619</v>
      </c>
      <c r="H1767">
        <v>42</v>
      </c>
      <c r="I1767" s="1" t="s">
        <v>11063</v>
      </c>
      <c r="J1767" s="11">
        <v>44729.706458333334</v>
      </c>
      <c r="K1767" s="1" t="s">
        <v>5429</v>
      </c>
      <c r="L1767" s="1">
        <v>0.47</v>
      </c>
      <c r="M1767" s="1">
        <v>0.88500000000000001</v>
      </c>
      <c r="N1767">
        <v>7</v>
      </c>
      <c r="O1767" s="1">
        <v>-2.6019999999999999</v>
      </c>
      <c r="P1767">
        <v>0</v>
      </c>
      <c r="Q1767" s="1">
        <v>0.46300000000000002</v>
      </c>
      <c r="R1767" s="1">
        <v>0.245</v>
      </c>
      <c r="S1767" s="1">
        <v>0</v>
      </c>
      <c r="T1767" s="1">
        <v>0.105</v>
      </c>
      <c r="U1767" s="1">
        <v>0.39700000000000002</v>
      </c>
      <c r="V1767" s="1">
        <v>141.95099999999999</v>
      </c>
      <c r="W1767">
        <v>4</v>
      </c>
    </row>
    <row r="1768" spans="1:23" x14ac:dyDescent="0.25">
      <c r="A1768" s="1" t="s">
        <v>17504</v>
      </c>
      <c r="B1768" s="1" t="s">
        <v>17505</v>
      </c>
      <c r="C1768" s="1" t="s">
        <v>5430</v>
      </c>
      <c r="D1768" s="1" t="s">
        <v>17506</v>
      </c>
      <c r="E1768" s="1" t="s">
        <v>5431</v>
      </c>
      <c r="F1768" s="1" t="s">
        <v>17507</v>
      </c>
      <c r="G1768">
        <v>277500</v>
      </c>
      <c r="H1768">
        <v>34</v>
      </c>
      <c r="I1768" s="1" t="s">
        <v>11063</v>
      </c>
      <c r="J1768" s="11">
        <v>44729.706458333334</v>
      </c>
      <c r="K1768" s="1" t="s">
        <v>4983</v>
      </c>
      <c r="L1768" s="1">
        <v>0.54800000000000004</v>
      </c>
      <c r="M1768" s="1">
        <v>0.54</v>
      </c>
      <c r="N1768">
        <v>11</v>
      </c>
      <c r="O1768" s="1">
        <v>-6.34</v>
      </c>
      <c r="P1768">
        <v>0</v>
      </c>
      <c r="Q1768" s="1">
        <v>0.32400000000000001</v>
      </c>
      <c r="R1768" s="1">
        <v>0.52700000000000002</v>
      </c>
      <c r="S1768" s="1">
        <v>0</v>
      </c>
      <c r="T1768" s="1">
        <v>0.89</v>
      </c>
      <c r="U1768" s="1">
        <v>0.438</v>
      </c>
      <c r="V1768" s="1">
        <v>128.04</v>
      </c>
      <c r="W1768">
        <v>4</v>
      </c>
    </row>
    <row r="1769" spans="1:23" x14ac:dyDescent="0.25">
      <c r="A1769" s="1" t="s">
        <v>11609</v>
      </c>
      <c r="B1769" s="1" t="s">
        <v>11610</v>
      </c>
      <c r="C1769" s="1" t="s">
        <v>5432</v>
      </c>
      <c r="D1769" s="1" t="s">
        <v>11611</v>
      </c>
      <c r="E1769" s="1" t="s">
        <v>329</v>
      </c>
      <c r="F1769" s="1" t="s">
        <v>11612</v>
      </c>
      <c r="G1769">
        <v>186402</v>
      </c>
      <c r="H1769">
        <v>58</v>
      </c>
      <c r="I1769" s="1" t="s">
        <v>11063</v>
      </c>
      <c r="J1769" s="11">
        <v>44729.706458333334</v>
      </c>
      <c r="K1769" s="1" t="s">
        <v>330</v>
      </c>
      <c r="L1769" s="1">
        <v>0.76400000000000001</v>
      </c>
      <c r="M1769" s="1">
        <v>0.78400000000000003</v>
      </c>
      <c r="N1769">
        <v>10</v>
      </c>
      <c r="O1769" s="1">
        <v>-4.0030000000000001</v>
      </c>
      <c r="P1769">
        <v>0</v>
      </c>
      <c r="Q1769" s="1">
        <v>0.83299999999999996</v>
      </c>
      <c r="R1769" s="1">
        <v>0.46899999999999997</v>
      </c>
      <c r="S1769" s="1">
        <v>0</v>
      </c>
      <c r="T1769" s="1">
        <v>0.123</v>
      </c>
      <c r="U1769" s="1">
        <v>0.51</v>
      </c>
      <c r="V1769" s="1">
        <v>144.98099999999999</v>
      </c>
      <c r="W1769">
        <v>4</v>
      </c>
    </row>
    <row r="1770" spans="1:23" x14ac:dyDescent="0.25">
      <c r="A1770" s="1" t="s">
        <v>17508</v>
      </c>
      <c r="B1770" s="1" t="s">
        <v>13582</v>
      </c>
      <c r="C1770" s="1" t="s">
        <v>5433</v>
      </c>
      <c r="D1770" s="1" t="s">
        <v>17509</v>
      </c>
      <c r="E1770" s="1" t="s">
        <v>2035</v>
      </c>
      <c r="F1770" s="1" t="s">
        <v>15619</v>
      </c>
      <c r="G1770">
        <v>294181</v>
      </c>
      <c r="H1770">
        <v>31</v>
      </c>
      <c r="I1770" s="1" t="s">
        <v>11063</v>
      </c>
      <c r="J1770" s="11">
        <v>44729.706458333334</v>
      </c>
      <c r="K1770" s="1" t="s">
        <v>2036</v>
      </c>
      <c r="L1770" s="1">
        <v>0.377</v>
      </c>
      <c r="M1770" s="1">
        <v>0.309</v>
      </c>
      <c r="N1770">
        <v>8</v>
      </c>
      <c r="O1770" s="1">
        <v>-9.3960000000000008</v>
      </c>
      <c r="P1770">
        <v>1</v>
      </c>
      <c r="Q1770" s="1">
        <v>0.32200000000000001</v>
      </c>
      <c r="R1770" s="1">
        <v>0.65400000000000003</v>
      </c>
      <c r="S1770" s="1">
        <v>0.58699999999999997</v>
      </c>
      <c r="T1770" s="1">
        <v>0.59599999999999997</v>
      </c>
      <c r="U1770" s="1">
        <v>0.17699999999999999</v>
      </c>
      <c r="V1770" s="1">
        <v>131.797</v>
      </c>
      <c r="W1770">
        <v>5</v>
      </c>
    </row>
    <row r="1771" spans="1:23" x14ac:dyDescent="0.25">
      <c r="A1771" s="1" t="s">
        <v>17510</v>
      </c>
      <c r="B1771" s="1" t="s">
        <v>17511</v>
      </c>
      <c r="C1771" s="1" t="s">
        <v>5434</v>
      </c>
      <c r="D1771" s="1" t="s">
        <v>17512</v>
      </c>
      <c r="E1771" s="1" t="s">
        <v>5435</v>
      </c>
      <c r="F1771" s="1" t="s">
        <v>17513</v>
      </c>
      <c r="G1771">
        <v>206597</v>
      </c>
      <c r="H1771">
        <v>43</v>
      </c>
      <c r="I1771" s="1" t="s">
        <v>11063</v>
      </c>
      <c r="J1771" s="11">
        <v>44729.706458333334</v>
      </c>
      <c r="K1771" s="1" t="s">
        <v>5436</v>
      </c>
      <c r="L1771" s="1">
        <v>0.48699999999999999</v>
      </c>
      <c r="M1771" s="1">
        <v>0.68100000000000005</v>
      </c>
      <c r="N1771">
        <v>0</v>
      </c>
      <c r="O1771" s="1">
        <v>-4.33</v>
      </c>
      <c r="P1771">
        <v>1</v>
      </c>
      <c r="Q1771" s="1">
        <v>0.78100000000000003</v>
      </c>
      <c r="R1771" s="1">
        <v>0.50900000000000001</v>
      </c>
      <c r="S1771" s="1">
        <v>0</v>
      </c>
      <c r="T1771" s="1">
        <v>0.76300000000000001</v>
      </c>
      <c r="U1771" s="1">
        <v>0.437</v>
      </c>
      <c r="V1771" s="1">
        <v>100.012</v>
      </c>
      <c r="W1771">
        <v>4</v>
      </c>
    </row>
    <row r="1772" spans="1:23" x14ac:dyDescent="0.25">
      <c r="A1772" s="1" t="s">
        <v>17514</v>
      </c>
      <c r="B1772" s="1" t="s">
        <v>17515</v>
      </c>
      <c r="C1772" s="1" t="s">
        <v>5437</v>
      </c>
      <c r="D1772" s="1" t="s">
        <v>5437</v>
      </c>
      <c r="E1772" s="1" t="s">
        <v>5438</v>
      </c>
      <c r="F1772" s="1" t="s">
        <v>16519</v>
      </c>
      <c r="G1772">
        <v>184687</v>
      </c>
      <c r="H1772">
        <v>67</v>
      </c>
      <c r="I1772" s="1" t="s">
        <v>11063</v>
      </c>
      <c r="J1772" s="11">
        <v>44729.706458333334</v>
      </c>
      <c r="K1772" s="1" t="s">
        <v>5144</v>
      </c>
      <c r="L1772" s="1">
        <v>0.74399999999999999</v>
      </c>
      <c r="M1772" s="1">
        <v>0.86599999999999999</v>
      </c>
      <c r="N1772">
        <v>9</v>
      </c>
      <c r="O1772" s="1">
        <v>-4.8339999999999996</v>
      </c>
      <c r="P1772">
        <v>1</v>
      </c>
      <c r="Q1772" s="1">
        <v>0.106</v>
      </c>
      <c r="R1772" s="1">
        <v>0.107</v>
      </c>
      <c r="S1772" s="1">
        <v>0.53700000000000003</v>
      </c>
      <c r="T1772" s="1">
        <v>0.52800000000000002</v>
      </c>
      <c r="U1772" s="1">
        <v>0.30199999999999999</v>
      </c>
      <c r="V1772" s="1">
        <v>128.02699999999999</v>
      </c>
      <c r="W1772">
        <v>4</v>
      </c>
    </row>
    <row r="1773" spans="1:23" x14ac:dyDescent="0.25">
      <c r="A1773" s="1" t="s">
        <v>17516</v>
      </c>
      <c r="B1773" s="1" t="s">
        <v>17517</v>
      </c>
      <c r="C1773" s="1" t="s">
        <v>5439</v>
      </c>
      <c r="D1773" s="1" t="s">
        <v>17518</v>
      </c>
      <c r="E1773" s="1" t="s">
        <v>5440</v>
      </c>
      <c r="F1773" s="1" t="s">
        <v>17513</v>
      </c>
      <c r="G1773">
        <v>244210</v>
      </c>
      <c r="H1773">
        <v>29</v>
      </c>
      <c r="I1773" s="1" t="s">
        <v>11063</v>
      </c>
      <c r="J1773" s="11">
        <v>44729.706458333334</v>
      </c>
      <c r="K1773" s="1" t="s">
        <v>5441</v>
      </c>
      <c r="L1773" s="1">
        <v>0.498</v>
      </c>
      <c r="M1773" s="1">
        <v>0.32</v>
      </c>
      <c r="N1773">
        <v>5</v>
      </c>
      <c r="O1773" s="1">
        <v>-9.3680000000000003</v>
      </c>
      <c r="P1773">
        <v>0</v>
      </c>
      <c r="Q1773" s="1">
        <v>0.26200000000000001</v>
      </c>
      <c r="R1773" s="1">
        <v>0.77300000000000002</v>
      </c>
      <c r="S1773" s="1">
        <v>0.41799999999999998</v>
      </c>
      <c r="T1773" s="1">
        <v>0.10299999999999999</v>
      </c>
      <c r="U1773" s="1">
        <v>0.19600000000000001</v>
      </c>
      <c r="V1773" s="1">
        <v>85.432000000000002</v>
      </c>
      <c r="W1773">
        <v>4</v>
      </c>
    </row>
    <row r="1774" spans="1:23" x14ac:dyDescent="0.25">
      <c r="A1774" s="1" t="s">
        <v>17519</v>
      </c>
      <c r="B1774" s="1" t="s">
        <v>14248</v>
      </c>
      <c r="C1774" s="1" t="s">
        <v>5442</v>
      </c>
      <c r="D1774" s="1" t="s">
        <v>5442</v>
      </c>
      <c r="E1774" s="1" t="s">
        <v>2602</v>
      </c>
      <c r="F1774" s="1" t="s">
        <v>16519</v>
      </c>
      <c r="G1774">
        <v>205156</v>
      </c>
      <c r="H1774">
        <v>0</v>
      </c>
      <c r="I1774" s="1" t="s">
        <v>11063</v>
      </c>
      <c r="J1774" s="11">
        <v>44729.706458333334</v>
      </c>
      <c r="K1774" s="1" t="s">
        <v>2603</v>
      </c>
      <c r="L1774" s="1">
        <v>0.498</v>
      </c>
      <c r="M1774" s="1">
        <v>0.85899999999999999</v>
      </c>
      <c r="N1774">
        <v>8</v>
      </c>
      <c r="O1774" s="1">
        <v>-5.9930000000000003</v>
      </c>
      <c r="P1774">
        <v>1</v>
      </c>
      <c r="Q1774" s="1">
        <v>0.44500000000000001</v>
      </c>
      <c r="R1774" s="1">
        <v>0.25</v>
      </c>
      <c r="S1774" s="1">
        <v>0</v>
      </c>
      <c r="T1774" s="1">
        <v>0.36599999999999999</v>
      </c>
      <c r="U1774" s="1">
        <v>0.55400000000000005</v>
      </c>
      <c r="V1774" s="1">
        <v>99.965000000000003</v>
      </c>
      <c r="W1774">
        <v>4</v>
      </c>
    </row>
    <row r="1775" spans="1:23" x14ac:dyDescent="0.25">
      <c r="A1775" s="1" t="s">
        <v>17520</v>
      </c>
      <c r="B1775" s="1" t="s">
        <v>17521</v>
      </c>
      <c r="C1775" s="1" t="s">
        <v>5443</v>
      </c>
      <c r="D1775" s="1" t="s">
        <v>6873</v>
      </c>
      <c r="E1775" s="1" t="s">
        <v>5444</v>
      </c>
      <c r="F1775" s="1" t="s">
        <v>15619</v>
      </c>
      <c r="G1775">
        <v>229062</v>
      </c>
      <c r="H1775">
        <v>0</v>
      </c>
      <c r="I1775" s="1" t="s">
        <v>11063</v>
      </c>
      <c r="J1775" s="11">
        <v>44729.706458333334</v>
      </c>
      <c r="K1775" s="1" t="s">
        <v>5445</v>
      </c>
      <c r="L1775" s="1">
        <v>0.27200000000000002</v>
      </c>
      <c r="M1775" s="1">
        <v>0.79200000000000004</v>
      </c>
      <c r="N1775">
        <v>0</v>
      </c>
      <c r="O1775" s="1">
        <v>-5.6840000000000002</v>
      </c>
      <c r="P1775">
        <v>0</v>
      </c>
      <c r="Q1775" s="1">
        <v>0.67900000000000005</v>
      </c>
      <c r="R1775" s="1">
        <v>0.88</v>
      </c>
      <c r="S1775" s="1">
        <v>0.17899999999999999</v>
      </c>
      <c r="T1775" s="1">
        <v>0.312</v>
      </c>
      <c r="U1775" s="1">
        <v>0.192</v>
      </c>
      <c r="V1775" s="1">
        <v>134.696</v>
      </c>
      <c r="W1775">
        <v>3</v>
      </c>
    </row>
    <row r="1776" spans="1:23" x14ac:dyDescent="0.25">
      <c r="A1776" s="1" t="s">
        <v>17522</v>
      </c>
      <c r="B1776" s="1" t="s">
        <v>13508</v>
      </c>
      <c r="C1776" s="1" t="s">
        <v>5446</v>
      </c>
      <c r="D1776" s="1" t="s">
        <v>5446</v>
      </c>
      <c r="E1776" s="1" t="s">
        <v>1978</v>
      </c>
      <c r="F1776" s="1" t="s">
        <v>17523</v>
      </c>
      <c r="G1776">
        <v>179675</v>
      </c>
      <c r="H1776">
        <v>60</v>
      </c>
      <c r="I1776" s="1" t="s">
        <v>11063</v>
      </c>
      <c r="J1776" s="11">
        <v>44729.706458333334</v>
      </c>
      <c r="K1776" s="1" t="s">
        <v>1979</v>
      </c>
      <c r="L1776" s="1">
        <v>0.748</v>
      </c>
      <c r="M1776" s="1">
        <v>0.79</v>
      </c>
      <c r="N1776">
        <v>6</v>
      </c>
      <c r="O1776" s="1">
        <v>-4.7880000000000003</v>
      </c>
      <c r="P1776">
        <v>0</v>
      </c>
      <c r="Q1776" s="1">
        <v>0.16900000000000001</v>
      </c>
      <c r="R1776" s="1">
        <v>0.49199999999999999</v>
      </c>
      <c r="S1776" s="1">
        <v>0</v>
      </c>
      <c r="T1776" s="1">
        <v>0.90100000000000002</v>
      </c>
      <c r="U1776" s="1">
        <v>0.27900000000000003</v>
      </c>
      <c r="V1776" s="1">
        <v>77.495000000000005</v>
      </c>
      <c r="W1776">
        <v>4</v>
      </c>
    </row>
    <row r="1777" spans="1:23" x14ac:dyDescent="0.25">
      <c r="A1777" s="1" t="s">
        <v>17524</v>
      </c>
      <c r="B1777" s="1" t="s">
        <v>17298</v>
      </c>
      <c r="C1777" s="1" t="s">
        <v>5447</v>
      </c>
      <c r="D1777" s="1" t="s">
        <v>5447</v>
      </c>
      <c r="E1777" s="1" t="s">
        <v>5252</v>
      </c>
      <c r="F1777" s="1" t="s">
        <v>17525</v>
      </c>
      <c r="G1777">
        <v>216931</v>
      </c>
      <c r="H1777">
        <v>13</v>
      </c>
      <c r="I1777" s="1" t="s">
        <v>11063</v>
      </c>
      <c r="J1777" s="11">
        <v>44729.706458333334</v>
      </c>
      <c r="K1777" s="1" t="s">
        <v>5253</v>
      </c>
      <c r="L1777" s="1">
        <v>0.44900000000000001</v>
      </c>
      <c r="M1777" s="1">
        <v>0.89600000000000002</v>
      </c>
      <c r="N1777">
        <v>11</v>
      </c>
      <c r="O1777" s="1">
        <v>-2.8479999999999999</v>
      </c>
      <c r="P1777">
        <v>0</v>
      </c>
      <c r="Q1777" s="1">
        <v>0.109</v>
      </c>
      <c r="R1777" s="1">
        <v>0.20599999999999999</v>
      </c>
      <c r="S1777" s="1">
        <v>0.28299999999999997</v>
      </c>
      <c r="T1777" s="1">
        <v>0.254</v>
      </c>
      <c r="U1777" s="1">
        <v>0.40300000000000002</v>
      </c>
      <c r="V1777" s="1">
        <v>144.75800000000001</v>
      </c>
      <c r="W1777">
        <v>4</v>
      </c>
    </row>
    <row r="1778" spans="1:23" x14ac:dyDescent="0.25">
      <c r="A1778" s="1" t="s">
        <v>17526</v>
      </c>
      <c r="B1778" s="1" t="s">
        <v>17527</v>
      </c>
      <c r="C1778" s="1" t="s">
        <v>5448</v>
      </c>
      <c r="D1778" s="1" t="s">
        <v>5448</v>
      </c>
      <c r="E1778" s="1" t="s">
        <v>5449</v>
      </c>
      <c r="F1778" s="1" t="s">
        <v>17528</v>
      </c>
      <c r="G1778">
        <v>198620</v>
      </c>
      <c r="H1778">
        <v>0</v>
      </c>
      <c r="I1778" s="1" t="s">
        <v>11063</v>
      </c>
      <c r="J1778" s="11">
        <v>44729.706458333334</v>
      </c>
      <c r="K1778" s="1" t="s">
        <v>1053</v>
      </c>
      <c r="L1778" s="1">
        <v>0.48799999999999999</v>
      </c>
      <c r="M1778" s="1">
        <v>0.53400000000000003</v>
      </c>
      <c r="N1778">
        <v>11</v>
      </c>
      <c r="O1778" s="1">
        <v>-8.6690000000000005</v>
      </c>
      <c r="P1778">
        <v>1</v>
      </c>
      <c r="Q1778" s="1">
        <v>0.54400000000000004</v>
      </c>
      <c r="R1778" s="1">
        <v>0.95699999999999996</v>
      </c>
      <c r="S1778" s="1">
        <v>0</v>
      </c>
      <c r="T1778" s="1">
        <v>0.109</v>
      </c>
      <c r="U1778" s="1">
        <v>0.30599999999999999</v>
      </c>
      <c r="V1778" s="1">
        <v>145.20599999999999</v>
      </c>
      <c r="W1778">
        <v>4</v>
      </c>
    </row>
    <row r="1779" spans="1:23" x14ac:dyDescent="0.25">
      <c r="A1779" s="1" t="s">
        <v>17529</v>
      </c>
      <c r="B1779" s="1" t="s">
        <v>17530</v>
      </c>
      <c r="C1779" s="1" t="s">
        <v>2357</v>
      </c>
      <c r="D1779" s="1" t="s">
        <v>2357</v>
      </c>
      <c r="E1779" s="1" t="s">
        <v>5450</v>
      </c>
      <c r="F1779" s="1" t="s">
        <v>14068</v>
      </c>
      <c r="G1779">
        <v>193748</v>
      </c>
      <c r="H1779">
        <v>32</v>
      </c>
      <c r="I1779" s="1" t="s">
        <v>11063</v>
      </c>
      <c r="J1779" s="11">
        <v>44729.706458333334</v>
      </c>
      <c r="K1779" s="1" t="s">
        <v>50</v>
      </c>
      <c r="L1779" s="1">
        <v>0.45800000000000002</v>
      </c>
      <c r="M1779" s="1">
        <v>0.60499999999999998</v>
      </c>
      <c r="N1779">
        <v>6</v>
      </c>
      <c r="O1779" s="1">
        <v>-7.5640000000000001</v>
      </c>
      <c r="P1779">
        <v>0</v>
      </c>
      <c r="Q1779" s="1">
        <v>0.42199999999999999</v>
      </c>
      <c r="R1779" s="1">
        <v>0.4</v>
      </c>
      <c r="S1779" s="1">
        <v>0.501</v>
      </c>
      <c r="T1779" s="1">
        <v>0.96</v>
      </c>
      <c r="U1779" s="1">
        <v>0.58499999999999996</v>
      </c>
      <c r="V1779" s="1">
        <v>139.857</v>
      </c>
      <c r="W1779">
        <v>4</v>
      </c>
    </row>
    <row r="1780" spans="1:23" x14ac:dyDescent="0.25">
      <c r="A1780" s="1" t="s">
        <v>17531</v>
      </c>
      <c r="B1780" s="1" t="s">
        <v>17532</v>
      </c>
      <c r="C1780" s="1" t="s">
        <v>5451</v>
      </c>
      <c r="D1780" s="1" t="s">
        <v>5451</v>
      </c>
      <c r="E1780" s="1" t="s">
        <v>5452</v>
      </c>
      <c r="F1780" s="1" t="s">
        <v>11391</v>
      </c>
      <c r="G1780">
        <v>198400</v>
      </c>
      <c r="H1780">
        <v>0</v>
      </c>
      <c r="I1780" s="1" t="s">
        <v>11063</v>
      </c>
      <c r="J1780" s="11">
        <v>44729.706458333334</v>
      </c>
      <c r="K1780" s="1" t="s">
        <v>2939</v>
      </c>
      <c r="L1780" s="1">
        <v>0.55400000000000005</v>
      </c>
      <c r="M1780" s="1">
        <v>0.91300000000000003</v>
      </c>
      <c r="N1780">
        <v>5</v>
      </c>
      <c r="O1780" s="1">
        <v>-4.4009999999999998</v>
      </c>
      <c r="P1780">
        <v>0</v>
      </c>
      <c r="Q1780" s="1">
        <v>0.46100000000000002</v>
      </c>
      <c r="R1780" s="1">
        <v>0.77800000000000002</v>
      </c>
      <c r="S1780" s="1">
        <v>0.28199999999999997</v>
      </c>
      <c r="T1780" s="1">
        <v>0.11</v>
      </c>
      <c r="U1780" s="1">
        <v>0.378</v>
      </c>
      <c r="V1780" s="1">
        <v>74.986000000000004</v>
      </c>
      <c r="W1780">
        <v>4</v>
      </c>
    </row>
    <row r="1781" spans="1:23" x14ac:dyDescent="0.25">
      <c r="A1781" s="1" t="s">
        <v>17533</v>
      </c>
      <c r="B1781" s="1" t="s">
        <v>17534</v>
      </c>
      <c r="C1781" s="1" t="s">
        <v>5453</v>
      </c>
      <c r="D1781" s="1" t="s">
        <v>5453</v>
      </c>
      <c r="E1781" s="1" t="s">
        <v>5454</v>
      </c>
      <c r="F1781" s="1" t="s">
        <v>14667</v>
      </c>
      <c r="G1781">
        <v>184062</v>
      </c>
      <c r="H1781">
        <v>43</v>
      </c>
      <c r="I1781" s="1" t="s">
        <v>11063</v>
      </c>
      <c r="J1781" s="11">
        <v>44729.706458333334</v>
      </c>
      <c r="K1781" s="1" t="s">
        <v>5455</v>
      </c>
      <c r="L1781" s="1">
        <v>0.44900000000000001</v>
      </c>
      <c r="M1781" s="1">
        <v>0.70399999999999996</v>
      </c>
      <c r="N1781">
        <v>5</v>
      </c>
      <c r="O1781" s="1">
        <v>-2.83</v>
      </c>
      <c r="P1781">
        <v>0</v>
      </c>
      <c r="Q1781" s="1">
        <v>0.33500000000000002</v>
      </c>
      <c r="R1781" s="1">
        <v>0.20799999999999999</v>
      </c>
      <c r="S1781" s="1">
        <v>0</v>
      </c>
      <c r="T1781" s="1">
        <v>0.32200000000000001</v>
      </c>
      <c r="U1781" s="1">
        <v>0.23400000000000001</v>
      </c>
      <c r="V1781" s="1">
        <v>74.984999999999999</v>
      </c>
      <c r="W1781">
        <v>4</v>
      </c>
    </row>
    <row r="1782" spans="1:23" x14ac:dyDescent="0.25">
      <c r="A1782" s="1" t="s">
        <v>17535</v>
      </c>
      <c r="B1782" s="1" t="s">
        <v>17536</v>
      </c>
      <c r="C1782" s="1" t="s">
        <v>5456</v>
      </c>
      <c r="D1782" s="1" t="s">
        <v>5456</v>
      </c>
      <c r="E1782" s="1" t="s">
        <v>5457</v>
      </c>
      <c r="F1782" s="1" t="s">
        <v>17537</v>
      </c>
      <c r="G1782">
        <v>179200</v>
      </c>
      <c r="H1782">
        <v>31</v>
      </c>
      <c r="I1782" s="1" t="s">
        <v>11063</v>
      </c>
      <c r="J1782" s="11">
        <v>44729.706458333334</v>
      </c>
      <c r="K1782" s="1" t="s">
        <v>50</v>
      </c>
      <c r="L1782" s="1">
        <v>0.45</v>
      </c>
      <c r="M1782" s="1">
        <v>0.55700000000000005</v>
      </c>
      <c r="N1782">
        <v>1</v>
      </c>
      <c r="O1782" s="1">
        <v>-11.195</v>
      </c>
      <c r="P1782">
        <v>0</v>
      </c>
      <c r="Q1782" s="1">
        <v>0.379</v>
      </c>
      <c r="R1782" s="1">
        <v>0.66400000000000003</v>
      </c>
      <c r="S1782" s="1">
        <v>0.129</v>
      </c>
      <c r="T1782" s="1">
        <v>0.55500000000000005</v>
      </c>
      <c r="U1782" s="1">
        <v>0.34599999999999997</v>
      </c>
      <c r="V1782" s="1">
        <v>149.87100000000001</v>
      </c>
      <c r="W1782">
        <v>4</v>
      </c>
    </row>
    <row r="1783" spans="1:23" x14ac:dyDescent="0.25">
      <c r="A1783" s="1" t="s">
        <v>17538</v>
      </c>
      <c r="B1783" s="1" t="s">
        <v>17539</v>
      </c>
      <c r="C1783" s="1" t="s">
        <v>5458</v>
      </c>
      <c r="D1783" s="1" t="s">
        <v>5458</v>
      </c>
      <c r="E1783" s="1" t="s">
        <v>5459</v>
      </c>
      <c r="F1783" s="1" t="s">
        <v>11423</v>
      </c>
      <c r="G1783">
        <v>166000</v>
      </c>
      <c r="H1783">
        <v>34</v>
      </c>
      <c r="I1783" s="1" t="s">
        <v>11063</v>
      </c>
      <c r="J1783" s="11">
        <v>44729.706458333334</v>
      </c>
      <c r="K1783" s="1" t="s">
        <v>50</v>
      </c>
      <c r="L1783" s="1">
        <v>0.745</v>
      </c>
      <c r="M1783" s="1">
        <v>0.64800000000000002</v>
      </c>
      <c r="N1783">
        <v>1</v>
      </c>
      <c r="O1783" s="1" t="s">
        <v>5460</v>
      </c>
      <c r="P1783">
        <v>1</v>
      </c>
      <c r="Q1783" s="1">
        <v>0.59899999999999998</v>
      </c>
      <c r="R1783" s="1">
        <v>0.19400000000000001</v>
      </c>
      <c r="S1783" s="1">
        <v>0</v>
      </c>
      <c r="T1783" s="1">
        <v>0.113</v>
      </c>
      <c r="U1783" s="1">
        <v>0.72499999999999998</v>
      </c>
      <c r="V1783" s="1">
        <v>104.953</v>
      </c>
      <c r="W1783">
        <v>4</v>
      </c>
    </row>
    <row r="1784" spans="1:23" x14ac:dyDescent="0.25">
      <c r="A1784" s="1" t="s">
        <v>17540</v>
      </c>
      <c r="B1784" s="1" t="s">
        <v>17541</v>
      </c>
      <c r="C1784" s="1" t="s">
        <v>5461</v>
      </c>
      <c r="D1784" s="1" t="s">
        <v>5461</v>
      </c>
      <c r="E1784" s="1" t="s">
        <v>5462</v>
      </c>
      <c r="F1784" s="1" t="s">
        <v>13524</v>
      </c>
      <c r="G1784">
        <v>175058</v>
      </c>
      <c r="H1784">
        <v>58</v>
      </c>
      <c r="I1784" s="1" t="s">
        <v>11063</v>
      </c>
      <c r="J1784" s="11">
        <v>44729.706458333334</v>
      </c>
      <c r="K1784" s="1" t="s">
        <v>5463</v>
      </c>
      <c r="L1784" s="1">
        <v>0.68400000000000005</v>
      </c>
      <c r="M1784" s="1">
        <v>0.77400000000000002</v>
      </c>
      <c r="N1784">
        <v>7</v>
      </c>
      <c r="O1784" s="1">
        <v>-5.9509999999999996</v>
      </c>
      <c r="P1784">
        <v>1</v>
      </c>
      <c r="Q1784" s="1">
        <v>0.188</v>
      </c>
      <c r="R1784" s="1">
        <v>0.26</v>
      </c>
      <c r="S1784" s="1">
        <v>0</v>
      </c>
      <c r="T1784" s="1">
        <v>0.108</v>
      </c>
      <c r="U1784" s="1">
        <v>0.44800000000000001</v>
      </c>
      <c r="V1784" s="1">
        <v>84.991</v>
      </c>
      <c r="W1784">
        <v>4</v>
      </c>
    </row>
    <row r="1785" spans="1:23" x14ac:dyDescent="0.25">
      <c r="A1785" s="1" t="s">
        <v>17542</v>
      </c>
      <c r="B1785" s="1" t="s">
        <v>17543</v>
      </c>
      <c r="C1785" s="1" t="s">
        <v>5464</v>
      </c>
      <c r="D1785" s="1" t="s">
        <v>17544</v>
      </c>
      <c r="E1785" s="1" t="s">
        <v>5465</v>
      </c>
      <c r="F1785" s="1" t="s">
        <v>11651</v>
      </c>
      <c r="G1785">
        <v>226064</v>
      </c>
      <c r="H1785">
        <v>29</v>
      </c>
      <c r="I1785" s="1" t="s">
        <v>11063</v>
      </c>
      <c r="J1785" s="11">
        <v>44729.706458333334</v>
      </c>
      <c r="K1785" s="1" t="s">
        <v>5463</v>
      </c>
      <c r="L1785" s="1">
        <v>0.60099999999999998</v>
      </c>
      <c r="M1785" s="1">
        <v>0.72299999999999998</v>
      </c>
      <c r="N1785">
        <v>4</v>
      </c>
      <c r="O1785" s="1">
        <v>-3.968</v>
      </c>
      <c r="P1785">
        <v>0</v>
      </c>
      <c r="Q1785" s="1">
        <v>0.44700000000000001</v>
      </c>
      <c r="R1785" s="1">
        <v>0.29699999999999999</v>
      </c>
      <c r="S1785" s="1">
        <v>0.125</v>
      </c>
      <c r="T1785" s="1">
        <v>0.69899999999999995</v>
      </c>
      <c r="U1785" s="1">
        <v>0.161</v>
      </c>
      <c r="V1785" s="1">
        <v>155.02600000000001</v>
      </c>
      <c r="W1785">
        <v>4</v>
      </c>
    </row>
    <row r="1786" spans="1:23" x14ac:dyDescent="0.25">
      <c r="A1786" s="1" t="s">
        <v>17545</v>
      </c>
      <c r="B1786" s="1" t="s">
        <v>13582</v>
      </c>
      <c r="C1786" s="1" t="s">
        <v>5466</v>
      </c>
      <c r="D1786" s="1" t="s">
        <v>17546</v>
      </c>
      <c r="E1786" s="1" t="s">
        <v>2035</v>
      </c>
      <c r="F1786" s="1" t="s">
        <v>17547</v>
      </c>
      <c r="G1786">
        <v>208125</v>
      </c>
      <c r="H1786">
        <v>50</v>
      </c>
      <c r="I1786" s="1" t="s">
        <v>11063</v>
      </c>
      <c r="J1786" s="11">
        <v>44729.706458333334</v>
      </c>
      <c r="K1786" s="1" t="s">
        <v>2036</v>
      </c>
      <c r="L1786" s="1">
        <v>0.51800000000000002</v>
      </c>
      <c r="M1786" s="1">
        <v>0.68899999999999995</v>
      </c>
      <c r="N1786">
        <v>8</v>
      </c>
      <c r="O1786" s="1">
        <v>-3.5259999999999998</v>
      </c>
      <c r="P1786">
        <v>1</v>
      </c>
      <c r="Q1786" s="1">
        <v>0.35599999999999998</v>
      </c>
      <c r="R1786" s="1">
        <v>0.17299999999999999</v>
      </c>
      <c r="S1786" s="1">
        <v>0</v>
      </c>
      <c r="T1786" s="1">
        <v>0.14899999999999999</v>
      </c>
      <c r="U1786" s="1">
        <v>0.41199999999999998</v>
      </c>
      <c r="V1786" s="1">
        <v>128.06700000000001</v>
      </c>
      <c r="W1786">
        <v>4</v>
      </c>
    </row>
    <row r="1787" spans="1:23" x14ac:dyDescent="0.25">
      <c r="A1787" s="1" t="s">
        <v>17548</v>
      </c>
      <c r="B1787" s="1" t="s">
        <v>13582</v>
      </c>
      <c r="C1787" s="1" t="s">
        <v>5467</v>
      </c>
      <c r="D1787" s="1" t="s">
        <v>17509</v>
      </c>
      <c r="E1787" s="1" t="s">
        <v>2035</v>
      </c>
      <c r="F1787" s="1" t="s">
        <v>15619</v>
      </c>
      <c r="G1787">
        <v>194468</v>
      </c>
      <c r="H1787">
        <v>51</v>
      </c>
      <c r="I1787" s="1" t="s">
        <v>11063</v>
      </c>
      <c r="J1787" s="11">
        <v>44729.706458333334</v>
      </c>
      <c r="K1787" s="1" t="s">
        <v>2036</v>
      </c>
      <c r="L1787" s="1">
        <v>0.57699999999999996</v>
      </c>
      <c r="M1787" s="1">
        <v>0.72399999999999998</v>
      </c>
      <c r="N1787">
        <v>11</v>
      </c>
      <c r="O1787" s="1">
        <v>-4.657</v>
      </c>
      <c r="P1787">
        <v>1</v>
      </c>
      <c r="Q1787" s="1">
        <v>0.67100000000000004</v>
      </c>
      <c r="R1787" s="1">
        <v>0.22900000000000001</v>
      </c>
      <c r="S1787" s="1">
        <v>0</v>
      </c>
      <c r="T1787" s="1">
        <v>0.92700000000000005</v>
      </c>
      <c r="U1787" s="1">
        <v>0.39700000000000002</v>
      </c>
      <c r="V1787" s="1">
        <v>127.94799999999999</v>
      </c>
      <c r="W1787">
        <v>4</v>
      </c>
    </row>
    <row r="1788" spans="1:23" x14ac:dyDescent="0.25">
      <c r="A1788" s="1" t="s">
        <v>17549</v>
      </c>
      <c r="B1788" s="1" t="s">
        <v>17550</v>
      </c>
      <c r="C1788" s="1" t="s">
        <v>5468</v>
      </c>
      <c r="D1788" s="1" t="s">
        <v>17551</v>
      </c>
      <c r="E1788" s="1" t="s">
        <v>5469</v>
      </c>
      <c r="F1788" s="1" t="s">
        <v>11627</v>
      </c>
      <c r="G1788">
        <v>262500</v>
      </c>
      <c r="H1788">
        <v>38</v>
      </c>
      <c r="I1788" s="1" t="s">
        <v>11063</v>
      </c>
      <c r="J1788" s="11">
        <v>44729.706458333334</v>
      </c>
      <c r="K1788" s="1" t="s">
        <v>50</v>
      </c>
      <c r="L1788" s="1">
        <v>0.59899999999999998</v>
      </c>
      <c r="M1788" s="1">
        <v>0.754</v>
      </c>
      <c r="N1788">
        <v>7</v>
      </c>
      <c r="O1788" s="1">
        <v>-6.3250000000000002</v>
      </c>
      <c r="P1788">
        <v>0</v>
      </c>
      <c r="Q1788" s="1">
        <v>0.35799999999999998</v>
      </c>
      <c r="R1788" s="1">
        <v>0.34200000000000003</v>
      </c>
      <c r="S1788" s="1">
        <v>0.15</v>
      </c>
      <c r="T1788" s="1">
        <v>0.216</v>
      </c>
      <c r="U1788" s="1">
        <v>0.51100000000000001</v>
      </c>
      <c r="V1788" s="1">
        <v>88.028000000000006</v>
      </c>
      <c r="W1788">
        <v>4</v>
      </c>
    </row>
    <row r="1789" spans="1:23" x14ac:dyDescent="0.25">
      <c r="A1789" s="1" t="s">
        <v>17552</v>
      </c>
      <c r="B1789" s="1" t="s">
        <v>17553</v>
      </c>
      <c r="C1789" s="1" t="s">
        <v>5470</v>
      </c>
      <c r="D1789" s="1" t="s">
        <v>17554</v>
      </c>
      <c r="E1789" s="1" t="s">
        <v>5471</v>
      </c>
      <c r="F1789" s="1" t="s">
        <v>15585</v>
      </c>
      <c r="G1789">
        <v>208133</v>
      </c>
      <c r="H1789">
        <v>44</v>
      </c>
      <c r="I1789" s="1" t="s">
        <v>11063</v>
      </c>
      <c r="J1789" s="11">
        <v>44729.706458333334</v>
      </c>
      <c r="K1789" s="1" t="s">
        <v>5472</v>
      </c>
      <c r="L1789" s="1">
        <v>0.54200000000000004</v>
      </c>
      <c r="M1789" s="1">
        <v>0.89400000000000002</v>
      </c>
      <c r="N1789">
        <v>1</v>
      </c>
      <c r="O1789" s="1">
        <v>-2.879</v>
      </c>
      <c r="P1789">
        <v>1</v>
      </c>
      <c r="Q1789" s="1">
        <v>0.67600000000000005</v>
      </c>
      <c r="R1789" s="1">
        <v>0.23599999999999999</v>
      </c>
      <c r="S1789" s="1">
        <v>0</v>
      </c>
      <c r="T1789" s="1">
        <v>0.13200000000000001</v>
      </c>
      <c r="U1789" s="1">
        <v>0.29599999999999999</v>
      </c>
      <c r="V1789" s="1">
        <v>127.947</v>
      </c>
      <c r="W1789">
        <v>4</v>
      </c>
    </row>
    <row r="1790" spans="1:23" x14ac:dyDescent="0.25">
      <c r="A1790" s="1" t="s">
        <v>17555</v>
      </c>
      <c r="B1790" s="1" t="s">
        <v>17556</v>
      </c>
      <c r="C1790" s="1" t="s">
        <v>5473</v>
      </c>
      <c r="D1790" s="1" t="s">
        <v>17557</v>
      </c>
      <c r="E1790" s="1" t="s">
        <v>5474</v>
      </c>
      <c r="F1790" s="1" t="s">
        <v>16519</v>
      </c>
      <c r="G1790">
        <v>219301</v>
      </c>
      <c r="H1790">
        <v>46</v>
      </c>
      <c r="I1790" s="1" t="s">
        <v>11063</v>
      </c>
      <c r="J1790" s="11">
        <v>44729.706458333334</v>
      </c>
      <c r="K1790" s="1" t="s">
        <v>5475</v>
      </c>
      <c r="L1790" s="1">
        <v>0.65900000000000003</v>
      </c>
      <c r="M1790" s="1">
        <v>0.439</v>
      </c>
      <c r="N1790">
        <v>5</v>
      </c>
      <c r="O1790" s="1">
        <v>-4.18</v>
      </c>
      <c r="P1790">
        <v>1</v>
      </c>
      <c r="Q1790" s="1">
        <v>0.25700000000000001</v>
      </c>
      <c r="R1790" s="1">
        <v>0.88600000000000001</v>
      </c>
      <c r="S1790" s="1">
        <v>0</v>
      </c>
      <c r="T1790" s="1">
        <v>0.124</v>
      </c>
      <c r="U1790" s="1">
        <v>0.26600000000000001</v>
      </c>
      <c r="V1790" s="1">
        <v>99.947999999999993</v>
      </c>
      <c r="W1790">
        <v>4</v>
      </c>
    </row>
    <row r="1791" spans="1:23" x14ac:dyDescent="0.25">
      <c r="A1791" s="1" t="s">
        <v>17558</v>
      </c>
      <c r="B1791" s="1" t="s">
        <v>17559</v>
      </c>
      <c r="C1791" s="1" t="s">
        <v>5476</v>
      </c>
      <c r="D1791" s="1" t="s">
        <v>5476</v>
      </c>
      <c r="E1791" s="1" t="s">
        <v>5477</v>
      </c>
      <c r="F1791" s="1" t="s">
        <v>17560</v>
      </c>
      <c r="G1791">
        <v>268800</v>
      </c>
      <c r="H1791">
        <v>41</v>
      </c>
      <c r="I1791" s="1" t="s">
        <v>11063</v>
      </c>
      <c r="J1791" s="11">
        <v>44729.706458333334</v>
      </c>
      <c r="K1791" s="1" t="s">
        <v>5221</v>
      </c>
      <c r="L1791" s="1">
        <v>0.32400000000000001</v>
      </c>
      <c r="M1791" s="1">
        <v>0.63200000000000001</v>
      </c>
      <c r="N1791">
        <v>1</v>
      </c>
      <c r="O1791" s="1">
        <v>-4.8579999999999997</v>
      </c>
      <c r="P1791">
        <v>1</v>
      </c>
      <c r="Q1791" s="1">
        <v>0.39</v>
      </c>
      <c r="R1791" s="1">
        <v>0.21199999999999999</v>
      </c>
      <c r="S1791" s="1">
        <v>0</v>
      </c>
      <c r="T1791" s="1">
        <v>0.624</v>
      </c>
      <c r="U1791" s="1">
        <v>0.41199999999999998</v>
      </c>
      <c r="V1791" s="1">
        <v>73.040999999999997</v>
      </c>
      <c r="W1791">
        <v>4</v>
      </c>
    </row>
    <row r="1792" spans="1:23" x14ac:dyDescent="0.25">
      <c r="A1792" s="1" t="s">
        <v>17561</v>
      </c>
      <c r="B1792" s="1" t="s">
        <v>17562</v>
      </c>
      <c r="C1792" s="1" t="s">
        <v>5478</v>
      </c>
      <c r="D1792" s="1" t="s">
        <v>5478</v>
      </c>
      <c r="E1792" s="1" t="s">
        <v>5479</v>
      </c>
      <c r="F1792" s="1" t="s">
        <v>15941</v>
      </c>
      <c r="G1792">
        <v>151863</v>
      </c>
      <c r="H1792">
        <v>2</v>
      </c>
      <c r="I1792" s="1" t="s">
        <v>11063</v>
      </c>
      <c r="J1792" s="11">
        <v>44729.706458333334</v>
      </c>
      <c r="K1792" s="1" t="s">
        <v>2866</v>
      </c>
      <c r="L1792" s="1">
        <v>0.35699999999999998</v>
      </c>
      <c r="M1792" s="1">
        <v>0.72899999999999998</v>
      </c>
      <c r="N1792">
        <v>11</v>
      </c>
      <c r="O1792" s="1">
        <v>-5.4580000000000002</v>
      </c>
      <c r="P1792">
        <v>0</v>
      </c>
      <c r="Q1792" s="1">
        <v>0.73199999999999998</v>
      </c>
      <c r="R1792" s="1">
        <v>0.12</v>
      </c>
      <c r="S1792" s="1">
        <v>0</v>
      </c>
      <c r="T1792" s="1">
        <v>0.255</v>
      </c>
      <c r="U1792" s="1">
        <v>0.35099999999999998</v>
      </c>
      <c r="V1792" s="1">
        <v>82.54</v>
      </c>
      <c r="W1792">
        <v>4</v>
      </c>
    </row>
    <row r="1793" spans="1:23" x14ac:dyDescent="0.25">
      <c r="A1793" s="1" t="s">
        <v>17563</v>
      </c>
      <c r="B1793" s="1" t="s">
        <v>17564</v>
      </c>
      <c r="C1793" s="1" t="s">
        <v>5480</v>
      </c>
      <c r="D1793" s="1" t="s">
        <v>17565</v>
      </c>
      <c r="E1793" s="1" t="s">
        <v>5481</v>
      </c>
      <c r="F1793" s="1" t="s">
        <v>13979</v>
      </c>
      <c r="G1793">
        <v>287995</v>
      </c>
      <c r="H1793">
        <v>18</v>
      </c>
      <c r="I1793" s="1" t="s">
        <v>11063</v>
      </c>
      <c r="J1793" s="11">
        <v>44729.706458333334</v>
      </c>
      <c r="K1793" s="1" t="s">
        <v>50</v>
      </c>
      <c r="L1793" s="1">
        <v>0.371</v>
      </c>
      <c r="M1793" s="1">
        <v>0.58599999999999997</v>
      </c>
      <c r="N1793">
        <v>1</v>
      </c>
      <c r="O1793" s="1">
        <v>-7.6589999999999998</v>
      </c>
      <c r="P1793">
        <v>0</v>
      </c>
      <c r="Q1793" s="1">
        <v>0.48499999999999999</v>
      </c>
      <c r="R1793" s="1">
        <v>0.61099999999999999</v>
      </c>
      <c r="S1793" s="1">
        <v>0.92200000000000004</v>
      </c>
      <c r="T1793" s="1">
        <v>0.94699999999999995</v>
      </c>
      <c r="U1793" s="1">
        <v>0.161</v>
      </c>
      <c r="V1793" s="1">
        <v>106.27800000000001</v>
      </c>
      <c r="W1793">
        <v>4</v>
      </c>
    </row>
    <row r="1794" spans="1:23" x14ac:dyDescent="0.25">
      <c r="A1794" s="1" t="s">
        <v>17566</v>
      </c>
      <c r="B1794" s="1" t="s">
        <v>17567</v>
      </c>
      <c r="C1794" s="1" t="s">
        <v>5482</v>
      </c>
      <c r="D1794" s="1" t="s">
        <v>5482</v>
      </c>
      <c r="E1794" s="1" t="s">
        <v>5483</v>
      </c>
      <c r="F1794" s="1" t="s">
        <v>16736</v>
      </c>
      <c r="G1794">
        <v>157252</v>
      </c>
      <c r="H1794">
        <v>34</v>
      </c>
      <c r="I1794" s="1" t="s">
        <v>11063</v>
      </c>
      <c r="J1794" s="11">
        <v>44729.706458333334</v>
      </c>
      <c r="K1794" s="1" t="s">
        <v>4492</v>
      </c>
      <c r="L1794" s="1">
        <v>0.54200000000000004</v>
      </c>
      <c r="M1794" s="1">
        <v>0.74</v>
      </c>
      <c r="N1794">
        <v>2</v>
      </c>
      <c r="O1794" s="1">
        <v>-5.7510000000000003</v>
      </c>
      <c r="P1794">
        <v>0</v>
      </c>
      <c r="Q1794" s="1">
        <v>0.36699999999999999</v>
      </c>
      <c r="R1794" s="1">
        <v>0.92700000000000005</v>
      </c>
      <c r="S1794" s="1">
        <v>0</v>
      </c>
      <c r="T1794" s="1">
        <v>0.19</v>
      </c>
      <c r="U1794" s="1">
        <v>0.34699999999999998</v>
      </c>
      <c r="V1794" s="1">
        <v>95.063000000000002</v>
      </c>
      <c r="W1794">
        <v>4</v>
      </c>
    </row>
    <row r="1795" spans="1:23" x14ac:dyDescent="0.25">
      <c r="A1795" s="1" t="s">
        <v>17568</v>
      </c>
      <c r="B1795" s="1" t="s">
        <v>17569</v>
      </c>
      <c r="C1795" s="1" t="s">
        <v>5484</v>
      </c>
      <c r="D1795" s="1" t="s">
        <v>5484</v>
      </c>
      <c r="E1795" s="1" t="s">
        <v>5485</v>
      </c>
      <c r="F1795" s="1" t="s">
        <v>17570</v>
      </c>
      <c r="G1795">
        <v>172362</v>
      </c>
      <c r="H1795">
        <v>31</v>
      </c>
      <c r="I1795" s="1" t="s">
        <v>11063</v>
      </c>
      <c r="J1795" s="11">
        <v>44729.706458333334</v>
      </c>
      <c r="K1795" s="1" t="s">
        <v>50</v>
      </c>
      <c r="L1795" s="1">
        <v>0.628</v>
      </c>
      <c r="M1795" s="1">
        <v>0.70099999999999996</v>
      </c>
      <c r="N1795">
        <v>9</v>
      </c>
      <c r="O1795" s="1">
        <v>-6.4279999999999999</v>
      </c>
      <c r="P1795">
        <v>1</v>
      </c>
      <c r="Q1795" s="1">
        <v>0.499</v>
      </c>
      <c r="R1795" s="1">
        <v>0.11</v>
      </c>
      <c r="S1795" s="1">
        <v>0.36799999999999999</v>
      </c>
      <c r="T1795" s="1">
        <v>0.52500000000000002</v>
      </c>
      <c r="U1795" s="1">
        <v>0.377</v>
      </c>
      <c r="V1795" s="1">
        <v>135.869</v>
      </c>
      <c r="W1795">
        <v>4</v>
      </c>
    </row>
    <row r="1796" spans="1:23" x14ac:dyDescent="0.25">
      <c r="A1796" s="1" t="s">
        <v>17571</v>
      </c>
      <c r="B1796" s="1" t="s">
        <v>17572</v>
      </c>
      <c r="C1796" s="1" t="s">
        <v>5486</v>
      </c>
      <c r="D1796" s="1" t="s">
        <v>5486</v>
      </c>
      <c r="E1796" s="1" t="s">
        <v>5487</v>
      </c>
      <c r="F1796" s="1" t="s">
        <v>17104</v>
      </c>
      <c r="G1796">
        <v>232953</v>
      </c>
      <c r="H1796">
        <v>37</v>
      </c>
      <c r="I1796" s="1" t="s">
        <v>11063</v>
      </c>
      <c r="J1796" s="11">
        <v>44729.706458333334</v>
      </c>
      <c r="K1796" s="1" t="s">
        <v>5488</v>
      </c>
      <c r="L1796" s="1">
        <v>0.72199999999999998</v>
      </c>
      <c r="M1796" s="1">
        <v>0.83099999999999996</v>
      </c>
      <c r="N1796">
        <v>6</v>
      </c>
      <c r="O1796" s="1">
        <v>-3.5819999999999999</v>
      </c>
      <c r="P1796">
        <v>1</v>
      </c>
      <c r="Q1796" s="1">
        <v>0.24199999999999999</v>
      </c>
      <c r="R1796" s="1">
        <v>0.44900000000000001</v>
      </c>
      <c r="S1796" s="1">
        <v>0.29199999999999998</v>
      </c>
      <c r="T1796" s="1">
        <v>0.10100000000000001</v>
      </c>
      <c r="U1796" s="1">
        <v>0.69799999999999995</v>
      </c>
      <c r="V1796" s="1">
        <v>102.017</v>
      </c>
      <c r="W1796">
        <v>4</v>
      </c>
    </row>
    <row r="1797" spans="1:23" x14ac:dyDescent="0.25">
      <c r="A1797" s="1" t="s">
        <v>17573</v>
      </c>
      <c r="B1797" s="1" t="s">
        <v>17574</v>
      </c>
      <c r="C1797" s="1" t="s">
        <v>5489</v>
      </c>
      <c r="D1797" s="1" t="s">
        <v>5489</v>
      </c>
      <c r="E1797" s="1" t="s">
        <v>5490</v>
      </c>
      <c r="F1797" s="1" t="s">
        <v>17575</v>
      </c>
      <c r="G1797">
        <v>268225</v>
      </c>
      <c r="H1797">
        <v>32</v>
      </c>
      <c r="I1797" s="1" t="s">
        <v>11063</v>
      </c>
      <c r="J1797" s="11">
        <v>44729.706458333334</v>
      </c>
      <c r="K1797" s="1" t="s">
        <v>50</v>
      </c>
      <c r="L1797" s="1">
        <v>0.63200000000000001</v>
      </c>
      <c r="M1797" s="1">
        <v>0.91700000000000004</v>
      </c>
      <c r="N1797">
        <v>2</v>
      </c>
      <c r="O1797" s="1">
        <v>-4.9889999999999999</v>
      </c>
      <c r="P1797">
        <v>1</v>
      </c>
      <c r="Q1797" s="1">
        <v>0.433</v>
      </c>
      <c r="R1797" s="1">
        <v>0.17</v>
      </c>
      <c r="S1797" s="1">
        <v>0.77900000000000003</v>
      </c>
      <c r="T1797" s="1">
        <v>0.16600000000000001</v>
      </c>
      <c r="U1797" s="1">
        <v>0.27800000000000002</v>
      </c>
      <c r="V1797" s="1">
        <v>145.041</v>
      </c>
      <c r="W1797">
        <v>4</v>
      </c>
    </row>
    <row r="1798" spans="1:23" x14ac:dyDescent="0.25">
      <c r="A1798" s="1" t="s">
        <v>11211</v>
      </c>
      <c r="B1798" s="1" t="s">
        <v>11212</v>
      </c>
      <c r="C1798" s="1" t="s">
        <v>5491</v>
      </c>
      <c r="D1798" s="1" t="s">
        <v>5491</v>
      </c>
      <c r="E1798" s="1" t="s">
        <v>5492</v>
      </c>
      <c r="F1798" s="1" t="s">
        <v>16745</v>
      </c>
      <c r="G1798">
        <v>175304</v>
      </c>
      <c r="H1798">
        <v>48</v>
      </c>
      <c r="I1798" s="1" t="s">
        <v>11063</v>
      </c>
      <c r="J1798" s="11">
        <v>44729.706458333334</v>
      </c>
      <c r="K1798" s="1" t="s">
        <v>5493</v>
      </c>
      <c r="L1798" s="1">
        <v>0.80300000000000005</v>
      </c>
      <c r="M1798" s="1">
        <v>0.66200000000000003</v>
      </c>
      <c r="N1798">
        <v>4</v>
      </c>
      <c r="O1798" s="1">
        <v>-6.5869999999999997</v>
      </c>
      <c r="P1798">
        <v>0</v>
      </c>
      <c r="Q1798" s="1">
        <v>0.222</v>
      </c>
      <c r="R1798" s="1">
        <v>0.371</v>
      </c>
      <c r="S1798" s="1">
        <v>0.55800000000000005</v>
      </c>
      <c r="T1798" s="1">
        <v>0.36899999999999999</v>
      </c>
      <c r="U1798" s="1">
        <v>0.41899999999999998</v>
      </c>
      <c r="V1798" s="1">
        <v>115.014</v>
      </c>
      <c r="W1798">
        <v>4</v>
      </c>
    </row>
    <row r="1799" spans="1:23" x14ac:dyDescent="0.25">
      <c r="A1799" s="1" t="s">
        <v>17576</v>
      </c>
      <c r="B1799" s="1" t="s">
        <v>17577</v>
      </c>
      <c r="C1799" s="1" t="s">
        <v>5494</v>
      </c>
      <c r="D1799" s="1" t="s">
        <v>17578</v>
      </c>
      <c r="E1799" s="1" t="s">
        <v>5495</v>
      </c>
      <c r="F1799" s="1" t="s">
        <v>17579</v>
      </c>
      <c r="G1799">
        <v>350000</v>
      </c>
      <c r="H1799">
        <v>38</v>
      </c>
      <c r="I1799" s="1" t="s">
        <v>11063</v>
      </c>
      <c r="J1799" s="11">
        <v>44729.706458333334</v>
      </c>
      <c r="K1799" s="1" t="s">
        <v>5441</v>
      </c>
      <c r="L1799" s="1">
        <v>0.34100000000000003</v>
      </c>
      <c r="M1799" s="1">
        <v>0.25800000000000001</v>
      </c>
      <c r="N1799">
        <v>9</v>
      </c>
      <c r="O1799" s="1">
        <v>-10.288</v>
      </c>
      <c r="P1799">
        <v>1</v>
      </c>
      <c r="Q1799" s="1">
        <v>0.33300000000000002</v>
      </c>
      <c r="R1799" s="1">
        <v>0.84799999999999998</v>
      </c>
      <c r="S1799" s="1">
        <v>0.379</v>
      </c>
      <c r="T1799" s="1">
        <v>0.85899999999999999</v>
      </c>
      <c r="U1799" s="1">
        <v>0.188</v>
      </c>
      <c r="V1799" s="1">
        <v>139.661</v>
      </c>
      <c r="W1799">
        <v>4</v>
      </c>
    </row>
    <row r="1800" spans="1:23" x14ac:dyDescent="0.25">
      <c r="A1800" s="1" t="s">
        <v>17580</v>
      </c>
      <c r="B1800" s="1" t="s">
        <v>17581</v>
      </c>
      <c r="C1800" s="1" t="s">
        <v>5496</v>
      </c>
      <c r="D1800" s="1" t="s">
        <v>17582</v>
      </c>
      <c r="E1800" s="1" t="s">
        <v>5497</v>
      </c>
      <c r="F1800" s="1" t="s">
        <v>17583</v>
      </c>
      <c r="G1800">
        <v>216466</v>
      </c>
      <c r="H1800">
        <v>59</v>
      </c>
      <c r="I1800" s="1" t="s">
        <v>11063</v>
      </c>
      <c r="J1800" s="11">
        <v>44729.706458333334</v>
      </c>
      <c r="K1800" s="1" t="s">
        <v>5498</v>
      </c>
      <c r="L1800" s="1">
        <v>0.95099999999999996</v>
      </c>
      <c r="M1800" s="1">
        <v>0.59699999999999998</v>
      </c>
      <c r="N1800">
        <v>0</v>
      </c>
      <c r="O1800" s="1">
        <v>-4.6509999999999998</v>
      </c>
      <c r="P1800">
        <v>0</v>
      </c>
      <c r="Q1800" s="1">
        <v>0.66900000000000004</v>
      </c>
      <c r="R1800" s="1">
        <v>0.104</v>
      </c>
      <c r="S1800" s="1">
        <v>0</v>
      </c>
      <c r="T1800" s="1">
        <v>0.71799999999999997</v>
      </c>
      <c r="U1800" s="1">
        <v>0.81899999999999995</v>
      </c>
      <c r="V1800" s="1">
        <v>125.024</v>
      </c>
      <c r="W1800">
        <v>4</v>
      </c>
    </row>
    <row r="1801" spans="1:23" x14ac:dyDescent="0.25">
      <c r="A1801" s="1" t="s">
        <v>17584</v>
      </c>
      <c r="B1801" s="1" t="s">
        <v>17585</v>
      </c>
      <c r="C1801" s="1" t="s">
        <v>2624</v>
      </c>
      <c r="D1801" s="1" t="s">
        <v>11414</v>
      </c>
      <c r="E1801" s="1" t="s">
        <v>5499</v>
      </c>
      <c r="F1801" s="1" t="s">
        <v>11415</v>
      </c>
      <c r="G1801">
        <v>216842</v>
      </c>
      <c r="H1801">
        <v>38</v>
      </c>
      <c r="I1801" s="1" t="s">
        <v>11063</v>
      </c>
      <c r="J1801" s="11">
        <v>44729.706458333334</v>
      </c>
      <c r="K1801" s="1" t="s">
        <v>5500</v>
      </c>
      <c r="L1801" s="1">
        <v>0.63700000000000001</v>
      </c>
      <c r="M1801" s="1">
        <v>0.76400000000000001</v>
      </c>
      <c r="N1801">
        <v>4</v>
      </c>
      <c r="O1801" s="1">
        <v>-7.0579999999999998</v>
      </c>
      <c r="P1801">
        <v>1</v>
      </c>
      <c r="Q1801" s="1">
        <v>0.66200000000000003</v>
      </c>
      <c r="R1801" s="1">
        <v>0.81799999999999995</v>
      </c>
      <c r="S1801" s="1">
        <v>0.434</v>
      </c>
      <c r="T1801" s="1">
        <v>0.40400000000000003</v>
      </c>
      <c r="U1801" s="1">
        <v>0.69599999999999995</v>
      </c>
      <c r="V1801" s="1">
        <v>114.009</v>
      </c>
      <c r="W1801">
        <v>4</v>
      </c>
    </row>
    <row r="1802" spans="1:23" x14ac:dyDescent="0.25">
      <c r="A1802" s="1" t="s">
        <v>17586</v>
      </c>
      <c r="B1802" s="1" t="s">
        <v>17587</v>
      </c>
      <c r="C1802" s="1" t="s">
        <v>3794</v>
      </c>
      <c r="D1802" s="1" t="s">
        <v>11414</v>
      </c>
      <c r="E1802" s="1" t="s">
        <v>5501</v>
      </c>
      <c r="F1802" s="1" t="s">
        <v>11415</v>
      </c>
      <c r="G1802">
        <v>201333</v>
      </c>
      <c r="H1802">
        <v>37</v>
      </c>
      <c r="I1802" s="1" t="s">
        <v>11063</v>
      </c>
      <c r="J1802" s="11">
        <v>44729.706458333334</v>
      </c>
      <c r="K1802" s="1" t="s">
        <v>5502</v>
      </c>
      <c r="L1802" s="1">
        <v>0.29499999999999998</v>
      </c>
      <c r="M1802" s="1">
        <v>0.57499999999999996</v>
      </c>
      <c r="N1802">
        <v>8</v>
      </c>
      <c r="O1802" s="1">
        <v>-6.8289999999999997</v>
      </c>
      <c r="P1802">
        <v>0</v>
      </c>
      <c r="Q1802" s="1">
        <v>0.379</v>
      </c>
      <c r="R1802" s="1">
        <v>0.254</v>
      </c>
      <c r="S1802" s="1">
        <v>0.14399999999999999</v>
      </c>
      <c r="T1802" s="1">
        <v>0.107</v>
      </c>
      <c r="U1802" s="1">
        <v>0.121</v>
      </c>
      <c r="V1802" s="1">
        <v>132.125</v>
      </c>
      <c r="W1802">
        <v>4</v>
      </c>
    </row>
    <row r="1803" spans="1:23" x14ac:dyDescent="0.25">
      <c r="A1803" s="1" t="s">
        <v>17588</v>
      </c>
      <c r="B1803" s="1" t="s">
        <v>17589</v>
      </c>
      <c r="C1803" s="1" t="s">
        <v>3941</v>
      </c>
      <c r="D1803" s="1" t="s">
        <v>11414</v>
      </c>
      <c r="E1803" s="1" t="s">
        <v>5503</v>
      </c>
      <c r="F1803" s="1" t="s">
        <v>11415</v>
      </c>
      <c r="G1803">
        <v>218500</v>
      </c>
      <c r="H1803">
        <v>45</v>
      </c>
      <c r="I1803" s="1" t="s">
        <v>11063</v>
      </c>
      <c r="J1803" s="11">
        <v>44729.706458333334</v>
      </c>
      <c r="K1803" s="1" t="s">
        <v>5504</v>
      </c>
      <c r="L1803" s="1">
        <v>0.63600000000000001</v>
      </c>
      <c r="M1803" s="1">
        <v>0.32700000000000001</v>
      </c>
      <c r="N1803">
        <v>0</v>
      </c>
      <c r="O1803" s="1">
        <v>-9.6419999999999995</v>
      </c>
      <c r="P1803">
        <v>0</v>
      </c>
      <c r="Q1803" s="1">
        <v>0.55300000000000005</v>
      </c>
      <c r="R1803" s="1">
        <v>0.46100000000000002</v>
      </c>
      <c r="S1803" s="1">
        <v>0</v>
      </c>
      <c r="T1803" s="1">
        <v>0.106</v>
      </c>
      <c r="U1803" s="1">
        <v>0.22500000000000001</v>
      </c>
      <c r="V1803" s="1">
        <v>100.199</v>
      </c>
      <c r="W1803">
        <v>4</v>
      </c>
    </row>
    <row r="1804" spans="1:23" x14ac:dyDescent="0.25">
      <c r="A1804" s="1" t="s">
        <v>17590</v>
      </c>
      <c r="B1804" s="1" t="s">
        <v>17591</v>
      </c>
      <c r="C1804" s="1" t="s">
        <v>5505</v>
      </c>
      <c r="D1804" s="1" t="s">
        <v>11414</v>
      </c>
      <c r="E1804" s="1" t="s">
        <v>5506</v>
      </c>
      <c r="F1804" s="1" t="s">
        <v>11415</v>
      </c>
      <c r="G1804">
        <v>192452</v>
      </c>
      <c r="H1804">
        <v>38</v>
      </c>
      <c r="I1804" s="1" t="s">
        <v>11063</v>
      </c>
      <c r="J1804" s="11">
        <v>44729.706458333334</v>
      </c>
      <c r="K1804" s="1" t="s">
        <v>4999</v>
      </c>
      <c r="L1804" s="1">
        <v>0.46200000000000002</v>
      </c>
      <c r="M1804" s="1">
        <v>0.72399999999999998</v>
      </c>
      <c r="N1804">
        <v>1</v>
      </c>
      <c r="O1804" s="1">
        <v>-6.6619999999999999</v>
      </c>
      <c r="P1804">
        <v>0</v>
      </c>
      <c r="Q1804" s="1">
        <v>0.432</v>
      </c>
      <c r="R1804" s="1">
        <v>0.91700000000000004</v>
      </c>
      <c r="S1804" s="1">
        <v>0</v>
      </c>
      <c r="T1804" s="1">
        <v>0.16700000000000001</v>
      </c>
      <c r="U1804" s="1">
        <v>0.754</v>
      </c>
      <c r="V1804" s="1">
        <v>105.98699999999999</v>
      </c>
      <c r="W1804">
        <v>4</v>
      </c>
    </row>
    <row r="1805" spans="1:23" x14ac:dyDescent="0.25">
      <c r="A1805" s="1" t="s">
        <v>17592</v>
      </c>
      <c r="B1805" s="1" t="s">
        <v>17593</v>
      </c>
      <c r="C1805" s="1" t="s">
        <v>5507</v>
      </c>
      <c r="D1805" s="1" t="s">
        <v>17594</v>
      </c>
      <c r="E1805" s="1" t="s">
        <v>5508</v>
      </c>
      <c r="F1805" s="1" t="s">
        <v>11395</v>
      </c>
      <c r="G1805">
        <v>237164</v>
      </c>
      <c r="H1805">
        <v>50</v>
      </c>
      <c r="I1805" s="1" t="s">
        <v>11063</v>
      </c>
      <c r="J1805" s="11">
        <v>44729.706458333334</v>
      </c>
      <c r="K1805" s="1" t="s">
        <v>5509</v>
      </c>
      <c r="L1805" s="1">
        <v>0.64</v>
      </c>
      <c r="M1805" s="1">
        <v>0.51400000000000001</v>
      </c>
      <c r="N1805">
        <v>6</v>
      </c>
      <c r="O1805" s="1">
        <v>-7.6509999999999998</v>
      </c>
      <c r="P1805">
        <v>1</v>
      </c>
      <c r="Q1805" s="1">
        <v>0.33200000000000002</v>
      </c>
      <c r="R1805" s="1">
        <v>0.17399999999999999</v>
      </c>
      <c r="S1805" s="1">
        <v>0.44600000000000001</v>
      </c>
      <c r="T1805" s="1">
        <v>0.10199999999999999</v>
      </c>
      <c r="U1805" s="1">
        <v>0.125</v>
      </c>
      <c r="V1805" s="1">
        <v>95.97</v>
      </c>
      <c r="W1805">
        <v>4</v>
      </c>
    </row>
    <row r="1806" spans="1:23" x14ac:dyDescent="0.25">
      <c r="A1806" s="1" t="s">
        <v>17595</v>
      </c>
      <c r="B1806" s="1" t="s">
        <v>17362</v>
      </c>
      <c r="C1806" s="1" t="s">
        <v>5510</v>
      </c>
      <c r="D1806" s="1" t="s">
        <v>17596</v>
      </c>
      <c r="E1806" s="1" t="s">
        <v>5310</v>
      </c>
      <c r="F1806" s="1" t="s">
        <v>17597</v>
      </c>
      <c r="G1806">
        <v>351875</v>
      </c>
      <c r="H1806">
        <v>42</v>
      </c>
      <c r="I1806" s="1" t="s">
        <v>11063</v>
      </c>
      <c r="J1806" s="11">
        <v>44729.706458333334</v>
      </c>
      <c r="K1806" s="1" t="s">
        <v>5311</v>
      </c>
      <c r="L1806" s="1">
        <v>0.47799999999999998</v>
      </c>
      <c r="M1806" s="1">
        <v>0.71799999999999997</v>
      </c>
      <c r="N1806">
        <v>9</v>
      </c>
      <c r="O1806" s="1">
        <v>-5.1210000000000004</v>
      </c>
      <c r="P1806">
        <v>0</v>
      </c>
      <c r="Q1806" s="1">
        <v>0.36599999999999999</v>
      </c>
      <c r="R1806" s="1">
        <v>0.36199999999999999</v>
      </c>
      <c r="S1806" s="1">
        <v>0.23</v>
      </c>
      <c r="T1806" s="1">
        <v>0.23100000000000001</v>
      </c>
      <c r="U1806" s="1">
        <v>0.25600000000000001</v>
      </c>
      <c r="V1806" s="1">
        <v>151.99700000000001</v>
      </c>
      <c r="W1806">
        <v>4</v>
      </c>
    </row>
    <row r="1807" spans="1:23" x14ac:dyDescent="0.25">
      <c r="A1807" s="1" t="s">
        <v>17598</v>
      </c>
      <c r="B1807" s="1" t="s">
        <v>15688</v>
      </c>
      <c r="C1807" s="1" t="s">
        <v>5511</v>
      </c>
      <c r="D1807" s="1" t="s">
        <v>5511</v>
      </c>
      <c r="E1807" s="1" t="s">
        <v>3886</v>
      </c>
      <c r="F1807" s="1" t="s">
        <v>17599</v>
      </c>
      <c r="G1807">
        <v>230879</v>
      </c>
      <c r="H1807">
        <v>66</v>
      </c>
      <c r="I1807" s="1" t="s">
        <v>11063</v>
      </c>
      <c r="J1807" s="11">
        <v>44729.706458333334</v>
      </c>
      <c r="K1807" s="1" t="s">
        <v>3887</v>
      </c>
      <c r="L1807" s="1">
        <v>0.71499999999999997</v>
      </c>
      <c r="M1807" s="1">
        <v>0.74199999999999999</v>
      </c>
      <c r="N1807">
        <v>0</v>
      </c>
      <c r="O1807" s="1">
        <v>-4.3310000000000004</v>
      </c>
      <c r="P1807">
        <v>1</v>
      </c>
      <c r="Q1807" s="1">
        <v>0.34699999999999998</v>
      </c>
      <c r="R1807" s="1">
        <v>0.52</v>
      </c>
      <c r="S1807" s="1">
        <v>0.247</v>
      </c>
      <c r="T1807" s="1">
        <v>0.36399999999999999</v>
      </c>
      <c r="U1807" s="1">
        <v>0.32200000000000001</v>
      </c>
      <c r="V1807" s="1">
        <v>106.971</v>
      </c>
      <c r="W1807">
        <v>4</v>
      </c>
    </row>
    <row r="1808" spans="1:23" x14ac:dyDescent="0.25">
      <c r="A1808" s="1" t="s">
        <v>17600</v>
      </c>
      <c r="B1808" s="1" t="s">
        <v>15688</v>
      </c>
      <c r="C1808" s="1" t="s">
        <v>5512</v>
      </c>
      <c r="D1808" s="1" t="s">
        <v>5512</v>
      </c>
      <c r="E1808" s="1" t="s">
        <v>3886</v>
      </c>
      <c r="F1808" s="1" t="s">
        <v>11700</v>
      </c>
      <c r="G1808">
        <v>202221</v>
      </c>
      <c r="H1808">
        <v>1</v>
      </c>
      <c r="I1808" s="1" t="s">
        <v>11063</v>
      </c>
      <c r="J1808" s="11">
        <v>44729.706458333334</v>
      </c>
      <c r="K1808" s="1" t="s">
        <v>3887</v>
      </c>
      <c r="L1808" s="1">
        <v>0.65700000000000003</v>
      </c>
      <c r="M1808" s="1">
        <v>0.73899999999999999</v>
      </c>
      <c r="N1808">
        <v>2</v>
      </c>
      <c r="O1808" s="1">
        <v>-4.0810000000000004</v>
      </c>
      <c r="P1808">
        <v>1</v>
      </c>
      <c r="Q1808" s="1">
        <v>0.27400000000000002</v>
      </c>
      <c r="R1808" s="1">
        <v>0.14099999999999999</v>
      </c>
      <c r="S1808" s="1">
        <v>0</v>
      </c>
      <c r="T1808" s="1">
        <v>0.17799999999999999</v>
      </c>
      <c r="U1808" s="1">
        <v>0.54300000000000004</v>
      </c>
      <c r="V1808" s="1">
        <v>181.994</v>
      </c>
      <c r="W1808">
        <v>4</v>
      </c>
    </row>
    <row r="1809" spans="1:23" x14ac:dyDescent="0.25">
      <c r="A1809" s="1" t="s">
        <v>17601</v>
      </c>
      <c r="B1809" s="1" t="s">
        <v>15688</v>
      </c>
      <c r="C1809" s="1" t="s">
        <v>5513</v>
      </c>
      <c r="D1809" s="1" t="s">
        <v>5512</v>
      </c>
      <c r="E1809" s="1" t="s">
        <v>3886</v>
      </c>
      <c r="F1809" s="1" t="s">
        <v>11700</v>
      </c>
      <c r="G1809">
        <v>192376</v>
      </c>
      <c r="H1809">
        <v>1</v>
      </c>
      <c r="I1809" s="1" t="s">
        <v>11063</v>
      </c>
      <c r="J1809" s="11">
        <v>44729.706458333334</v>
      </c>
      <c r="K1809" s="1" t="s">
        <v>3887</v>
      </c>
      <c r="L1809" s="1">
        <v>0.88500000000000001</v>
      </c>
      <c r="M1809" s="1">
        <v>0.80100000000000005</v>
      </c>
      <c r="N1809">
        <v>11</v>
      </c>
      <c r="O1809" s="1">
        <v>-4.7160000000000002</v>
      </c>
      <c r="P1809">
        <v>0</v>
      </c>
      <c r="Q1809" s="1">
        <v>0.88200000000000001</v>
      </c>
      <c r="R1809" s="1">
        <v>0.22500000000000001</v>
      </c>
      <c r="S1809" s="1">
        <v>0.16500000000000001</v>
      </c>
      <c r="T1809" s="1">
        <v>0.73299999999999998</v>
      </c>
      <c r="U1809" s="1">
        <v>0.46600000000000003</v>
      </c>
      <c r="V1809" s="1">
        <v>95.010999999999996</v>
      </c>
      <c r="W1809">
        <v>4</v>
      </c>
    </row>
    <row r="1810" spans="1:23" x14ac:dyDescent="0.25">
      <c r="A1810" s="1" t="s">
        <v>17602</v>
      </c>
      <c r="B1810" s="1" t="s">
        <v>17603</v>
      </c>
      <c r="C1810" s="1" t="s">
        <v>5514</v>
      </c>
      <c r="D1810" s="1" t="s">
        <v>16925</v>
      </c>
      <c r="E1810" s="1" t="s">
        <v>5515</v>
      </c>
      <c r="F1810" s="1" t="s">
        <v>11471</v>
      </c>
      <c r="G1810">
        <v>217346</v>
      </c>
      <c r="H1810">
        <v>64</v>
      </c>
      <c r="I1810" s="1" t="s">
        <v>11063</v>
      </c>
      <c r="J1810" s="11">
        <v>44729.706458333334</v>
      </c>
      <c r="K1810" s="1" t="s">
        <v>5516</v>
      </c>
      <c r="L1810" s="1">
        <v>0.59599999999999997</v>
      </c>
      <c r="M1810" s="1">
        <v>0.73799999999999999</v>
      </c>
      <c r="N1810">
        <v>8</v>
      </c>
      <c r="O1810" s="1">
        <v>-3.109</v>
      </c>
      <c r="P1810">
        <v>1</v>
      </c>
      <c r="Q1810" s="1">
        <v>0.41099999999999998</v>
      </c>
      <c r="R1810" s="1">
        <v>0.109</v>
      </c>
      <c r="S1810" s="1">
        <v>0</v>
      </c>
      <c r="T1810" s="1">
        <v>0.94699999999999995</v>
      </c>
      <c r="U1810" s="1">
        <v>0.46100000000000002</v>
      </c>
      <c r="V1810" s="1">
        <v>127.961</v>
      </c>
      <c r="W1810">
        <v>4</v>
      </c>
    </row>
    <row r="1811" spans="1:23" x14ac:dyDescent="0.25">
      <c r="A1811" s="1" t="s">
        <v>17604</v>
      </c>
      <c r="B1811" s="1" t="s">
        <v>17605</v>
      </c>
      <c r="C1811" s="1" t="s">
        <v>5517</v>
      </c>
      <c r="D1811" s="1" t="s">
        <v>17606</v>
      </c>
      <c r="E1811" s="1" t="s">
        <v>5518</v>
      </c>
      <c r="F1811" s="1" t="s">
        <v>17607</v>
      </c>
      <c r="G1811">
        <v>254111</v>
      </c>
      <c r="H1811">
        <v>0</v>
      </c>
      <c r="I1811" s="1" t="s">
        <v>11063</v>
      </c>
      <c r="J1811" s="11">
        <v>44729.706458333334</v>
      </c>
      <c r="K1811" s="1" t="s">
        <v>50</v>
      </c>
      <c r="L1811" s="1">
        <v>0.56499999999999995</v>
      </c>
      <c r="M1811" s="1">
        <v>0.68100000000000005</v>
      </c>
      <c r="N1811">
        <v>11</v>
      </c>
      <c r="O1811" s="1">
        <v>-5.7409999999999997</v>
      </c>
      <c r="P1811">
        <v>0</v>
      </c>
      <c r="Q1811" s="1">
        <v>0.45300000000000001</v>
      </c>
      <c r="R1811" s="1">
        <v>0.68799999999999994</v>
      </c>
      <c r="S1811" s="1">
        <v>0.104</v>
      </c>
      <c r="T1811" s="1">
        <v>0.185</v>
      </c>
      <c r="U1811" s="1">
        <v>0.13800000000000001</v>
      </c>
      <c r="V1811" s="1">
        <v>76.022000000000006</v>
      </c>
      <c r="W1811">
        <v>4</v>
      </c>
    </row>
    <row r="1812" spans="1:23" x14ac:dyDescent="0.25">
      <c r="A1812" s="1" t="s">
        <v>11204</v>
      </c>
      <c r="B1812" s="1" t="s">
        <v>11205</v>
      </c>
      <c r="C1812" s="1" t="s">
        <v>5519</v>
      </c>
      <c r="D1812" s="1" t="s">
        <v>3988</v>
      </c>
      <c r="E1812" s="1" t="s">
        <v>5520</v>
      </c>
      <c r="F1812" s="1" t="s">
        <v>13269</v>
      </c>
      <c r="G1812">
        <v>268875</v>
      </c>
      <c r="H1812">
        <v>30</v>
      </c>
      <c r="I1812" s="1" t="s">
        <v>11063</v>
      </c>
      <c r="J1812" s="11">
        <v>44729.706458333334</v>
      </c>
      <c r="K1812" s="1" t="s">
        <v>4500</v>
      </c>
      <c r="L1812" s="1">
        <v>0.68</v>
      </c>
      <c r="M1812" s="1">
        <v>0.86499999999999999</v>
      </c>
      <c r="N1812">
        <v>5</v>
      </c>
      <c r="O1812" s="1">
        <v>-3.8559999999999999</v>
      </c>
      <c r="P1812">
        <v>0</v>
      </c>
      <c r="Q1812" s="1">
        <v>0.187</v>
      </c>
      <c r="R1812" s="1">
        <v>0.308</v>
      </c>
      <c r="S1812" s="1">
        <v>0.39400000000000002</v>
      </c>
      <c r="T1812" s="1">
        <v>0.10299999999999999</v>
      </c>
      <c r="U1812" s="1">
        <v>0.20799999999999999</v>
      </c>
      <c r="V1812" s="1">
        <v>107.004</v>
      </c>
      <c r="W1812">
        <v>4</v>
      </c>
    </row>
    <row r="1813" spans="1:23" x14ac:dyDescent="0.25">
      <c r="A1813" s="1" t="s">
        <v>17608</v>
      </c>
      <c r="B1813" s="1" t="s">
        <v>17609</v>
      </c>
      <c r="C1813" s="1" t="s">
        <v>5521</v>
      </c>
      <c r="D1813" s="1" t="s">
        <v>17610</v>
      </c>
      <c r="E1813" s="1" t="s">
        <v>5522</v>
      </c>
      <c r="F1813" s="1" t="s">
        <v>14667</v>
      </c>
      <c r="G1813">
        <v>212783</v>
      </c>
      <c r="H1813">
        <v>45</v>
      </c>
      <c r="I1813" s="1" t="s">
        <v>11063</v>
      </c>
      <c r="J1813" s="11">
        <v>44729.706458333334</v>
      </c>
      <c r="K1813" s="1" t="s">
        <v>5216</v>
      </c>
      <c r="L1813" s="1">
        <v>0.747</v>
      </c>
      <c r="M1813" s="1">
        <v>0.58499999999999996</v>
      </c>
      <c r="N1813">
        <v>11</v>
      </c>
      <c r="O1813" s="1">
        <v>-6.3760000000000003</v>
      </c>
      <c r="P1813">
        <v>0</v>
      </c>
      <c r="Q1813" s="1">
        <v>0.48</v>
      </c>
      <c r="R1813" s="1">
        <v>0.14399999999999999</v>
      </c>
      <c r="S1813" s="1">
        <v>0</v>
      </c>
      <c r="T1813" s="1">
        <v>0.75700000000000001</v>
      </c>
      <c r="U1813" s="1">
        <v>0.71299999999999997</v>
      </c>
      <c r="V1813" s="1">
        <v>97.03</v>
      </c>
      <c r="W1813">
        <v>4</v>
      </c>
    </row>
    <row r="1814" spans="1:23" x14ac:dyDescent="0.25">
      <c r="A1814" s="1" t="s">
        <v>17611</v>
      </c>
      <c r="B1814" s="1" t="s">
        <v>17612</v>
      </c>
      <c r="C1814" s="1" t="s">
        <v>5523</v>
      </c>
      <c r="D1814" s="1" t="s">
        <v>5523</v>
      </c>
      <c r="E1814" s="1" t="s">
        <v>5524</v>
      </c>
      <c r="F1814" s="1" t="s">
        <v>17613</v>
      </c>
      <c r="G1814">
        <v>205075</v>
      </c>
      <c r="H1814">
        <v>26</v>
      </c>
      <c r="I1814" s="1" t="s">
        <v>11063</v>
      </c>
      <c r="J1814" s="11">
        <v>44729.706458333334</v>
      </c>
      <c r="K1814" s="1" t="s">
        <v>50</v>
      </c>
      <c r="L1814" s="1">
        <v>0.66800000000000004</v>
      </c>
      <c r="M1814" s="1">
        <v>0.32500000000000001</v>
      </c>
      <c r="N1814">
        <v>4</v>
      </c>
      <c r="O1814" s="1">
        <v>-10.504</v>
      </c>
      <c r="P1814">
        <v>0</v>
      </c>
      <c r="Q1814" s="1">
        <v>0.46100000000000002</v>
      </c>
      <c r="R1814" s="1">
        <v>0.108</v>
      </c>
      <c r="S1814" s="1">
        <v>0.112</v>
      </c>
      <c r="T1814" s="1">
        <v>0.113</v>
      </c>
      <c r="U1814" s="1">
        <v>0.33800000000000002</v>
      </c>
      <c r="V1814" s="1">
        <v>135.154</v>
      </c>
      <c r="W1814">
        <v>4</v>
      </c>
    </row>
    <row r="1815" spans="1:23" x14ac:dyDescent="0.25">
      <c r="A1815" s="1" t="s">
        <v>17614</v>
      </c>
      <c r="B1815" s="1" t="s">
        <v>17615</v>
      </c>
      <c r="C1815" s="1" t="s">
        <v>5525</v>
      </c>
      <c r="D1815" s="1" t="s">
        <v>5525</v>
      </c>
      <c r="E1815" s="1" t="s">
        <v>5526</v>
      </c>
      <c r="F1815" s="1" t="s">
        <v>13696</v>
      </c>
      <c r="G1815">
        <v>228945</v>
      </c>
      <c r="H1815">
        <v>0</v>
      </c>
      <c r="I1815" s="1" t="s">
        <v>11063</v>
      </c>
      <c r="J1815" s="11">
        <v>44729.706458333334</v>
      </c>
      <c r="K1815" s="1" t="s">
        <v>5455</v>
      </c>
      <c r="L1815" s="1">
        <v>0.51400000000000001</v>
      </c>
      <c r="M1815" s="1">
        <v>0.72</v>
      </c>
      <c r="N1815">
        <v>2</v>
      </c>
      <c r="O1815" s="1">
        <v>-6.3630000000000004</v>
      </c>
      <c r="P1815">
        <v>1</v>
      </c>
      <c r="Q1815" s="1">
        <v>0.99299999999999999</v>
      </c>
      <c r="R1815" s="1">
        <v>0.35599999999999998</v>
      </c>
      <c r="S1815" s="1">
        <v>0.498</v>
      </c>
      <c r="T1815" s="1">
        <v>0.13</v>
      </c>
      <c r="U1815" s="1">
        <v>0.13500000000000001</v>
      </c>
      <c r="V1815" s="1">
        <v>144.97</v>
      </c>
      <c r="W1815">
        <v>4</v>
      </c>
    </row>
    <row r="1816" spans="1:23" x14ac:dyDescent="0.25">
      <c r="A1816" s="1" t="s">
        <v>17616</v>
      </c>
      <c r="B1816" s="1" t="s">
        <v>17617</v>
      </c>
      <c r="C1816" s="1" t="s">
        <v>5527</v>
      </c>
      <c r="D1816" s="1" t="s">
        <v>5527</v>
      </c>
      <c r="E1816" s="1" t="s">
        <v>5528</v>
      </c>
      <c r="F1816" s="1" t="s">
        <v>17618</v>
      </c>
      <c r="G1816">
        <v>193600</v>
      </c>
      <c r="H1816">
        <v>25</v>
      </c>
      <c r="I1816" s="1" t="s">
        <v>11063</v>
      </c>
      <c r="J1816" s="11">
        <v>44729.706458333334</v>
      </c>
      <c r="K1816" s="1" t="s">
        <v>1141</v>
      </c>
      <c r="L1816" s="1">
        <v>0.46200000000000002</v>
      </c>
      <c r="M1816" s="1">
        <v>0.65900000000000003</v>
      </c>
      <c r="N1816">
        <v>0</v>
      </c>
      <c r="O1816" s="1">
        <v>-4.8650000000000002</v>
      </c>
      <c r="P1816">
        <v>1</v>
      </c>
      <c r="Q1816" s="1">
        <v>0.40300000000000002</v>
      </c>
      <c r="R1816" s="1">
        <v>0.21</v>
      </c>
      <c r="S1816" s="1">
        <v>0</v>
      </c>
      <c r="T1816" s="1">
        <v>0.83</v>
      </c>
      <c r="U1816" s="1">
        <v>0.37</v>
      </c>
      <c r="V1816" s="1">
        <v>75.114000000000004</v>
      </c>
      <c r="W1816">
        <v>4</v>
      </c>
    </row>
    <row r="1817" spans="1:23" x14ac:dyDescent="0.25">
      <c r="A1817" s="1" t="s">
        <v>17619</v>
      </c>
      <c r="B1817" s="1" t="s">
        <v>17620</v>
      </c>
      <c r="C1817" s="1" t="s">
        <v>3450</v>
      </c>
      <c r="D1817" s="1" t="s">
        <v>3450</v>
      </c>
      <c r="E1817" s="1" t="s">
        <v>5529</v>
      </c>
      <c r="F1817" s="1" t="s">
        <v>16426</v>
      </c>
      <c r="G1817">
        <v>268285</v>
      </c>
      <c r="H1817">
        <v>31</v>
      </c>
      <c r="I1817" s="1" t="s">
        <v>11063</v>
      </c>
      <c r="J1817" s="11">
        <v>44729.706458333334</v>
      </c>
      <c r="K1817" s="1" t="s">
        <v>5530</v>
      </c>
      <c r="L1817" s="1">
        <v>0.30499999999999999</v>
      </c>
      <c r="M1817" s="1">
        <v>0.60199999999999998</v>
      </c>
      <c r="N1817">
        <v>6</v>
      </c>
      <c r="O1817" s="1">
        <v>-8.8089999999999993</v>
      </c>
      <c r="P1817">
        <v>0</v>
      </c>
      <c r="Q1817" s="1">
        <v>0.46</v>
      </c>
      <c r="R1817" s="1">
        <v>0.9</v>
      </c>
      <c r="S1817" s="1">
        <v>0.115</v>
      </c>
      <c r="T1817" s="1">
        <v>0.109</v>
      </c>
      <c r="U1817" s="1">
        <v>0.78900000000000003</v>
      </c>
      <c r="V1817" s="1">
        <v>140.02600000000001</v>
      </c>
      <c r="W1817">
        <v>4</v>
      </c>
    </row>
    <row r="1818" spans="1:23" x14ac:dyDescent="0.25">
      <c r="A1818" s="1" t="s">
        <v>17621</v>
      </c>
      <c r="B1818" s="1" t="s">
        <v>17622</v>
      </c>
      <c r="C1818" s="1" t="s">
        <v>5531</v>
      </c>
      <c r="D1818" s="1" t="s">
        <v>5531</v>
      </c>
      <c r="E1818" s="1" t="s">
        <v>5532</v>
      </c>
      <c r="F1818" s="1" t="s">
        <v>17491</v>
      </c>
      <c r="G1818">
        <v>231200</v>
      </c>
      <c r="H1818">
        <v>45</v>
      </c>
      <c r="I1818" s="1" t="s">
        <v>11063</v>
      </c>
      <c r="J1818" s="11">
        <v>44729.706458333334</v>
      </c>
      <c r="K1818" s="1" t="s">
        <v>4983</v>
      </c>
      <c r="L1818" s="1">
        <v>0.40500000000000003</v>
      </c>
      <c r="M1818" s="1">
        <v>0.57999999999999996</v>
      </c>
      <c r="N1818">
        <v>1</v>
      </c>
      <c r="O1818" s="1">
        <v>-6.1660000000000004</v>
      </c>
      <c r="P1818">
        <v>1</v>
      </c>
      <c r="Q1818" s="1">
        <v>0.33400000000000002</v>
      </c>
      <c r="R1818" s="1">
        <v>0.247</v>
      </c>
      <c r="S1818" s="1">
        <v>0.80700000000000005</v>
      </c>
      <c r="T1818" s="1">
        <v>0.83</v>
      </c>
      <c r="U1818" s="1">
        <v>0.17399999999999999</v>
      </c>
      <c r="V1818" s="1">
        <v>149.84700000000001</v>
      </c>
      <c r="W1818">
        <v>4</v>
      </c>
    </row>
    <row r="1819" spans="1:23" x14ac:dyDescent="0.25">
      <c r="A1819" s="1" t="s">
        <v>17623</v>
      </c>
      <c r="B1819" s="1" t="s">
        <v>17624</v>
      </c>
      <c r="C1819" s="1" t="s">
        <v>5533</v>
      </c>
      <c r="D1819" s="1" t="s">
        <v>5533</v>
      </c>
      <c r="E1819" s="1" t="s">
        <v>5534</v>
      </c>
      <c r="F1819" s="1" t="s">
        <v>14909</v>
      </c>
      <c r="G1819">
        <v>195625</v>
      </c>
      <c r="H1819">
        <v>59</v>
      </c>
      <c r="I1819" s="1" t="s">
        <v>11063</v>
      </c>
      <c r="J1819" s="11">
        <v>44729.706458333334</v>
      </c>
      <c r="K1819" s="1" t="s">
        <v>5535</v>
      </c>
      <c r="L1819" s="1">
        <v>0.70699999999999996</v>
      </c>
      <c r="M1819" s="1">
        <v>0.71499999999999997</v>
      </c>
      <c r="N1819">
        <v>1</v>
      </c>
      <c r="O1819" s="1">
        <v>-4.5990000000000002</v>
      </c>
      <c r="P1819">
        <v>0</v>
      </c>
      <c r="Q1819" s="1">
        <v>0.35799999999999998</v>
      </c>
      <c r="R1819" s="1">
        <v>0.23</v>
      </c>
      <c r="S1819" s="1">
        <v>0.86499999999999999</v>
      </c>
      <c r="T1819" s="1">
        <v>0.30599999999999999</v>
      </c>
      <c r="U1819" s="1">
        <v>0.627</v>
      </c>
      <c r="V1819" s="1">
        <v>96.018000000000001</v>
      </c>
      <c r="W1819">
        <v>4</v>
      </c>
    </row>
    <row r="1820" spans="1:23" x14ac:dyDescent="0.25">
      <c r="A1820" s="1" t="s">
        <v>17625</v>
      </c>
      <c r="B1820" s="1" t="s">
        <v>17626</v>
      </c>
      <c r="C1820" s="1" t="s">
        <v>5536</v>
      </c>
      <c r="D1820" s="1" t="s">
        <v>5536</v>
      </c>
      <c r="E1820" s="1" t="s">
        <v>5537</v>
      </c>
      <c r="F1820" s="1" t="s">
        <v>17360</v>
      </c>
      <c r="G1820">
        <v>186480</v>
      </c>
      <c r="H1820">
        <v>3</v>
      </c>
      <c r="I1820" s="1" t="s">
        <v>11063</v>
      </c>
      <c r="J1820" s="11">
        <v>44729.706458333334</v>
      </c>
      <c r="K1820" s="1" t="s">
        <v>5538</v>
      </c>
      <c r="L1820" s="1">
        <v>0.61199999999999999</v>
      </c>
      <c r="M1820" s="1">
        <v>0.53900000000000003</v>
      </c>
      <c r="N1820">
        <v>3</v>
      </c>
      <c r="O1820" s="1">
        <v>-5.0709999999999997</v>
      </c>
      <c r="P1820">
        <v>1</v>
      </c>
      <c r="Q1820" s="1">
        <v>0.48799999999999999</v>
      </c>
      <c r="R1820" s="1">
        <v>0.104</v>
      </c>
      <c r="S1820" s="1">
        <v>0</v>
      </c>
      <c r="T1820" s="1">
        <v>0.18</v>
      </c>
      <c r="U1820" s="1">
        <v>0.29399999999999998</v>
      </c>
      <c r="V1820" s="1">
        <v>79.947999999999993</v>
      </c>
      <c r="W1820">
        <v>4</v>
      </c>
    </row>
    <row r="1821" spans="1:23" x14ac:dyDescent="0.25">
      <c r="A1821" s="1" t="s">
        <v>17627</v>
      </c>
      <c r="B1821" s="1" t="s">
        <v>17628</v>
      </c>
      <c r="C1821" s="1" t="s">
        <v>5539</v>
      </c>
      <c r="D1821" s="1" t="s">
        <v>5539</v>
      </c>
      <c r="E1821" s="1" t="s">
        <v>5540</v>
      </c>
      <c r="F1821" s="1" t="s">
        <v>17629</v>
      </c>
      <c r="G1821">
        <v>221465</v>
      </c>
      <c r="H1821">
        <v>66</v>
      </c>
      <c r="I1821" s="1" t="s">
        <v>11063</v>
      </c>
      <c r="J1821" s="11">
        <v>44729.706458333334</v>
      </c>
      <c r="K1821" s="1" t="s">
        <v>5541</v>
      </c>
      <c r="L1821" s="1">
        <v>0.66400000000000003</v>
      </c>
      <c r="M1821" s="1">
        <v>0.66</v>
      </c>
      <c r="N1821">
        <v>5</v>
      </c>
      <c r="O1821" s="1">
        <v>-4.6459999999999999</v>
      </c>
      <c r="P1821">
        <v>1</v>
      </c>
      <c r="Q1821" s="1">
        <v>0.24299999999999999</v>
      </c>
      <c r="R1821" s="1">
        <v>0.51200000000000001</v>
      </c>
      <c r="S1821" s="1">
        <v>0</v>
      </c>
      <c r="T1821" s="1">
        <v>0.26</v>
      </c>
      <c r="U1821" s="1">
        <v>0.35499999999999998</v>
      </c>
      <c r="V1821" s="1">
        <v>99.945999999999998</v>
      </c>
      <c r="W1821">
        <v>4</v>
      </c>
    </row>
    <row r="1822" spans="1:23" x14ac:dyDescent="0.25">
      <c r="A1822" s="1" t="s">
        <v>17630</v>
      </c>
      <c r="B1822" s="1" t="s">
        <v>17631</v>
      </c>
      <c r="C1822" s="1" t="s">
        <v>5542</v>
      </c>
      <c r="D1822" s="1" t="s">
        <v>11721</v>
      </c>
      <c r="E1822" s="1" t="s">
        <v>5543</v>
      </c>
      <c r="F1822" s="1" t="s">
        <v>11722</v>
      </c>
      <c r="G1822">
        <v>270967</v>
      </c>
      <c r="H1822">
        <v>52</v>
      </c>
      <c r="I1822" s="1" t="s">
        <v>11063</v>
      </c>
      <c r="J1822" s="11">
        <v>44729.706458333334</v>
      </c>
      <c r="K1822" s="1" t="s">
        <v>5544</v>
      </c>
      <c r="L1822" s="1">
        <v>0.45100000000000001</v>
      </c>
      <c r="M1822" s="1">
        <v>0.40200000000000002</v>
      </c>
      <c r="N1822">
        <v>9</v>
      </c>
      <c r="O1822" s="1">
        <v>-4.63</v>
      </c>
      <c r="P1822">
        <v>1</v>
      </c>
      <c r="Q1822" s="1">
        <v>0.28599999999999998</v>
      </c>
      <c r="R1822" s="1">
        <v>0.59699999999999998</v>
      </c>
      <c r="S1822" s="1">
        <v>0.377</v>
      </c>
      <c r="T1822" s="1">
        <v>0.29399999999999998</v>
      </c>
      <c r="U1822" s="1">
        <v>0.129</v>
      </c>
      <c r="V1822" s="1">
        <v>92.93</v>
      </c>
      <c r="W1822">
        <v>4</v>
      </c>
    </row>
    <row r="1823" spans="1:23" x14ac:dyDescent="0.25">
      <c r="A1823" s="1" t="s">
        <v>17632</v>
      </c>
      <c r="B1823" s="1" t="s">
        <v>17633</v>
      </c>
      <c r="C1823" s="1" t="s">
        <v>5545</v>
      </c>
      <c r="D1823" s="1" t="s">
        <v>17634</v>
      </c>
      <c r="E1823" s="1" t="s">
        <v>5546</v>
      </c>
      <c r="F1823" s="1" t="s">
        <v>17635</v>
      </c>
      <c r="G1823">
        <v>208120</v>
      </c>
      <c r="H1823">
        <v>33</v>
      </c>
      <c r="I1823" s="1" t="s">
        <v>11063</v>
      </c>
      <c r="J1823" s="11">
        <v>44729.706458333334</v>
      </c>
      <c r="K1823" s="1" t="s">
        <v>1053</v>
      </c>
      <c r="L1823" s="1">
        <v>0.52800000000000002</v>
      </c>
      <c r="M1823" s="1">
        <v>0.79600000000000004</v>
      </c>
      <c r="N1823">
        <v>11</v>
      </c>
      <c r="O1823" s="1">
        <v>-2.0579999999999998</v>
      </c>
      <c r="P1823">
        <v>1</v>
      </c>
      <c r="Q1823" s="1">
        <v>0.52800000000000002</v>
      </c>
      <c r="R1823" s="1">
        <v>0.27500000000000002</v>
      </c>
      <c r="S1823" s="1">
        <v>0</v>
      </c>
      <c r="T1823" s="1">
        <v>0.47099999999999997</v>
      </c>
      <c r="U1823" s="1">
        <v>0.22600000000000001</v>
      </c>
      <c r="V1823" s="1">
        <v>127.988</v>
      </c>
      <c r="W1823">
        <v>4</v>
      </c>
    </row>
    <row r="1824" spans="1:23" x14ac:dyDescent="0.25">
      <c r="A1824" s="1" t="s">
        <v>17636</v>
      </c>
      <c r="B1824" s="1" t="s">
        <v>17637</v>
      </c>
      <c r="C1824" s="1" t="s">
        <v>3599</v>
      </c>
      <c r="D1824" s="1" t="s">
        <v>3599</v>
      </c>
      <c r="E1824" s="1" t="s">
        <v>5547</v>
      </c>
      <c r="F1824" s="1" t="s">
        <v>15689</v>
      </c>
      <c r="G1824">
        <v>206601</v>
      </c>
      <c r="H1824">
        <v>8</v>
      </c>
      <c r="I1824" s="1" t="s">
        <v>11063</v>
      </c>
      <c r="J1824" s="11">
        <v>44729.706458333334</v>
      </c>
      <c r="K1824" s="1" t="s">
        <v>5548</v>
      </c>
      <c r="L1824" s="1">
        <v>0.56200000000000006</v>
      </c>
      <c r="M1824" s="1">
        <v>0.77600000000000002</v>
      </c>
      <c r="N1824">
        <v>7</v>
      </c>
      <c r="O1824" s="1">
        <v>-5.5129999999999999</v>
      </c>
      <c r="P1824">
        <v>1</v>
      </c>
      <c r="Q1824" s="1">
        <v>0.33</v>
      </c>
      <c r="R1824" s="1">
        <v>0.13800000000000001</v>
      </c>
      <c r="S1824" s="1">
        <v>0.73199999999999998</v>
      </c>
      <c r="T1824" s="1">
        <v>0.29899999999999999</v>
      </c>
      <c r="U1824" s="1">
        <v>0.30199999999999999</v>
      </c>
      <c r="V1824" s="1">
        <v>127.998</v>
      </c>
      <c r="W1824">
        <v>4</v>
      </c>
    </row>
    <row r="1825" spans="1:23" x14ac:dyDescent="0.25">
      <c r="A1825" s="1" t="s">
        <v>17638</v>
      </c>
      <c r="B1825" s="1" t="s">
        <v>17639</v>
      </c>
      <c r="C1825" s="1" t="s">
        <v>5549</v>
      </c>
      <c r="D1825" s="1" t="s">
        <v>5549</v>
      </c>
      <c r="E1825" s="1" t="s">
        <v>5550</v>
      </c>
      <c r="F1825" s="1" t="s">
        <v>17640</v>
      </c>
      <c r="G1825">
        <v>265787</v>
      </c>
      <c r="H1825">
        <v>35</v>
      </c>
      <c r="I1825" s="1" t="s">
        <v>11063</v>
      </c>
      <c r="J1825" s="11">
        <v>44729.706458333334</v>
      </c>
      <c r="K1825" s="1" t="s">
        <v>1053</v>
      </c>
      <c r="L1825" s="1">
        <v>0.60599999999999998</v>
      </c>
      <c r="M1825" s="1">
        <v>0.77300000000000002</v>
      </c>
      <c r="N1825">
        <v>5</v>
      </c>
      <c r="O1825" s="1">
        <v>-5.593</v>
      </c>
      <c r="P1825">
        <v>1</v>
      </c>
      <c r="Q1825" s="1">
        <v>0.312</v>
      </c>
      <c r="R1825" s="1">
        <v>0.35599999999999998</v>
      </c>
      <c r="S1825" s="1">
        <v>0.49299999999999999</v>
      </c>
      <c r="T1825" s="1">
        <v>0.11700000000000001</v>
      </c>
      <c r="U1825" s="1">
        <v>0.53300000000000003</v>
      </c>
      <c r="V1825" s="1">
        <v>109.97199999999999</v>
      </c>
      <c r="W1825">
        <v>4</v>
      </c>
    </row>
    <row r="1826" spans="1:23" x14ac:dyDescent="0.25">
      <c r="A1826" s="1" t="s">
        <v>17641</v>
      </c>
      <c r="B1826" s="1" t="s">
        <v>17642</v>
      </c>
      <c r="C1826" s="1" t="s">
        <v>5551</v>
      </c>
      <c r="D1826" s="1" t="s">
        <v>5551</v>
      </c>
      <c r="E1826" s="1" t="s">
        <v>5552</v>
      </c>
      <c r="F1826" s="1" t="s">
        <v>17277</v>
      </c>
      <c r="G1826">
        <v>223500</v>
      </c>
      <c r="H1826">
        <v>44</v>
      </c>
      <c r="I1826" s="1" t="s">
        <v>11063</v>
      </c>
      <c r="J1826" s="11">
        <v>44729.706458333334</v>
      </c>
      <c r="K1826" s="1" t="s">
        <v>2376</v>
      </c>
      <c r="L1826" s="1">
        <v>0.624</v>
      </c>
      <c r="M1826" s="1">
        <v>0.63800000000000001</v>
      </c>
      <c r="N1826">
        <v>7</v>
      </c>
      <c r="O1826" s="1">
        <v>-8.0749999999999993</v>
      </c>
      <c r="P1826">
        <v>0</v>
      </c>
      <c r="Q1826" s="1">
        <v>0.48199999999999998</v>
      </c>
      <c r="R1826" s="1">
        <v>0.246</v>
      </c>
      <c r="S1826" s="1">
        <v>0.2</v>
      </c>
      <c r="T1826" s="1">
        <v>0.93899999999999995</v>
      </c>
      <c r="U1826" s="1">
        <v>0.23799999999999999</v>
      </c>
      <c r="V1826" s="1">
        <v>160.001</v>
      </c>
      <c r="W1826">
        <v>4</v>
      </c>
    </row>
    <row r="1827" spans="1:23" x14ac:dyDescent="0.25">
      <c r="A1827" s="1" t="s">
        <v>17643</v>
      </c>
      <c r="B1827" s="1" t="s">
        <v>13969</v>
      </c>
      <c r="C1827" s="1" t="s">
        <v>5553</v>
      </c>
      <c r="D1827" s="1" t="s">
        <v>5553</v>
      </c>
      <c r="E1827" s="1" t="s">
        <v>2375</v>
      </c>
      <c r="F1827" s="1" t="s">
        <v>15363</v>
      </c>
      <c r="G1827">
        <v>208285</v>
      </c>
      <c r="H1827">
        <v>54</v>
      </c>
      <c r="I1827" s="1" t="s">
        <v>11063</v>
      </c>
      <c r="J1827" s="11">
        <v>44729.706458333334</v>
      </c>
      <c r="K1827" s="1" t="s">
        <v>2376</v>
      </c>
      <c r="L1827" s="1">
        <v>0.7</v>
      </c>
      <c r="M1827" s="1">
        <v>0.58099999999999996</v>
      </c>
      <c r="N1827">
        <v>1</v>
      </c>
      <c r="O1827" s="1">
        <v>-8.4930000000000003</v>
      </c>
      <c r="P1827">
        <v>0</v>
      </c>
      <c r="Q1827" s="1">
        <v>0.77900000000000003</v>
      </c>
      <c r="R1827" s="1">
        <v>0.11799999999999999</v>
      </c>
      <c r="S1827" s="1">
        <v>0.19600000000000001</v>
      </c>
      <c r="T1827" s="1">
        <v>0.13500000000000001</v>
      </c>
      <c r="U1827" s="1">
        <v>0.16500000000000001</v>
      </c>
      <c r="V1827" s="1">
        <v>140.01900000000001</v>
      </c>
      <c r="W1827">
        <v>4</v>
      </c>
    </row>
    <row r="1828" spans="1:23" x14ac:dyDescent="0.25">
      <c r="A1828" s="1" t="s">
        <v>17644</v>
      </c>
      <c r="B1828" s="1" t="s">
        <v>13969</v>
      </c>
      <c r="C1828" s="1" t="s">
        <v>5554</v>
      </c>
      <c r="D1828" s="1" t="s">
        <v>17645</v>
      </c>
      <c r="E1828" s="1" t="s">
        <v>2375</v>
      </c>
      <c r="F1828" s="1" t="s">
        <v>17646</v>
      </c>
      <c r="G1828">
        <v>154615</v>
      </c>
      <c r="H1828">
        <v>24</v>
      </c>
      <c r="I1828" s="1" t="s">
        <v>11063</v>
      </c>
      <c r="J1828" s="11">
        <v>44729.706458333334</v>
      </c>
      <c r="K1828" s="1" t="s">
        <v>2376</v>
      </c>
      <c r="L1828" s="1">
        <v>0.69</v>
      </c>
      <c r="M1828" s="1">
        <v>0.39300000000000002</v>
      </c>
      <c r="N1828">
        <v>10</v>
      </c>
      <c r="O1828" s="1">
        <v>-9.7430000000000003</v>
      </c>
      <c r="P1828">
        <v>0</v>
      </c>
      <c r="Q1828" s="1">
        <v>0.39100000000000001</v>
      </c>
      <c r="R1828" s="1">
        <v>0.29399999999999998</v>
      </c>
      <c r="S1828" s="1">
        <v>0.70899999999999996</v>
      </c>
      <c r="T1828" s="1">
        <v>0.11</v>
      </c>
      <c r="U1828" s="1">
        <v>0.378</v>
      </c>
      <c r="V1828" s="1">
        <v>130.03399999999999</v>
      </c>
      <c r="W1828">
        <v>4</v>
      </c>
    </row>
    <row r="1829" spans="1:23" x14ac:dyDescent="0.25">
      <c r="A1829" s="1" t="s">
        <v>17647</v>
      </c>
      <c r="B1829" s="1" t="s">
        <v>13969</v>
      </c>
      <c r="C1829" s="1" t="s">
        <v>5555</v>
      </c>
      <c r="D1829" s="1" t="s">
        <v>17645</v>
      </c>
      <c r="E1829" s="1" t="s">
        <v>2375</v>
      </c>
      <c r="F1829" s="1" t="s">
        <v>17646</v>
      </c>
      <c r="G1829">
        <v>226981</v>
      </c>
      <c r="H1829">
        <v>20</v>
      </c>
      <c r="I1829" s="1" t="s">
        <v>11063</v>
      </c>
      <c r="J1829" s="11">
        <v>44729.706458333334</v>
      </c>
      <c r="K1829" s="1" t="s">
        <v>2376</v>
      </c>
      <c r="L1829" s="1">
        <v>0.69299999999999995</v>
      </c>
      <c r="M1829" s="1">
        <v>0.72499999999999998</v>
      </c>
      <c r="N1829">
        <v>0</v>
      </c>
      <c r="O1829" s="1">
        <v>-7.2969999999999997</v>
      </c>
      <c r="P1829">
        <v>0</v>
      </c>
      <c r="Q1829" s="1">
        <v>0.32100000000000001</v>
      </c>
      <c r="R1829" s="1">
        <v>0.121</v>
      </c>
      <c r="S1829" s="1">
        <v>0.27800000000000002</v>
      </c>
      <c r="T1829" s="1">
        <v>0.214</v>
      </c>
      <c r="U1829" s="1">
        <v>0.44700000000000001</v>
      </c>
      <c r="V1829" s="1">
        <v>105.961</v>
      </c>
      <c r="W1829">
        <v>4</v>
      </c>
    </row>
    <row r="1830" spans="1:23" x14ac:dyDescent="0.25">
      <c r="A1830" s="1" t="s">
        <v>17648</v>
      </c>
      <c r="B1830" s="1" t="s">
        <v>13969</v>
      </c>
      <c r="C1830" s="1" t="s">
        <v>5556</v>
      </c>
      <c r="D1830" s="1" t="s">
        <v>17645</v>
      </c>
      <c r="E1830" s="1" t="s">
        <v>2375</v>
      </c>
      <c r="F1830" s="1" t="s">
        <v>17646</v>
      </c>
      <c r="G1830">
        <v>132000</v>
      </c>
      <c r="H1830">
        <v>22</v>
      </c>
      <c r="I1830" s="1" t="s">
        <v>11063</v>
      </c>
      <c r="J1830" s="11">
        <v>44729.706458333334</v>
      </c>
      <c r="K1830" s="1" t="s">
        <v>2376</v>
      </c>
      <c r="L1830" s="1">
        <v>0.75600000000000001</v>
      </c>
      <c r="M1830" s="1">
        <v>0.80800000000000005</v>
      </c>
      <c r="N1830">
        <v>6</v>
      </c>
      <c r="O1830" s="1">
        <v>-9.2650000000000006</v>
      </c>
      <c r="P1830">
        <v>1</v>
      </c>
      <c r="Q1830" s="1">
        <v>0.44</v>
      </c>
      <c r="R1830" s="1">
        <v>0.871</v>
      </c>
      <c r="S1830" s="1">
        <v>0.66400000000000003</v>
      </c>
      <c r="T1830" s="1">
        <v>0.66700000000000004</v>
      </c>
      <c r="U1830" s="1">
        <v>0.55000000000000004</v>
      </c>
      <c r="V1830" s="1">
        <v>119.971</v>
      </c>
      <c r="W1830">
        <v>4</v>
      </c>
    </row>
    <row r="1831" spans="1:23" x14ac:dyDescent="0.25">
      <c r="A1831" s="1" t="s">
        <v>17649</v>
      </c>
      <c r="B1831" s="1" t="s">
        <v>13969</v>
      </c>
      <c r="C1831" s="1" t="s">
        <v>5557</v>
      </c>
      <c r="D1831" s="1" t="s">
        <v>5557</v>
      </c>
      <c r="E1831" s="1" t="s">
        <v>2375</v>
      </c>
      <c r="F1831" s="1" t="s">
        <v>17650</v>
      </c>
      <c r="G1831">
        <v>142831</v>
      </c>
      <c r="H1831">
        <v>36</v>
      </c>
      <c r="I1831" s="1" t="s">
        <v>11063</v>
      </c>
      <c r="J1831" s="11">
        <v>44729.706458333334</v>
      </c>
      <c r="K1831" s="1" t="s">
        <v>2376</v>
      </c>
      <c r="L1831" s="1">
        <v>0.67500000000000004</v>
      </c>
      <c r="M1831" s="1">
        <v>0.42699999999999999</v>
      </c>
      <c r="N1831">
        <v>1</v>
      </c>
      <c r="O1831" s="1">
        <v>-8.1180000000000003</v>
      </c>
      <c r="P1831">
        <v>1</v>
      </c>
      <c r="Q1831" s="1">
        <v>0.35399999999999998</v>
      </c>
      <c r="R1831" s="1">
        <v>0.55000000000000004</v>
      </c>
      <c r="S1831" s="1">
        <v>0.49</v>
      </c>
      <c r="T1831" s="1">
        <v>0.11799999999999999</v>
      </c>
      <c r="U1831" s="1">
        <v>0.29199999999999998</v>
      </c>
      <c r="V1831" s="1">
        <v>112.94799999999999</v>
      </c>
      <c r="W1831">
        <v>4</v>
      </c>
    </row>
    <row r="1832" spans="1:23" x14ac:dyDescent="0.25">
      <c r="A1832" s="1" t="s">
        <v>11199</v>
      </c>
      <c r="B1832" s="1" t="s">
        <v>11200</v>
      </c>
      <c r="C1832" s="1" t="s">
        <v>457</v>
      </c>
      <c r="D1832" s="1" t="s">
        <v>11201</v>
      </c>
      <c r="E1832" s="1" t="s">
        <v>458</v>
      </c>
      <c r="F1832" s="1" t="s">
        <v>17651</v>
      </c>
      <c r="G1832">
        <v>209438</v>
      </c>
      <c r="H1832">
        <v>79</v>
      </c>
      <c r="I1832" s="1" t="s">
        <v>11063</v>
      </c>
      <c r="J1832" s="11">
        <v>44729.706458333334</v>
      </c>
      <c r="K1832" s="1" t="s">
        <v>459</v>
      </c>
      <c r="L1832" s="1">
        <v>0.82399999999999995</v>
      </c>
      <c r="M1832" s="1">
        <v>0.58799999999999997</v>
      </c>
      <c r="N1832">
        <v>6</v>
      </c>
      <c r="O1832" s="1">
        <v>-6.4</v>
      </c>
      <c r="P1832">
        <v>0</v>
      </c>
      <c r="Q1832" s="1">
        <v>0.92400000000000004</v>
      </c>
      <c r="R1832" s="1">
        <v>0.69199999999999995</v>
      </c>
      <c r="S1832" s="1">
        <v>0.104</v>
      </c>
      <c r="T1832" s="1">
        <v>0.14899999999999999</v>
      </c>
      <c r="U1832" s="1">
        <v>0.51300000000000001</v>
      </c>
      <c r="V1832" s="1">
        <v>98.027000000000001</v>
      </c>
      <c r="W1832">
        <v>4</v>
      </c>
    </row>
    <row r="1833" spans="1:23" x14ac:dyDescent="0.25">
      <c r="A1833" s="1" t="s">
        <v>17652</v>
      </c>
      <c r="B1833" s="1" t="s">
        <v>17653</v>
      </c>
      <c r="C1833" s="1" t="s">
        <v>5558</v>
      </c>
      <c r="D1833" s="1" t="s">
        <v>5558</v>
      </c>
      <c r="E1833" s="1" t="s">
        <v>5559</v>
      </c>
      <c r="F1833" s="1" t="s">
        <v>14767</v>
      </c>
      <c r="G1833">
        <v>188209</v>
      </c>
      <c r="H1833">
        <v>0</v>
      </c>
      <c r="I1833" s="1" t="s">
        <v>11063</v>
      </c>
      <c r="J1833" s="11">
        <v>44729.706458333334</v>
      </c>
      <c r="K1833" s="1" t="s">
        <v>933</v>
      </c>
      <c r="L1833" s="1">
        <v>0.72399999999999998</v>
      </c>
      <c r="M1833" s="1">
        <v>0.88300000000000001</v>
      </c>
      <c r="N1833">
        <v>1</v>
      </c>
      <c r="O1833" s="1">
        <v>-2.879</v>
      </c>
      <c r="P1833">
        <v>0</v>
      </c>
      <c r="Q1833" s="1">
        <v>0.11</v>
      </c>
      <c r="R1833" s="1">
        <v>0.26700000000000002</v>
      </c>
      <c r="S1833" s="1">
        <v>0</v>
      </c>
      <c r="T1833" s="1">
        <v>0.35799999999999998</v>
      </c>
      <c r="U1833" s="1">
        <v>0.629</v>
      </c>
      <c r="V1833" s="1">
        <v>101.983</v>
      </c>
      <c r="W1833">
        <v>4</v>
      </c>
    </row>
    <row r="1834" spans="1:23" x14ac:dyDescent="0.25">
      <c r="A1834" s="1" t="s">
        <v>17654</v>
      </c>
      <c r="B1834" s="1" t="s">
        <v>17655</v>
      </c>
      <c r="C1834" s="1" t="s">
        <v>5560</v>
      </c>
      <c r="D1834" s="1" t="s">
        <v>17656</v>
      </c>
      <c r="E1834" s="1" t="s">
        <v>5561</v>
      </c>
      <c r="F1834" s="1" t="s">
        <v>16694</v>
      </c>
      <c r="G1834">
        <v>204133</v>
      </c>
      <c r="H1834">
        <v>51</v>
      </c>
      <c r="I1834" s="1" t="s">
        <v>11063</v>
      </c>
      <c r="J1834" s="11">
        <v>44729.706458333334</v>
      </c>
      <c r="K1834" s="1" t="s">
        <v>1041</v>
      </c>
      <c r="L1834" s="1">
        <v>0.878</v>
      </c>
      <c r="M1834" s="1">
        <v>0.47699999999999998</v>
      </c>
      <c r="N1834">
        <v>7</v>
      </c>
      <c r="O1834" s="1">
        <v>-7.431</v>
      </c>
      <c r="P1834">
        <v>0</v>
      </c>
      <c r="Q1834" s="1">
        <v>0.44800000000000001</v>
      </c>
      <c r="R1834" s="1">
        <v>0.183</v>
      </c>
      <c r="S1834" s="1">
        <v>0.29899999999999999</v>
      </c>
      <c r="T1834" s="1">
        <v>0.72899999999999998</v>
      </c>
      <c r="U1834" s="1">
        <v>0.78700000000000003</v>
      </c>
      <c r="V1834" s="1">
        <v>119.967</v>
      </c>
      <c r="W1834">
        <v>4</v>
      </c>
    </row>
    <row r="1835" spans="1:23" x14ac:dyDescent="0.25">
      <c r="A1835" s="1" t="s">
        <v>17657</v>
      </c>
      <c r="B1835" s="1" t="s">
        <v>17655</v>
      </c>
      <c r="C1835" s="1" t="s">
        <v>5562</v>
      </c>
      <c r="D1835" s="1" t="s">
        <v>17656</v>
      </c>
      <c r="E1835" s="1" t="s">
        <v>5561</v>
      </c>
      <c r="F1835" s="1" t="s">
        <v>16694</v>
      </c>
      <c r="G1835">
        <v>222493</v>
      </c>
      <c r="H1835">
        <v>53</v>
      </c>
      <c r="I1835" s="1" t="s">
        <v>11063</v>
      </c>
      <c r="J1835" s="11">
        <v>44729.706458333334</v>
      </c>
      <c r="K1835" s="1" t="s">
        <v>1041</v>
      </c>
      <c r="L1835" s="1">
        <v>0.68500000000000005</v>
      </c>
      <c r="M1835" s="1">
        <v>0.61099999999999999</v>
      </c>
      <c r="N1835">
        <v>8</v>
      </c>
      <c r="O1835" s="1">
        <v>-8.0570000000000004</v>
      </c>
      <c r="P1835">
        <v>0</v>
      </c>
      <c r="Q1835" s="1">
        <v>0.68</v>
      </c>
      <c r="R1835" s="1">
        <v>0.18099999999999999</v>
      </c>
      <c r="S1835" s="1">
        <v>0.66400000000000003</v>
      </c>
      <c r="T1835" s="1">
        <v>0.35</v>
      </c>
      <c r="U1835" s="1">
        <v>0.59799999999999998</v>
      </c>
      <c r="V1835" s="1">
        <v>184.05500000000001</v>
      </c>
      <c r="W1835">
        <v>4</v>
      </c>
    </row>
    <row r="1836" spans="1:23" x14ac:dyDescent="0.25">
      <c r="A1836" s="1" t="s">
        <v>17658</v>
      </c>
      <c r="B1836" s="1" t="s">
        <v>11439</v>
      </c>
      <c r="C1836" s="1" t="s">
        <v>5563</v>
      </c>
      <c r="D1836" s="1" t="s">
        <v>17659</v>
      </c>
      <c r="E1836" s="1" t="s">
        <v>208</v>
      </c>
      <c r="F1836" s="1" t="s">
        <v>14440</v>
      </c>
      <c r="G1836">
        <v>183306</v>
      </c>
      <c r="H1836">
        <v>64</v>
      </c>
      <c r="I1836" s="1" t="s">
        <v>11063</v>
      </c>
      <c r="J1836" s="11">
        <v>44729.706458333334</v>
      </c>
      <c r="K1836" s="1" t="s">
        <v>209</v>
      </c>
      <c r="L1836" s="1">
        <v>0.78900000000000003</v>
      </c>
      <c r="M1836" s="1">
        <v>0.63300000000000001</v>
      </c>
      <c r="N1836">
        <v>2</v>
      </c>
      <c r="O1836" s="1">
        <v>-6.2690000000000001</v>
      </c>
      <c r="P1836">
        <v>1</v>
      </c>
      <c r="Q1836" s="1">
        <v>0.73399999999999999</v>
      </c>
      <c r="R1836" s="1">
        <v>0.25600000000000001</v>
      </c>
      <c r="S1836" s="1">
        <v>0.13100000000000001</v>
      </c>
      <c r="T1836" s="1">
        <v>0.92</v>
      </c>
      <c r="U1836" s="1">
        <v>0.26200000000000001</v>
      </c>
      <c r="V1836" s="1">
        <v>138.09700000000001</v>
      </c>
      <c r="W1836">
        <v>4</v>
      </c>
    </row>
    <row r="1837" spans="1:23" x14ac:dyDescent="0.25">
      <c r="A1837" s="1" t="s">
        <v>17660</v>
      </c>
      <c r="B1837" s="1" t="s">
        <v>11439</v>
      </c>
      <c r="C1837" s="1" t="s">
        <v>5564</v>
      </c>
      <c r="D1837" s="1" t="s">
        <v>17659</v>
      </c>
      <c r="E1837" s="1" t="s">
        <v>208</v>
      </c>
      <c r="F1837" s="1" t="s">
        <v>14440</v>
      </c>
      <c r="G1837">
        <v>168093</v>
      </c>
      <c r="H1837">
        <v>56</v>
      </c>
      <c r="I1837" s="1" t="s">
        <v>11063</v>
      </c>
      <c r="J1837" s="11">
        <v>44729.706458333334</v>
      </c>
      <c r="K1837" s="1" t="s">
        <v>209</v>
      </c>
      <c r="L1837" s="1">
        <v>0.88400000000000001</v>
      </c>
      <c r="M1837" s="1">
        <v>0.67900000000000005</v>
      </c>
      <c r="N1837">
        <v>11</v>
      </c>
      <c r="O1837" s="1">
        <v>-6.0510000000000002</v>
      </c>
      <c r="P1837">
        <v>1</v>
      </c>
      <c r="Q1837" s="1">
        <v>0.89900000000000002</v>
      </c>
      <c r="R1837" s="1">
        <v>0.20499999999999999</v>
      </c>
      <c r="S1837" s="1">
        <v>0.17199999999999999</v>
      </c>
      <c r="T1837" s="1">
        <v>0.115</v>
      </c>
      <c r="U1837" s="1">
        <v>0.48899999999999999</v>
      </c>
      <c r="V1837" s="1">
        <v>146.02099999999999</v>
      </c>
      <c r="W1837">
        <v>4</v>
      </c>
    </row>
    <row r="1838" spans="1:23" x14ac:dyDescent="0.25">
      <c r="A1838" s="1" t="s">
        <v>17661</v>
      </c>
      <c r="B1838" s="1" t="s">
        <v>17662</v>
      </c>
      <c r="C1838" s="1" t="s">
        <v>5565</v>
      </c>
      <c r="D1838" s="1" t="s">
        <v>17663</v>
      </c>
      <c r="E1838" s="1" t="s">
        <v>5566</v>
      </c>
      <c r="F1838" s="1" t="s">
        <v>17664</v>
      </c>
      <c r="G1838">
        <v>270840</v>
      </c>
      <c r="H1838">
        <v>58</v>
      </c>
      <c r="I1838" s="1" t="s">
        <v>11063</v>
      </c>
      <c r="J1838" s="11">
        <v>44729.706458333334</v>
      </c>
      <c r="K1838" s="1" t="s">
        <v>5567</v>
      </c>
      <c r="L1838" s="1">
        <v>0.67</v>
      </c>
      <c r="M1838" s="1">
        <v>0.73699999999999999</v>
      </c>
      <c r="N1838">
        <v>3</v>
      </c>
      <c r="O1838" s="1">
        <v>-6.6630000000000003</v>
      </c>
      <c r="P1838">
        <v>0</v>
      </c>
      <c r="Q1838" s="1">
        <v>0.29099999999999998</v>
      </c>
      <c r="R1838" s="1">
        <v>0.45</v>
      </c>
      <c r="S1838" s="1">
        <v>0</v>
      </c>
      <c r="T1838" s="1">
        <v>0.19900000000000001</v>
      </c>
      <c r="U1838" s="1">
        <v>0.45700000000000002</v>
      </c>
      <c r="V1838" s="1">
        <v>128.56200000000001</v>
      </c>
      <c r="W1838">
        <v>4</v>
      </c>
    </row>
    <row r="1839" spans="1:23" x14ac:dyDescent="0.25">
      <c r="A1839" s="1" t="s">
        <v>17665</v>
      </c>
      <c r="B1839" s="1" t="s">
        <v>11374</v>
      </c>
      <c r="C1839" s="1" t="s">
        <v>5568</v>
      </c>
      <c r="D1839" s="1" t="s">
        <v>17663</v>
      </c>
      <c r="E1839" s="1" t="s">
        <v>160</v>
      </c>
      <c r="F1839" s="1" t="s">
        <v>17664</v>
      </c>
      <c r="G1839">
        <v>200786</v>
      </c>
      <c r="H1839">
        <v>55</v>
      </c>
      <c r="I1839" s="1" t="s">
        <v>11063</v>
      </c>
      <c r="J1839" s="11">
        <v>44729.706458333334</v>
      </c>
      <c r="K1839" s="1" t="s">
        <v>2647</v>
      </c>
      <c r="L1839" s="1">
        <v>0.73099999999999998</v>
      </c>
      <c r="M1839" s="1">
        <v>0.505</v>
      </c>
      <c r="N1839">
        <v>5</v>
      </c>
      <c r="O1839" s="1">
        <v>-7.665</v>
      </c>
      <c r="P1839">
        <v>0</v>
      </c>
      <c r="Q1839" s="1">
        <v>0.378</v>
      </c>
      <c r="R1839" s="1">
        <v>0.253</v>
      </c>
      <c r="S1839" s="1">
        <v>0.17</v>
      </c>
      <c r="T1839" s="1">
        <v>0.17799999999999999</v>
      </c>
      <c r="U1839" s="1">
        <v>0.14299999999999999</v>
      </c>
      <c r="V1839" s="1">
        <v>126.961</v>
      </c>
      <c r="W1839">
        <v>4</v>
      </c>
    </row>
    <row r="1840" spans="1:23" x14ac:dyDescent="0.25">
      <c r="A1840" s="1" t="s">
        <v>17666</v>
      </c>
      <c r="B1840" s="1" t="s">
        <v>17667</v>
      </c>
      <c r="C1840" s="1" t="s">
        <v>5569</v>
      </c>
      <c r="D1840" s="1" t="s">
        <v>17668</v>
      </c>
      <c r="E1840" s="1" t="s">
        <v>5570</v>
      </c>
      <c r="F1840" s="1" t="s">
        <v>11689</v>
      </c>
      <c r="G1840">
        <v>212213</v>
      </c>
      <c r="H1840">
        <v>49</v>
      </c>
      <c r="I1840" s="1" t="s">
        <v>11063</v>
      </c>
      <c r="J1840" s="11">
        <v>44729.706458333334</v>
      </c>
      <c r="K1840" s="1" t="s">
        <v>5571</v>
      </c>
      <c r="L1840" s="1">
        <v>0.66400000000000003</v>
      </c>
      <c r="M1840" s="1">
        <v>0.79700000000000004</v>
      </c>
      <c r="N1840">
        <v>1</v>
      </c>
      <c r="O1840" s="1">
        <v>-5.2919999999999998</v>
      </c>
      <c r="P1840">
        <v>1</v>
      </c>
      <c r="Q1840" s="1">
        <v>0.14199999999999999</v>
      </c>
      <c r="R1840" s="1">
        <v>0.26</v>
      </c>
      <c r="S1840" s="1">
        <v>0</v>
      </c>
      <c r="T1840" s="1">
        <v>0.67300000000000004</v>
      </c>
      <c r="U1840" s="1">
        <v>0.152</v>
      </c>
      <c r="V1840" s="1">
        <v>121.024</v>
      </c>
      <c r="W1840">
        <v>4</v>
      </c>
    </row>
    <row r="1841" spans="1:23" x14ac:dyDescent="0.25">
      <c r="A1841" s="1" t="s">
        <v>17669</v>
      </c>
      <c r="B1841" s="1" t="s">
        <v>11374</v>
      </c>
      <c r="C1841" s="1" t="s">
        <v>5572</v>
      </c>
      <c r="D1841" s="1" t="s">
        <v>17668</v>
      </c>
      <c r="E1841" s="1" t="s">
        <v>160</v>
      </c>
      <c r="F1841" s="1" t="s">
        <v>11689</v>
      </c>
      <c r="G1841">
        <v>214826</v>
      </c>
      <c r="H1841">
        <v>61</v>
      </c>
      <c r="I1841" s="1" t="s">
        <v>11063</v>
      </c>
      <c r="J1841" s="11">
        <v>44729.706458333334</v>
      </c>
      <c r="K1841" s="1" t="s">
        <v>2647</v>
      </c>
      <c r="L1841" s="1">
        <v>0.75</v>
      </c>
      <c r="M1841" s="1">
        <v>0.496</v>
      </c>
      <c r="N1841">
        <v>1</v>
      </c>
      <c r="O1841" s="1">
        <v>-8.4239999999999995</v>
      </c>
      <c r="P1841">
        <v>0</v>
      </c>
      <c r="Q1841" s="1">
        <v>0.35199999999999998</v>
      </c>
      <c r="R1841" s="1">
        <v>0.44800000000000001</v>
      </c>
      <c r="S1841" s="1">
        <v>0</v>
      </c>
      <c r="T1841" s="1">
        <v>0.11600000000000001</v>
      </c>
      <c r="U1841" s="1">
        <v>0.43099999999999999</v>
      </c>
      <c r="V1841" s="1">
        <v>150.108</v>
      </c>
      <c r="W1841">
        <v>4</v>
      </c>
    </row>
    <row r="1842" spans="1:23" x14ac:dyDescent="0.25">
      <c r="A1842" s="1" t="s">
        <v>17670</v>
      </c>
      <c r="B1842" s="1" t="s">
        <v>11374</v>
      </c>
      <c r="C1842" s="1" t="s">
        <v>5573</v>
      </c>
      <c r="D1842" s="1" t="s">
        <v>17671</v>
      </c>
      <c r="E1842" s="1" t="s">
        <v>160</v>
      </c>
      <c r="F1842" s="1" t="s">
        <v>17672</v>
      </c>
      <c r="G1842">
        <v>311306</v>
      </c>
      <c r="H1842">
        <v>52</v>
      </c>
      <c r="I1842" s="1" t="s">
        <v>11063</v>
      </c>
      <c r="J1842" s="11">
        <v>44729.706458333334</v>
      </c>
      <c r="K1842" s="1" t="s">
        <v>2647</v>
      </c>
      <c r="L1842" s="1">
        <v>0.76900000000000002</v>
      </c>
      <c r="M1842" s="1">
        <v>0.83499999999999996</v>
      </c>
      <c r="N1842">
        <v>3</v>
      </c>
      <c r="O1842" s="1">
        <v>-5.657</v>
      </c>
      <c r="P1842">
        <v>1</v>
      </c>
      <c r="Q1842" s="1">
        <v>0.27400000000000002</v>
      </c>
      <c r="R1842" s="1">
        <v>0.186</v>
      </c>
      <c r="S1842" s="1">
        <v>0</v>
      </c>
      <c r="T1842" s="1">
        <v>0.309</v>
      </c>
      <c r="U1842" s="1">
        <v>0.443</v>
      </c>
      <c r="V1842" s="1">
        <v>132.91800000000001</v>
      </c>
      <c r="W1842">
        <v>4</v>
      </c>
    </row>
    <row r="1843" spans="1:23" x14ac:dyDescent="0.25">
      <c r="A1843" s="1" t="s">
        <v>17673</v>
      </c>
      <c r="B1843" s="1" t="s">
        <v>17674</v>
      </c>
      <c r="C1843" s="1" t="s">
        <v>3282</v>
      </c>
      <c r="D1843" s="1" t="s">
        <v>3282</v>
      </c>
      <c r="E1843" s="1" t="s">
        <v>5574</v>
      </c>
      <c r="F1843" s="1" t="s">
        <v>13766</v>
      </c>
      <c r="G1843">
        <v>227517</v>
      </c>
      <c r="H1843">
        <v>40</v>
      </c>
      <c r="I1843" s="1" t="s">
        <v>11063</v>
      </c>
      <c r="J1843" s="11">
        <v>44729.706458333334</v>
      </c>
      <c r="K1843" s="1" t="s">
        <v>933</v>
      </c>
      <c r="L1843" s="1">
        <v>0.59</v>
      </c>
      <c r="M1843" s="1">
        <v>0.63700000000000001</v>
      </c>
      <c r="N1843">
        <v>1</v>
      </c>
      <c r="O1843" s="1">
        <v>-5.71</v>
      </c>
      <c r="P1843">
        <v>0</v>
      </c>
      <c r="Q1843" s="1">
        <v>0.53100000000000003</v>
      </c>
      <c r="R1843" s="1">
        <v>0.91400000000000003</v>
      </c>
      <c r="S1843" s="1">
        <v>0.30599999999999999</v>
      </c>
      <c r="T1843" s="1">
        <v>0.25700000000000001</v>
      </c>
      <c r="U1843" s="1">
        <v>0.23100000000000001</v>
      </c>
      <c r="V1843" s="1">
        <v>141.97499999999999</v>
      </c>
      <c r="W1843">
        <v>4</v>
      </c>
    </row>
    <row r="1844" spans="1:23" x14ac:dyDescent="0.25">
      <c r="A1844" s="1" t="s">
        <v>17675</v>
      </c>
      <c r="B1844" s="1" t="s">
        <v>17676</v>
      </c>
      <c r="C1844" s="1" t="s">
        <v>5575</v>
      </c>
      <c r="D1844" s="1" t="s">
        <v>17677</v>
      </c>
      <c r="E1844" s="1" t="s">
        <v>5576</v>
      </c>
      <c r="F1844" s="1" t="s">
        <v>17678</v>
      </c>
      <c r="G1844">
        <v>182426</v>
      </c>
      <c r="H1844">
        <v>40</v>
      </c>
      <c r="I1844" s="1" t="s">
        <v>11063</v>
      </c>
      <c r="J1844" s="11">
        <v>44729.706458333334</v>
      </c>
      <c r="K1844" s="1" t="s">
        <v>5577</v>
      </c>
      <c r="L1844" s="1">
        <v>0.68799999999999994</v>
      </c>
      <c r="M1844" s="1">
        <v>0.45100000000000001</v>
      </c>
      <c r="N1844">
        <v>1</v>
      </c>
      <c r="O1844" s="1">
        <v>-6.4109999999999996</v>
      </c>
      <c r="P1844">
        <v>0</v>
      </c>
      <c r="Q1844" s="1">
        <v>0.246</v>
      </c>
      <c r="R1844" s="1">
        <v>0.21099999999999999</v>
      </c>
      <c r="S1844" s="1">
        <v>0</v>
      </c>
      <c r="T1844" s="1">
        <v>0.27200000000000002</v>
      </c>
      <c r="U1844" s="1">
        <v>0.60699999999999998</v>
      </c>
      <c r="V1844" s="1">
        <v>93.001999999999995</v>
      </c>
      <c r="W1844">
        <v>4</v>
      </c>
    </row>
    <row r="1845" spans="1:23" x14ac:dyDescent="0.25">
      <c r="A1845" s="1" t="s">
        <v>17679</v>
      </c>
      <c r="B1845" s="1" t="s">
        <v>17680</v>
      </c>
      <c r="C1845" s="1" t="s">
        <v>5578</v>
      </c>
      <c r="D1845" s="1" t="s">
        <v>17681</v>
      </c>
      <c r="E1845" s="1" t="s">
        <v>5579</v>
      </c>
      <c r="F1845" s="1" t="s">
        <v>11482</v>
      </c>
      <c r="G1845">
        <v>231382</v>
      </c>
      <c r="H1845">
        <v>33</v>
      </c>
      <c r="I1845" s="1" t="s">
        <v>11063</v>
      </c>
      <c r="J1845" s="11">
        <v>44729.706458333334</v>
      </c>
      <c r="K1845" s="1" t="s">
        <v>5580</v>
      </c>
      <c r="L1845" s="1">
        <v>0.745</v>
      </c>
      <c r="M1845" s="1">
        <v>0.65500000000000003</v>
      </c>
      <c r="N1845">
        <v>1</v>
      </c>
      <c r="O1845" s="1">
        <v>-4.2359999999999998</v>
      </c>
      <c r="P1845">
        <v>1</v>
      </c>
      <c r="Q1845" s="1">
        <v>0.73399999999999999</v>
      </c>
      <c r="R1845" s="1">
        <v>0.55500000000000005</v>
      </c>
      <c r="S1845" s="1">
        <v>0.37</v>
      </c>
      <c r="T1845" s="1">
        <v>0.52700000000000002</v>
      </c>
      <c r="U1845" s="1">
        <v>0.38800000000000001</v>
      </c>
      <c r="V1845" s="1">
        <v>94.031000000000006</v>
      </c>
      <c r="W1845">
        <v>4</v>
      </c>
    </row>
    <row r="1846" spans="1:23" x14ac:dyDescent="0.25">
      <c r="A1846" s="1" t="s">
        <v>17682</v>
      </c>
      <c r="B1846" s="1" t="s">
        <v>17683</v>
      </c>
      <c r="C1846" s="1" t="s">
        <v>5581</v>
      </c>
      <c r="D1846" s="1" t="s">
        <v>17684</v>
      </c>
      <c r="E1846" s="1" t="s">
        <v>5582</v>
      </c>
      <c r="F1846" s="1" t="s">
        <v>11626</v>
      </c>
      <c r="G1846">
        <v>201024</v>
      </c>
      <c r="H1846">
        <v>38</v>
      </c>
      <c r="I1846" s="1" t="s">
        <v>11063</v>
      </c>
      <c r="J1846" s="11">
        <v>44729.706458333334</v>
      </c>
      <c r="K1846" s="1" t="s">
        <v>5583</v>
      </c>
      <c r="L1846" s="1">
        <v>0.44400000000000001</v>
      </c>
      <c r="M1846" s="1">
        <v>0.63</v>
      </c>
      <c r="N1846">
        <v>0</v>
      </c>
      <c r="O1846" s="1">
        <v>-4.5540000000000003</v>
      </c>
      <c r="P1846">
        <v>0</v>
      </c>
      <c r="Q1846" s="1">
        <v>0.34100000000000003</v>
      </c>
      <c r="R1846" s="1">
        <v>0.74199999999999999</v>
      </c>
      <c r="S1846" s="1">
        <v>0</v>
      </c>
      <c r="T1846" s="1">
        <v>0.91500000000000004</v>
      </c>
      <c r="U1846" s="1">
        <v>0.28199999999999997</v>
      </c>
      <c r="V1846" s="1">
        <v>145.054</v>
      </c>
      <c r="W1846">
        <v>4</v>
      </c>
    </row>
    <row r="1847" spans="1:23" x14ac:dyDescent="0.25">
      <c r="A1847" s="1" t="s">
        <v>17685</v>
      </c>
      <c r="B1847" s="1" t="s">
        <v>17686</v>
      </c>
      <c r="C1847" s="1" t="s">
        <v>5584</v>
      </c>
      <c r="D1847" s="1" t="s">
        <v>14720</v>
      </c>
      <c r="E1847" s="1" t="s">
        <v>5585</v>
      </c>
      <c r="F1847" s="1" t="s">
        <v>13797</v>
      </c>
      <c r="G1847">
        <v>278400</v>
      </c>
      <c r="H1847">
        <v>51</v>
      </c>
      <c r="I1847" s="1" t="s">
        <v>11063</v>
      </c>
      <c r="J1847" s="11">
        <v>44729.706458333334</v>
      </c>
      <c r="K1847" s="1" t="s">
        <v>3019</v>
      </c>
      <c r="L1847" s="1">
        <v>0.498</v>
      </c>
      <c r="M1847" s="1">
        <v>0.77800000000000002</v>
      </c>
      <c r="N1847">
        <v>2</v>
      </c>
      <c r="O1847" s="1">
        <v>-3.2360000000000002</v>
      </c>
      <c r="P1847">
        <v>1</v>
      </c>
      <c r="Q1847" s="1">
        <v>0.50800000000000001</v>
      </c>
      <c r="R1847" s="1">
        <v>0.46300000000000002</v>
      </c>
      <c r="S1847" s="1">
        <v>0</v>
      </c>
      <c r="T1847" s="1">
        <v>0.10100000000000001</v>
      </c>
      <c r="U1847" s="1">
        <v>0.182</v>
      </c>
      <c r="V1847" s="1">
        <v>149.88999999999999</v>
      </c>
      <c r="W1847">
        <v>4</v>
      </c>
    </row>
    <row r="1848" spans="1:23" x14ac:dyDescent="0.25">
      <c r="A1848" s="1" t="s">
        <v>17687</v>
      </c>
      <c r="B1848" s="1" t="s">
        <v>17688</v>
      </c>
      <c r="C1848" s="1" t="s">
        <v>5586</v>
      </c>
      <c r="D1848" s="1" t="s">
        <v>17689</v>
      </c>
      <c r="E1848" s="1" t="s">
        <v>5587</v>
      </c>
      <c r="F1848" s="1" t="s">
        <v>17038</v>
      </c>
      <c r="G1848">
        <v>182386</v>
      </c>
      <c r="H1848">
        <v>55</v>
      </c>
      <c r="I1848" s="1" t="s">
        <v>11063</v>
      </c>
      <c r="J1848" s="11">
        <v>44729.706458333334</v>
      </c>
      <c r="K1848" s="1" t="s">
        <v>5588</v>
      </c>
      <c r="L1848" s="1">
        <v>0.78100000000000003</v>
      </c>
      <c r="M1848" s="1">
        <v>0.85399999999999998</v>
      </c>
      <c r="N1848">
        <v>11</v>
      </c>
      <c r="O1848" s="1">
        <v>-7.4109999999999996</v>
      </c>
      <c r="P1848">
        <v>0</v>
      </c>
      <c r="Q1848" s="1">
        <v>0.311</v>
      </c>
      <c r="R1848" s="1">
        <v>0.159</v>
      </c>
      <c r="S1848" s="1">
        <v>0.49299999999999999</v>
      </c>
      <c r="T1848" s="1">
        <v>0.15</v>
      </c>
      <c r="U1848" s="1">
        <v>0.49299999999999999</v>
      </c>
      <c r="V1848" s="1">
        <v>100.04300000000001</v>
      </c>
      <c r="W1848">
        <v>4</v>
      </c>
    </row>
    <row r="1849" spans="1:23" x14ac:dyDescent="0.25">
      <c r="A1849" s="1" t="s">
        <v>11157</v>
      </c>
      <c r="B1849" s="1" t="s">
        <v>11158</v>
      </c>
      <c r="C1849" s="1" t="s">
        <v>5589</v>
      </c>
      <c r="D1849" s="1" t="s">
        <v>5589</v>
      </c>
      <c r="E1849" s="1" t="s">
        <v>5590</v>
      </c>
      <c r="F1849" s="1" t="s">
        <v>14585</v>
      </c>
      <c r="G1849">
        <v>152812</v>
      </c>
      <c r="H1849">
        <v>46</v>
      </c>
      <c r="I1849" s="1" t="s">
        <v>11063</v>
      </c>
      <c r="J1849" s="11">
        <v>44729.706458333334</v>
      </c>
      <c r="K1849" s="1" t="s">
        <v>5591</v>
      </c>
      <c r="L1849" s="1">
        <v>0.69599999999999995</v>
      </c>
      <c r="M1849" s="1">
        <v>0.91300000000000003</v>
      </c>
      <c r="N1849">
        <v>5</v>
      </c>
      <c r="O1849" s="1">
        <v>-4.5419999999999998</v>
      </c>
      <c r="P1849">
        <v>0</v>
      </c>
      <c r="Q1849" s="1">
        <v>0.372</v>
      </c>
      <c r="R1849" s="1">
        <v>0.14699999999999999</v>
      </c>
      <c r="S1849" s="1">
        <v>0.23</v>
      </c>
      <c r="T1849" s="1">
        <v>0.81699999999999995</v>
      </c>
      <c r="U1849" s="1">
        <v>0.25</v>
      </c>
      <c r="V1849" s="1">
        <v>127.994</v>
      </c>
      <c r="W1849">
        <v>4</v>
      </c>
    </row>
    <row r="1850" spans="1:23" x14ac:dyDescent="0.25">
      <c r="A1850" s="1" t="s">
        <v>11155</v>
      </c>
      <c r="B1850" s="1" t="s">
        <v>11156</v>
      </c>
      <c r="C1850" s="1" t="s">
        <v>5592</v>
      </c>
      <c r="D1850" s="1" t="s">
        <v>5592</v>
      </c>
      <c r="E1850" s="1" t="s">
        <v>5593</v>
      </c>
      <c r="F1850" s="1" t="s">
        <v>16196</v>
      </c>
      <c r="G1850">
        <v>189125</v>
      </c>
      <c r="H1850">
        <v>21</v>
      </c>
      <c r="I1850" s="1" t="s">
        <v>11063</v>
      </c>
      <c r="J1850" s="11">
        <v>44729.706458333334</v>
      </c>
      <c r="K1850" s="1" t="s">
        <v>947</v>
      </c>
      <c r="L1850" s="1">
        <v>0.629</v>
      </c>
      <c r="M1850" s="1">
        <v>0.76700000000000002</v>
      </c>
      <c r="N1850">
        <v>10</v>
      </c>
      <c r="O1850" s="1">
        <v>-5.8520000000000003</v>
      </c>
      <c r="P1850">
        <v>0</v>
      </c>
      <c r="Q1850" s="1">
        <v>0.373</v>
      </c>
      <c r="R1850" s="1">
        <v>0.23300000000000001</v>
      </c>
      <c r="S1850" s="1">
        <v>0.40600000000000003</v>
      </c>
      <c r="T1850" s="1">
        <v>0.92500000000000004</v>
      </c>
      <c r="U1850" s="1">
        <v>0.33400000000000002</v>
      </c>
      <c r="V1850" s="1">
        <v>98.016999999999996</v>
      </c>
      <c r="W1850">
        <v>4</v>
      </c>
    </row>
    <row r="1851" spans="1:23" x14ac:dyDescent="0.25">
      <c r="A1851" s="1" t="s">
        <v>11159</v>
      </c>
      <c r="B1851" s="1" t="s">
        <v>11160</v>
      </c>
      <c r="C1851" s="1" t="s">
        <v>2885</v>
      </c>
      <c r="D1851" s="1" t="s">
        <v>2885</v>
      </c>
      <c r="E1851" s="1" t="s">
        <v>5594</v>
      </c>
      <c r="F1851" s="1" t="s">
        <v>17690</v>
      </c>
      <c r="G1851">
        <v>199970</v>
      </c>
      <c r="H1851">
        <v>32</v>
      </c>
      <c r="I1851" s="1" t="s">
        <v>11063</v>
      </c>
      <c r="J1851" s="11">
        <v>44729.706458333334</v>
      </c>
      <c r="K1851" s="1" t="s">
        <v>5595</v>
      </c>
      <c r="L1851" s="1">
        <v>0.65400000000000003</v>
      </c>
      <c r="M1851" s="1">
        <v>0.81100000000000005</v>
      </c>
      <c r="N1851">
        <v>10</v>
      </c>
      <c r="O1851" s="1">
        <v>-6.0519999999999996</v>
      </c>
      <c r="P1851">
        <v>0</v>
      </c>
      <c r="Q1851" s="1">
        <v>0.39100000000000001</v>
      </c>
      <c r="R1851" s="1">
        <v>0.107</v>
      </c>
      <c r="S1851" s="1">
        <v>0.26800000000000002</v>
      </c>
      <c r="T1851" s="1">
        <v>0.17100000000000001</v>
      </c>
      <c r="U1851" s="1">
        <v>0.29199999999999998</v>
      </c>
      <c r="V1851" s="1">
        <v>101.986</v>
      </c>
      <c r="W1851">
        <v>4</v>
      </c>
    </row>
    <row r="1852" spans="1:23" x14ac:dyDescent="0.25">
      <c r="A1852" s="1" t="s">
        <v>17691</v>
      </c>
      <c r="B1852" s="1" t="s">
        <v>17692</v>
      </c>
      <c r="C1852" s="1" t="s">
        <v>5596</v>
      </c>
      <c r="D1852" s="1" t="s">
        <v>5596</v>
      </c>
      <c r="E1852" s="1" t="s">
        <v>5597</v>
      </c>
      <c r="F1852" s="1" t="s">
        <v>17693</v>
      </c>
      <c r="G1852">
        <v>176561</v>
      </c>
      <c r="H1852">
        <v>0</v>
      </c>
      <c r="I1852" s="1" t="s">
        <v>11063</v>
      </c>
      <c r="J1852" s="11">
        <v>44729.706458333334</v>
      </c>
      <c r="K1852" s="1" t="s">
        <v>5598</v>
      </c>
      <c r="L1852" s="1">
        <v>0.71299999999999997</v>
      </c>
      <c r="M1852" s="1">
        <v>0.79</v>
      </c>
      <c r="N1852">
        <v>7</v>
      </c>
      <c r="O1852" s="1">
        <v>-4.6020000000000003</v>
      </c>
      <c r="P1852">
        <v>0</v>
      </c>
      <c r="Q1852" s="1">
        <v>0.57399999999999995</v>
      </c>
      <c r="R1852" s="1">
        <v>0.33900000000000002</v>
      </c>
      <c r="S1852" s="1">
        <v>0.86799999999999999</v>
      </c>
      <c r="T1852" s="1">
        <v>0.48499999999999999</v>
      </c>
      <c r="U1852" s="1">
        <v>0.308</v>
      </c>
      <c r="V1852" s="1">
        <v>98.010999999999996</v>
      </c>
      <c r="W1852">
        <v>4</v>
      </c>
    </row>
    <row r="1853" spans="1:23" x14ac:dyDescent="0.25">
      <c r="A1853" s="1" t="s">
        <v>17694</v>
      </c>
      <c r="B1853" s="1" t="s">
        <v>17695</v>
      </c>
      <c r="C1853" s="1" t="s">
        <v>5599</v>
      </c>
      <c r="D1853" s="1" t="s">
        <v>17696</v>
      </c>
      <c r="E1853" s="1" t="s">
        <v>5600</v>
      </c>
      <c r="F1853" s="1" t="s">
        <v>17697</v>
      </c>
      <c r="G1853">
        <v>206880</v>
      </c>
      <c r="H1853">
        <v>79</v>
      </c>
      <c r="I1853" s="1" t="s">
        <v>11063</v>
      </c>
      <c r="J1853" s="11">
        <v>44729.706458333334</v>
      </c>
      <c r="K1853" s="1" t="s">
        <v>5601</v>
      </c>
      <c r="L1853" s="1">
        <v>0.746</v>
      </c>
      <c r="M1853" s="1">
        <v>0.754</v>
      </c>
      <c r="N1853">
        <v>1</v>
      </c>
      <c r="O1853" s="1">
        <v>-6.6840000000000002</v>
      </c>
      <c r="P1853">
        <v>1</v>
      </c>
      <c r="Q1853" s="1">
        <v>0.67600000000000005</v>
      </c>
      <c r="R1853" s="1">
        <v>0.152</v>
      </c>
      <c r="S1853" s="1">
        <v>0</v>
      </c>
      <c r="T1853" s="1">
        <v>0.48599999999999999</v>
      </c>
      <c r="U1853" s="1">
        <v>0.746</v>
      </c>
      <c r="V1853" s="1">
        <v>149.88200000000001</v>
      </c>
      <c r="W1853">
        <v>4</v>
      </c>
    </row>
    <row r="1854" spans="1:23" x14ac:dyDescent="0.25">
      <c r="A1854" s="1" t="s">
        <v>17698</v>
      </c>
      <c r="B1854" s="1" t="s">
        <v>17695</v>
      </c>
      <c r="C1854" s="1" t="s">
        <v>5602</v>
      </c>
      <c r="D1854" s="1" t="s">
        <v>4409</v>
      </c>
      <c r="E1854" s="1" t="s">
        <v>5600</v>
      </c>
      <c r="F1854" s="1" t="s">
        <v>16107</v>
      </c>
      <c r="G1854">
        <v>187973</v>
      </c>
      <c r="H1854">
        <v>83</v>
      </c>
      <c r="I1854" s="1" t="s">
        <v>11063</v>
      </c>
      <c r="J1854" s="11">
        <v>44729.706458333334</v>
      </c>
      <c r="K1854" s="1" t="s">
        <v>5601</v>
      </c>
      <c r="L1854" s="1">
        <v>0.44400000000000001</v>
      </c>
      <c r="M1854" s="1">
        <v>0.81899999999999995</v>
      </c>
      <c r="N1854">
        <v>10</v>
      </c>
      <c r="O1854" s="1">
        <v>-4.0780000000000003</v>
      </c>
      <c r="P1854">
        <v>0</v>
      </c>
      <c r="Q1854" s="1">
        <v>0.34100000000000003</v>
      </c>
      <c r="R1854" s="1">
        <v>0.106</v>
      </c>
      <c r="S1854" s="1">
        <v>0</v>
      </c>
      <c r="T1854" s="1">
        <v>0.107</v>
      </c>
      <c r="U1854" s="1">
        <v>0.747</v>
      </c>
      <c r="V1854" s="1">
        <v>82.694999999999993</v>
      </c>
      <c r="W1854">
        <v>4</v>
      </c>
    </row>
    <row r="1855" spans="1:23" x14ac:dyDescent="0.25">
      <c r="A1855" s="1" t="s">
        <v>17699</v>
      </c>
      <c r="B1855" s="1" t="s">
        <v>17695</v>
      </c>
      <c r="C1855" s="1" t="s">
        <v>5603</v>
      </c>
      <c r="D1855" s="1" t="s">
        <v>17700</v>
      </c>
      <c r="E1855" s="1" t="s">
        <v>5600</v>
      </c>
      <c r="F1855" s="1" t="s">
        <v>16107</v>
      </c>
      <c r="G1855">
        <v>199440</v>
      </c>
      <c r="H1855">
        <v>85</v>
      </c>
      <c r="I1855" s="1" t="s">
        <v>11063</v>
      </c>
      <c r="J1855" s="11">
        <v>44729.706458333334</v>
      </c>
      <c r="K1855" s="1" t="s">
        <v>5601</v>
      </c>
      <c r="L1855" s="1">
        <v>0.86599999999999999</v>
      </c>
      <c r="M1855" s="1">
        <v>0.81299999999999994</v>
      </c>
      <c r="N1855">
        <v>11</v>
      </c>
      <c r="O1855" s="1">
        <v>-4.0629999999999997</v>
      </c>
      <c r="P1855">
        <v>0</v>
      </c>
      <c r="Q1855" s="1">
        <v>0.55400000000000005</v>
      </c>
      <c r="R1855" s="1">
        <v>0.38</v>
      </c>
      <c r="S1855" s="1">
        <v>0</v>
      </c>
      <c r="T1855" s="1">
        <v>0.77900000000000003</v>
      </c>
      <c r="U1855" s="1">
        <v>0.96899999999999997</v>
      </c>
      <c r="V1855" s="1">
        <v>121.998</v>
      </c>
      <c r="W1855">
        <v>4</v>
      </c>
    </row>
    <row r="1856" spans="1:23" x14ac:dyDescent="0.25">
      <c r="A1856" s="1" t="s">
        <v>17701</v>
      </c>
      <c r="B1856" s="1" t="s">
        <v>17702</v>
      </c>
      <c r="C1856" s="1" t="s">
        <v>5604</v>
      </c>
      <c r="D1856" s="1" t="s">
        <v>17703</v>
      </c>
      <c r="E1856" s="1" t="s">
        <v>5605</v>
      </c>
      <c r="F1856" s="1" t="s">
        <v>16130</v>
      </c>
      <c r="G1856">
        <v>217706</v>
      </c>
      <c r="H1856">
        <v>81</v>
      </c>
      <c r="I1856" s="1" t="s">
        <v>11063</v>
      </c>
      <c r="J1856" s="11">
        <v>44729.706458333334</v>
      </c>
      <c r="K1856" s="1" t="s">
        <v>5606</v>
      </c>
      <c r="L1856" s="1">
        <v>0.72799999999999998</v>
      </c>
      <c r="M1856" s="1">
        <v>0.56299999999999994</v>
      </c>
      <c r="N1856">
        <v>1</v>
      </c>
      <c r="O1856" s="1">
        <v>-8.0530000000000008</v>
      </c>
      <c r="P1856">
        <v>0</v>
      </c>
      <c r="Q1856" s="1">
        <v>0.13400000000000001</v>
      </c>
      <c r="R1856" s="1">
        <v>0.621</v>
      </c>
      <c r="S1856" s="1">
        <v>0</v>
      </c>
      <c r="T1856" s="1">
        <v>0.17899999999999999</v>
      </c>
      <c r="U1856" s="1">
        <v>0.35199999999999998</v>
      </c>
      <c r="V1856" s="1">
        <v>100.017</v>
      </c>
      <c r="W1856">
        <v>4</v>
      </c>
    </row>
    <row r="1857" spans="1:23" x14ac:dyDescent="0.25">
      <c r="A1857" s="1" t="s">
        <v>11161</v>
      </c>
      <c r="B1857" s="1" t="s">
        <v>11162</v>
      </c>
      <c r="C1857" s="1" t="s">
        <v>5607</v>
      </c>
      <c r="D1857" s="1" t="s">
        <v>11163</v>
      </c>
      <c r="E1857" s="1" t="s">
        <v>5608</v>
      </c>
      <c r="F1857" s="1" t="s">
        <v>17704</v>
      </c>
      <c r="G1857">
        <v>199919</v>
      </c>
      <c r="H1857">
        <v>3</v>
      </c>
      <c r="I1857" s="1" t="s">
        <v>11063</v>
      </c>
      <c r="J1857" s="11">
        <v>44729.706458333334</v>
      </c>
      <c r="K1857" s="1" t="s">
        <v>2939</v>
      </c>
      <c r="L1857" s="1">
        <v>0.67200000000000004</v>
      </c>
      <c r="M1857" s="1">
        <v>0.86399999999999999</v>
      </c>
      <c r="N1857">
        <v>9</v>
      </c>
      <c r="O1857" s="1">
        <v>-7.5960000000000001</v>
      </c>
      <c r="P1857">
        <v>0</v>
      </c>
      <c r="Q1857" s="1">
        <v>0.184</v>
      </c>
      <c r="R1857" s="1">
        <v>0.52200000000000002</v>
      </c>
      <c r="S1857" s="1">
        <v>0</v>
      </c>
      <c r="T1857" s="1">
        <v>0.13900000000000001</v>
      </c>
      <c r="U1857" s="1">
        <v>0.35599999999999998</v>
      </c>
      <c r="V1857" s="1">
        <v>160.19900000000001</v>
      </c>
      <c r="W1857">
        <v>4</v>
      </c>
    </row>
    <row r="1858" spans="1:23" x14ac:dyDescent="0.25">
      <c r="A1858" s="1" t="s">
        <v>17705</v>
      </c>
      <c r="B1858" s="1" t="s">
        <v>17706</v>
      </c>
      <c r="C1858" s="1" t="s">
        <v>5609</v>
      </c>
      <c r="D1858" s="1" t="s">
        <v>5609</v>
      </c>
      <c r="E1858" s="1" t="s">
        <v>5610</v>
      </c>
      <c r="F1858" s="1" t="s">
        <v>13652</v>
      </c>
      <c r="G1858">
        <v>139978</v>
      </c>
      <c r="H1858">
        <v>34</v>
      </c>
      <c r="I1858" s="1" t="s">
        <v>11063</v>
      </c>
      <c r="J1858" s="11">
        <v>44729.706458333334</v>
      </c>
      <c r="K1858" s="1" t="s">
        <v>5611</v>
      </c>
      <c r="L1858" s="1">
        <v>0.84099999999999997</v>
      </c>
      <c r="M1858" s="1">
        <v>0.57199999999999995</v>
      </c>
      <c r="N1858">
        <v>8</v>
      </c>
      <c r="O1858" s="1">
        <v>-7.1539999999999999</v>
      </c>
      <c r="P1858">
        <v>0</v>
      </c>
      <c r="Q1858" s="1">
        <v>0.88900000000000001</v>
      </c>
      <c r="R1858" s="1">
        <v>0.375</v>
      </c>
      <c r="S1858" s="1">
        <v>0</v>
      </c>
      <c r="T1858" s="1">
        <v>0.129</v>
      </c>
      <c r="U1858" s="1">
        <v>0.67200000000000004</v>
      </c>
      <c r="V1858" s="1">
        <v>120.07299999999999</v>
      </c>
      <c r="W1858">
        <v>4</v>
      </c>
    </row>
    <row r="1859" spans="1:23" x14ac:dyDescent="0.25">
      <c r="A1859" s="1" t="s">
        <v>17707</v>
      </c>
      <c r="B1859" s="1" t="s">
        <v>17708</v>
      </c>
      <c r="C1859" s="1" t="s">
        <v>5612</v>
      </c>
      <c r="D1859" s="1" t="s">
        <v>5612</v>
      </c>
      <c r="E1859" s="1" t="s">
        <v>5613</v>
      </c>
      <c r="F1859" s="1" t="s">
        <v>13652</v>
      </c>
      <c r="G1859">
        <v>159677</v>
      </c>
      <c r="H1859">
        <v>23</v>
      </c>
      <c r="I1859" s="1" t="s">
        <v>11063</v>
      </c>
      <c r="J1859" s="11">
        <v>44729.706458333334</v>
      </c>
      <c r="K1859" s="1" t="s">
        <v>5614</v>
      </c>
      <c r="L1859" s="1">
        <v>0.66200000000000003</v>
      </c>
      <c r="M1859" s="1">
        <v>0.76700000000000002</v>
      </c>
      <c r="N1859">
        <v>7</v>
      </c>
      <c r="O1859" s="1">
        <v>-7.2569999999999997</v>
      </c>
      <c r="P1859">
        <v>0</v>
      </c>
      <c r="Q1859" s="1">
        <v>0.33900000000000002</v>
      </c>
      <c r="R1859" s="1">
        <v>0.122</v>
      </c>
      <c r="S1859" s="1">
        <v>0.93300000000000005</v>
      </c>
      <c r="T1859" s="1">
        <v>0.186</v>
      </c>
      <c r="U1859" s="1">
        <v>0.61899999999999999</v>
      </c>
      <c r="V1859" s="1">
        <v>123.976</v>
      </c>
      <c r="W1859">
        <v>4</v>
      </c>
    </row>
    <row r="1860" spans="1:23" x14ac:dyDescent="0.25">
      <c r="A1860" s="1" t="s">
        <v>17709</v>
      </c>
      <c r="B1860" s="1" t="s">
        <v>17710</v>
      </c>
      <c r="C1860" s="1" t="s">
        <v>3936</v>
      </c>
      <c r="D1860" s="1" t="s">
        <v>3936</v>
      </c>
      <c r="E1860" s="1" t="s">
        <v>5615</v>
      </c>
      <c r="F1860" s="1" t="s">
        <v>17711</v>
      </c>
      <c r="G1860">
        <v>204400</v>
      </c>
      <c r="H1860">
        <v>32</v>
      </c>
      <c r="I1860" s="1" t="s">
        <v>11063</v>
      </c>
      <c r="J1860" s="11">
        <v>44729.706458333334</v>
      </c>
      <c r="K1860" s="1" t="s">
        <v>50</v>
      </c>
      <c r="L1860" s="1">
        <v>0.56799999999999995</v>
      </c>
      <c r="M1860" s="1">
        <v>0.27500000000000002</v>
      </c>
      <c r="N1860">
        <v>11</v>
      </c>
      <c r="O1860" s="1">
        <v>-12.106</v>
      </c>
      <c r="P1860">
        <v>1</v>
      </c>
      <c r="Q1860" s="1">
        <v>0.313</v>
      </c>
      <c r="R1860" s="1">
        <v>0.68</v>
      </c>
      <c r="S1860" s="1">
        <v>0.40799999999999997</v>
      </c>
      <c r="T1860" s="1">
        <v>0.125</v>
      </c>
      <c r="U1860" s="1">
        <v>0.69299999999999995</v>
      </c>
      <c r="V1860" s="1">
        <v>150.047</v>
      </c>
      <c r="W1860">
        <v>4</v>
      </c>
    </row>
    <row r="1861" spans="1:23" x14ac:dyDescent="0.25">
      <c r="A1861" s="1" t="s">
        <v>17712</v>
      </c>
      <c r="B1861" s="1" t="s">
        <v>17713</v>
      </c>
      <c r="C1861" s="1" t="s">
        <v>5616</v>
      </c>
      <c r="D1861" s="1" t="s">
        <v>17714</v>
      </c>
      <c r="E1861" s="1" t="s">
        <v>5617</v>
      </c>
      <c r="F1861" s="1" t="s">
        <v>11387</v>
      </c>
      <c r="G1861">
        <v>383893</v>
      </c>
      <c r="H1861">
        <v>68</v>
      </c>
      <c r="I1861" s="1" t="s">
        <v>11063</v>
      </c>
      <c r="J1861" s="11">
        <v>44729.706458333334</v>
      </c>
      <c r="K1861" s="1" t="s">
        <v>5618</v>
      </c>
      <c r="L1861" s="1">
        <v>0.73799999999999999</v>
      </c>
      <c r="M1861" s="1">
        <v>0.60699999999999998</v>
      </c>
      <c r="N1861">
        <v>8</v>
      </c>
      <c r="O1861" s="1">
        <v>-3.9329999999999998</v>
      </c>
      <c r="P1861">
        <v>0</v>
      </c>
      <c r="Q1861" s="1">
        <v>0.84499999999999997</v>
      </c>
      <c r="R1861" s="1">
        <v>0.74299999999999999</v>
      </c>
      <c r="S1861" s="1">
        <v>0.315</v>
      </c>
      <c r="T1861" s="1">
        <v>0.70099999999999996</v>
      </c>
      <c r="U1861" s="1">
        <v>0.77900000000000003</v>
      </c>
      <c r="V1861" s="1">
        <v>131.983</v>
      </c>
      <c r="W1861">
        <v>4</v>
      </c>
    </row>
    <row r="1862" spans="1:23" x14ac:dyDescent="0.25">
      <c r="A1862" s="1" t="s">
        <v>11164</v>
      </c>
      <c r="B1862" s="1" t="s">
        <v>11165</v>
      </c>
      <c r="C1862" s="1" t="s">
        <v>5619</v>
      </c>
      <c r="D1862" s="1" t="s">
        <v>11166</v>
      </c>
      <c r="E1862" s="1" t="s">
        <v>5620</v>
      </c>
      <c r="F1862" s="1" t="s">
        <v>16130</v>
      </c>
      <c r="G1862">
        <v>215400</v>
      </c>
      <c r="H1862">
        <v>34</v>
      </c>
      <c r="I1862" s="1" t="s">
        <v>11063</v>
      </c>
      <c r="J1862" s="11">
        <v>44729.706458333334</v>
      </c>
      <c r="K1862" s="1" t="s">
        <v>5621</v>
      </c>
      <c r="L1862" s="1">
        <v>0.51300000000000001</v>
      </c>
      <c r="M1862" s="1">
        <v>0.76600000000000001</v>
      </c>
      <c r="N1862">
        <v>9</v>
      </c>
      <c r="O1862" s="1">
        <v>-5.0229999999999997</v>
      </c>
      <c r="P1862">
        <v>0</v>
      </c>
      <c r="Q1862" s="1">
        <v>0.97399999999999998</v>
      </c>
      <c r="R1862" s="1">
        <v>0.152</v>
      </c>
      <c r="S1862" s="1">
        <v>0.94</v>
      </c>
      <c r="T1862" s="1">
        <v>0.33400000000000002</v>
      </c>
      <c r="U1862" s="1">
        <v>0.47499999999999998</v>
      </c>
      <c r="V1862" s="1">
        <v>156.04</v>
      </c>
      <c r="W1862">
        <v>4</v>
      </c>
    </row>
    <row r="1863" spans="1:23" x14ac:dyDescent="0.25">
      <c r="A1863" s="1" t="s">
        <v>17715</v>
      </c>
      <c r="B1863" s="1" t="s">
        <v>17716</v>
      </c>
      <c r="C1863" s="1" t="s">
        <v>5622</v>
      </c>
      <c r="D1863" s="1" t="s">
        <v>17717</v>
      </c>
      <c r="E1863" s="1" t="s">
        <v>5623</v>
      </c>
      <c r="F1863" s="1" t="s">
        <v>17718</v>
      </c>
      <c r="G1863">
        <v>284644</v>
      </c>
      <c r="H1863">
        <v>21</v>
      </c>
      <c r="I1863" s="1" t="s">
        <v>11063</v>
      </c>
      <c r="J1863" s="11">
        <v>44729.706458333334</v>
      </c>
      <c r="K1863" s="1" t="s">
        <v>50</v>
      </c>
      <c r="L1863" s="1">
        <v>0.29399999999999998</v>
      </c>
      <c r="M1863" s="1">
        <v>0.76200000000000001</v>
      </c>
      <c r="N1863">
        <v>11</v>
      </c>
      <c r="O1863" s="1">
        <v>-2.8839999999999999</v>
      </c>
      <c r="P1863">
        <v>0</v>
      </c>
      <c r="Q1863" s="1">
        <v>0.48199999999999998</v>
      </c>
      <c r="R1863" s="1">
        <v>0.83899999999999997</v>
      </c>
      <c r="S1863" s="1">
        <v>0.73499999999999999</v>
      </c>
      <c r="T1863" s="1">
        <v>0.115</v>
      </c>
      <c r="U1863" s="1">
        <v>0.10100000000000001</v>
      </c>
      <c r="V1863" s="1">
        <v>134.91999999999999</v>
      </c>
      <c r="W1863">
        <v>4</v>
      </c>
    </row>
    <row r="1864" spans="1:23" x14ac:dyDescent="0.25">
      <c r="A1864" s="1" t="s">
        <v>17719</v>
      </c>
      <c r="B1864" s="1" t="s">
        <v>17720</v>
      </c>
      <c r="C1864" s="1" t="s">
        <v>5624</v>
      </c>
      <c r="D1864" s="1" t="s">
        <v>5624</v>
      </c>
      <c r="E1864" s="1" t="s">
        <v>5625</v>
      </c>
      <c r="F1864" s="1" t="s">
        <v>17721</v>
      </c>
      <c r="G1864">
        <v>202285</v>
      </c>
      <c r="H1864">
        <v>33</v>
      </c>
      <c r="I1864" s="1" t="s">
        <v>11063</v>
      </c>
      <c r="J1864" s="11">
        <v>44729.706458333334</v>
      </c>
      <c r="K1864" s="1" t="s">
        <v>978</v>
      </c>
      <c r="L1864" s="1">
        <v>0.73799999999999999</v>
      </c>
      <c r="M1864" s="1">
        <v>0.81799999999999995</v>
      </c>
      <c r="N1864">
        <v>2</v>
      </c>
      <c r="O1864" s="1">
        <v>-3.6520000000000001</v>
      </c>
      <c r="P1864">
        <v>0</v>
      </c>
      <c r="Q1864" s="1">
        <v>0.69199999999999995</v>
      </c>
      <c r="R1864" s="1">
        <v>0.28199999999999997</v>
      </c>
      <c r="S1864" s="1">
        <v>0.54300000000000004</v>
      </c>
      <c r="T1864" s="1">
        <v>0.10100000000000001</v>
      </c>
      <c r="U1864" s="1">
        <v>0.53400000000000003</v>
      </c>
      <c r="V1864" s="1">
        <v>139.99799999999999</v>
      </c>
      <c r="W1864">
        <v>4</v>
      </c>
    </row>
    <row r="1865" spans="1:23" x14ac:dyDescent="0.25">
      <c r="A1865" s="1" t="s">
        <v>17722</v>
      </c>
      <c r="B1865" s="1" t="s">
        <v>17359</v>
      </c>
      <c r="C1865" s="1" t="s">
        <v>5626</v>
      </c>
      <c r="D1865" s="1" t="s">
        <v>2426</v>
      </c>
      <c r="E1865" s="1" t="s">
        <v>5308</v>
      </c>
      <c r="F1865" s="1" t="s">
        <v>11722</v>
      </c>
      <c r="G1865">
        <v>228035</v>
      </c>
      <c r="H1865">
        <v>32</v>
      </c>
      <c r="I1865" s="1" t="s">
        <v>11063</v>
      </c>
      <c r="J1865" s="11">
        <v>44729.706458333334</v>
      </c>
      <c r="K1865" s="1" t="s">
        <v>933</v>
      </c>
      <c r="L1865" s="1">
        <v>0.48799999999999999</v>
      </c>
      <c r="M1865" s="1">
        <v>0.68600000000000005</v>
      </c>
      <c r="N1865">
        <v>1</v>
      </c>
      <c r="O1865" s="1">
        <v>-6.5339999999999998</v>
      </c>
      <c r="P1865">
        <v>1</v>
      </c>
      <c r="Q1865" s="1">
        <v>0.90900000000000003</v>
      </c>
      <c r="R1865" s="1">
        <v>0.496</v>
      </c>
      <c r="S1865" s="1">
        <v>0.13200000000000001</v>
      </c>
      <c r="T1865" s="1">
        <v>0.249</v>
      </c>
      <c r="U1865" s="1">
        <v>0.29199999999999998</v>
      </c>
      <c r="V1865" s="1">
        <v>167.81299999999999</v>
      </c>
      <c r="W1865">
        <v>4</v>
      </c>
    </row>
    <row r="1866" spans="1:23" x14ac:dyDescent="0.25">
      <c r="A1866" s="1" t="s">
        <v>17723</v>
      </c>
      <c r="B1866" s="1" t="s">
        <v>17724</v>
      </c>
      <c r="C1866" s="1" t="s">
        <v>5627</v>
      </c>
      <c r="D1866" s="1" t="s">
        <v>17725</v>
      </c>
      <c r="E1866" s="1" t="s">
        <v>5628</v>
      </c>
      <c r="F1866" s="1" t="s">
        <v>17726</v>
      </c>
      <c r="G1866">
        <v>229253</v>
      </c>
      <c r="H1866">
        <v>0</v>
      </c>
      <c r="I1866" s="1" t="s">
        <v>11063</v>
      </c>
      <c r="J1866" s="11">
        <v>44729.706458333334</v>
      </c>
      <c r="K1866" s="1" t="s">
        <v>5629</v>
      </c>
      <c r="L1866" s="1">
        <v>0.61499999999999999</v>
      </c>
      <c r="M1866" s="1">
        <v>0.84799999999999998</v>
      </c>
      <c r="N1866">
        <v>11</v>
      </c>
      <c r="O1866" s="1">
        <v>-3.0939999999999999</v>
      </c>
      <c r="P1866">
        <v>0</v>
      </c>
      <c r="Q1866" s="1">
        <v>0.49099999999999999</v>
      </c>
      <c r="R1866" s="1">
        <v>0.45500000000000002</v>
      </c>
      <c r="S1866" s="1">
        <v>0.109</v>
      </c>
      <c r="T1866" s="1">
        <v>0.41899999999999998</v>
      </c>
      <c r="U1866" s="1">
        <v>0.57999999999999996</v>
      </c>
      <c r="V1866" s="1">
        <v>100.038</v>
      </c>
      <c r="W1866">
        <v>4</v>
      </c>
    </row>
    <row r="1867" spans="1:23" x14ac:dyDescent="0.25">
      <c r="A1867" s="1" t="s">
        <v>17727</v>
      </c>
      <c r="B1867" s="1" t="s">
        <v>17728</v>
      </c>
      <c r="C1867" s="1" t="s">
        <v>5630</v>
      </c>
      <c r="D1867" s="1" t="s">
        <v>17729</v>
      </c>
      <c r="E1867" s="1" t="s">
        <v>5631</v>
      </c>
      <c r="F1867" s="1" t="s">
        <v>11758</v>
      </c>
      <c r="G1867">
        <v>240000</v>
      </c>
      <c r="H1867">
        <v>51</v>
      </c>
      <c r="I1867" s="1" t="s">
        <v>11063</v>
      </c>
      <c r="J1867" s="11">
        <v>44729.706458333334</v>
      </c>
      <c r="K1867" s="1" t="s">
        <v>5441</v>
      </c>
      <c r="L1867" s="1">
        <v>0.59899999999999998</v>
      </c>
      <c r="M1867" s="1">
        <v>0.56499999999999995</v>
      </c>
      <c r="N1867">
        <v>1</v>
      </c>
      <c r="O1867" s="1">
        <v>-6.3040000000000003</v>
      </c>
      <c r="P1867">
        <v>1</v>
      </c>
      <c r="Q1867" s="1">
        <v>0.26500000000000001</v>
      </c>
      <c r="R1867" s="1">
        <v>0.22700000000000001</v>
      </c>
      <c r="S1867" s="1">
        <v>0.432</v>
      </c>
      <c r="T1867" s="1">
        <v>0.98399999999999999</v>
      </c>
      <c r="U1867" s="1">
        <v>0.14199999999999999</v>
      </c>
      <c r="V1867" s="1">
        <v>134.125</v>
      </c>
      <c r="W1867">
        <v>4</v>
      </c>
    </row>
    <row r="1868" spans="1:23" x14ac:dyDescent="0.25">
      <c r="A1868" s="1" t="s">
        <v>17730</v>
      </c>
      <c r="B1868" s="1" t="s">
        <v>17731</v>
      </c>
      <c r="C1868" s="1" t="s">
        <v>5632</v>
      </c>
      <c r="D1868" s="1" t="s">
        <v>5632</v>
      </c>
      <c r="E1868" s="1" t="s">
        <v>5633</v>
      </c>
      <c r="F1868" s="1" t="s">
        <v>15180</v>
      </c>
      <c r="G1868">
        <v>240300</v>
      </c>
      <c r="H1868">
        <v>37</v>
      </c>
      <c r="I1868" s="1" t="s">
        <v>11063</v>
      </c>
      <c r="J1868" s="11">
        <v>44729.706458333334</v>
      </c>
      <c r="K1868" s="1" t="s">
        <v>5634</v>
      </c>
      <c r="L1868" s="1">
        <v>0.52400000000000002</v>
      </c>
      <c r="M1868" s="1">
        <v>0.70099999999999996</v>
      </c>
      <c r="N1868">
        <v>0</v>
      </c>
      <c r="O1868" s="1">
        <v>-6.0670000000000002</v>
      </c>
      <c r="P1868">
        <v>0</v>
      </c>
      <c r="Q1868" s="1">
        <v>0.14699999999999999</v>
      </c>
      <c r="R1868" s="1">
        <v>0.16300000000000001</v>
      </c>
      <c r="S1868" s="1">
        <v>0</v>
      </c>
      <c r="T1868" s="1">
        <v>0.39500000000000002</v>
      </c>
      <c r="U1868" s="1">
        <v>0.439</v>
      </c>
      <c r="V1868" s="1">
        <v>78.432000000000002</v>
      </c>
      <c r="W1868">
        <v>4</v>
      </c>
    </row>
    <row r="1869" spans="1:23" x14ac:dyDescent="0.25">
      <c r="A1869" s="1" t="s">
        <v>17732</v>
      </c>
      <c r="B1869" s="1" t="s">
        <v>17733</v>
      </c>
      <c r="C1869" s="1" t="s">
        <v>5635</v>
      </c>
      <c r="D1869" s="1" t="s">
        <v>5635</v>
      </c>
      <c r="E1869" s="1" t="s">
        <v>5636</v>
      </c>
      <c r="F1869" s="1" t="s">
        <v>17734</v>
      </c>
      <c r="G1869">
        <v>191118</v>
      </c>
      <c r="H1869">
        <v>28</v>
      </c>
      <c r="I1869" s="1" t="s">
        <v>11063</v>
      </c>
      <c r="J1869" s="11">
        <v>44729.706458333334</v>
      </c>
      <c r="K1869" s="1" t="s">
        <v>5637</v>
      </c>
      <c r="L1869" s="1">
        <v>0.65400000000000003</v>
      </c>
      <c r="M1869" s="1">
        <v>0.86099999999999999</v>
      </c>
      <c r="N1869">
        <v>0</v>
      </c>
      <c r="O1869" s="1">
        <v>-2.9359999999999999</v>
      </c>
      <c r="P1869">
        <v>1</v>
      </c>
      <c r="Q1869" s="1">
        <v>0.41599999999999998</v>
      </c>
      <c r="R1869" s="1">
        <v>0.57299999999999995</v>
      </c>
      <c r="S1869" s="1">
        <v>0.94399999999999995</v>
      </c>
      <c r="T1869" s="1">
        <v>0.95899999999999996</v>
      </c>
      <c r="U1869" s="1">
        <v>0.17199999999999999</v>
      </c>
      <c r="V1869" s="1">
        <v>100.02</v>
      </c>
      <c r="W1869">
        <v>4</v>
      </c>
    </row>
    <row r="1870" spans="1:23" x14ac:dyDescent="0.25">
      <c r="A1870" s="1" t="s">
        <v>17735</v>
      </c>
      <c r="B1870" s="1" t="s">
        <v>17736</v>
      </c>
      <c r="C1870" s="1" t="s">
        <v>5638</v>
      </c>
      <c r="D1870" s="1" t="s">
        <v>5638</v>
      </c>
      <c r="E1870" s="1" t="s">
        <v>5639</v>
      </c>
      <c r="F1870" s="1" t="s">
        <v>17646</v>
      </c>
      <c r="G1870">
        <v>213383</v>
      </c>
      <c r="H1870">
        <v>0</v>
      </c>
      <c r="I1870" s="1" t="s">
        <v>11063</v>
      </c>
      <c r="J1870" s="11">
        <v>44729.706458333334</v>
      </c>
      <c r="K1870" s="1" t="s">
        <v>50</v>
      </c>
      <c r="L1870" s="1">
        <v>0.46700000000000003</v>
      </c>
      <c r="M1870" s="1">
        <v>0.72899999999999998</v>
      </c>
      <c r="N1870">
        <v>7</v>
      </c>
      <c r="O1870" s="1">
        <v>-4.6070000000000002</v>
      </c>
      <c r="P1870">
        <v>1</v>
      </c>
      <c r="Q1870" s="1">
        <v>0.186</v>
      </c>
      <c r="R1870" s="1">
        <v>0.14099999999999999</v>
      </c>
      <c r="S1870" s="1">
        <v>0.112</v>
      </c>
      <c r="T1870" s="1">
        <v>0.112</v>
      </c>
      <c r="U1870" s="1">
        <v>0.86099999999999999</v>
      </c>
      <c r="V1870" s="1">
        <v>146.54</v>
      </c>
      <c r="W1870">
        <v>4</v>
      </c>
    </row>
    <row r="1871" spans="1:23" x14ac:dyDescent="0.25">
      <c r="A1871" s="1" t="s">
        <v>17737</v>
      </c>
      <c r="B1871" s="1" t="s">
        <v>17738</v>
      </c>
      <c r="C1871" s="1" t="s">
        <v>5640</v>
      </c>
      <c r="D1871" s="1" t="s">
        <v>17739</v>
      </c>
      <c r="E1871" s="1" t="s">
        <v>5641</v>
      </c>
      <c r="F1871" s="1" t="s">
        <v>17740</v>
      </c>
      <c r="G1871">
        <v>198750</v>
      </c>
      <c r="H1871">
        <v>44</v>
      </c>
      <c r="I1871" s="1" t="s">
        <v>11063</v>
      </c>
      <c r="J1871" s="11">
        <v>44729.706458333334</v>
      </c>
      <c r="K1871" s="1" t="s">
        <v>5642</v>
      </c>
      <c r="L1871" s="1">
        <v>0.38400000000000001</v>
      </c>
      <c r="M1871" s="1">
        <v>0.88600000000000001</v>
      </c>
      <c r="N1871">
        <v>1</v>
      </c>
      <c r="O1871" s="1">
        <v>-6.3490000000000002</v>
      </c>
      <c r="P1871">
        <v>1</v>
      </c>
      <c r="Q1871" s="1">
        <v>0.59099999999999997</v>
      </c>
      <c r="R1871" s="1">
        <v>0.76800000000000002</v>
      </c>
      <c r="S1871" s="1">
        <v>0.56100000000000005</v>
      </c>
      <c r="T1871" s="1">
        <v>0.72099999999999997</v>
      </c>
      <c r="U1871" s="1">
        <v>0.122</v>
      </c>
      <c r="V1871" s="1">
        <v>127.99299999999999</v>
      </c>
      <c r="W1871">
        <v>4</v>
      </c>
    </row>
    <row r="1872" spans="1:23" x14ac:dyDescent="0.25">
      <c r="A1872" s="1" t="s">
        <v>17741</v>
      </c>
      <c r="B1872" s="1" t="s">
        <v>17742</v>
      </c>
      <c r="C1872" s="1" t="s">
        <v>5643</v>
      </c>
      <c r="D1872" s="1" t="s">
        <v>5643</v>
      </c>
      <c r="E1872" s="1" t="s">
        <v>5644</v>
      </c>
      <c r="F1872" s="1" t="s">
        <v>17743</v>
      </c>
      <c r="G1872">
        <v>176482</v>
      </c>
      <c r="H1872">
        <v>50</v>
      </c>
      <c r="I1872" s="1" t="s">
        <v>11063</v>
      </c>
      <c r="J1872" s="11">
        <v>44729.706458333334</v>
      </c>
      <c r="K1872" s="1" t="s">
        <v>2884</v>
      </c>
      <c r="L1872" s="1">
        <v>0.64700000000000002</v>
      </c>
      <c r="M1872" s="1">
        <v>0.73299999999999998</v>
      </c>
      <c r="N1872">
        <v>0</v>
      </c>
      <c r="O1872" s="1">
        <v>-3.8660000000000001</v>
      </c>
      <c r="P1872">
        <v>1</v>
      </c>
      <c r="Q1872" s="1">
        <v>0.40400000000000003</v>
      </c>
      <c r="R1872" s="1">
        <v>0.73699999999999999</v>
      </c>
      <c r="S1872" s="1">
        <v>0.32200000000000001</v>
      </c>
      <c r="T1872" s="1">
        <v>0.123</v>
      </c>
      <c r="U1872" s="1">
        <v>0.245</v>
      </c>
      <c r="V1872" s="1">
        <v>145.018</v>
      </c>
      <c r="W1872">
        <v>4</v>
      </c>
    </row>
    <row r="1873" spans="1:23" x14ac:dyDescent="0.25">
      <c r="A1873" s="1" t="s">
        <v>17744</v>
      </c>
      <c r="B1873" s="1" t="s">
        <v>17745</v>
      </c>
      <c r="C1873" s="1" t="s">
        <v>5645</v>
      </c>
      <c r="D1873" s="1" t="s">
        <v>5645</v>
      </c>
      <c r="E1873" s="1" t="s">
        <v>5646</v>
      </c>
      <c r="F1873" s="1" t="s">
        <v>14461</v>
      </c>
      <c r="G1873">
        <v>287190</v>
      </c>
      <c r="H1873">
        <v>43</v>
      </c>
      <c r="I1873" s="1" t="s">
        <v>11063</v>
      </c>
      <c r="J1873" s="11">
        <v>44729.706458333334</v>
      </c>
      <c r="K1873" s="1" t="s">
        <v>2939</v>
      </c>
      <c r="L1873" s="1">
        <v>0.53100000000000003</v>
      </c>
      <c r="M1873" s="1">
        <v>0.64300000000000002</v>
      </c>
      <c r="N1873">
        <v>3</v>
      </c>
      <c r="O1873" s="1">
        <v>-9.3469999999999995</v>
      </c>
      <c r="P1873">
        <v>0</v>
      </c>
      <c r="Q1873" s="1">
        <v>0.32100000000000001</v>
      </c>
      <c r="R1873" s="1">
        <v>0.221</v>
      </c>
      <c r="S1873" s="1">
        <v>0.82599999999999996</v>
      </c>
      <c r="T1873" s="1">
        <v>0.54700000000000004</v>
      </c>
      <c r="U1873" s="1">
        <v>0.115</v>
      </c>
      <c r="V1873" s="1">
        <v>150.08699999999999</v>
      </c>
      <c r="W1873">
        <v>4</v>
      </c>
    </row>
    <row r="1874" spans="1:23" x14ac:dyDescent="0.25">
      <c r="A1874" s="1" t="s">
        <v>17746</v>
      </c>
      <c r="B1874" s="1" t="s">
        <v>17747</v>
      </c>
      <c r="C1874" s="1" t="s">
        <v>5647</v>
      </c>
      <c r="D1874" s="1" t="s">
        <v>17748</v>
      </c>
      <c r="E1874" s="1" t="s">
        <v>5648</v>
      </c>
      <c r="F1874" s="1" t="s">
        <v>17749</v>
      </c>
      <c r="G1874">
        <v>239226</v>
      </c>
      <c r="H1874">
        <v>41</v>
      </c>
      <c r="I1874" s="1" t="s">
        <v>11063</v>
      </c>
      <c r="J1874" s="11">
        <v>44729.706458333334</v>
      </c>
      <c r="K1874" s="1" t="s">
        <v>5649</v>
      </c>
      <c r="L1874" s="1">
        <v>0.53</v>
      </c>
      <c r="M1874" s="1">
        <v>0.55000000000000004</v>
      </c>
      <c r="N1874">
        <v>0</v>
      </c>
      <c r="O1874" s="1">
        <v>-6.6310000000000002</v>
      </c>
      <c r="P1874">
        <v>0</v>
      </c>
      <c r="Q1874" s="1">
        <v>0.45700000000000002</v>
      </c>
      <c r="R1874" s="1">
        <v>0.747</v>
      </c>
      <c r="S1874" s="1">
        <v>0.49199999999999999</v>
      </c>
      <c r="T1874" s="1">
        <v>0.89800000000000002</v>
      </c>
      <c r="U1874" s="1">
        <v>0.20799999999999999</v>
      </c>
      <c r="V1874" s="1">
        <v>139.97999999999999</v>
      </c>
      <c r="W1874">
        <v>4</v>
      </c>
    </row>
    <row r="1875" spans="1:23" x14ac:dyDescent="0.25">
      <c r="A1875" s="1" t="s">
        <v>17750</v>
      </c>
      <c r="B1875" s="1" t="s">
        <v>17751</v>
      </c>
      <c r="C1875" s="1" t="s">
        <v>5650</v>
      </c>
      <c r="D1875" s="1" t="s">
        <v>17752</v>
      </c>
      <c r="E1875" s="1" t="s">
        <v>5651</v>
      </c>
      <c r="F1875" s="1" t="s">
        <v>17753</v>
      </c>
      <c r="G1875">
        <v>236930</v>
      </c>
      <c r="H1875">
        <v>60</v>
      </c>
      <c r="I1875" s="1" t="s">
        <v>11063</v>
      </c>
      <c r="J1875" s="11">
        <v>44729.706458333334</v>
      </c>
      <c r="K1875" s="1" t="s">
        <v>5652</v>
      </c>
      <c r="L1875" s="1">
        <v>0.64300000000000002</v>
      </c>
      <c r="M1875" s="1">
        <v>0.69299999999999995</v>
      </c>
      <c r="N1875">
        <v>1</v>
      </c>
      <c r="O1875" s="1">
        <v>-5.6449999999999996</v>
      </c>
      <c r="P1875">
        <v>0</v>
      </c>
      <c r="Q1875" s="1">
        <v>0.94599999999999995</v>
      </c>
      <c r="R1875" s="1">
        <v>0.59499999999999997</v>
      </c>
      <c r="S1875" s="1">
        <v>0.11799999999999999</v>
      </c>
      <c r="T1875" s="1">
        <v>0.72599999999999998</v>
      </c>
      <c r="U1875" s="1">
        <v>0.83</v>
      </c>
      <c r="V1875" s="1">
        <v>140</v>
      </c>
      <c r="W1875">
        <v>4</v>
      </c>
    </row>
    <row r="1876" spans="1:23" x14ac:dyDescent="0.25">
      <c r="A1876" s="1" t="s">
        <v>17754</v>
      </c>
      <c r="B1876" s="1" t="s">
        <v>17755</v>
      </c>
      <c r="C1876" s="1" t="s">
        <v>5653</v>
      </c>
      <c r="D1876" s="1" t="s">
        <v>17756</v>
      </c>
      <c r="E1876" s="1" t="s">
        <v>5654</v>
      </c>
      <c r="F1876" s="1" t="s">
        <v>14752</v>
      </c>
      <c r="G1876">
        <v>244610</v>
      </c>
      <c r="H1876">
        <v>45</v>
      </c>
      <c r="I1876" s="1" t="s">
        <v>11063</v>
      </c>
      <c r="J1876" s="11">
        <v>44729.706458333334</v>
      </c>
      <c r="K1876" s="1" t="s">
        <v>5655</v>
      </c>
      <c r="L1876" s="1">
        <v>0.51100000000000001</v>
      </c>
      <c r="M1876" s="1">
        <v>0.72399999999999998</v>
      </c>
      <c r="N1876">
        <v>0</v>
      </c>
      <c r="O1876" s="1">
        <v>-4.3330000000000002</v>
      </c>
      <c r="P1876">
        <v>0</v>
      </c>
      <c r="Q1876" s="1">
        <v>0.495</v>
      </c>
      <c r="R1876" s="1">
        <v>0.77300000000000002</v>
      </c>
      <c r="S1876" s="1">
        <v>0.109</v>
      </c>
      <c r="T1876" s="1">
        <v>0.155</v>
      </c>
      <c r="U1876" s="1">
        <v>0.13200000000000001</v>
      </c>
      <c r="V1876" s="1">
        <v>80.010000000000005</v>
      </c>
      <c r="W1876">
        <v>4</v>
      </c>
    </row>
    <row r="1877" spans="1:23" x14ac:dyDescent="0.25">
      <c r="A1877" s="1" t="s">
        <v>17757</v>
      </c>
      <c r="B1877" s="1" t="s">
        <v>17758</v>
      </c>
      <c r="C1877" s="1" t="s">
        <v>5656</v>
      </c>
      <c r="D1877" s="1" t="s">
        <v>17759</v>
      </c>
      <c r="E1877" s="1" t="s">
        <v>5657</v>
      </c>
      <c r="F1877" s="1" t="s">
        <v>17760</v>
      </c>
      <c r="G1877">
        <v>257044</v>
      </c>
      <c r="H1877">
        <v>51</v>
      </c>
      <c r="I1877" s="1" t="s">
        <v>11063</v>
      </c>
      <c r="J1877" s="11">
        <v>44729.706458333334</v>
      </c>
      <c r="K1877" s="1" t="s">
        <v>5658</v>
      </c>
      <c r="L1877" s="1">
        <v>0.47899999999999998</v>
      </c>
      <c r="M1877" s="1">
        <v>0.67500000000000004</v>
      </c>
      <c r="N1877">
        <v>9</v>
      </c>
      <c r="O1877" s="1">
        <v>-4.8929999999999998</v>
      </c>
      <c r="P1877">
        <v>0</v>
      </c>
      <c r="Q1877" s="1">
        <v>0.41299999999999998</v>
      </c>
      <c r="R1877" s="1">
        <v>0.31900000000000001</v>
      </c>
      <c r="S1877" s="1">
        <v>0.53600000000000003</v>
      </c>
      <c r="T1877" s="1">
        <v>0.128</v>
      </c>
      <c r="U1877" s="1">
        <v>0.189</v>
      </c>
      <c r="V1877" s="1">
        <v>145.02199999999999</v>
      </c>
      <c r="W1877">
        <v>4</v>
      </c>
    </row>
    <row r="1878" spans="1:23" x14ac:dyDescent="0.25">
      <c r="A1878" s="1" t="s">
        <v>17761</v>
      </c>
      <c r="B1878" s="1" t="s">
        <v>17762</v>
      </c>
      <c r="C1878" s="1" t="s">
        <v>5659</v>
      </c>
      <c r="D1878" s="1" t="s">
        <v>5659</v>
      </c>
      <c r="E1878" s="1" t="s">
        <v>5660</v>
      </c>
      <c r="F1878" s="1" t="s">
        <v>17763</v>
      </c>
      <c r="G1878">
        <v>361875</v>
      </c>
      <c r="H1878">
        <v>42</v>
      </c>
      <c r="I1878" s="1" t="s">
        <v>11063</v>
      </c>
      <c r="J1878" s="11">
        <v>44729.706458333334</v>
      </c>
      <c r="K1878" s="1" t="s">
        <v>5661</v>
      </c>
      <c r="L1878" s="1">
        <v>0.51300000000000001</v>
      </c>
      <c r="M1878" s="1">
        <v>0.81899999999999995</v>
      </c>
      <c r="N1878">
        <v>5</v>
      </c>
      <c r="O1878" s="1">
        <v>-5.3719999999999999</v>
      </c>
      <c r="P1878">
        <v>0</v>
      </c>
      <c r="Q1878" s="1">
        <v>0.45400000000000001</v>
      </c>
      <c r="R1878" s="1">
        <v>0.224</v>
      </c>
      <c r="S1878" s="1">
        <v>0.153</v>
      </c>
      <c r="T1878" s="1">
        <v>0.57999999999999996</v>
      </c>
      <c r="U1878" s="1">
        <v>0.44900000000000001</v>
      </c>
      <c r="V1878" s="1">
        <v>140.05500000000001</v>
      </c>
      <c r="W1878">
        <v>4</v>
      </c>
    </row>
    <row r="1879" spans="1:23" x14ac:dyDescent="0.25">
      <c r="A1879" s="1" t="s">
        <v>17764</v>
      </c>
      <c r="B1879" s="1" t="s">
        <v>13667</v>
      </c>
      <c r="C1879" s="1" t="s">
        <v>2123</v>
      </c>
      <c r="D1879" s="1" t="s">
        <v>5458</v>
      </c>
      <c r="E1879" s="1" t="s">
        <v>2124</v>
      </c>
      <c r="F1879" s="1" t="s">
        <v>11660</v>
      </c>
      <c r="G1879">
        <v>205786</v>
      </c>
      <c r="H1879">
        <v>59</v>
      </c>
      <c r="I1879" s="1" t="s">
        <v>11063</v>
      </c>
      <c r="J1879" s="11">
        <v>44729.706458333334</v>
      </c>
      <c r="K1879" s="1" t="s">
        <v>2125</v>
      </c>
      <c r="L1879" s="1">
        <v>0.58099999999999996</v>
      </c>
      <c r="M1879" s="1">
        <v>0.76</v>
      </c>
      <c r="N1879">
        <v>0</v>
      </c>
      <c r="O1879" s="1">
        <v>-3.9620000000000002</v>
      </c>
      <c r="P1879">
        <v>1</v>
      </c>
      <c r="Q1879" s="1">
        <v>0.40600000000000003</v>
      </c>
      <c r="R1879" s="1">
        <v>0.16</v>
      </c>
      <c r="S1879" s="1">
        <v>0</v>
      </c>
      <c r="T1879" s="1">
        <v>0.183</v>
      </c>
      <c r="U1879" s="1">
        <v>0.52300000000000002</v>
      </c>
      <c r="V1879" s="1">
        <v>104.099</v>
      </c>
      <c r="W1879">
        <v>4</v>
      </c>
    </row>
    <row r="1880" spans="1:23" x14ac:dyDescent="0.25">
      <c r="A1880" s="1" t="s">
        <v>17765</v>
      </c>
      <c r="B1880" s="1" t="s">
        <v>17766</v>
      </c>
      <c r="C1880" s="1" t="s">
        <v>5662</v>
      </c>
      <c r="D1880" s="1" t="s">
        <v>5662</v>
      </c>
      <c r="E1880" s="1" t="s">
        <v>5663</v>
      </c>
      <c r="F1880" s="1" t="s">
        <v>11598</v>
      </c>
      <c r="G1880">
        <v>230453</v>
      </c>
      <c r="H1880">
        <v>85</v>
      </c>
      <c r="I1880" s="1" t="s">
        <v>11063</v>
      </c>
      <c r="J1880" s="11">
        <v>44729.706458333334</v>
      </c>
      <c r="K1880" s="1" t="s">
        <v>5664</v>
      </c>
      <c r="L1880" s="1">
        <v>0.67900000000000005</v>
      </c>
      <c r="M1880" s="1">
        <v>0.58699999999999997</v>
      </c>
      <c r="N1880">
        <v>7</v>
      </c>
      <c r="O1880" s="1">
        <v>-7.0149999999999997</v>
      </c>
      <c r="P1880">
        <v>1</v>
      </c>
      <c r="Q1880" s="1">
        <v>0.27600000000000002</v>
      </c>
      <c r="R1880" s="1">
        <v>0.14099999999999999</v>
      </c>
      <c r="S1880" s="1">
        <v>0.63500000000000001</v>
      </c>
      <c r="T1880" s="1">
        <v>0.13700000000000001</v>
      </c>
      <c r="U1880" s="1">
        <v>0.48599999999999999</v>
      </c>
      <c r="V1880" s="1">
        <v>186.00299999999999</v>
      </c>
      <c r="W1880">
        <v>4</v>
      </c>
    </row>
    <row r="1881" spans="1:23" x14ac:dyDescent="0.25">
      <c r="A1881" s="1" t="s">
        <v>11167</v>
      </c>
      <c r="B1881" s="1" t="s">
        <v>11168</v>
      </c>
      <c r="C1881" s="1" t="s">
        <v>5665</v>
      </c>
      <c r="D1881" s="1" t="s">
        <v>11169</v>
      </c>
      <c r="E1881" s="1" t="s">
        <v>2792</v>
      </c>
      <c r="F1881" s="1" t="s">
        <v>17398</v>
      </c>
      <c r="G1881">
        <v>200040</v>
      </c>
      <c r="H1881">
        <v>90</v>
      </c>
      <c r="I1881" s="1" t="s">
        <v>11063</v>
      </c>
      <c r="J1881" s="11">
        <v>44729.706458333334</v>
      </c>
      <c r="K1881" s="1" t="s">
        <v>2793</v>
      </c>
      <c r="L1881" s="1">
        <v>0.51400000000000001</v>
      </c>
      <c r="M1881" s="1">
        <v>0.73</v>
      </c>
      <c r="N1881">
        <v>1</v>
      </c>
      <c r="O1881" s="1">
        <v>-5.9340000000000002</v>
      </c>
      <c r="P1881">
        <v>1</v>
      </c>
      <c r="Q1881" s="1">
        <v>0.59799999999999998</v>
      </c>
      <c r="R1881" s="1">
        <v>0.14599999999999999</v>
      </c>
      <c r="S1881" s="1">
        <v>0.95399999999999996</v>
      </c>
      <c r="T1881" s="1">
        <v>0.89700000000000002</v>
      </c>
      <c r="U1881" s="1">
        <v>0.33400000000000002</v>
      </c>
      <c r="V1881" s="1">
        <v>171.005</v>
      </c>
      <c r="W1881">
        <v>4</v>
      </c>
    </row>
    <row r="1882" spans="1:23" x14ac:dyDescent="0.25">
      <c r="A1882" s="1" t="s">
        <v>17767</v>
      </c>
      <c r="B1882" s="1" t="s">
        <v>17768</v>
      </c>
      <c r="C1882" s="1" t="s">
        <v>5666</v>
      </c>
      <c r="D1882" s="1" t="s">
        <v>5666</v>
      </c>
      <c r="E1882" s="1" t="s">
        <v>5667</v>
      </c>
      <c r="F1882" s="1" t="s">
        <v>11415</v>
      </c>
      <c r="G1882">
        <v>214400</v>
      </c>
      <c r="H1882">
        <v>58</v>
      </c>
      <c r="I1882" s="1" t="s">
        <v>11063</v>
      </c>
      <c r="J1882" s="11">
        <v>44729.706458333334</v>
      </c>
      <c r="K1882" s="1" t="s">
        <v>5668</v>
      </c>
      <c r="L1882" s="1">
        <v>0.58599999999999997</v>
      </c>
      <c r="M1882" s="1">
        <v>0.499</v>
      </c>
      <c r="N1882">
        <v>4</v>
      </c>
      <c r="O1882" s="1">
        <v>-6.6269999999999998</v>
      </c>
      <c r="P1882">
        <v>1</v>
      </c>
      <c r="Q1882" s="1">
        <v>0.49</v>
      </c>
      <c r="R1882" s="1">
        <v>0.64500000000000002</v>
      </c>
      <c r="S1882" s="1">
        <v>0</v>
      </c>
      <c r="T1882" s="1">
        <v>0.109</v>
      </c>
      <c r="U1882" s="1">
        <v>0.27200000000000002</v>
      </c>
      <c r="V1882" s="1">
        <v>149.79</v>
      </c>
      <c r="W1882">
        <v>4</v>
      </c>
    </row>
    <row r="1883" spans="1:23" x14ac:dyDescent="0.25">
      <c r="A1883" s="1" t="s">
        <v>17769</v>
      </c>
      <c r="B1883" s="1" t="s">
        <v>11367</v>
      </c>
      <c r="C1883" s="1" t="s">
        <v>5669</v>
      </c>
      <c r="D1883" s="1" t="s">
        <v>17770</v>
      </c>
      <c r="E1883" s="1" t="s">
        <v>154</v>
      </c>
      <c r="F1883" s="1" t="s">
        <v>15172</v>
      </c>
      <c r="G1883">
        <v>201474</v>
      </c>
      <c r="H1883">
        <v>47</v>
      </c>
      <c r="I1883" s="1" t="s">
        <v>11063</v>
      </c>
      <c r="J1883" s="11">
        <v>44729.706458333334</v>
      </c>
      <c r="K1883" s="1" t="s">
        <v>2372</v>
      </c>
      <c r="L1883" s="1">
        <v>0.54700000000000004</v>
      </c>
      <c r="M1883" s="1">
        <v>0.53300000000000003</v>
      </c>
      <c r="N1883">
        <v>0</v>
      </c>
      <c r="O1883" s="1">
        <v>-6.702</v>
      </c>
      <c r="P1883">
        <v>0</v>
      </c>
      <c r="Q1883" s="1">
        <v>0.29199999999999998</v>
      </c>
      <c r="R1883" s="1">
        <v>0.21299999999999999</v>
      </c>
      <c r="S1883" s="1">
        <v>0.94099999999999995</v>
      </c>
      <c r="T1883" s="1">
        <v>0.105</v>
      </c>
      <c r="U1883" s="1">
        <v>0.17100000000000001</v>
      </c>
      <c r="V1883" s="1">
        <v>114.99</v>
      </c>
      <c r="W1883">
        <v>4</v>
      </c>
    </row>
    <row r="1884" spans="1:23" x14ac:dyDescent="0.25">
      <c r="A1884" s="1" t="s">
        <v>11170</v>
      </c>
      <c r="B1884" s="1" t="s">
        <v>11171</v>
      </c>
      <c r="C1884" s="1" t="s">
        <v>5670</v>
      </c>
      <c r="D1884" s="1" t="s">
        <v>5670</v>
      </c>
      <c r="E1884" s="1" t="s">
        <v>5671</v>
      </c>
      <c r="F1884" s="1" t="s">
        <v>16933</v>
      </c>
      <c r="G1884">
        <v>172761</v>
      </c>
      <c r="H1884">
        <v>78</v>
      </c>
      <c r="I1884" s="1" t="s">
        <v>11063</v>
      </c>
      <c r="J1884" s="11">
        <v>44729.706458333334</v>
      </c>
      <c r="K1884" s="1" t="s">
        <v>5672</v>
      </c>
      <c r="L1884" s="1">
        <v>0.63</v>
      </c>
      <c r="M1884" s="1">
        <v>0.63300000000000001</v>
      </c>
      <c r="N1884">
        <v>4</v>
      </c>
      <c r="O1884" s="1">
        <v>-7.0880000000000001</v>
      </c>
      <c r="P1884">
        <v>1</v>
      </c>
      <c r="Q1884" s="1">
        <v>0.45700000000000002</v>
      </c>
      <c r="R1884" s="1">
        <v>0.77600000000000002</v>
      </c>
      <c r="S1884" s="1">
        <v>0</v>
      </c>
      <c r="T1884" s="1">
        <v>0.54100000000000004</v>
      </c>
      <c r="U1884" s="1">
        <v>0.45200000000000001</v>
      </c>
      <c r="V1884" s="1">
        <v>93.995000000000005</v>
      </c>
      <c r="W1884">
        <v>4</v>
      </c>
    </row>
    <row r="1885" spans="1:23" x14ac:dyDescent="0.25">
      <c r="A1885" s="1" t="s">
        <v>17771</v>
      </c>
      <c r="B1885" s="1" t="s">
        <v>17772</v>
      </c>
      <c r="C1885" s="1" t="s">
        <v>5673</v>
      </c>
      <c r="D1885" s="1" t="s">
        <v>17773</v>
      </c>
      <c r="E1885" s="1" t="s">
        <v>5674</v>
      </c>
      <c r="F1885" s="1" t="s">
        <v>15057</v>
      </c>
      <c r="G1885">
        <v>217500</v>
      </c>
      <c r="H1885">
        <v>35</v>
      </c>
      <c r="I1885" s="1" t="s">
        <v>11063</v>
      </c>
      <c r="J1885" s="11">
        <v>44729.706458333334</v>
      </c>
      <c r="K1885" s="1" t="s">
        <v>5675</v>
      </c>
      <c r="L1885" s="1">
        <v>0.68100000000000005</v>
      </c>
      <c r="M1885" s="1">
        <v>0.54300000000000004</v>
      </c>
      <c r="N1885">
        <v>9</v>
      </c>
      <c r="O1885" s="1">
        <v>-7.7839999999999998</v>
      </c>
      <c r="P1885">
        <v>0</v>
      </c>
      <c r="Q1885" s="1">
        <v>0.20399999999999999</v>
      </c>
      <c r="R1885" s="1">
        <v>0.64400000000000002</v>
      </c>
      <c r="S1885" s="1">
        <v>0.246</v>
      </c>
      <c r="T1885" s="1">
        <v>0.223</v>
      </c>
      <c r="U1885" s="1">
        <v>0.41499999999999998</v>
      </c>
      <c r="V1885" s="1">
        <v>160.01900000000001</v>
      </c>
      <c r="W1885">
        <v>4</v>
      </c>
    </row>
    <row r="1886" spans="1:23" x14ac:dyDescent="0.25">
      <c r="A1886" s="1" t="s">
        <v>17774</v>
      </c>
      <c r="B1886" s="1" t="s">
        <v>14879</v>
      </c>
      <c r="C1886" s="1" t="s">
        <v>5676</v>
      </c>
      <c r="D1886" s="1" t="s">
        <v>5676</v>
      </c>
      <c r="E1886" s="1" t="s">
        <v>3156</v>
      </c>
      <c r="F1886" s="1" t="s">
        <v>16597</v>
      </c>
      <c r="G1886">
        <v>289142</v>
      </c>
      <c r="H1886">
        <v>30</v>
      </c>
      <c r="I1886" s="1" t="s">
        <v>11063</v>
      </c>
      <c r="J1886" s="11">
        <v>44729.706458333334</v>
      </c>
      <c r="K1886" s="1" t="s">
        <v>2939</v>
      </c>
      <c r="L1886" s="1">
        <v>0.54</v>
      </c>
      <c r="M1886" s="1">
        <v>0.83499999999999996</v>
      </c>
      <c r="N1886">
        <v>7</v>
      </c>
      <c r="O1886" s="1">
        <v>-2.4169999999999998</v>
      </c>
      <c r="P1886">
        <v>0</v>
      </c>
      <c r="Q1886" s="1">
        <v>0.36099999999999999</v>
      </c>
      <c r="R1886" s="1">
        <v>0.187</v>
      </c>
      <c r="S1886" s="1">
        <v>0.158</v>
      </c>
      <c r="T1886" s="1">
        <v>0.13</v>
      </c>
      <c r="U1886" s="1">
        <v>0.21</v>
      </c>
      <c r="V1886" s="1">
        <v>105.014</v>
      </c>
      <c r="W1886">
        <v>4</v>
      </c>
    </row>
    <row r="1887" spans="1:23" x14ac:dyDescent="0.25">
      <c r="A1887" s="1" t="s">
        <v>17775</v>
      </c>
      <c r="B1887" s="1" t="s">
        <v>17776</v>
      </c>
      <c r="C1887" s="1" t="s">
        <v>5677</v>
      </c>
      <c r="D1887" s="1" t="s">
        <v>5677</v>
      </c>
      <c r="E1887" s="1" t="s">
        <v>5678</v>
      </c>
      <c r="F1887" s="1" t="s">
        <v>17777</v>
      </c>
      <c r="G1887">
        <v>238066</v>
      </c>
      <c r="H1887">
        <v>0</v>
      </c>
      <c r="I1887" s="1" t="s">
        <v>11063</v>
      </c>
      <c r="J1887" s="11">
        <v>44729.706458333334</v>
      </c>
      <c r="K1887" s="1" t="s">
        <v>5679</v>
      </c>
      <c r="L1887" s="1">
        <v>0.755</v>
      </c>
      <c r="M1887" s="1">
        <v>0.61399999999999999</v>
      </c>
      <c r="N1887">
        <v>2</v>
      </c>
      <c r="O1887" s="1">
        <v>-9.4809999999999999</v>
      </c>
      <c r="P1887">
        <v>1</v>
      </c>
      <c r="Q1887" s="1">
        <v>0.54800000000000004</v>
      </c>
      <c r="R1887" s="1">
        <v>0.54200000000000004</v>
      </c>
      <c r="S1887" s="1">
        <v>0.879</v>
      </c>
      <c r="T1887" s="1">
        <v>0.93700000000000006</v>
      </c>
      <c r="U1887" s="1">
        <v>0.14799999999999999</v>
      </c>
      <c r="V1887" s="1">
        <v>124.02</v>
      </c>
      <c r="W1887">
        <v>4</v>
      </c>
    </row>
    <row r="1888" spans="1:23" x14ac:dyDescent="0.25">
      <c r="A1888" s="1" t="s">
        <v>17778</v>
      </c>
      <c r="B1888" s="1" t="s">
        <v>17328</v>
      </c>
      <c r="C1888" s="1" t="s">
        <v>5680</v>
      </c>
      <c r="D1888" s="1" t="s">
        <v>5680</v>
      </c>
      <c r="E1888" s="1" t="s">
        <v>5281</v>
      </c>
      <c r="F1888" s="1" t="s">
        <v>16597</v>
      </c>
      <c r="G1888">
        <v>224347</v>
      </c>
      <c r="H1888">
        <v>38</v>
      </c>
      <c r="I1888" s="1" t="s">
        <v>11063</v>
      </c>
      <c r="J1888" s="11">
        <v>44729.706458333334</v>
      </c>
      <c r="K1888" s="1" t="s">
        <v>5282</v>
      </c>
      <c r="L1888" s="1">
        <v>0.505</v>
      </c>
      <c r="M1888" s="1">
        <v>0.85899999999999999</v>
      </c>
      <c r="N1888">
        <v>11</v>
      </c>
      <c r="O1888" s="1">
        <v>-4.4909999999999997</v>
      </c>
      <c r="P1888">
        <v>1</v>
      </c>
      <c r="Q1888" s="1">
        <v>0.47399999999999998</v>
      </c>
      <c r="R1888" s="1">
        <v>0.127</v>
      </c>
      <c r="S1888" s="1">
        <v>0</v>
      </c>
      <c r="T1888" s="1">
        <v>0.34899999999999998</v>
      </c>
      <c r="U1888" s="1">
        <v>0.36399999999999999</v>
      </c>
      <c r="V1888" s="1">
        <v>92.055000000000007</v>
      </c>
      <c r="W1888">
        <v>4</v>
      </c>
    </row>
    <row r="1889" spans="1:23" x14ac:dyDescent="0.25">
      <c r="A1889" s="1" t="s">
        <v>17779</v>
      </c>
      <c r="B1889" s="1" t="s">
        <v>17780</v>
      </c>
      <c r="C1889" s="1" t="s">
        <v>5681</v>
      </c>
      <c r="D1889" s="1" t="s">
        <v>5681</v>
      </c>
      <c r="E1889" s="1" t="s">
        <v>5682</v>
      </c>
      <c r="F1889" s="1" t="s">
        <v>16597</v>
      </c>
      <c r="G1889">
        <v>193747</v>
      </c>
      <c r="H1889">
        <v>58</v>
      </c>
      <c r="I1889" s="1" t="s">
        <v>11063</v>
      </c>
      <c r="J1889" s="11">
        <v>44729.706458333334</v>
      </c>
      <c r="K1889" s="1" t="s">
        <v>5683</v>
      </c>
      <c r="L1889" s="1">
        <v>0.629</v>
      </c>
      <c r="M1889" s="1">
        <v>0.53900000000000003</v>
      </c>
      <c r="N1889">
        <v>7</v>
      </c>
      <c r="O1889" s="1">
        <v>-7.0060000000000002</v>
      </c>
      <c r="P1889">
        <v>0</v>
      </c>
      <c r="Q1889" s="1">
        <v>0.63</v>
      </c>
      <c r="R1889" s="1">
        <v>0.16600000000000001</v>
      </c>
      <c r="S1889" s="1">
        <v>0</v>
      </c>
      <c r="T1889" s="1">
        <v>0.189</v>
      </c>
      <c r="U1889" s="1">
        <v>0.316</v>
      </c>
      <c r="V1889" s="1">
        <v>109.88500000000001</v>
      </c>
      <c r="W1889">
        <v>4</v>
      </c>
    </row>
    <row r="1890" spans="1:23" x14ac:dyDescent="0.25">
      <c r="A1890" s="1" t="s">
        <v>11172</v>
      </c>
      <c r="B1890" s="1" t="s">
        <v>11173</v>
      </c>
      <c r="C1890" s="1" t="s">
        <v>5684</v>
      </c>
      <c r="D1890" s="1" t="s">
        <v>5684</v>
      </c>
      <c r="E1890" s="1" t="s">
        <v>3030</v>
      </c>
      <c r="F1890" s="1" t="s">
        <v>17781</v>
      </c>
      <c r="G1890">
        <v>221250</v>
      </c>
      <c r="H1890">
        <v>34</v>
      </c>
      <c r="I1890" s="1" t="s">
        <v>11063</v>
      </c>
      <c r="J1890" s="11">
        <v>44729.706458333334</v>
      </c>
      <c r="K1890" s="1" t="s">
        <v>142</v>
      </c>
      <c r="L1890" s="1">
        <v>0.247</v>
      </c>
      <c r="M1890" s="1">
        <v>0.56499999999999995</v>
      </c>
      <c r="N1890">
        <v>9</v>
      </c>
      <c r="O1890" s="1">
        <v>-5.3630000000000004</v>
      </c>
      <c r="P1890">
        <v>0</v>
      </c>
      <c r="Q1890" s="1">
        <v>0.33300000000000002</v>
      </c>
      <c r="R1890" s="1">
        <v>0.216</v>
      </c>
      <c r="S1890" s="1">
        <v>0.16</v>
      </c>
      <c r="T1890" s="1">
        <v>0.123</v>
      </c>
      <c r="U1890" s="1">
        <v>0.114</v>
      </c>
      <c r="V1890" s="1">
        <v>80.054000000000002</v>
      </c>
      <c r="W1890">
        <v>4</v>
      </c>
    </row>
    <row r="1891" spans="1:23" x14ac:dyDescent="0.25">
      <c r="A1891" s="1" t="s">
        <v>17782</v>
      </c>
      <c r="B1891" s="1" t="s">
        <v>17783</v>
      </c>
      <c r="C1891" s="1" t="s">
        <v>5685</v>
      </c>
      <c r="D1891" s="1" t="s">
        <v>5685</v>
      </c>
      <c r="E1891" s="1" t="s">
        <v>5686</v>
      </c>
      <c r="F1891" s="1" t="s">
        <v>17784</v>
      </c>
      <c r="G1891">
        <v>185633</v>
      </c>
      <c r="H1891">
        <v>30</v>
      </c>
      <c r="I1891" s="1" t="s">
        <v>11063</v>
      </c>
      <c r="J1891" s="11">
        <v>44729.706458333334</v>
      </c>
      <c r="K1891" s="1" t="s">
        <v>50</v>
      </c>
      <c r="L1891" s="1">
        <v>0.496</v>
      </c>
      <c r="M1891" s="1">
        <v>0.78500000000000003</v>
      </c>
      <c r="N1891">
        <v>11</v>
      </c>
      <c r="O1891" s="1">
        <v>-5.2850000000000001</v>
      </c>
      <c r="P1891">
        <v>1</v>
      </c>
      <c r="Q1891" s="1">
        <v>0.47099999999999997</v>
      </c>
      <c r="R1891" s="1">
        <v>0.13500000000000001</v>
      </c>
      <c r="S1891" s="1">
        <v>0.158</v>
      </c>
      <c r="T1891" s="1">
        <v>0.107</v>
      </c>
      <c r="U1891" s="1">
        <v>0.22900000000000001</v>
      </c>
      <c r="V1891" s="1">
        <v>150.03399999999999</v>
      </c>
      <c r="W1891">
        <v>5</v>
      </c>
    </row>
    <row r="1892" spans="1:23" x14ac:dyDescent="0.25">
      <c r="A1892" s="1" t="s">
        <v>17785</v>
      </c>
      <c r="B1892" s="1" t="s">
        <v>17786</v>
      </c>
      <c r="C1892" s="1" t="s">
        <v>5687</v>
      </c>
      <c r="D1892" s="1" t="s">
        <v>17787</v>
      </c>
      <c r="E1892" s="1" t="s">
        <v>5688</v>
      </c>
      <c r="F1892" s="1" t="s">
        <v>16150</v>
      </c>
      <c r="G1892">
        <v>204247</v>
      </c>
      <c r="H1892">
        <v>37</v>
      </c>
      <c r="I1892" s="1" t="s">
        <v>11063</v>
      </c>
      <c r="J1892" s="11">
        <v>44729.706458333334</v>
      </c>
      <c r="K1892" s="1" t="s">
        <v>5689</v>
      </c>
      <c r="L1892" s="1">
        <v>0.40300000000000002</v>
      </c>
      <c r="M1892" s="1">
        <v>0.64500000000000002</v>
      </c>
      <c r="N1892">
        <v>6</v>
      </c>
      <c r="O1892" s="1">
        <v>-6.9379999999999997</v>
      </c>
      <c r="P1892">
        <v>0</v>
      </c>
      <c r="Q1892" s="1">
        <v>0.83599999999999997</v>
      </c>
      <c r="R1892" s="1">
        <v>0.13600000000000001</v>
      </c>
      <c r="S1892" s="1">
        <v>0.96899999999999997</v>
      </c>
      <c r="T1892" s="1">
        <v>0.114</v>
      </c>
      <c r="U1892" s="1">
        <v>0.151</v>
      </c>
      <c r="V1892" s="1">
        <v>78.129000000000005</v>
      </c>
      <c r="W1892">
        <v>4</v>
      </c>
    </row>
    <row r="1893" spans="1:23" x14ac:dyDescent="0.25">
      <c r="A1893" s="1" t="s">
        <v>11194</v>
      </c>
      <c r="B1893" s="1" t="s">
        <v>11195</v>
      </c>
      <c r="C1893" s="1" t="s">
        <v>5690</v>
      </c>
      <c r="D1893" s="1" t="s">
        <v>628</v>
      </c>
      <c r="E1893" s="1" t="s">
        <v>5691</v>
      </c>
      <c r="F1893" s="1" t="s">
        <v>17788</v>
      </c>
      <c r="G1893">
        <v>224047</v>
      </c>
      <c r="H1893">
        <v>31</v>
      </c>
      <c r="I1893" s="1" t="s">
        <v>11063</v>
      </c>
      <c r="J1893" s="11">
        <v>44729.706458333334</v>
      </c>
      <c r="K1893" s="1" t="s">
        <v>5692</v>
      </c>
      <c r="L1893" s="1">
        <v>0.48</v>
      </c>
      <c r="M1893" s="1">
        <v>0.89900000000000002</v>
      </c>
      <c r="N1893">
        <v>0</v>
      </c>
      <c r="O1893" s="1">
        <v>-4.2590000000000003</v>
      </c>
      <c r="P1893">
        <v>0</v>
      </c>
      <c r="Q1893" s="1">
        <v>0.11700000000000001</v>
      </c>
      <c r="R1893" s="1">
        <v>0.57499999999999996</v>
      </c>
      <c r="S1893" s="1">
        <v>0</v>
      </c>
      <c r="T1893" s="1">
        <v>0.33300000000000002</v>
      </c>
      <c r="U1893" s="1">
        <v>0.42699999999999999</v>
      </c>
      <c r="V1893" s="1">
        <v>125.93</v>
      </c>
      <c r="W1893">
        <v>4</v>
      </c>
    </row>
    <row r="1894" spans="1:23" x14ac:dyDescent="0.25">
      <c r="A1894" s="1" t="s">
        <v>17789</v>
      </c>
      <c r="B1894" s="1" t="s">
        <v>17790</v>
      </c>
      <c r="C1894" s="1" t="s">
        <v>5693</v>
      </c>
      <c r="D1894" s="1" t="s">
        <v>5693</v>
      </c>
      <c r="E1894" s="1" t="s">
        <v>5694</v>
      </c>
      <c r="F1894" s="1" t="s">
        <v>14364</v>
      </c>
      <c r="G1894">
        <v>236804</v>
      </c>
      <c r="H1894">
        <v>42</v>
      </c>
      <c r="I1894" s="1" t="s">
        <v>11063</v>
      </c>
      <c r="J1894" s="11">
        <v>44729.706458333334</v>
      </c>
      <c r="K1894" s="1" t="s">
        <v>5695</v>
      </c>
      <c r="L1894" s="1">
        <v>0.53300000000000003</v>
      </c>
      <c r="M1894" s="1">
        <v>0.96</v>
      </c>
      <c r="N1894">
        <v>0</v>
      </c>
      <c r="O1894" s="1">
        <v>-2.0289999999999999</v>
      </c>
      <c r="P1894">
        <v>1</v>
      </c>
      <c r="Q1894" s="1">
        <v>0.50600000000000001</v>
      </c>
      <c r="R1894" s="1">
        <v>0.219</v>
      </c>
      <c r="S1894" s="1">
        <v>0.9</v>
      </c>
      <c r="T1894" s="1">
        <v>0.86</v>
      </c>
      <c r="U1894" s="1">
        <v>0.17299999999999999</v>
      </c>
      <c r="V1894" s="1">
        <v>150.023</v>
      </c>
      <c r="W1894">
        <v>4</v>
      </c>
    </row>
    <row r="1895" spans="1:23" x14ac:dyDescent="0.25">
      <c r="A1895" s="1" t="s">
        <v>17791</v>
      </c>
      <c r="B1895" s="1" t="s">
        <v>17792</v>
      </c>
      <c r="C1895" s="1" t="s">
        <v>5696</v>
      </c>
      <c r="D1895" s="1" t="s">
        <v>5696</v>
      </c>
      <c r="E1895" s="1" t="s">
        <v>5697</v>
      </c>
      <c r="F1895" s="1" t="s">
        <v>17793</v>
      </c>
      <c r="G1895">
        <v>233333</v>
      </c>
      <c r="H1895">
        <v>32</v>
      </c>
      <c r="I1895" s="1" t="s">
        <v>11063</v>
      </c>
      <c r="J1895" s="11">
        <v>44729.706458333334</v>
      </c>
      <c r="K1895" s="1" t="s">
        <v>2590</v>
      </c>
      <c r="L1895" s="1">
        <v>0.63</v>
      </c>
      <c r="M1895" s="1">
        <v>0.499</v>
      </c>
      <c r="N1895">
        <v>4</v>
      </c>
      <c r="O1895" s="1">
        <v>-5.2169999999999996</v>
      </c>
      <c r="P1895">
        <v>0</v>
      </c>
      <c r="Q1895" s="1">
        <v>0.30499999999999999</v>
      </c>
      <c r="R1895" s="1">
        <v>0.14699999999999999</v>
      </c>
      <c r="S1895" s="1">
        <v>0</v>
      </c>
      <c r="T1895" s="1">
        <v>0.115</v>
      </c>
      <c r="U1895" s="1">
        <v>0.29699999999999999</v>
      </c>
      <c r="V1895" s="1">
        <v>90.004000000000005</v>
      </c>
      <c r="W1895">
        <v>4</v>
      </c>
    </row>
    <row r="1896" spans="1:23" x14ac:dyDescent="0.25">
      <c r="A1896" s="1" t="s">
        <v>11176</v>
      </c>
      <c r="B1896" s="1" t="s">
        <v>11177</v>
      </c>
      <c r="C1896" s="1" t="s">
        <v>5698</v>
      </c>
      <c r="D1896" s="1" t="s">
        <v>11178</v>
      </c>
      <c r="E1896" s="1" t="s">
        <v>5699</v>
      </c>
      <c r="F1896" s="1" t="s">
        <v>17314</v>
      </c>
      <c r="G1896">
        <v>220000</v>
      </c>
      <c r="H1896">
        <v>34</v>
      </c>
      <c r="I1896" s="1" t="s">
        <v>11063</v>
      </c>
      <c r="J1896" s="11">
        <v>44729.706458333334</v>
      </c>
      <c r="K1896" s="1" t="s">
        <v>5700</v>
      </c>
      <c r="L1896" s="1">
        <v>0.55300000000000005</v>
      </c>
      <c r="M1896" s="1">
        <v>0.59199999999999997</v>
      </c>
      <c r="N1896">
        <v>9</v>
      </c>
      <c r="O1896" s="1">
        <v>-6.2050000000000001</v>
      </c>
      <c r="P1896">
        <v>1</v>
      </c>
      <c r="Q1896" s="1">
        <v>0.22500000000000001</v>
      </c>
      <c r="R1896" s="1">
        <v>0.192</v>
      </c>
      <c r="S1896" s="1">
        <v>0.36099999999999999</v>
      </c>
      <c r="T1896" s="1">
        <v>0.37</v>
      </c>
      <c r="U1896" s="1">
        <v>0.26900000000000002</v>
      </c>
      <c r="V1896" s="1">
        <v>78.016999999999996</v>
      </c>
      <c r="W1896">
        <v>4</v>
      </c>
    </row>
    <row r="1897" spans="1:23" x14ac:dyDescent="0.25">
      <c r="A1897" s="1" t="s">
        <v>17794</v>
      </c>
      <c r="B1897" s="1" t="s">
        <v>17795</v>
      </c>
      <c r="C1897" s="1" t="s">
        <v>5701</v>
      </c>
      <c r="D1897" s="1" t="s">
        <v>17796</v>
      </c>
      <c r="E1897" s="1" t="s">
        <v>5702</v>
      </c>
      <c r="F1897" s="1" t="s">
        <v>15987</v>
      </c>
      <c r="G1897">
        <v>243200</v>
      </c>
      <c r="H1897">
        <v>44</v>
      </c>
      <c r="I1897" s="1" t="s">
        <v>11063</v>
      </c>
      <c r="J1897" s="11">
        <v>44729.706458333334</v>
      </c>
      <c r="K1897" s="1" t="s">
        <v>5703</v>
      </c>
      <c r="L1897" s="1">
        <v>0.40699999999999997</v>
      </c>
      <c r="M1897" s="1">
        <v>0.64700000000000002</v>
      </c>
      <c r="N1897">
        <v>2</v>
      </c>
      <c r="O1897" s="1">
        <v>-4.6900000000000004</v>
      </c>
      <c r="P1897">
        <v>1</v>
      </c>
      <c r="Q1897" s="1">
        <v>0.38400000000000001</v>
      </c>
      <c r="R1897" s="1">
        <v>0.17799999999999999</v>
      </c>
      <c r="S1897" s="1">
        <v>0.36499999999999999</v>
      </c>
      <c r="T1897" s="1">
        <v>0.36099999999999999</v>
      </c>
      <c r="U1897" s="1">
        <v>0.19600000000000001</v>
      </c>
      <c r="V1897" s="1">
        <v>149.91</v>
      </c>
      <c r="W1897">
        <v>4</v>
      </c>
    </row>
    <row r="1898" spans="1:23" x14ac:dyDescent="0.25">
      <c r="A1898" s="1" t="s">
        <v>17797</v>
      </c>
      <c r="B1898" s="1" t="s">
        <v>17798</v>
      </c>
      <c r="C1898" s="1" t="s">
        <v>5704</v>
      </c>
      <c r="D1898" s="1" t="s">
        <v>5704</v>
      </c>
      <c r="E1898" s="1" t="s">
        <v>5705</v>
      </c>
      <c r="F1898" s="1" t="s">
        <v>17799</v>
      </c>
      <c r="G1898">
        <v>224615</v>
      </c>
      <c r="H1898">
        <v>35</v>
      </c>
      <c r="I1898" s="1" t="s">
        <v>11063</v>
      </c>
      <c r="J1898" s="11">
        <v>44729.706458333334</v>
      </c>
      <c r="K1898" s="1" t="s">
        <v>5706</v>
      </c>
      <c r="L1898" s="1">
        <v>0.47499999999999998</v>
      </c>
      <c r="M1898" s="1">
        <v>0.73099999999999998</v>
      </c>
      <c r="N1898">
        <v>4</v>
      </c>
      <c r="O1898" s="1">
        <v>-6.7140000000000004</v>
      </c>
      <c r="P1898">
        <v>0</v>
      </c>
      <c r="Q1898" s="1">
        <v>0.111</v>
      </c>
      <c r="R1898" s="1">
        <v>0.71199999999999997</v>
      </c>
      <c r="S1898" s="1">
        <v>0</v>
      </c>
      <c r="T1898" s="1">
        <v>0.23100000000000001</v>
      </c>
      <c r="U1898" s="1">
        <v>0.81200000000000006</v>
      </c>
      <c r="V1898" s="1">
        <v>155.804</v>
      </c>
      <c r="W1898">
        <v>4</v>
      </c>
    </row>
    <row r="1899" spans="1:23" x14ac:dyDescent="0.25">
      <c r="A1899" s="1" t="s">
        <v>11174</v>
      </c>
      <c r="B1899" s="1" t="s">
        <v>11175</v>
      </c>
      <c r="C1899" s="1" t="s">
        <v>5707</v>
      </c>
      <c r="D1899" s="1" t="s">
        <v>5707</v>
      </c>
      <c r="E1899" s="1" t="s">
        <v>331</v>
      </c>
      <c r="F1899" s="1" t="s">
        <v>11613</v>
      </c>
      <c r="G1899">
        <v>150720</v>
      </c>
      <c r="H1899">
        <v>37</v>
      </c>
      <c r="I1899" s="1" t="s">
        <v>11063</v>
      </c>
      <c r="J1899" s="11">
        <v>44729.706458333334</v>
      </c>
      <c r="K1899" s="1" t="s">
        <v>332</v>
      </c>
      <c r="L1899" s="1">
        <v>0.68100000000000005</v>
      </c>
      <c r="M1899" s="1">
        <v>0.76200000000000001</v>
      </c>
      <c r="N1899">
        <v>0</v>
      </c>
      <c r="O1899" s="1">
        <v>-6.7670000000000003</v>
      </c>
      <c r="P1899">
        <v>1</v>
      </c>
      <c r="Q1899" s="1">
        <v>0.27</v>
      </c>
      <c r="R1899" s="1">
        <v>0.12</v>
      </c>
      <c r="S1899" s="1">
        <v>0.14000000000000001</v>
      </c>
      <c r="T1899" s="1">
        <v>0.17799999999999999</v>
      </c>
      <c r="U1899" s="1">
        <v>0.59099999999999997</v>
      </c>
      <c r="V1899" s="1">
        <v>124.958</v>
      </c>
      <c r="W1899">
        <v>4</v>
      </c>
    </row>
    <row r="1900" spans="1:23" x14ac:dyDescent="0.25">
      <c r="A1900" s="1" t="s">
        <v>17800</v>
      </c>
      <c r="B1900" s="1" t="s">
        <v>17801</v>
      </c>
      <c r="C1900" s="1" t="s">
        <v>5708</v>
      </c>
      <c r="D1900" s="1" t="s">
        <v>5708</v>
      </c>
      <c r="E1900" s="1" t="s">
        <v>5709</v>
      </c>
      <c r="F1900" s="1" t="s">
        <v>17802</v>
      </c>
      <c r="G1900">
        <v>288876</v>
      </c>
      <c r="H1900">
        <v>0</v>
      </c>
      <c r="I1900" s="1" t="s">
        <v>11063</v>
      </c>
      <c r="J1900" s="11">
        <v>44729.706458333334</v>
      </c>
      <c r="K1900" s="1" t="s">
        <v>5710</v>
      </c>
      <c r="L1900" s="1">
        <v>0.59899999999999998</v>
      </c>
      <c r="M1900" s="1">
        <v>0.66700000000000004</v>
      </c>
      <c r="N1900">
        <v>7</v>
      </c>
      <c r="O1900" s="1">
        <v>-4.2670000000000003</v>
      </c>
      <c r="P1900">
        <v>1</v>
      </c>
      <c r="Q1900" s="1">
        <v>0.36699999999999999</v>
      </c>
      <c r="R1900" s="1">
        <v>0.53300000000000003</v>
      </c>
      <c r="S1900" s="1">
        <v>0</v>
      </c>
      <c r="T1900" s="1">
        <v>0.13400000000000001</v>
      </c>
      <c r="U1900" s="1">
        <v>0.81699999999999995</v>
      </c>
      <c r="V1900" s="1">
        <v>80.983999999999995</v>
      </c>
      <c r="W1900">
        <v>4</v>
      </c>
    </row>
    <row r="1901" spans="1:23" x14ac:dyDescent="0.25">
      <c r="A1901" s="1" t="s">
        <v>11614</v>
      </c>
      <c r="B1901" s="1" t="s">
        <v>11615</v>
      </c>
      <c r="C1901" s="1" t="s">
        <v>333</v>
      </c>
      <c r="D1901" s="1" t="s">
        <v>333</v>
      </c>
      <c r="E1901" s="1" t="s">
        <v>334</v>
      </c>
      <c r="F1901" s="1" t="s">
        <v>11616</v>
      </c>
      <c r="G1901">
        <v>179760</v>
      </c>
      <c r="H1901">
        <v>72</v>
      </c>
      <c r="I1901" s="1" t="s">
        <v>11063</v>
      </c>
      <c r="J1901" s="11">
        <v>44729.706458333334</v>
      </c>
      <c r="K1901" s="1" t="s">
        <v>335</v>
      </c>
      <c r="L1901" s="1">
        <v>0.88900000000000001</v>
      </c>
      <c r="M1901" s="1">
        <v>0.71599999999999997</v>
      </c>
      <c r="N1901">
        <v>7</v>
      </c>
      <c r="O1901" s="1">
        <v>-6.1459999999999999</v>
      </c>
      <c r="P1901">
        <v>1</v>
      </c>
      <c r="Q1901" s="1">
        <v>0.70799999999999996</v>
      </c>
      <c r="R1901" s="1">
        <v>0.59499999999999997</v>
      </c>
      <c r="S1901" s="1">
        <v>0.40899999999999997</v>
      </c>
      <c r="T1901" s="1">
        <v>0.16800000000000001</v>
      </c>
      <c r="U1901" s="1">
        <v>0.29599999999999999</v>
      </c>
      <c r="V1901" s="1">
        <v>128.02199999999999</v>
      </c>
      <c r="W1901">
        <v>4</v>
      </c>
    </row>
    <row r="1902" spans="1:23" x14ac:dyDescent="0.25">
      <c r="A1902" s="1" t="s">
        <v>17803</v>
      </c>
      <c r="B1902" s="1" t="s">
        <v>17804</v>
      </c>
      <c r="C1902" s="1" t="s">
        <v>5711</v>
      </c>
      <c r="D1902" s="1" t="s">
        <v>17805</v>
      </c>
      <c r="E1902" s="1" t="s">
        <v>5712</v>
      </c>
      <c r="F1902" s="1" t="s">
        <v>17806</v>
      </c>
      <c r="G1902">
        <v>201626</v>
      </c>
      <c r="H1902">
        <v>51</v>
      </c>
      <c r="I1902" s="1" t="s">
        <v>11063</v>
      </c>
      <c r="J1902" s="11">
        <v>44729.706458333334</v>
      </c>
      <c r="K1902" s="1" t="s">
        <v>5713</v>
      </c>
      <c r="L1902" s="1">
        <v>0.68600000000000005</v>
      </c>
      <c r="M1902" s="1">
        <v>0.52400000000000002</v>
      </c>
      <c r="N1902">
        <v>0</v>
      </c>
      <c r="O1902" s="1">
        <v>-7.2510000000000003</v>
      </c>
      <c r="P1902">
        <v>1</v>
      </c>
      <c r="Q1902" s="1">
        <v>0.34300000000000003</v>
      </c>
      <c r="R1902" s="1">
        <v>0.64900000000000002</v>
      </c>
      <c r="S1902" s="1">
        <v>0.56899999999999995</v>
      </c>
      <c r="T1902" s="1">
        <v>0.14000000000000001</v>
      </c>
      <c r="U1902" s="1">
        <v>0.95099999999999996</v>
      </c>
      <c r="V1902" s="1">
        <v>124.938</v>
      </c>
      <c r="W1902">
        <v>4</v>
      </c>
    </row>
    <row r="1903" spans="1:23" x14ac:dyDescent="0.25">
      <c r="A1903" s="1" t="s">
        <v>17807</v>
      </c>
      <c r="B1903" s="1" t="s">
        <v>12119</v>
      </c>
      <c r="C1903" s="1" t="s">
        <v>5714</v>
      </c>
      <c r="D1903" s="1" t="s">
        <v>5714</v>
      </c>
      <c r="E1903" s="1" t="s">
        <v>643</v>
      </c>
      <c r="F1903" s="1" t="s">
        <v>17808</v>
      </c>
      <c r="G1903">
        <v>210840</v>
      </c>
      <c r="H1903">
        <v>68</v>
      </c>
      <c r="I1903" s="1" t="s">
        <v>11063</v>
      </c>
      <c r="J1903" s="11">
        <v>44729.706458333334</v>
      </c>
      <c r="K1903" s="1" t="s">
        <v>644</v>
      </c>
      <c r="L1903" s="1">
        <v>0.54600000000000004</v>
      </c>
      <c r="M1903" s="1">
        <v>0.89800000000000002</v>
      </c>
      <c r="N1903">
        <v>8</v>
      </c>
      <c r="O1903" s="1">
        <v>-3.9380000000000002</v>
      </c>
      <c r="P1903">
        <v>1</v>
      </c>
      <c r="Q1903" s="1">
        <v>0.23200000000000001</v>
      </c>
      <c r="R1903" s="1">
        <v>0.158</v>
      </c>
      <c r="S1903" s="1">
        <v>0.64300000000000002</v>
      </c>
      <c r="T1903" s="1">
        <v>0.22900000000000001</v>
      </c>
      <c r="U1903" s="1">
        <v>0.46600000000000003</v>
      </c>
      <c r="V1903" s="1">
        <v>130.00200000000001</v>
      </c>
      <c r="W1903">
        <v>4</v>
      </c>
    </row>
    <row r="1904" spans="1:23" x14ac:dyDescent="0.25">
      <c r="A1904" s="1" t="s">
        <v>17809</v>
      </c>
      <c r="B1904" s="1" t="s">
        <v>17810</v>
      </c>
      <c r="C1904" s="1" t="s">
        <v>5715</v>
      </c>
      <c r="D1904" s="1" t="s">
        <v>5715</v>
      </c>
      <c r="E1904" s="1" t="s">
        <v>5716</v>
      </c>
      <c r="F1904" s="1" t="s">
        <v>16933</v>
      </c>
      <c r="G1904">
        <v>128695</v>
      </c>
      <c r="H1904">
        <v>51</v>
      </c>
      <c r="I1904" s="1" t="s">
        <v>11063</v>
      </c>
      <c r="J1904" s="11">
        <v>44729.706458333334</v>
      </c>
      <c r="K1904" s="1" t="s">
        <v>5717</v>
      </c>
      <c r="L1904" s="1">
        <v>0.68300000000000005</v>
      </c>
      <c r="M1904" s="1">
        <v>0.79800000000000004</v>
      </c>
      <c r="N1904">
        <v>11</v>
      </c>
      <c r="O1904" s="1">
        <v>-8.2490000000000006</v>
      </c>
      <c r="P1904">
        <v>0</v>
      </c>
      <c r="Q1904" s="1">
        <v>0.50900000000000001</v>
      </c>
      <c r="R1904" s="1">
        <v>0.71299999999999997</v>
      </c>
      <c r="S1904" s="1">
        <v>0.104</v>
      </c>
      <c r="T1904" s="1">
        <v>0.69599999999999995</v>
      </c>
      <c r="U1904" s="1">
        <v>0.13300000000000001</v>
      </c>
      <c r="V1904" s="1">
        <v>103.54</v>
      </c>
      <c r="W1904">
        <v>1</v>
      </c>
    </row>
    <row r="1905" spans="1:23" x14ac:dyDescent="0.25">
      <c r="A1905" s="1" t="s">
        <v>17811</v>
      </c>
      <c r="B1905" s="1" t="s">
        <v>17812</v>
      </c>
      <c r="C1905" s="1" t="s">
        <v>5718</v>
      </c>
      <c r="D1905" s="1" t="s">
        <v>17813</v>
      </c>
      <c r="E1905" s="1" t="s">
        <v>5719</v>
      </c>
      <c r="F1905" s="1" t="s">
        <v>16340</v>
      </c>
      <c r="G1905">
        <v>196000</v>
      </c>
      <c r="H1905">
        <v>69</v>
      </c>
      <c r="I1905" s="1" t="s">
        <v>11063</v>
      </c>
      <c r="J1905" s="11">
        <v>44729.706458333334</v>
      </c>
      <c r="K1905" s="1" t="s">
        <v>5720</v>
      </c>
      <c r="L1905" s="1">
        <v>0.72299999999999998</v>
      </c>
      <c r="M1905" s="1">
        <v>0.56999999999999995</v>
      </c>
      <c r="N1905">
        <v>9</v>
      </c>
      <c r="O1905" s="1">
        <v>-8.5890000000000004</v>
      </c>
      <c r="P1905">
        <v>0</v>
      </c>
      <c r="Q1905" s="1">
        <v>0.42899999999999999</v>
      </c>
      <c r="R1905" s="1">
        <v>0.41199999999999998</v>
      </c>
      <c r="S1905" s="1">
        <v>0.183</v>
      </c>
      <c r="T1905" s="1">
        <v>0.86199999999999999</v>
      </c>
      <c r="U1905" s="1">
        <v>0.57499999999999996</v>
      </c>
      <c r="V1905" s="1">
        <v>123.979</v>
      </c>
      <c r="W1905">
        <v>4</v>
      </c>
    </row>
    <row r="1906" spans="1:23" x14ac:dyDescent="0.25">
      <c r="A1906" s="1" t="s">
        <v>11617</v>
      </c>
      <c r="B1906" s="1" t="s">
        <v>11618</v>
      </c>
      <c r="C1906" s="1" t="s">
        <v>5721</v>
      </c>
      <c r="D1906" s="1" t="s">
        <v>5721</v>
      </c>
      <c r="E1906" s="1" t="s">
        <v>336</v>
      </c>
      <c r="F1906" s="1" t="s">
        <v>11619</v>
      </c>
      <c r="G1906">
        <v>163804</v>
      </c>
      <c r="H1906">
        <v>75</v>
      </c>
      <c r="I1906" s="1" t="s">
        <v>11063</v>
      </c>
      <c r="J1906" s="11">
        <v>44729.706458333334</v>
      </c>
      <c r="K1906" s="1" t="s">
        <v>5722</v>
      </c>
      <c r="L1906" s="1">
        <v>0.66100000000000003</v>
      </c>
      <c r="M1906" s="1">
        <v>0.72299999999999998</v>
      </c>
      <c r="N1906">
        <v>5</v>
      </c>
      <c r="O1906" s="1">
        <v>-6.976</v>
      </c>
      <c r="P1906">
        <v>0</v>
      </c>
      <c r="Q1906" s="1">
        <v>0.56599999999999995</v>
      </c>
      <c r="R1906" s="1">
        <v>0.17899999999999999</v>
      </c>
      <c r="S1906" s="1">
        <v>0.123</v>
      </c>
      <c r="T1906" s="1">
        <v>0.14000000000000001</v>
      </c>
      <c r="U1906" s="1">
        <v>0.316</v>
      </c>
      <c r="V1906" s="1">
        <v>113.77800000000001</v>
      </c>
      <c r="W1906">
        <v>4</v>
      </c>
    </row>
    <row r="1907" spans="1:23" x14ac:dyDescent="0.25">
      <c r="A1907" s="1" t="s">
        <v>17814</v>
      </c>
      <c r="B1907" s="1" t="s">
        <v>17815</v>
      </c>
      <c r="C1907" s="1" t="s">
        <v>5723</v>
      </c>
      <c r="D1907" s="1" t="s">
        <v>5723</v>
      </c>
      <c r="E1907" s="1" t="s">
        <v>5724</v>
      </c>
      <c r="F1907" s="1" t="s">
        <v>13934</v>
      </c>
      <c r="G1907">
        <v>152000</v>
      </c>
      <c r="H1907">
        <v>52</v>
      </c>
      <c r="I1907" s="1" t="s">
        <v>11063</v>
      </c>
      <c r="J1907" s="11">
        <v>44729.706458333334</v>
      </c>
      <c r="K1907" s="1" t="s">
        <v>4098</v>
      </c>
      <c r="L1907" s="1">
        <v>0.55300000000000005</v>
      </c>
      <c r="M1907" s="1">
        <v>0.77600000000000002</v>
      </c>
      <c r="N1907">
        <v>11</v>
      </c>
      <c r="O1907" s="1">
        <v>-4.3710000000000004</v>
      </c>
      <c r="P1907">
        <v>1</v>
      </c>
      <c r="Q1907" s="1">
        <v>0.38800000000000001</v>
      </c>
      <c r="R1907" s="1">
        <v>0.53600000000000003</v>
      </c>
      <c r="S1907" s="1">
        <v>0.124</v>
      </c>
      <c r="T1907" s="1">
        <v>0.112</v>
      </c>
      <c r="U1907" s="1">
        <v>0.33900000000000002</v>
      </c>
      <c r="V1907" s="1">
        <v>128.12299999999999</v>
      </c>
      <c r="W1907">
        <v>4</v>
      </c>
    </row>
    <row r="1908" spans="1:23" x14ac:dyDescent="0.25">
      <c r="A1908" s="1" t="s">
        <v>17816</v>
      </c>
      <c r="B1908" s="1" t="s">
        <v>17817</v>
      </c>
      <c r="C1908" s="1" t="s">
        <v>5725</v>
      </c>
      <c r="D1908" s="1" t="s">
        <v>5725</v>
      </c>
      <c r="E1908" s="1" t="s">
        <v>5726</v>
      </c>
      <c r="F1908" s="1" t="s">
        <v>17818</v>
      </c>
      <c r="G1908">
        <v>215237</v>
      </c>
      <c r="H1908">
        <v>31</v>
      </c>
      <c r="I1908" s="1" t="s">
        <v>11063</v>
      </c>
      <c r="J1908" s="11">
        <v>44729.706458333334</v>
      </c>
      <c r="K1908" s="1" t="s">
        <v>5727</v>
      </c>
      <c r="L1908" s="1">
        <v>0.42899999999999999</v>
      </c>
      <c r="M1908" s="1">
        <v>0.79100000000000004</v>
      </c>
      <c r="N1908">
        <v>5</v>
      </c>
      <c r="O1908" s="1">
        <v>-4.3140000000000001</v>
      </c>
      <c r="P1908">
        <v>1</v>
      </c>
      <c r="Q1908" s="1">
        <v>0.123</v>
      </c>
      <c r="R1908" s="1">
        <v>0.21099999999999999</v>
      </c>
      <c r="S1908" s="1">
        <v>0</v>
      </c>
      <c r="T1908" s="1">
        <v>0.111</v>
      </c>
      <c r="U1908" s="1">
        <v>0.29799999999999999</v>
      </c>
      <c r="V1908" s="1">
        <v>154.06100000000001</v>
      </c>
      <c r="W1908">
        <v>4</v>
      </c>
    </row>
    <row r="1909" spans="1:23" x14ac:dyDescent="0.25">
      <c r="A1909" s="1" t="s">
        <v>12153</v>
      </c>
      <c r="B1909" s="1" t="s">
        <v>12154</v>
      </c>
      <c r="C1909" s="1" t="s">
        <v>682</v>
      </c>
      <c r="D1909" s="1" t="s">
        <v>12155</v>
      </c>
      <c r="E1909" s="1" t="s">
        <v>683</v>
      </c>
      <c r="F1909" s="1" t="s">
        <v>16174</v>
      </c>
      <c r="G1909">
        <v>195480</v>
      </c>
      <c r="H1909">
        <v>43</v>
      </c>
      <c r="I1909" s="1" t="s">
        <v>11063</v>
      </c>
      <c r="J1909" s="11">
        <v>44729.706458333334</v>
      </c>
      <c r="K1909" s="1" t="s">
        <v>684</v>
      </c>
      <c r="L1909" s="1">
        <v>0.36099999999999999</v>
      </c>
      <c r="M1909" s="1">
        <v>0.84699999999999998</v>
      </c>
      <c r="N1909">
        <v>1</v>
      </c>
      <c r="O1909" s="1">
        <v>-4.1379999999999999</v>
      </c>
      <c r="P1909">
        <v>1</v>
      </c>
      <c r="Q1909" s="1">
        <v>0.748</v>
      </c>
      <c r="R1909" s="1">
        <v>0.112</v>
      </c>
      <c r="S1909" s="1">
        <v>0.14799999999999999</v>
      </c>
      <c r="T1909" s="1">
        <v>0.16300000000000001</v>
      </c>
      <c r="U1909" s="1">
        <v>0.26200000000000001</v>
      </c>
      <c r="V1909" s="1">
        <v>174.154</v>
      </c>
      <c r="W1909">
        <v>4</v>
      </c>
    </row>
    <row r="1910" spans="1:23" x14ac:dyDescent="0.25">
      <c r="A1910" s="1" t="s">
        <v>17819</v>
      </c>
      <c r="B1910" s="1" t="s">
        <v>17820</v>
      </c>
      <c r="C1910" s="1" t="s">
        <v>5728</v>
      </c>
      <c r="D1910" s="1" t="s">
        <v>5728</v>
      </c>
      <c r="E1910" s="1" t="s">
        <v>5729</v>
      </c>
      <c r="F1910" s="1" t="s">
        <v>17821</v>
      </c>
      <c r="G1910">
        <v>197485</v>
      </c>
      <c r="H1910">
        <v>54</v>
      </c>
      <c r="I1910" s="1" t="s">
        <v>11063</v>
      </c>
      <c r="J1910" s="11">
        <v>44729.706458333334</v>
      </c>
      <c r="K1910" s="1" t="s">
        <v>5730</v>
      </c>
      <c r="L1910" s="1">
        <v>0.42399999999999999</v>
      </c>
      <c r="M1910" s="1">
        <v>0.92100000000000004</v>
      </c>
      <c r="N1910">
        <v>4</v>
      </c>
      <c r="O1910" s="1">
        <v>-3.1739999999999999</v>
      </c>
      <c r="P1910">
        <v>0</v>
      </c>
      <c r="Q1910" s="1">
        <v>0.42699999999999999</v>
      </c>
      <c r="R1910" s="1">
        <v>0.11799999999999999</v>
      </c>
      <c r="S1910" s="1">
        <v>0.81699999999999995</v>
      </c>
      <c r="T1910" s="1">
        <v>0.32800000000000001</v>
      </c>
      <c r="U1910" s="1">
        <v>0.97299999999999998</v>
      </c>
      <c r="V1910" s="1">
        <v>174.98599999999999</v>
      </c>
      <c r="W1910">
        <v>4</v>
      </c>
    </row>
    <row r="1911" spans="1:23" x14ac:dyDescent="0.25">
      <c r="A1911" s="1" t="s">
        <v>17822</v>
      </c>
      <c r="B1911" s="1" t="s">
        <v>11181</v>
      </c>
      <c r="C1911" s="1" t="s">
        <v>5731</v>
      </c>
      <c r="D1911" s="1" t="s">
        <v>11116</v>
      </c>
      <c r="E1911" s="1" t="s">
        <v>3797</v>
      </c>
      <c r="F1911" s="1" t="s">
        <v>11597</v>
      </c>
      <c r="G1911">
        <v>226800</v>
      </c>
      <c r="H1911">
        <v>43</v>
      </c>
      <c r="I1911" s="1" t="s">
        <v>11063</v>
      </c>
      <c r="J1911" s="11">
        <v>44729.706458333334</v>
      </c>
      <c r="K1911" s="1" t="s">
        <v>3798</v>
      </c>
      <c r="L1911" s="1">
        <v>0.78200000000000003</v>
      </c>
      <c r="M1911" s="1">
        <v>0.67500000000000004</v>
      </c>
      <c r="N1911">
        <v>7</v>
      </c>
      <c r="O1911" s="1">
        <v>-6.718</v>
      </c>
      <c r="P1911">
        <v>0</v>
      </c>
      <c r="Q1911" s="1">
        <v>0.59099999999999997</v>
      </c>
      <c r="R1911" s="1">
        <v>0.23799999999999999</v>
      </c>
      <c r="S1911" s="1">
        <v>0</v>
      </c>
      <c r="T1911" s="1">
        <v>0.9</v>
      </c>
      <c r="U1911" s="1">
        <v>0.70599999999999996</v>
      </c>
      <c r="V1911" s="1">
        <v>116.96899999999999</v>
      </c>
      <c r="W1911">
        <v>4</v>
      </c>
    </row>
    <row r="1912" spans="1:23" x14ac:dyDescent="0.25">
      <c r="A1912" s="1" t="s">
        <v>11180</v>
      </c>
      <c r="B1912" s="1" t="s">
        <v>11181</v>
      </c>
      <c r="C1912" s="1" t="s">
        <v>3631</v>
      </c>
      <c r="D1912" s="1" t="s">
        <v>11182</v>
      </c>
      <c r="E1912" s="1" t="s">
        <v>3797</v>
      </c>
      <c r="F1912" s="1" t="s">
        <v>11597</v>
      </c>
      <c r="G1912">
        <v>225933</v>
      </c>
      <c r="H1912">
        <v>29</v>
      </c>
      <c r="I1912" s="1" t="s">
        <v>11063</v>
      </c>
      <c r="J1912" s="11">
        <v>44729.706458333334</v>
      </c>
      <c r="K1912" s="1" t="s">
        <v>3798</v>
      </c>
      <c r="L1912" s="1">
        <v>0.73499999999999999</v>
      </c>
      <c r="M1912" s="1">
        <v>0.57599999999999996</v>
      </c>
      <c r="N1912">
        <v>2</v>
      </c>
      <c r="O1912" s="1">
        <v>-6.3460000000000001</v>
      </c>
      <c r="P1912">
        <v>0</v>
      </c>
      <c r="Q1912" s="1">
        <v>0.28699999999999998</v>
      </c>
      <c r="R1912" s="1">
        <v>0.215</v>
      </c>
      <c r="S1912" s="1">
        <v>0.112</v>
      </c>
      <c r="T1912" s="1">
        <v>0.99199999999999999</v>
      </c>
      <c r="U1912" s="1">
        <v>0.47899999999999998</v>
      </c>
      <c r="V1912" s="1">
        <v>97.468000000000004</v>
      </c>
      <c r="W1912">
        <v>4</v>
      </c>
    </row>
    <row r="1913" spans="1:23" x14ac:dyDescent="0.25">
      <c r="A1913" s="1" t="s">
        <v>17823</v>
      </c>
      <c r="B1913" s="1" t="s">
        <v>17824</v>
      </c>
      <c r="C1913" s="1" t="s">
        <v>5732</v>
      </c>
      <c r="D1913" s="1" t="s">
        <v>17825</v>
      </c>
      <c r="E1913" s="1" t="s">
        <v>5733</v>
      </c>
      <c r="F1913" s="1" t="s">
        <v>16409</v>
      </c>
      <c r="G1913">
        <v>201230</v>
      </c>
      <c r="H1913">
        <v>54</v>
      </c>
      <c r="I1913" s="1" t="s">
        <v>11063</v>
      </c>
      <c r="J1913" s="11">
        <v>44729.706458333334</v>
      </c>
      <c r="K1913" s="1" t="s">
        <v>5734</v>
      </c>
      <c r="L1913" s="1">
        <v>0.50900000000000001</v>
      </c>
      <c r="M1913" s="1">
        <v>0.91900000000000004</v>
      </c>
      <c r="N1913">
        <v>8</v>
      </c>
      <c r="O1913" s="1">
        <v>-3.5870000000000002</v>
      </c>
      <c r="P1913">
        <v>0</v>
      </c>
      <c r="Q1913" s="1">
        <v>0.79200000000000004</v>
      </c>
      <c r="R1913" s="1">
        <v>0.13100000000000001</v>
      </c>
      <c r="S1913" s="1">
        <v>0</v>
      </c>
      <c r="T1913" s="1">
        <v>0.54</v>
      </c>
      <c r="U1913" s="1">
        <v>0.311</v>
      </c>
      <c r="V1913" s="1">
        <v>130.072</v>
      </c>
      <c r="W1913">
        <v>4</v>
      </c>
    </row>
    <row r="1914" spans="1:23" x14ac:dyDescent="0.25">
      <c r="A1914" s="1" t="s">
        <v>17826</v>
      </c>
      <c r="B1914" s="1" t="s">
        <v>17827</v>
      </c>
      <c r="C1914" s="1" t="s">
        <v>5735</v>
      </c>
      <c r="D1914" s="1" t="s">
        <v>5735</v>
      </c>
      <c r="E1914" s="1" t="s">
        <v>5736</v>
      </c>
      <c r="F1914" s="1" t="s">
        <v>16138</v>
      </c>
      <c r="G1914">
        <v>259200</v>
      </c>
      <c r="H1914">
        <v>25</v>
      </c>
      <c r="I1914" s="1" t="s">
        <v>11063</v>
      </c>
      <c r="J1914" s="11">
        <v>44729.706458333334</v>
      </c>
      <c r="K1914" s="1" t="s">
        <v>50</v>
      </c>
      <c r="L1914" s="1">
        <v>0.433</v>
      </c>
      <c r="M1914" s="1">
        <v>0.80200000000000005</v>
      </c>
      <c r="N1914">
        <v>5</v>
      </c>
      <c r="O1914" s="1">
        <v>-4.2300000000000004</v>
      </c>
      <c r="P1914">
        <v>0</v>
      </c>
      <c r="Q1914" s="1">
        <v>0.66</v>
      </c>
      <c r="R1914" s="1">
        <v>0.753</v>
      </c>
      <c r="S1914" s="1">
        <v>0.193</v>
      </c>
      <c r="T1914" s="1">
        <v>0.17699999999999999</v>
      </c>
      <c r="U1914" s="1">
        <v>0.20799999999999999</v>
      </c>
      <c r="V1914" s="1">
        <v>150.01300000000001</v>
      </c>
      <c r="W1914">
        <v>4</v>
      </c>
    </row>
    <row r="1915" spans="1:23" x14ac:dyDescent="0.25">
      <c r="A1915" s="1" t="s">
        <v>17828</v>
      </c>
      <c r="B1915" s="1" t="s">
        <v>17827</v>
      </c>
      <c r="C1915" s="1" t="s">
        <v>5737</v>
      </c>
      <c r="D1915" s="1" t="s">
        <v>17829</v>
      </c>
      <c r="E1915" s="1" t="s">
        <v>5736</v>
      </c>
      <c r="F1915" s="1" t="s">
        <v>16008</v>
      </c>
      <c r="G1915">
        <v>270400</v>
      </c>
      <c r="H1915">
        <v>38</v>
      </c>
      <c r="I1915" s="1" t="s">
        <v>11063</v>
      </c>
      <c r="J1915" s="11">
        <v>44729.706458333334</v>
      </c>
      <c r="K1915" s="1" t="s">
        <v>50</v>
      </c>
      <c r="L1915" s="1">
        <v>0.41499999999999998</v>
      </c>
      <c r="M1915" s="1">
        <v>0.625</v>
      </c>
      <c r="N1915">
        <v>1</v>
      </c>
      <c r="O1915" s="1">
        <v>-4.8310000000000004</v>
      </c>
      <c r="P1915">
        <v>0</v>
      </c>
      <c r="Q1915" s="1">
        <v>0.30199999999999999</v>
      </c>
      <c r="R1915" s="1">
        <v>0.246</v>
      </c>
      <c r="S1915" s="1">
        <v>0.622</v>
      </c>
      <c r="T1915" s="1">
        <v>0.94799999999999995</v>
      </c>
      <c r="U1915" s="1">
        <v>0.13400000000000001</v>
      </c>
      <c r="V1915" s="1">
        <v>150.22900000000001</v>
      </c>
      <c r="W1915">
        <v>4</v>
      </c>
    </row>
    <row r="1916" spans="1:23" x14ac:dyDescent="0.25">
      <c r="A1916" s="1" t="s">
        <v>17830</v>
      </c>
      <c r="B1916" s="1" t="s">
        <v>17831</v>
      </c>
      <c r="C1916" s="1" t="s">
        <v>5738</v>
      </c>
      <c r="D1916" s="1" t="s">
        <v>5738</v>
      </c>
      <c r="E1916" s="1" t="s">
        <v>5739</v>
      </c>
      <c r="F1916" s="1" t="s">
        <v>13596</v>
      </c>
      <c r="G1916">
        <v>219506</v>
      </c>
      <c r="H1916">
        <v>25</v>
      </c>
      <c r="I1916" s="1" t="s">
        <v>11063</v>
      </c>
      <c r="J1916" s="11">
        <v>44729.706458333334</v>
      </c>
      <c r="K1916" s="1" t="s">
        <v>50</v>
      </c>
      <c r="L1916" s="1">
        <v>0.52900000000000003</v>
      </c>
      <c r="M1916" s="1">
        <v>0.78500000000000003</v>
      </c>
      <c r="N1916">
        <v>11</v>
      </c>
      <c r="O1916" s="1">
        <v>-4.9169999999999998</v>
      </c>
      <c r="P1916">
        <v>0</v>
      </c>
      <c r="Q1916" s="1">
        <v>0.56100000000000005</v>
      </c>
      <c r="R1916" s="1">
        <v>0.104</v>
      </c>
      <c r="S1916" s="1">
        <v>0.17399999999999999</v>
      </c>
      <c r="T1916" s="1">
        <v>0.34</v>
      </c>
      <c r="U1916" s="1">
        <v>0.27900000000000003</v>
      </c>
      <c r="V1916" s="1">
        <v>139.999</v>
      </c>
      <c r="W1916">
        <v>4</v>
      </c>
    </row>
    <row r="1917" spans="1:23" x14ac:dyDescent="0.25">
      <c r="A1917" s="1" t="s">
        <v>17832</v>
      </c>
      <c r="B1917" s="1" t="s">
        <v>17833</v>
      </c>
      <c r="C1917" s="1" t="s">
        <v>5740</v>
      </c>
      <c r="D1917" s="1" t="s">
        <v>5740</v>
      </c>
      <c r="E1917" s="1" t="s">
        <v>5741</v>
      </c>
      <c r="F1917" s="1" t="s">
        <v>17834</v>
      </c>
      <c r="G1917">
        <v>184986</v>
      </c>
      <c r="H1917">
        <v>38</v>
      </c>
      <c r="I1917" s="1" t="s">
        <v>11063</v>
      </c>
      <c r="J1917" s="11">
        <v>44729.706458333334</v>
      </c>
      <c r="K1917" s="1" t="s">
        <v>2939</v>
      </c>
      <c r="L1917" s="1">
        <v>0.50700000000000001</v>
      </c>
      <c r="M1917" s="1">
        <v>0.72099999999999997</v>
      </c>
      <c r="N1917">
        <v>2</v>
      </c>
      <c r="O1917" s="1">
        <v>-8.6470000000000002</v>
      </c>
      <c r="P1917">
        <v>1</v>
      </c>
      <c r="Q1917" s="1">
        <v>0.42099999999999999</v>
      </c>
      <c r="R1917" s="1">
        <v>0.14499999999999999</v>
      </c>
      <c r="S1917" s="1">
        <v>0.33300000000000002</v>
      </c>
      <c r="T1917" s="1">
        <v>0.11</v>
      </c>
      <c r="U1917" s="1">
        <v>0.38800000000000001</v>
      </c>
      <c r="V1917" s="1">
        <v>140.017</v>
      </c>
      <c r="W1917">
        <v>4</v>
      </c>
    </row>
    <row r="1918" spans="1:23" x14ac:dyDescent="0.25">
      <c r="A1918" s="1" t="s">
        <v>17835</v>
      </c>
      <c r="B1918" s="1" t="s">
        <v>17836</v>
      </c>
      <c r="C1918" s="1" t="s">
        <v>5742</v>
      </c>
      <c r="D1918" s="1" t="s">
        <v>5742</v>
      </c>
      <c r="E1918" s="1" t="s">
        <v>5743</v>
      </c>
      <c r="F1918" s="1" t="s">
        <v>17837</v>
      </c>
      <c r="G1918">
        <v>213000</v>
      </c>
      <c r="H1918">
        <v>41</v>
      </c>
      <c r="I1918" s="1" t="s">
        <v>11063</v>
      </c>
      <c r="J1918" s="11">
        <v>44729.706458333334</v>
      </c>
      <c r="K1918" s="1" t="s">
        <v>5744</v>
      </c>
      <c r="L1918" s="1">
        <v>0.56399999999999995</v>
      </c>
      <c r="M1918" s="1">
        <v>0.755</v>
      </c>
      <c r="N1918">
        <v>10</v>
      </c>
      <c r="O1918" s="1">
        <v>-2.9929999999999999</v>
      </c>
      <c r="P1918">
        <v>0</v>
      </c>
      <c r="Q1918" s="1">
        <v>0.48799999999999999</v>
      </c>
      <c r="R1918" s="1">
        <v>0.80500000000000005</v>
      </c>
      <c r="S1918" s="1">
        <v>0.98299999999999998</v>
      </c>
      <c r="T1918" s="1">
        <v>0.68899999999999995</v>
      </c>
      <c r="U1918" s="1">
        <v>0.28499999999999998</v>
      </c>
      <c r="V1918" s="1">
        <v>159.94</v>
      </c>
      <c r="W1918">
        <v>4</v>
      </c>
    </row>
    <row r="1919" spans="1:23" x14ac:dyDescent="0.25">
      <c r="A1919" s="1" t="s">
        <v>17838</v>
      </c>
      <c r="B1919" s="1" t="s">
        <v>14565</v>
      </c>
      <c r="C1919" s="1" t="s">
        <v>5745</v>
      </c>
      <c r="D1919" s="1" t="s">
        <v>5745</v>
      </c>
      <c r="E1919" s="1" t="s">
        <v>2888</v>
      </c>
      <c r="F1919" s="1" t="s">
        <v>16156</v>
      </c>
      <c r="G1919">
        <v>196714</v>
      </c>
      <c r="H1919">
        <v>46</v>
      </c>
      <c r="I1919" s="1" t="s">
        <v>11063</v>
      </c>
      <c r="J1919" s="11">
        <v>44729.706458333334</v>
      </c>
      <c r="K1919" s="1" t="s">
        <v>2889</v>
      </c>
      <c r="L1919" s="1">
        <v>0.627</v>
      </c>
      <c r="M1919" s="1">
        <v>0.60299999999999998</v>
      </c>
      <c r="N1919">
        <v>4</v>
      </c>
      <c r="O1919" s="1">
        <v>-7.9829999999999997</v>
      </c>
      <c r="P1919">
        <v>1</v>
      </c>
      <c r="Q1919" s="1">
        <v>0.11</v>
      </c>
      <c r="R1919" s="1">
        <v>0.41099999999999998</v>
      </c>
      <c r="S1919" s="1">
        <v>0</v>
      </c>
      <c r="T1919" s="1">
        <v>0.14399999999999999</v>
      </c>
      <c r="U1919" s="1">
        <v>0.498</v>
      </c>
      <c r="V1919" s="1">
        <v>139.869</v>
      </c>
      <c r="W1919">
        <v>4</v>
      </c>
    </row>
    <row r="1920" spans="1:23" x14ac:dyDescent="0.25">
      <c r="A1920" s="1" t="s">
        <v>17839</v>
      </c>
      <c r="B1920" s="1" t="s">
        <v>17840</v>
      </c>
      <c r="C1920" s="1" t="s">
        <v>5746</v>
      </c>
      <c r="D1920" s="1" t="s">
        <v>5746</v>
      </c>
      <c r="E1920" s="1" t="s">
        <v>5747</v>
      </c>
      <c r="F1920" s="1" t="s">
        <v>17841</v>
      </c>
      <c r="G1920">
        <v>226909</v>
      </c>
      <c r="H1920">
        <v>35</v>
      </c>
      <c r="I1920" s="1" t="s">
        <v>11063</v>
      </c>
      <c r="J1920" s="11">
        <v>44729.706458333334</v>
      </c>
      <c r="K1920" s="1" t="s">
        <v>5748</v>
      </c>
      <c r="L1920" s="1">
        <v>0.42399999999999999</v>
      </c>
      <c r="M1920" s="1">
        <v>0.78800000000000003</v>
      </c>
      <c r="N1920">
        <v>0</v>
      </c>
      <c r="O1920" s="1">
        <v>-7.1150000000000002</v>
      </c>
      <c r="P1920">
        <v>0</v>
      </c>
      <c r="Q1920" s="1">
        <v>0.60899999999999999</v>
      </c>
      <c r="R1920" s="1">
        <v>0.34200000000000003</v>
      </c>
      <c r="S1920" s="1">
        <v>0.30599999999999999</v>
      </c>
      <c r="T1920" s="1">
        <v>0.14399999999999999</v>
      </c>
      <c r="U1920" s="1">
        <v>0.14399999999999999</v>
      </c>
      <c r="V1920" s="1">
        <v>84.480999999999995</v>
      </c>
      <c r="W1920">
        <v>4</v>
      </c>
    </row>
    <row r="1921" spans="1:23" x14ac:dyDescent="0.25">
      <c r="A1921" s="1" t="s">
        <v>17842</v>
      </c>
      <c r="B1921" s="1" t="s">
        <v>17843</v>
      </c>
      <c r="C1921" s="1" t="s">
        <v>5749</v>
      </c>
      <c r="D1921" s="1" t="s">
        <v>5749</v>
      </c>
      <c r="E1921" s="1" t="s">
        <v>5750</v>
      </c>
      <c r="F1921" s="1" t="s">
        <v>17844</v>
      </c>
      <c r="G1921">
        <v>180937</v>
      </c>
      <c r="H1921">
        <v>41</v>
      </c>
      <c r="I1921" s="1" t="s">
        <v>11063</v>
      </c>
      <c r="J1921" s="11">
        <v>44729.706458333334</v>
      </c>
      <c r="K1921" s="1" t="s">
        <v>5751</v>
      </c>
      <c r="L1921" s="1">
        <v>0.56799999999999995</v>
      </c>
      <c r="M1921" s="1">
        <v>0.76700000000000002</v>
      </c>
      <c r="N1921">
        <v>0</v>
      </c>
      <c r="O1921" s="1">
        <v>-3.6339999999999999</v>
      </c>
      <c r="P1921">
        <v>1</v>
      </c>
      <c r="Q1921" s="1">
        <v>0.46100000000000002</v>
      </c>
      <c r="R1921" s="1">
        <v>0.91900000000000004</v>
      </c>
      <c r="S1921" s="1">
        <v>0</v>
      </c>
      <c r="T1921" s="1">
        <v>0.3</v>
      </c>
      <c r="U1921" s="1">
        <v>0.27500000000000002</v>
      </c>
      <c r="V1921" s="1">
        <v>129.93100000000001</v>
      </c>
      <c r="W1921">
        <v>4</v>
      </c>
    </row>
    <row r="1922" spans="1:23" x14ac:dyDescent="0.25">
      <c r="A1922" s="1" t="s">
        <v>17845</v>
      </c>
      <c r="B1922" s="1" t="s">
        <v>17846</v>
      </c>
      <c r="C1922" s="1" t="s">
        <v>5752</v>
      </c>
      <c r="D1922" s="1" t="s">
        <v>5749</v>
      </c>
      <c r="E1922" s="1" t="s">
        <v>5753</v>
      </c>
      <c r="F1922" s="1" t="s">
        <v>17844</v>
      </c>
      <c r="G1922">
        <v>258956</v>
      </c>
      <c r="H1922">
        <v>29</v>
      </c>
      <c r="I1922" s="1" t="s">
        <v>11063</v>
      </c>
      <c r="J1922" s="11">
        <v>44729.706458333334</v>
      </c>
      <c r="K1922" s="1" t="s">
        <v>5754</v>
      </c>
      <c r="L1922" s="1">
        <v>0.51800000000000002</v>
      </c>
      <c r="M1922" s="1">
        <v>0.71299999999999997</v>
      </c>
      <c r="N1922">
        <v>2</v>
      </c>
      <c r="O1922" s="1">
        <v>-6.8029999999999999</v>
      </c>
      <c r="P1922">
        <v>0</v>
      </c>
      <c r="Q1922" s="1">
        <v>0.48199999999999998</v>
      </c>
      <c r="R1922" s="1">
        <v>0.154</v>
      </c>
      <c r="S1922" s="1">
        <v>0.20699999999999999</v>
      </c>
      <c r="T1922" s="1">
        <v>0.16900000000000001</v>
      </c>
      <c r="U1922" s="1">
        <v>0.114</v>
      </c>
      <c r="V1922" s="1">
        <v>120.02800000000001</v>
      </c>
      <c r="W1922">
        <v>4</v>
      </c>
    </row>
    <row r="1923" spans="1:23" x14ac:dyDescent="0.25">
      <c r="A1923" s="1" t="s">
        <v>17847</v>
      </c>
      <c r="B1923" s="1" t="s">
        <v>17848</v>
      </c>
      <c r="C1923" s="1" t="s">
        <v>5755</v>
      </c>
      <c r="D1923" s="1" t="s">
        <v>17428</v>
      </c>
      <c r="E1923" s="1" t="s">
        <v>5756</v>
      </c>
      <c r="F1923" s="1" t="s">
        <v>13459</v>
      </c>
      <c r="G1923">
        <v>288695</v>
      </c>
      <c r="H1923">
        <v>37</v>
      </c>
      <c r="I1923" s="1" t="s">
        <v>11063</v>
      </c>
      <c r="J1923" s="11">
        <v>44729.706458333334</v>
      </c>
      <c r="K1923" s="1" t="s">
        <v>5757</v>
      </c>
      <c r="L1923" s="1">
        <v>0.45100000000000001</v>
      </c>
      <c r="M1923" s="1">
        <v>0.92</v>
      </c>
      <c r="N1923">
        <v>2</v>
      </c>
      <c r="O1923" s="1">
        <v>-2.8730000000000002</v>
      </c>
      <c r="P1923">
        <v>0</v>
      </c>
      <c r="Q1923" s="1">
        <v>0.80100000000000005</v>
      </c>
      <c r="R1923" s="1">
        <v>0.26800000000000002</v>
      </c>
      <c r="S1923" s="1">
        <v>0.25600000000000001</v>
      </c>
      <c r="T1923" s="1">
        <v>0.20399999999999999</v>
      </c>
      <c r="U1923" s="1">
        <v>0.20499999999999999</v>
      </c>
      <c r="V1923" s="1">
        <v>137.928</v>
      </c>
      <c r="W1923">
        <v>4</v>
      </c>
    </row>
    <row r="1924" spans="1:23" x14ac:dyDescent="0.25">
      <c r="A1924" s="1" t="s">
        <v>17849</v>
      </c>
      <c r="B1924" s="1" t="s">
        <v>17850</v>
      </c>
      <c r="C1924" s="1" t="s">
        <v>5758</v>
      </c>
      <c r="D1924" s="1" t="s">
        <v>17851</v>
      </c>
      <c r="E1924" s="1" t="s">
        <v>5759</v>
      </c>
      <c r="F1924" s="1" t="s">
        <v>17852</v>
      </c>
      <c r="G1924">
        <v>176453</v>
      </c>
      <c r="H1924">
        <v>66</v>
      </c>
      <c r="I1924" s="1" t="s">
        <v>11063</v>
      </c>
      <c r="J1924" s="11">
        <v>44729.706458333334</v>
      </c>
      <c r="K1924" s="1" t="s">
        <v>5760</v>
      </c>
      <c r="L1924" s="1">
        <v>0.64500000000000002</v>
      </c>
      <c r="M1924" s="1">
        <v>0.98399999999999999</v>
      </c>
      <c r="N1924">
        <v>4</v>
      </c>
      <c r="O1924" s="1">
        <v>-7.0510000000000002</v>
      </c>
      <c r="P1924">
        <v>1</v>
      </c>
      <c r="Q1924" s="1">
        <v>0.50800000000000001</v>
      </c>
      <c r="R1924" s="1">
        <v>0.16400000000000001</v>
      </c>
      <c r="S1924" s="1">
        <v>0.70099999999999996</v>
      </c>
      <c r="T1924" s="1">
        <v>0.16400000000000001</v>
      </c>
      <c r="U1924" s="1">
        <v>0.55300000000000005</v>
      </c>
      <c r="V1924" s="1">
        <v>144.95400000000001</v>
      </c>
      <c r="W1924">
        <v>4</v>
      </c>
    </row>
    <row r="1925" spans="1:23" x14ac:dyDescent="0.25">
      <c r="A1925" s="1" t="s">
        <v>17853</v>
      </c>
      <c r="B1925" s="1" t="s">
        <v>17850</v>
      </c>
      <c r="C1925" s="1" t="s">
        <v>5761</v>
      </c>
      <c r="D1925" s="1" t="s">
        <v>17854</v>
      </c>
      <c r="E1925" s="1" t="s">
        <v>5759</v>
      </c>
      <c r="F1925" s="1" t="s">
        <v>17855</v>
      </c>
      <c r="G1925">
        <v>200560</v>
      </c>
      <c r="H1925">
        <v>50</v>
      </c>
      <c r="I1925" s="1" t="s">
        <v>11063</v>
      </c>
      <c r="J1925" s="11">
        <v>44729.706458333334</v>
      </c>
      <c r="K1925" s="1" t="s">
        <v>5760</v>
      </c>
      <c r="L1925" s="1">
        <v>0.46</v>
      </c>
      <c r="M1925" s="1">
        <v>0.96199999999999997</v>
      </c>
      <c r="N1925">
        <v>0</v>
      </c>
      <c r="O1925" s="1">
        <v>-6.4470000000000001</v>
      </c>
      <c r="P1925">
        <v>1</v>
      </c>
      <c r="Q1925" s="1">
        <v>0.112</v>
      </c>
      <c r="R1925" s="1">
        <v>0.84</v>
      </c>
      <c r="S1925" s="1">
        <v>0.19900000000000001</v>
      </c>
      <c r="T1925" s="1">
        <v>0.186</v>
      </c>
      <c r="U1925" s="1">
        <v>0.53200000000000003</v>
      </c>
      <c r="V1925" s="1">
        <v>140.047</v>
      </c>
      <c r="W1925">
        <v>4</v>
      </c>
    </row>
    <row r="1926" spans="1:23" x14ac:dyDescent="0.25">
      <c r="A1926" s="1" t="s">
        <v>17856</v>
      </c>
      <c r="B1926" s="1" t="s">
        <v>11184</v>
      </c>
      <c r="C1926" s="1" t="s">
        <v>5762</v>
      </c>
      <c r="D1926" s="1" t="s">
        <v>17857</v>
      </c>
      <c r="E1926" s="1" t="s">
        <v>2057</v>
      </c>
      <c r="F1926" s="1" t="s">
        <v>17858</v>
      </c>
      <c r="G1926">
        <v>240000</v>
      </c>
      <c r="H1926">
        <v>43</v>
      </c>
      <c r="I1926" s="1" t="s">
        <v>11063</v>
      </c>
      <c r="J1926" s="11">
        <v>44729.706458333334</v>
      </c>
      <c r="K1926" s="1" t="s">
        <v>50</v>
      </c>
      <c r="L1926" s="1">
        <v>0.68400000000000005</v>
      </c>
      <c r="M1926" s="1">
        <v>0.71799999999999997</v>
      </c>
      <c r="N1926">
        <v>10</v>
      </c>
      <c r="O1926" s="1">
        <v>-7.5810000000000004</v>
      </c>
      <c r="P1926">
        <v>1</v>
      </c>
      <c r="Q1926" s="1">
        <v>0.19800000000000001</v>
      </c>
      <c r="R1926" s="1">
        <v>0.68700000000000006</v>
      </c>
      <c r="S1926" s="1">
        <v>0</v>
      </c>
      <c r="T1926" s="1">
        <v>0.152</v>
      </c>
      <c r="U1926" s="1">
        <v>0.76700000000000002</v>
      </c>
      <c r="V1926" s="1">
        <v>75.141000000000005</v>
      </c>
      <c r="W1926">
        <v>4</v>
      </c>
    </row>
    <row r="1927" spans="1:23" x14ac:dyDescent="0.25">
      <c r="A1927" s="1" t="s">
        <v>17859</v>
      </c>
      <c r="B1927" s="1" t="s">
        <v>11184</v>
      </c>
      <c r="C1927" s="1" t="s">
        <v>5763</v>
      </c>
      <c r="D1927" s="1" t="s">
        <v>17857</v>
      </c>
      <c r="E1927" s="1" t="s">
        <v>2057</v>
      </c>
      <c r="F1927" s="1" t="s">
        <v>17858</v>
      </c>
      <c r="G1927">
        <v>159000</v>
      </c>
      <c r="H1927">
        <v>39</v>
      </c>
      <c r="I1927" s="1" t="s">
        <v>11063</v>
      </c>
      <c r="J1927" s="11">
        <v>44729.706458333334</v>
      </c>
      <c r="K1927" s="1" t="s">
        <v>50</v>
      </c>
      <c r="L1927" s="1">
        <v>0.80100000000000005</v>
      </c>
      <c r="M1927" s="1">
        <v>0.753</v>
      </c>
      <c r="N1927">
        <v>7</v>
      </c>
      <c r="O1927" s="1">
        <v>-7.7720000000000002</v>
      </c>
      <c r="P1927">
        <v>1</v>
      </c>
      <c r="Q1927" s="1">
        <v>0.114</v>
      </c>
      <c r="R1927" s="1">
        <v>0.114</v>
      </c>
      <c r="S1927" s="1">
        <v>0</v>
      </c>
      <c r="T1927" s="1">
        <v>0.94099999999999995</v>
      </c>
      <c r="U1927" s="1">
        <v>0.69799999999999995</v>
      </c>
      <c r="V1927" s="1">
        <v>100.036</v>
      </c>
      <c r="W1927">
        <v>4</v>
      </c>
    </row>
    <row r="1928" spans="1:23" x14ac:dyDescent="0.25">
      <c r="A1928" s="1" t="s">
        <v>17860</v>
      </c>
      <c r="B1928" s="1" t="s">
        <v>11184</v>
      </c>
      <c r="C1928" s="1" t="s">
        <v>5764</v>
      </c>
      <c r="D1928" s="1" t="s">
        <v>11185</v>
      </c>
      <c r="E1928" s="1" t="s">
        <v>2057</v>
      </c>
      <c r="F1928" s="1" t="s">
        <v>17861</v>
      </c>
      <c r="G1928">
        <v>329933</v>
      </c>
      <c r="H1928">
        <v>49</v>
      </c>
      <c r="I1928" s="1" t="s">
        <v>11063</v>
      </c>
      <c r="J1928" s="11">
        <v>44729.706458333334</v>
      </c>
      <c r="K1928" s="1" t="s">
        <v>50</v>
      </c>
      <c r="L1928" s="1">
        <v>0.77400000000000002</v>
      </c>
      <c r="M1928" s="1">
        <v>0.627</v>
      </c>
      <c r="N1928">
        <v>0</v>
      </c>
      <c r="O1928" s="1">
        <v>-7.9539999999999997</v>
      </c>
      <c r="P1928">
        <v>0</v>
      </c>
      <c r="Q1928" s="1">
        <v>0.19900000000000001</v>
      </c>
      <c r="R1928" s="1">
        <v>0.26800000000000002</v>
      </c>
      <c r="S1928" s="1">
        <v>0</v>
      </c>
      <c r="T1928" s="1">
        <v>0.97799999999999998</v>
      </c>
      <c r="U1928" s="1">
        <v>0.66200000000000003</v>
      </c>
      <c r="V1928" s="1">
        <v>100.01600000000001</v>
      </c>
      <c r="W1928">
        <v>4</v>
      </c>
    </row>
    <row r="1929" spans="1:23" x14ac:dyDescent="0.25">
      <c r="A1929" s="1" t="s">
        <v>17862</v>
      </c>
      <c r="B1929" s="1" t="s">
        <v>11184</v>
      </c>
      <c r="C1929" s="1" t="s">
        <v>3249</v>
      </c>
      <c r="D1929" s="1" t="s">
        <v>17863</v>
      </c>
      <c r="E1929" s="1" t="s">
        <v>2057</v>
      </c>
      <c r="F1929" s="1" t="s">
        <v>17793</v>
      </c>
      <c r="G1929">
        <v>196874</v>
      </c>
      <c r="H1929">
        <v>32</v>
      </c>
      <c r="I1929" s="1" t="s">
        <v>11063</v>
      </c>
      <c r="J1929" s="11">
        <v>44729.706458333334</v>
      </c>
      <c r="K1929" s="1" t="s">
        <v>50</v>
      </c>
      <c r="L1929" s="1">
        <v>0.626</v>
      </c>
      <c r="M1929" s="1">
        <v>0.92500000000000004</v>
      </c>
      <c r="N1929">
        <v>1</v>
      </c>
      <c r="O1929" s="1">
        <v>-5.1340000000000003</v>
      </c>
      <c r="P1929">
        <v>1</v>
      </c>
      <c r="Q1929" s="1">
        <v>0.11</v>
      </c>
      <c r="R1929" s="1">
        <v>0.41</v>
      </c>
      <c r="S1929" s="1">
        <v>0</v>
      </c>
      <c r="T1929" s="1">
        <v>0.77800000000000002</v>
      </c>
      <c r="U1929" s="1">
        <v>0.42299999999999999</v>
      </c>
      <c r="V1929" s="1">
        <v>127.88500000000001</v>
      </c>
      <c r="W1929">
        <v>4</v>
      </c>
    </row>
    <row r="1930" spans="1:23" x14ac:dyDescent="0.25">
      <c r="A1930" s="1" t="s">
        <v>17864</v>
      </c>
      <c r="B1930" s="1" t="s">
        <v>11184</v>
      </c>
      <c r="C1930" s="1" t="s">
        <v>4453</v>
      </c>
      <c r="D1930" s="1" t="s">
        <v>17863</v>
      </c>
      <c r="E1930" s="1" t="s">
        <v>2057</v>
      </c>
      <c r="F1930" s="1" t="s">
        <v>17793</v>
      </c>
      <c r="G1930">
        <v>217411</v>
      </c>
      <c r="H1930">
        <v>37</v>
      </c>
      <c r="I1930" s="1" t="s">
        <v>11063</v>
      </c>
      <c r="J1930" s="11">
        <v>44729.706458333334</v>
      </c>
      <c r="K1930" s="1" t="s">
        <v>50</v>
      </c>
      <c r="L1930" s="1">
        <v>0.65500000000000003</v>
      </c>
      <c r="M1930" s="1">
        <v>0.81200000000000006</v>
      </c>
      <c r="N1930">
        <v>6</v>
      </c>
      <c r="O1930" s="1">
        <v>-5.4480000000000004</v>
      </c>
      <c r="P1930">
        <v>1</v>
      </c>
      <c r="Q1930" s="1">
        <v>0.3</v>
      </c>
      <c r="R1930" s="1">
        <v>0.30399999999999999</v>
      </c>
      <c r="S1930" s="1">
        <v>0</v>
      </c>
      <c r="T1930" s="1">
        <v>0.84799999999999998</v>
      </c>
      <c r="U1930" s="1">
        <v>0.45500000000000002</v>
      </c>
      <c r="V1930" s="1">
        <v>169.98599999999999</v>
      </c>
      <c r="W1930">
        <v>4</v>
      </c>
    </row>
    <row r="1931" spans="1:23" x14ac:dyDescent="0.25">
      <c r="A1931" s="1" t="s">
        <v>11183</v>
      </c>
      <c r="B1931" s="1" t="s">
        <v>11184</v>
      </c>
      <c r="C1931" s="1" t="s">
        <v>5765</v>
      </c>
      <c r="D1931" s="1" t="s">
        <v>11185</v>
      </c>
      <c r="E1931" s="1" t="s">
        <v>2057</v>
      </c>
      <c r="F1931" s="1" t="s">
        <v>17861</v>
      </c>
      <c r="G1931">
        <v>165600</v>
      </c>
      <c r="H1931">
        <v>43</v>
      </c>
      <c r="I1931" s="1" t="s">
        <v>11063</v>
      </c>
      <c r="J1931" s="11">
        <v>44729.706458333334</v>
      </c>
      <c r="K1931" s="1" t="s">
        <v>50</v>
      </c>
      <c r="L1931" s="1">
        <v>0.78300000000000003</v>
      </c>
      <c r="M1931" s="1">
        <v>0.60199999999999998</v>
      </c>
      <c r="N1931">
        <v>0</v>
      </c>
      <c r="O1931" s="1">
        <v>-6.2889999999999997</v>
      </c>
      <c r="P1931">
        <v>1</v>
      </c>
      <c r="Q1931" s="1">
        <v>0.48799999999999999</v>
      </c>
      <c r="R1931" s="1">
        <v>0.47699999999999998</v>
      </c>
      <c r="S1931" s="1">
        <v>0</v>
      </c>
      <c r="T1931" s="1">
        <v>0.112</v>
      </c>
      <c r="U1931" s="1">
        <v>0.57499999999999996</v>
      </c>
      <c r="V1931" s="1">
        <v>99.94</v>
      </c>
      <c r="W1931">
        <v>4</v>
      </c>
    </row>
    <row r="1932" spans="1:23" x14ac:dyDescent="0.25">
      <c r="A1932" s="1" t="s">
        <v>17865</v>
      </c>
      <c r="B1932" s="1" t="s">
        <v>17866</v>
      </c>
      <c r="C1932" s="1" t="s">
        <v>5766</v>
      </c>
      <c r="D1932" s="1" t="s">
        <v>5766</v>
      </c>
      <c r="E1932" s="1" t="s">
        <v>5767</v>
      </c>
      <c r="F1932" s="1" t="s">
        <v>16736</v>
      </c>
      <c r="G1932">
        <v>215200</v>
      </c>
      <c r="H1932">
        <v>54</v>
      </c>
      <c r="I1932" s="1" t="s">
        <v>11063</v>
      </c>
      <c r="J1932" s="11">
        <v>44729.706458333334</v>
      </c>
      <c r="K1932" s="1" t="s">
        <v>5768</v>
      </c>
      <c r="L1932" s="1">
        <v>0.54500000000000004</v>
      </c>
      <c r="M1932" s="1">
        <v>0.32300000000000001</v>
      </c>
      <c r="N1932">
        <v>3</v>
      </c>
      <c r="O1932" s="1">
        <v>-12.006</v>
      </c>
      <c r="P1932">
        <v>1</v>
      </c>
      <c r="Q1932" s="1">
        <v>0.39100000000000001</v>
      </c>
      <c r="R1932" s="1">
        <v>0.10199999999999999</v>
      </c>
      <c r="S1932" s="1">
        <v>0.27400000000000002</v>
      </c>
      <c r="T1932" s="1">
        <v>0.107</v>
      </c>
      <c r="U1932" s="1">
        <v>0.193</v>
      </c>
      <c r="V1932" s="1">
        <v>149.941</v>
      </c>
      <c r="W1932">
        <v>4</v>
      </c>
    </row>
    <row r="1933" spans="1:23" x14ac:dyDescent="0.25">
      <c r="A1933" s="1" t="s">
        <v>17867</v>
      </c>
      <c r="B1933" s="1" t="s">
        <v>17868</v>
      </c>
      <c r="C1933" s="1" t="s">
        <v>5769</v>
      </c>
      <c r="D1933" s="1" t="s">
        <v>5769</v>
      </c>
      <c r="E1933" s="1" t="s">
        <v>5770</v>
      </c>
      <c r="F1933" s="1" t="s">
        <v>17613</v>
      </c>
      <c r="G1933">
        <v>256042</v>
      </c>
      <c r="H1933">
        <v>69</v>
      </c>
      <c r="I1933" s="1" t="s">
        <v>11063</v>
      </c>
      <c r="J1933" s="11">
        <v>44729.706458333334</v>
      </c>
      <c r="K1933" s="1" t="s">
        <v>5771</v>
      </c>
      <c r="L1933" s="1">
        <v>0.45200000000000001</v>
      </c>
      <c r="M1933" s="1">
        <v>0.46500000000000002</v>
      </c>
      <c r="N1933">
        <v>4</v>
      </c>
      <c r="O1933" s="1">
        <v>-10.006</v>
      </c>
      <c r="P1933">
        <v>0</v>
      </c>
      <c r="Q1933" s="1">
        <v>0.34399999999999997</v>
      </c>
      <c r="R1933" s="1">
        <v>0.58899999999999997</v>
      </c>
      <c r="S1933" s="1">
        <v>0.52400000000000002</v>
      </c>
      <c r="T1933" s="1">
        <v>0.95</v>
      </c>
      <c r="U1933" s="1">
        <v>0.83199999999999996</v>
      </c>
      <c r="V1933" s="1">
        <v>149.58600000000001</v>
      </c>
      <c r="W1933">
        <v>4</v>
      </c>
    </row>
    <row r="1934" spans="1:23" x14ac:dyDescent="0.25">
      <c r="A1934" s="1" t="s">
        <v>17869</v>
      </c>
      <c r="B1934" s="1" t="s">
        <v>11741</v>
      </c>
      <c r="C1934" s="1" t="s">
        <v>3559</v>
      </c>
      <c r="D1934" s="1" t="s">
        <v>17870</v>
      </c>
      <c r="E1934" s="1" t="s">
        <v>442</v>
      </c>
      <c r="F1934" s="1" t="s">
        <v>17871</v>
      </c>
      <c r="G1934">
        <v>225146</v>
      </c>
      <c r="H1934">
        <v>75</v>
      </c>
      <c r="I1934" s="1" t="s">
        <v>11063</v>
      </c>
      <c r="J1934" s="11">
        <v>44729.706458333334</v>
      </c>
      <c r="K1934" s="1" t="s">
        <v>443</v>
      </c>
      <c r="L1934" s="1">
        <v>0.56399999999999995</v>
      </c>
      <c r="M1934" s="1">
        <v>0.71</v>
      </c>
      <c r="N1934">
        <v>11</v>
      </c>
      <c r="O1934" s="1">
        <v>-4.92</v>
      </c>
      <c r="P1934">
        <v>0</v>
      </c>
      <c r="Q1934" s="1">
        <v>0.46100000000000002</v>
      </c>
      <c r="R1934" s="1">
        <v>0.125</v>
      </c>
      <c r="S1934" s="1">
        <v>0</v>
      </c>
      <c r="T1934" s="1">
        <v>0.109</v>
      </c>
      <c r="U1934" s="1">
        <v>0.39300000000000002</v>
      </c>
      <c r="V1934" s="1">
        <v>91.971999999999994</v>
      </c>
      <c r="W1934">
        <v>4</v>
      </c>
    </row>
    <row r="1935" spans="1:23" x14ac:dyDescent="0.25">
      <c r="A1935" s="1" t="s">
        <v>17872</v>
      </c>
      <c r="B1935" s="1" t="s">
        <v>17873</v>
      </c>
      <c r="C1935" s="1" t="s">
        <v>3794</v>
      </c>
      <c r="D1935" s="1" t="s">
        <v>17870</v>
      </c>
      <c r="E1935" s="1" t="s">
        <v>5772</v>
      </c>
      <c r="F1935" s="1" t="s">
        <v>17871</v>
      </c>
      <c r="G1935">
        <v>240706</v>
      </c>
      <c r="H1935">
        <v>77</v>
      </c>
      <c r="I1935" s="1" t="s">
        <v>11063</v>
      </c>
      <c r="J1935" s="11">
        <v>44729.706458333334</v>
      </c>
      <c r="K1935" s="1" t="s">
        <v>5773</v>
      </c>
      <c r="L1935" s="1">
        <v>0.621</v>
      </c>
      <c r="M1935" s="1">
        <v>0.31</v>
      </c>
      <c r="N1935">
        <v>9</v>
      </c>
      <c r="O1935" s="1">
        <v>-10.164</v>
      </c>
      <c r="P1935">
        <v>0</v>
      </c>
      <c r="Q1935" s="1">
        <v>0.28299999999999997</v>
      </c>
      <c r="R1935" s="1">
        <v>0.94499999999999995</v>
      </c>
      <c r="S1935" s="1">
        <v>0.61199999999999999</v>
      </c>
      <c r="T1935" s="1">
        <v>0.11700000000000001</v>
      </c>
      <c r="U1935" s="1">
        <v>0.125</v>
      </c>
      <c r="V1935" s="1">
        <v>111.893</v>
      </c>
      <c r="W1935">
        <v>4</v>
      </c>
    </row>
    <row r="1936" spans="1:23" x14ac:dyDescent="0.25">
      <c r="A1936" s="1" t="s">
        <v>17874</v>
      </c>
      <c r="B1936" s="1" t="s">
        <v>17875</v>
      </c>
      <c r="C1936" s="1" t="s">
        <v>5774</v>
      </c>
      <c r="D1936" s="1" t="s">
        <v>11742</v>
      </c>
      <c r="E1936" s="1" t="s">
        <v>5775</v>
      </c>
      <c r="F1936" s="1" t="s">
        <v>11743</v>
      </c>
      <c r="G1936">
        <v>275986</v>
      </c>
      <c r="H1936">
        <v>82</v>
      </c>
      <c r="I1936" s="1" t="s">
        <v>11063</v>
      </c>
      <c r="J1936" s="11">
        <v>44729.706458333334</v>
      </c>
      <c r="K1936" s="1" t="s">
        <v>5776</v>
      </c>
      <c r="L1936" s="1">
        <v>0.58299999999999996</v>
      </c>
      <c r="M1936" s="1">
        <v>0.82899999999999996</v>
      </c>
      <c r="N1936">
        <v>1</v>
      </c>
      <c r="O1936" s="1">
        <v>-4.6029999999999998</v>
      </c>
      <c r="P1936">
        <v>1</v>
      </c>
      <c r="Q1936" s="1">
        <v>0.13400000000000001</v>
      </c>
      <c r="R1936" s="1">
        <v>0.86399999999999999</v>
      </c>
      <c r="S1936" s="1">
        <v>0</v>
      </c>
      <c r="T1936" s="1">
        <v>0.42599999999999999</v>
      </c>
      <c r="U1936" s="1">
        <v>0.57499999999999996</v>
      </c>
      <c r="V1936" s="1">
        <v>174.02799999999999</v>
      </c>
      <c r="W1936">
        <v>4</v>
      </c>
    </row>
    <row r="1937" spans="1:23" x14ac:dyDescent="0.25">
      <c r="A1937" s="1" t="s">
        <v>17876</v>
      </c>
      <c r="B1937" s="1" t="s">
        <v>17877</v>
      </c>
      <c r="C1937" s="1" t="s">
        <v>5777</v>
      </c>
      <c r="D1937" s="1" t="s">
        <v>5777</v>
      </c>
      <c r="E1937" s="1" t="s">
        <v>5778</v>
      </c>
      <c r="F1937" s="1" t="s">
        <v>16736</v>
      </c>
      <c r="G1937">
        <v>198995</v>
      </c>
      <c r="H1937">
        <v>68</v>
      </c>
      <c r="I1937" s="1" t="s">
        <v>11063</v>
      </c>
      <c r="J1937" s="11">
        <v>44729.706458333334</v>
      </c>
      <c r="K1937" s="1" t="s">
        <v>5779</v>
      </c>
      <c r="L1937" s="1">
        <v>0.64700000000000002</v>
      </c>
      <c r="M1937" s="1">
        <v>0.72599999999999998</v>
      </c>
      <c r="N1937">
        <v>3</v>
      </c>
      <c r="O1937" s="1">
        <v>-4.3890000000000002</v>
      </c>
      <c r="P1937">
        <v>0</v>
      </c>
      <c r="Q1937" s="1">
        <v>0.55200000000000005</v>
      </c>
      <c r="R1937" s="1">
        <v>0.157</v>
      </c>
      <c r="S1937" s="1">
        <v>0</v>
      </c>
      <c r="T1937" s="1">
        <v>0.84399999999999997</v>
      </c>
      <c r="U1937" s="1">
        <v>0.76700000000000002</v>
      </c>
      <c r="V1937" s="1">
        <v>114.996</v>
      </c>
      <c r="W1937">
        <v>4</v>
      </c>
    </row>
    <row r="1938" spans="1:23" x14ac:dyDescent="0.25">
      <c r="A1938" s="1" t="s">
        <v>17878</v>
      </c>
      <c r="B1938" s="1" t="s">
        <v>17879</v>
      </c>
      <c r="C1938" s="1" t="s">
        <v>5780</v>
      </c>
      <c r="D1938" s="1" t="s">
        <v>17880</v>
      </c>
      <c r="E1938" s="1" t="s">
        <v>5781</v>
      </c>
      <c r="F1938" s="1" t="s">
        <v>11423</v>
      </c>
      <c r="G1938">
        <v>199773</v>
      </c>
      <c r="H1938">
        <v>65</v>
      </c>
      <c r="I1938" s="1" t="s">
        <v>11063</v>
      </c>
      <c r="J1938" s="11">
        <v>44729.706458333334</v>
      </c>
      <c r="K1938" s="1" t="s">
        <v>5782</v>
      </c>
      <c r="L1938" s="1">
        <v>0.69399999999999995</v>
      </c>
      <c r="M1938" s="1">
        <v>0.85299999999999998</v>
      </c>
      <c r="N1938">
        <v>7</v>
      </c>
      <c r="O1938" s="1">
        <v>-3.9860000000000002</v>
      </c>
      <c r="P1938">
        <v>1</v>
      </c>
      <c r="Q1938" s="1">
        <v>0.93400000000000005</v>
      </c>
      <c r="R1938" s="1">
        <v>0.13600000000000001</v>
      </c>
      <c r="S1938" s="1">
        <v>0</v>
      </c>
      <c r="T1938" s="1">
        <v>0.32200000000000001</v>
      </c>
      <c r="U1938" s="1">
        <v>0.501</v>
      </c>
      <c r="V1938" s="1">
        <v>106.098</v>
      </c>
      <c r="W1938">
        <v>4</v>
      </c>
    </row>
    <row r="1939" spans="1:23" x14ac:dyDescent="0.25">
      <c r="A1939" s="1" t="s">
        <v>17881</v>
      </c>
      <c r="B1939" s="1" t="s">
        <v>17879</v>
      </c>
      <c r="C1939" s="1" t="s">
        <v>3785</v>
      </c>
      <c r="D1939" s="1" t="s">
        <v>17880</v>
      </c>
      <c r="E1939" s="1" t="s">
        <v>5781</v>
      </c>
      <c r="F1939" s="1" t="s">
        <v>11423</v>
      </c>
      <c r="G1939">
        <v>205593</v>
      </c>
      <c r="H1939">
        <v>60</v>
      </c>
      <c r="I1939" s="1" t="s">
        <v>11063</v>
      </c>
      <c r="J1939" s="11">
        <v>44729.706458333334</v>
      </c>
      <c r="K1939" s="1" t="s">
        <v>5782</v>
      </c>
      <c r="L1939" s="1">
        <v>0.75600000000000001</v>
      </c>
      <c r="M1939" s="1">
        <v>0.58899999999999997</v>
      </c>
      <c r="N1939">
        <v>0</v>
      </c>
      <c r="O1939" s="1">
        <v>-5.093</v>
      </c>
      <c r="P1939">
        <v>1</v>
      </c>
      <c r="Q1939" s="1">
        <v>0.23200000000000001</v>
      </c>
      <c r="R1939" s="1">
        <v>0.81200000000000006</v>
      </c>
      <c r="S1939" s="1">
        <v>0</v>
      </c>
      <c r="T1939" s="1">
        <v>0.17599999999999999</v>
      </c>
      <c r="U1939" s="1">
        <v>0.81100000000000005</v>
      </c>
      <c r="V1939" s="1">
        <v>146.928</v>
      </c>
      <c r="W1939">
        <v>4</v>
      </c>
    </row>
    <row r="1940" spans="1:23" x14ac:dyDescent="0.25">
      <c r="A1940" s="1" t="s">
        <v>17882</v>
      </c>
      <c r="B1940" s="1" t="s">
        <v>14504</v>
      </c>
      <c r="C1940" s="1" t="s">
        <v>5783</v>
      </c>
      <c r="D1940" s="1" t="s">
        <v>5783</v>
      </c>
      <c r="E1940" s="1" t="s">
        <v>2837</v>
      </c>
      <c r="F1940" s="1" t="s">
        <v>17050</v>
      </c>
      <c r="G1940">
        <v>183026</v>
      </c>
      <c r="H1940">
        <v>3</v>
      </c>
      <c r="I1940" s="1" t="s">
        <v>11063</v>
      </c>
      <c r="J1940" s="11">
        <v>44729.706458333334</v>
      </c>
      <c r="K1940" s="1" t="s">
        <v>2178</v>
      </c>
      <c r="L1940" s="1">
        <v>0.68200000000000005</v>
      </c>
      <c r="M1940" s="1">
        <v>0.65600000000000003</v>
      </c>
      <c r="N1940">
        <v>6</v>
      </c>
      <c r="O1940" s="1">
        <v>-4.67</v>
      </c>
      <c r="P1940">
        <v>1</v>
      </c>
      <c r="Q1940" s="1">
        <v>0.435</v>
      </c>
      <c r="R1940" s="1">
        <v>0.73699999999999999</v>
      </c>
      <c r="S1940" s="1">
        <v>0</v>
      </c>
      <c r="T1940" s="1">
        <v>0.35299999999999998</v>
      </c>
      <c r="U1940" s="1">
        <v>0.60699999999999998</v>
      </c>
      <c r="V1940" s="1">
        <v>130.089</v>
      </c>
      <c r="W1940">
        <v>4</v>
      </c>
    </row>
    <row r="1941" spans="1:23" x14ac:dyDescent="0.25">
      <c r="A1941" s="1" t="s">
        <v>17883</v>
      </c>
      <c r="B1941" s="1" t="s">
        <v>14504</v>
      </c>
      <c r="C1941" s="1" t="s">
        <v>5784</v>
      </c>
      <c r="D1941" s="1" t="s">
        <v>5784</v>
      </c>
      <c r="E1941" s="1" t="s">
        <v>2837</v>
      </c>
      <c r="F1941" s="1" t="s">
        <v>17884</v>
      </c>
      <c r="G1941">
        <v>162398</v>
      </c>
      <c r="H1941">
        <v>4</v>
      </c>
      <c r="I1941" s="1" t="s">
        <v>11063</v>
      </c>
      <c r="J1941" s="11">
        <v>44729.706458333334</v>
      </c>
      <c r="K1941" s="1" t="s">
        <v>2178</v>
      </c>
      <c r="L1941" s="1">
        <v>0.63800000000000001</v>
      </c>
      <c r="M1941" s="1">
        <v>0.68799999999999994</v>
      </c>
      <c r="N1941">
        <v>1</v>
      </c>
      <c r="O1941" s="1">
        <v>-4.056</v>
      </c>
      <c r="P1941">
        <v>0</v>
      </c>
      <c r="Q1941" s="1">
        <v>0.40699999999999997</v>
      </c>
      <c r="R1941" s="1">
        <v>0.77500000000000002</v>
      </c>
      <c r="S1941" s="1">
        <v>0</v>
      </c>
      <c r="T1941" s="1">
        <v>0.126</v>
      </c>
      <c r="U1941" s="1">
        <v>0.434</v>
      </c>
      <c r="V1941" s="1">
        <v>129.85599999999999</v>
      </c>
      <c r="W1941">
        <v>4</v>
      </c>
    </row>
    <row r="1942" spans="1:23" x14ac:dyDescent="0.25">
      <c r="A1942" s="1" t="s">
        <v>17885</v>
      </c>
      <c r="B1942" s="1" t="s">
        <v>17886</v>
      </c>
      <c r="C1942" s="1" t="s">
        <v>5785</v>
      </c>
      <c r="D1942" s="1" t="s">
        <v>5785</v>
      </c>
      <c r="E1942" s="1" t="s">
        <v>5786</v>
      </c>
      <c r="F1942" s="1" t="s">
        <v>16933</v>
      </c>
      <c r="G1942">
        <v>120000</v>
      </c>
      <c r="H1942">
        <v>30</v>
      </c>
      <c r="I1942" s="1" t="s">
        <v>11063</v>
      </c>
      <c r="J1942" s="11">
        <v>44729.706458333334</v>
      </c>
      <c r="K1942" s="1" t="s">
        <v>2939</v>
      </c>
      <c r="L1942" s="1">
        <v>0.441</v>
      </c>
      <c r="M1942" s="1">
        <v>0.61499999999999999</v>
      </c>
      <c r="N1942">
        <v>7</v>
      </c>
      <c r="O1942" s="1">
        <v>-4.8540000000000001</v>
      </c>
      <c r="P1942">
        <v>0</v>
      </c>
      <c r="Q1942" s="1">
        <v>0.29599999999999999</v>
      </c>
      <c r="R1942" s="1">
        <v>0.499</v>
      </c>
      <c r="S1942" s="1">
        <v>0.214</v>
      </c>
      <c r="T1942" s="1">
        <v>0.31900000000000001</v>
      </c>
      <c r="U1942" s="1">
        <v>0.17599999999999999</v>
      </c>
      <c r="V1942" s="1">
        <v>75.040999999999997</v>
      </c>
      <c r="W1942">
        <v>4</v>
      </c>
    </row>
    <row r="1943" spans="1:23" x14ac:dyDescent="0.25">
      <c r="A1943" s="1" t="s">
        <v>17887</v>
      </c>
      <c r="B1943" s="1" t="s">
        <v>17888</v>
      </c>
      <c r="C1943" s="1" t="s">
        <v>5787</v>
      </c>
      <c r="D1943" s="1" t="s">
        <v>5787</v>
      </c>
      <c r="E1943" s="1" t="s">
        <v>5788</v>
      </c>
      <c r="F1943" s="1" t="s">
        <v>17889</v>
      </c>
      <c r="G1943">
        <v>246719</v>
      </c>
      <c r="H1943">
        <v>37</v>
      </c>
      <c r="I1943" s="1" t="s">
        <v>11063</v>
      </c>
      <c r="J1943" s="11">
        <v>44729.706458333334</v>
      </c>
      <c r="K1943" s="1" t="s">
        <v>5789</v>
      </c>
      <c r="L1943" s="1">
        <v>0.33700000000000002</v>
      </c>
      <c r="M1943" s="1">
        <v>0.78800000000000003</v>
      </c>
      <c r="N1943">
        <v>2</v>
      </c>
      <c r="O1943" s="1">
        <v>-4.6820000000000004</v>
      </c>
      <c r="P1943">
        <v>0</v>
      </c>
      <c r="Q1943" s="1">
        <v>0.55500000000000005</v>
      </c>
      <c r="R1943" s="1">
        <v>0.37</v>
      </c>
      <c r="S1943" s="1">
        <v>0.41299999999999998</v>
      </c>
      <c r="T1943" s="1">
        <v>0.35099999999999998</v>
      </c>
      <c r="U1943" s="1">
        <v>0.22700000000000001</v>
      </c>
      <c r="V1943" s="1">
        <v>80.408000000000001</v>
      </c>
      <c r="W1943">
        <v>4</v>
      </c>
    </row>
    <row r="1944" spans="1:23" x14ac:dyDescent="0.25">
      <c r="A1944" s="1" t="s">
        <v>17890</v>
      </c>
      <c r="B1944" s="1" t="s">
        <v>17891</v>
      </c>
      <c r="C1944" s="1" t="s">
        <v>5790</v>
      </c>
      <c r="D1944" s="1" t="s">
        <v>5790</v>
      </c>
      <c r="E1944" s="1" t="s">
        <v>5791</v>
      </c>
      <c r="F1944" s="1" t="s">
        <v>13314</v>
      </c>
      <c r="G1944">
        <v>258461</v>
      </c>
      <c r="H1944">
        <v>35</v>
      </c>
      <c r="I1944" s="1" t="s">
        <v>11063</v>
      </c>
      <c r="J1944" s="11">
        <v>44729.706458333334</v>
      </c>
      <c r="K1944" s="1" t="s">
        <v>50</v>
      </c>
      <c r="L1944" s="1">
        <v>0.48399999999999999</v>
      </c>
      <c r="M1944" s="1">
        <v>0.76900000000000002</v>
      </c>
      <c r="N1944">
        <v>1</v>
      </c>
      <c r="O1944" s="1">
        <v>-9.8719999999999999</v>
      </c>
      <c r="P1944">
        <v>0</v>
      </c>
      <c r="Q1944" s="1">
        <v>0.47399999999999998</v>
      </c>
      <c r="R1944" s="1">
        <v>0.42399999999999999</v>
      </c>
      <c r="S1944" s="1">
        <v>0.81499999999999995</v>
      </c>
      <c r="T1944" s="1">
        <v>0.105</v>
      </c>
      <c r="U1944" s="1">
        <v>0.39600000000000002</v>
      </c>
      <c r="V1944" s="1">
        <v>130.072</v>
      </c>
      <c r="W1944">
        <v>4</v>
      </c>
    </row>
    <row r="1945" spans="1:23" x14ac:dyDescent="0.25">
      <c r="A1945" s="1" t="s">
        <v>17892</v>
      </c>
      <c r="B1945" s="1" t="s">
        <v>17893</v>
      </c>
      <c r="C1945" s="1" t="s">
        <v>5792</v>
      </c>
      <c r="D1945" s="1" t="s">
        <v>17894</v>
      </c>
      <c r="E1945" s="1" t="s">
        <v>5793</v>
      </c>
      <c r="F1945" s="1" t="s">
        <v>16375</v>
      </c>
      <c r="G1945">
        <v>206920</v>
      </c>
      <c r="H1945">
        <v>35</v>
      </c>
      <c r="I1945" s="1" t="s">
        <v>11063</v>
      </c>
      <c r="J1945" s="11">
        <v>44729.706458333334</v>
      </c>
      <c r="K1945" s="1" t="s">
        <v>50</v>
      </c>
      <c r="L1945" s="1">
        <v>0.63600000000000001</v>
      </c>
      <c r="M1945" s="1">
        <v>0.52800000000000002</v>
      </c>
      <c r="N1945">
        <v>11</v>
      </c>
      <c r="O1945" s="1">
        <v>-10.661</v>
      </c>
      <c r="P1945">
        <v>0</v>
      </c>
      <c r="Q1945" s="1">
        <v>0.77500000000000002</v>
      </c>
      <c r="R1945" s="1">
        <v>0.65700000000000003</v>
      </c>
      <c r="S1945" s="1">
        <v>0.22900000000000001</v>
      </c>
      <c r="T1945" s="1">
        <v>0.14599999999999999</v>
      </c>
      <c r="U1945" s="1">
        <v>0.20499999999999999</v>
      </c>
      <c r="V1945" s="1">
        <v>170.029</v>
      </c>
      <c r="W1945">
        <v>4</v>
      </c>
    </row>
    <row r="1946" spans="1:23" x14ac:dyDescent="0.25">
      <c r="A1946" s="1" t="s">
        <v>17895</v>
      </c>
      <c r="B1946" s="1" t="s">
        <v>17896</v>
      </c>
      <c r="C1946" s="1" t="s">
        <v>2498</v>
      </c>
      <c r="D1946" s="1" t="s">
        <v>2498</v>
      </c>
      <c r="E1946" s="1" t="s">
        <v>5794</v>
      </c>
      <c r="F1946" s="1" t="s">
        <v>13580</v>
      </c>
      <c r="G1946">
        <v>161538</v>
      </c>
      <c r="H1946">
        <v>53</v>
      </c>
      <c r="I1946" s="1" t="s">
        <v>11063</v>
      </c>
      <c r="J1946" s="11">
        <v>44729.706458333334</v>
      </c>
      <c r="K1946" s="1" t="s">
        <v>5795</v>
      </c>
      <c r="L1946" s="1">
        <v>0.55300000000000005</v>
      </c>
      <c r="M1946" s="1">
        <v>0.68700000000000006</v>
      </c>
      <c r="N1946">
        <v>8</v>
      </c>
      <c r="O1946" s="1">
        <v>-6.4</v>
      </c>
      <c r="P1946">
        <v>1</v>
      </c>
      <c r="Q1946" s="1">
        <v>0.34</v>
      </c>
      <c r="R1946" s="1">
        <v>0.33600000000000002</v>
      </c>
      <c r="S1946" s="1">
        <v>0</v>
      </c>
      <c r="T1946" s="1">
        <v>0.125</v>
      </c>
      <c r="U1946" s="1">
        <v>0.27800000000000002</v>
      </c>
      <c r="V1946" s="1" t="s">
        <v>5796</v>
      </c>
      <c r="W1946">
        <v>4</v>
      </c>
    </row>
    <row r="1947" spans="1:23" x14ac:dyDescent="0.25">
      <c r="A1947" s="1" t="s">
        <v>17897</v>
      </c>
      <c r="B1947" s="1" t="s">
        <v>17898</v>
      </c>
      <c r="C1947" s="1" t="s">
        <v>5797</v>
      </c>
      <c r="D1947" s="1" t="s">
        <v>5797</v>
      </c>
      <c r="E1947" s="1" t="s">
        <v>5798</v>
      </c>
      <c r="F1947" s="1" t="s">
        <v>17899</v>
      </c>
      <c r="G1947">
        <v>192000</v>
      </c>
      <c r="H1947">
        <v>17</v>
      </c>
      <c r="I1947" s="1" t="s">
        <v>11063</v>
      </c>
      <c r="J1947" s="11">
        <v>44729.706458333334</v>
      </c>
      <c r="K1947" s="1" t="s">
        <v>2541</v>
      </c>
      <c r="L1947" s="1">
        <v>0.45100000000000001</v>
      </c>
      <c r="M1947" s="1">
        <v>0.505</v>
      </c>
      <c r="N1947">
        <v>1</v>
      </c>
      <c r="O1947" s="1">
        <v>-8.1660000000000004</v>
      </c>
      <c r="P1947">
        <v>1</v>
      </c>
      <c r="Q1947" s="1">
        <v>0.30199999999999999</v>
      </c>
      <c r="R1947" s="1">
        <v>0.10299999999999999</v>
      </c>
      <c r="S1947" s="1">
        <v>0.60099999999999998</v>
      </c>
      <c r="T1947" s="1">
        <v>0.21099999999999999</v>
      </c>
      <c r="U1947" s="1">
        <v>0.23100000000000001</v>
      </c>
      <c r="V1947" s="1">
        <v>139.899</v>
      </c>
      <c r="W1947">
        <v>4</v>
      </c>
    </row>
    <row r="1948" spans="1:23" x14ac:dyDescent="0.25">
      <c r="A1948" s="1" t="s">
        <v>17900</v>
      </c>
      <c r="B1948" s="1" t="s">
        <v>17901</v>
      </c>
      <c r="C1948" s="1" t="s">
        <v>5799</v>
      </c>
      <c r="D1948" s="1" t="s">
        <v>17902</v>
      </c>
      <c r="E1948" s="1" t="s">
        <v>5800</v>
      </c>
      <c r="F1948" s="1" t="s">
        <v>16305</v>
      </c>
      <c r="G1948">
        <v>215533</v>
      </c>
      <c r="H1948">
        <v>39</v>
      </c>
      <c r="I1948" s="1" t="s">
        <v>11063</v>
      </c>
      <c r="J1948" s="11">
        <v>44729.706458333334</v>
      </c>
      <c r="K1948" s="1" t="s">
        <v>5801</v>
      </c>
      <c r="L1948" s="1">
        <v>0.69099999999999995</v>
      </c>
      <c r="M1948" s="1">
        <v>0.749</v>
      </c>
      <c r="N1948">
        <v>1</v>
      </c>
      <c r="O1948" s="1">
        <v>-6.7789999999999999</v>
      </c>
      <c r="P1948">
        <v>0</v>
      </c>
      <c r="Q1948" s="1">
        <v>0.83899999999999997</v>
      </c>
      <c r="R1948" s="1">
        <v>0.41099999999999998</v>
      </c>
      <c r="S1948" s="1">
        <v>0</v>
      </c>
      <c r="T1948" s="1">
        <v>0.28100000000000003</v>
      </c>
      <c r="U1948" s="1">
        <v>0.33100000000000002</v>
      </c>
      <c r="V1948" s="1">
        <v>144.97399999999999</v>
      </c>
      <c r="W1948">
        <v>4</v>
      </c>
    </row>
    <row r="1949" spans="1:23" x14ac:dyDescent="0.25">
      <c r="A1949" s="1" t="s">
        <v>17903</v>
      </c>
      <c r="B1949" s="1" t="s">
        <v>17904</v>
      </c>
      <c r="C1949" s="1" t="s">
        <v>1541</v>
      </c>
      <c r="D1949" s="1" t="s">
        <v>1541</v>
      </c>
      <c r="E1949" s="1" t="s">
        <v>5802</v>
      </c>
      <c r="F1949" s="1" t="s">
        <v>16691</v>
      </c>
      <c r="G1949">
        <v>250203</v>
      </c>
      <c r="H1949">
        <v>41</v>
      </c>
      <c r="I1949" s="1" t="s">
        <v>11063</v>
      </c>
      <c r="J1949" s="11">
        <v>44729.706458333334</v>
      </c>
      <c r="K1949" s="1" t="s">
        <v>2137</v>
      </c>
      <c r="L1949" s="1">
        <v>0.63500000000000001</v>
      </c>
      <c r="M1949" s="1">
        <v>0.58299999999999996</v>
      </c>
      <c r="N1949">
        <v>7</v>
      </c>
      <c r="O1949" s="1">
        <v>-8.4740000000000002</v>
      </c>
      <c r="P1949">
        <v>0</v>
      </c>
      <c r="Q1949" s="1">
        <v>0.26900000000000002</v>
      </c>
      <c r="R1949" s="1">
        <v>0.8</v>
      </c>
      <c r="S1949" s="1">
        <v>0</v>
      </c>
      <c r="T1949" s="1">
        <v>0.109</v>
      </c>
      <c r="U1949" s="1">
        <v>0.36599999999999999</v>
      </c>
      <c r="V1949" s="1">
        <v>102.012</v>
      </c>
      <c r="W1949">
        <v>4</v>
      </c>
    </row>
    <row r="1950" spans="1:23" x14ac:dyDescent="0.25">
      <c r="A1950" s="1" t="s">
        <v>17905</v>
      </c>
      <c r="B1950" s="1" t="s">
        <v>17906</v>
      </c>
      <c r="C1950" s="1" t="s">
        <v>5803</v>
      </c>
      <c r="D1950" s="1" t="s">
        <v>17907</v>
      </c>
      <c r="E1950" s="1" t="s">
        <v>5804</v>
      </c>
      <c r="F1950" s="1" t="s">
        <v>16305</v>
      </c>
      <c r="G1950">
        <v>219718</v>
      </c>
      <c r="H1950">
        <v>47</v>
      </c>
      <c r="I1950" s="1" t="s">
        <v>11063</v>
      </c>
      <c r="J1950" s="11">
        <v>44729.706458333334</v>
      </c>
      <c r="K1950" s="1" t="s">
        <v>5805</v>
      </c>
      <c r="L1950" s="1">
        <v>0.68400000000000005</v>
      </c>
      <c r="M1950" s="1">
        <v>0.97499999999999998</v>
      </c>
      <c r="N1950">
        <v>9</v>
      </c>
      <c r="O1950" s="1">
        <v>-4.4999999999999998E-2</v>
      </c>
      <c r="P1950">
        <v>0</v>
      </c>
      <c r="Q1950" s="1">
        <v>0.90400000000000003</v>
      </c>
      <c r="R1950" s="1">
        <v>0.42899999999999999</v>
      </c>
      <c r="S1950" s="1">
        <v>0</v>
      </c>
      <c r="T1950" s="1">
        <v>0.64</v>
      </c>
      <c r="U1950" s="1">
        <v>0.7</v>
      </c>
      <c r="V1950" s="1">
        <v>141.994</v>
      </c>
      <c r="W1950">
        <v>4</v>
      </c>
    </row>
    <row r="1951" spans="1:23" x14ac:dyDescent="0.25">
      <c r="A1951" s="1" t="s">
        <v>17908</v>
      </c>
      <c r="B1951" s="1" t="s">
        <v>17909</v>
      </c>
      <c r="C1951" s="1" t="s">
        <v>5806</v>
      </c>
      <c r="D1951" s="1" t="s">
        <v>17910</v>
      </c>
      <c r="E1951" s="1" t="s">
        <v>5807</v>
      </c>
      <c r="F1951" s="1" t="s">
        <v>16012</v>
      </c>
      <c r="G1951">
        <v>218955</v>
      </c>
      <c r="H1951">
        <v>30</v>
      </c>
      <c r="I1951" s="1" t="s">
        <v>11063</v>
      </c>
      <c r="J1951" s="11">
        <v>44729.706458333334</v>
      </c>
      <c r="K1951" s="1" t="s">
        <v>5808</v>
      </c>
      <c r="L1951" s="1">
        <v>0.69599999999999995</v>
      </c>
      <c r="M1951" s="1">
        <v>0.67700000000000005</v>
      </c>
      <c r="N1951">
        <v>11</v>
      </c>
      <c r="O1951" s="1">
        <v>-4.12</v>
      </c>
      <c r="P1951">
        <v>1</v>
      </c>
      <c r="Q1951" s="1">
        <v>0.37</v>
      </c>
      <c r="R1951" s="1">
        <v>0.55400000000000005</v>
      </c>
      <c r="S1951" s="1">
        <v>0.53200000000000003</v>
      </c>
      <c r="T1951" s="1">
        <v>0.624</v>
      </c>
      <c r="U1951" s="1">
        <v>0.57699999999999996</v>
      </c>
      <c r="V1951" s="1">
        <v>134.02199999999999</v>
      </c>
      <c r="W1951">
        <v>4</v>
      </c>
    </row>
    <row r="1952" spans="1:23" x14ac:dyDescent="0.25">
      <c r="A1952" s="1" t="s">
        <v>17911</v>
      </c>
      <c r="B1952" s="1" t="s">
        <v>11720</v>
      </c>
      <c r="C1952" s="1" t="s">
        <v>5809</v>
      </c>
      <c r="D1952" s="1" t="s">
        <v>5809</v>
      </c>
      <c r="E1952" s="1" t="s">
        <v>424</v>
      </c>
      <c r="F1952" s="1" t="s">
        <v>16933</v>
      </c>
      <c r="G1952">
        <v>244647</v>
      </c>
      <c r="H1952">
        <v>41</v>
      </c>
      <c r="I1952" s="1" t="s">
        <v>11063</v>
      </c>
      <c r="J1952" s="11">
        <v>44729.706458333334</v>
      </c>
      <c r="K1952" s="1" t="s">
        <v>425</v>
      </c>
      <c r="L1952" s="1">
        <v>0.40100000000000002</v>
      </c>
      <c r="M1952" s="1">
        <v>0.58399999999999996</v>
      </c>
      <c r="N1952">
        <v>2</v>
      </c>
      <c r="O1952" s="1">
        <v>-6.4180000000000001</v>
      </c>
      <c r="P1952">
        <v>1</v>
      </c>
      <c r="Q1952" s="1">
        <v>0.3</v>
      </c>
      <c r="R1952" s="1">
        <v>0.54100000000000004</v>
      </c>
      <c r="S1952" s="1">
        <v>0</v>
      </c>
      <c r="T1952" s="1">
        <v>0.129</v>
      </c>
      <c r="U1952" s="1">
        <v>0.19</v>
      </c>
      <c r="V1952" s="1">
        <v>147.77699999999999</v>
      </c>
      <c r="W1952">
        <v>4</v>
      </c>
    </row>
    <row r="1953" spans="1:23" x14ac:dyDescent="0.25">
      <c r="A1953" s="1" t="s">
        <v>17912</v>
      </c>
      <c r="B1953" s="1" t="s">
        <v>13529</v>
      </c>
      <c r="C1953" s="1" t="s">
        <v>5810</v>
      </c>
      <c r="D1953" s="1" t="s">
        <v>5810</v>
      </c>
      <c r="E1953" s="1" t="s">
        <v>1993</v>
      </c>
      <c r="F1953" s="1" t="s">
        <v>14286</v>
      </c>
      <c r="G1953">
        <v>248508</v>
      </c>
      <c r="H1953">
        <v>43</v>
      </c>
      <c r="I1953" s="1" t="s">
        <v>11063</v>
      </c>
      <c r="J1953" s="11">
        <v>44729.706458333334</v>
      </c>
      <c r="K1953" s="1" t="s">
        <v>1994</v>
      </c>
      <c r="L1953" s="1">
        <v>0.53300000000000003</v>
      </c>
      <c r="M1953" s="1">
        <v>0.85399999999999998</v>
      </c>
      <c r="N1953">
        <v>11</v>
      </c>
      <c r="O1953" s="1">
        <v>-3.4249999999999998</v>
      </c>
      <c r="P1953">
        <v>0</v>
      </c>
      <c r="Q1953" s="1">
        <v>0.441</v>
      </c>
      <c r="R1953" s="1">
        <v>0.125</v>
      </c>
      <c r="S1953" s="1">
        <v>0.53100000000000003</v>
      </c>
      <c r="T1953" s="1">
        <v>0.158</v>
      </c>
      <c r="U1953" s="1">
        <v>0.40200000000000002</v>
      </c>
      <c r="V1953" s="1">
        <v>170.06299999999999</v>
      </c>
      <c r="W1953">
        <v>4</v>
      </c>
    </row>
    <row r="1954" spans="1:23" x14ac:dyDescent="0.25">
      <c r="A1954" s="1" t="s">
        <v>17913</v>
      </c>
      <c r="B1954" s="1" t="s">
        <v>17909</v>
      </c>
      <c r="C1954" s="1" t="s">
        <v>5811</v>
      </c>
      <c r="D1954" s="1" t="s">
        <v>17914</v>
      </c>
      <c r="E1954" s="1" t="s">
        <v>5807</v>
      </c>
      <c r="F1954" s="1" t="s">
        <v>15749</v>
      </c>
      <c r="G1954">
        <v>195790</v>
      </c>
      <c r="H1954">
        <v>63</v>
      </c>
      <c r="I1954" s="1" t="s">
        <v>11063</v>
      </c>
      <c r="J1954" s="11">
        <v>44729.706458333334</v>
      </c>
      <c r="K1954" s="1" t="s">
        <v>5808</v>
      </c>
      <c r="L1954" s="1">
        <v>0.82699999999999996</v>
      </c>
      <c r="M1954" s="1">
        <v>0.51800000000000002</v>
      </c>
      <c r="N1954">
        <v>10</v>
      </c>
      <c r="O1954" s="1">
        <v>-8.1560000000000006</v>
      </c>
      <c r="P1954">
        <v>0</v>
      </c>
      <c r="Q1954" s="1">
        <v>0.34300000000000003</v>
      </c>
      <c r="R1954" s="1">
        <v>0.16400000000000001</v>
      </c>
      <c r="S1954" s="1">
        <v>0.375</v>
      </c>
      <c r="T1954" s="1">
        <v>0.61</v>
      </c>
      <c r="U1954" s="1">
        <v>0.58399999999999996</v>
      </c>
      <c r="V1954" s="1">
        <v>80.728999999999999</v>
      </c>
      <c r="W1954">
        <v>4</v>
      </c>
    </row>
    <row r="1955" spans="1:23" x14ac:dyDescent="0.25">
      <c r="A1955" s="1" t="s">
        <v>17915</v>
      </c>
      <c r="B1955" s="1" t="s">
        <v>17916</v>
      </c>
      <c r="C1955" s="1" t="s">
        <v>5812</v>
      </c>
      <c r="D1955" s="1" t="s">
        <v>17917</v>
      </c>
      <c r="E1955" s="1" t="s">
        <v>5813</v>
      </c>
      <c r="F1955" s="1" t="s">
        <v>17918</v>
      </c>
      <c r="G1955">
        <v>267234</v>
      </c>
      <c r="H1955">
        <v>38</v>
      </c>
      <c r="I1955" s="1" t="s">
        <v>11063</v>
      </c>
      <c r="J1955" s="11">
        <v>44729.706458333334</v>
      </c>
      <c r="K1955" s="1" t="s">
        <v>5814</v>
      </c>
      <c r="L1955" s="1">
        <v>0.42</v>
      </c>
      <c r="M1955" s="1">
        <v>0.77700000000000002</v>
      </c>
      <c r="N1955">
        <v>10</v>
      </c>
      <c r="O1955" s="1">
        <v>-3.9289999999999998</v>
      </c>
      <c r="P1955">
        <v>0</v>
      </c>
      <c r="Q1955" s="1">
        <v>0.65</v>
      </c>
      <c r="R1955" s="1">
        <v>0.10199999999999999</v>
      </c>
      <c r="S1955" s="1">
        <v>0.17599999999999999</v>
      </c>
      <c r="T1955" s="1">
        <v>0.80800000000000005</v>
      </c>
      <c r="U1955" s="1">
        <v>0.67</v>
      </c>
      <c r="V1955" s="1">
        <v>141.01599999999999</v>
      </c>
      <c r="W1955">
        <v>4</v>
      </c>
    </row>
    <row r="1956" spans="1:23" x14ac:dyDescent="0.25">
      <c r="A1956" s="1" t="s">
        <v>17919</v>
      </c>
      <c r="B1956" s="1" t="s">
        <v>17920</v>
      </c>
      <c r="C1956" s="1" t="s">
        <v>5815</v>
      </c>
      <c r="D1956" s="1" t="s">
        <v>17921</v>
      </c>
      <c r="E1956" s="1" t="s">
        <v>5816</v>
      </c>
      <c r="F1956" s="1" t="s">
        <v>14184</v>
      </c>
      <c r="G1956">
        <v>342618</v>
      </c>
      <c r="H1956">
        <v>55</v>
      </c>
      <c r="I1956" s="1" t="s">
        <v>11063</v>
      </c>
      <c r="J1956" s="11">
        <v>44729.706458333334</v>
      </c>
      <c r="K1956" s="1" t="s">
        <v>5817</v>
      </c>
      <c r="L1956" s="1">
        <v>0.435</v>
      </c>
      <c r="M1956" s="1">
        <v>0.95599999999999996</v>
      </c>
      <c r="N1956">
        <v>8</v>
      </c>
      <c r="O1956" s="1">
        <v>-1.369</v>
      </c>
      <c r="P1956">
        <v>0</v>
      </c>
      <c r="Q1956" s="1">
        <v>0.14399999999999999</v>
      </c>
      <c r="R1956" s="1">
        <v>0.44800000000000001</v>
      </c>
      <c r="S1956" s="1">
        <v>0.65500000000000003</v>
      </c>
      <c r="T1956" s="1">
        <v>0.34300000000000003</v>
      </c>
      <c r="U1956" s="1">
        <v>0.10299999999999999</v>
      </c>
      <c r="V1956" s="1">
        <v>174.029</v>
      </c>
      <c r="W1956">
        <v>4</v>
      </c>
    </row>
    <row r="1957" spans="1:23" x14ac:dyDescent="0.25">
      <c r="A1957" s="1" t="s">
        <v>17922</v>
      </c>
      <c r="B1957" s="1" t="s">
        <v>17923</v>
      </c>
      <c r="C1957" s="1" t="s">
        <v>5818</v>
      </c>
      <c r="D1957" s="1" t="s">
        <v>5818</v>
      </c>
      <c r="E1957" s="1" t="s">
        <v>5819</v>
      </c>
      <c r="F1957" s="1" t="s">
        <v>17924</v>
      </c>
      <c r="G1957">
        <v>316420</v>
      </c>
      <c r="H1957">
        <v>52</v>
      </c>
      <c r="I1957" s="1" t="s">
        <v>11063</v>
      </c>
      <c r="J1957" s="11">
        <v>44729.706458333334</v>
      </c>
      <c r="K1957" s="1" t="s">
        <v>5820</v>
      </c>
      <c r="L1957" s="1">
        <v>0.624</v>
      </c>
      <c r="M1957" s="1">
        <v>0.93899999999999995</v>
      </c>
      <c r="N1957">
        <v>7</v>
      </c>
      <c r="O1957" s="1">
        <v>-2.4489999999999998</v>
      </c>
      <c r="P1957">
        <v>1</v>
      </c>
      <c r="Q1957" s="1">
        <v>0.71</v>
      </c>
      <c r="R1957" s="1">
        <v>0.10199999999999999</v>
      </c>
      <c r="S1957" s="1">
        <v>0.55900000000000005</v>
      </c>
      <c r="T1957" s="1">
        <v>0.13100000000000001</v>
      </c>
      <c r="U1957" s="1">
        <v>0.39100000000000001</v>
      </c>
      <c r="V1957" s="1">
        <v>160.01400000000001</v>
      </c>
      <c r="W1957">
        <v>4</v>
      </c>
    </row>
    <row r="1958" spans="1:23" x14ac:dyDescent="0.25">
      <c r="A1958" s="1" t="s">
        <v>17925</v>
      </c>
      <c r="B1958" s="1" t="s">
        <v>17926</v>
      </c>
      <c r="C1958" s="1" t="s">
        <v>5821</v>
      </c>
      <c r="D1958" s="1" t="s">
        <v>5821</v>
      </c>
      <c r="E1958" s="1" t="s">
        <v>5822</v>
      </c>
      <c r="F1958" s="1" t="s">
        <v>17379</v>
      </c>
      <c r="G1958">
        <v>208052</v>
      </c>
      <c r="H1958">
        <v>48</v>
      </c>
      <c r="I1958" s="1" t="s">
        <v>11063</v>
      </c>
      <c r="J1958" s="11">
        <v>44729.706458333334</v>
      </c>
      <c r="K1958" s="1" t="s">
        <v>5823</v>
      </c>
      <c r="L1958" s="1">
        <v>0.45300000000000001</v>
      </c>
      <c r="M1958" s="1">
        <v>0.89400000000000002</v>
      </c>
      <c r="N1958">
        <v>0</v>
      </c>
      <c r="O1958" s="1">
        <v>-3.4929999999999999</v>
      </c>
      <c r="P1958">
        <v>0</v>
      </c>
      <c r="Q1958" s="1">
        <v>0.54400000000000004</v>
      </c>
      <c r="R1958" s="1">
        <v>0.16800000000000001</v>
      </c>
      <c r="S1958" s="1">
        <v>0</v>
      </c>
      <c r="T1958" s="1">
        <v>0.15</v>
      </c>
      <c r="U1958" s="1">
        <v>0.29699999999999999</v>
      </c>
      <c r="V1958" s="1">
        <v>75.063000000000002</v>
      </c>
      <c r="W1958">
        <v>4</v>
      </c>
    </row>
    <row r="1959" spans="1:23" x14ac:dyDescent="0.25">
      <c r="A1959" s="1" t="s">
        <v>17927</v>
      </c>
      <c r="B1959" s="1" t="s">
        <v>17928</v>
      </c>
      <c r="C1959" s="1" t="s">
        <v>5824</v>
      </c>
      <c r="D1959" s="1" t="s">
        <v>17929</v>
      </c>
      <c r="E1959" s="1" t="s">
        <v>5825</v>
      </c>
      <c r="F1959" s="1" t="s">
        <v>17930</v>
      </c>
      <c r="G1959">
        <v>240000</v>
      </c>
      <c r="H1959">
        <v>53</v>
      </c>
      <c r="I1959" s="1" t="s">
        <v>11063</v>
      </c>
      <c r="J1959" s="11">
        <v>44729.706458333334</v>
      </c>
      <c r="K1959" s="1" t="s">
        <v>5826</v>
      </c>
      <c r="L1959" s="1">
        <v>0.39100000000000001</v>
      </c>
      <c r="M1959" s="1">
        <v>0.95699999999999996</v>
      </c>
      <c r="N1959">
        <v>7</v>
      </c>
      <c r="O1959" s="1">
        <v>-2.5099999999999998</v>
      </c>
      <c r="P1959">
        <v>1</v>
      </c>
      <c r="Q1959" s="1">
        <v>0.90400000000000003</v>
      </c>
      <c r="R1959" s="1">
        <v>0.33100000000000002</v>
      </c>
      <c r="S1959" s="1">
        <v>0.22</v>
      </c>
      <c r="T1959" s="1">
        <v>0.112</v>
      </c>
      <c r="U1959" s="1">
        <v>0.121</v>
      </c>
      <c r="V1959" s="1">
        <v>100.024</v>
      </c>
      <c r="W1959">
        <v>4</v>
      </c>
    </row>
    <row r="1960" spans="1:23" x14ac:dyDescent="0.25">
      <c r="A1960" s="1" t="s">
        <v>17931</v>
      </c>
      <c r="B1960" s="1" t="s">
        <v>17932</v>
      </c>
      <c r="C1960" s="1" t="s">
        <v>5827</v>
      </c>
      <c r="D1960" s="1" t="s">
        <v>5827</v>
      </c>
      <c r="E1960" s="1" t="s">
        <v>5828</v>
      </c>
      <c r="F1960" s="1" t="s">
        <v>17933</v>
      </c>
      <c r="G1960">
        <v>277500</v>
      </c>
      <c r="H1960">
        <v>51</v>
      </c>
      <c r="I1960" s="1" t="s">
        <v>11063</v>
      </c>
      <c r="J1960" s="11">
        <v>44729.706458333334</v>
      </c>
      <c r="K1960" s="1" t="s">
        <v>5829</v>
      </c>
      <c r="L1960" s="1">
        <v>0.67600000000000005</v>
      </c>
      <c r="M1960" s="1">
        <v>0.88500000000000001</v>
      </c>
      <c r="N1960">
        <v>1</v>
      </c>
      <c r="O1960" s="1">
        <v>-2.9460000000000002</v>
      </c>
      <c r="P1960">
        <v>1</v>
      </c>
      <c r="Q1960" s="1">
        <v>0.65800000000000003</v>
      </c>
      <c r="R1960" s="1">
        <v>0.42499999999999999</v>
      </c>
      <c r="S1960" s="1">
        <v>0.86099999999999999</v>
      </c>
      <c r="T1960" s="1">
        <v>0.51900000000000002</v>
      </c>
      <c r="U1960" s="1">
        <v>0.185</v>
      </c>
      <c r="V1960" s="1">
        <v>128.04</v>
      </c>
      <c r="W1960">
        <v>4</v>
      </c>
    </row>
    <row r="1961" spans="1:23" x14ac:dyDescent="0.25">
      <c r="A1961" s="1" t="s">
        <v>17934</v>
      </c>
      <c r="B1961" s="1" t="s">
        <v>17935</v>
      </c>
      <c r="C1961" s="1" t="s">
        <v>5830</v>
      </c>
      <c r="D1961" s="1" t="s">
        <v>17936</v>
      </c>
      <c r="E1961" s="1" t="s">
        <v>5831</v>
      </c>
      <c r="F1961" s="1" t="s">
        <v>11395</v>
      </c>
      <c r="G1961">
        <v>182400</v>
      </c>
      <c r="H1961">
        <v>61</v>
      </c>
      <c r="I1961" s="1" t="s">
        <v>11063</v>
      </c>
      <c r="J1961" s="11">
        <v>44729.706458333334</v>
      </c>
      <c r="K1961" s="1" t="s">
        <v>5832</v>
      </c>
      <c r="L1961" s="1">
        <v>0.60099999999999998</v>
      </c>
      <c r="M1961" s="1">
        <v>0.59099999999999997</v>
      </c>
      <c r="N1961">
        <v>5</v>
      </c>
      <c r="O1961" s="1">
        <v>-7.407</v>
      </c>
      <c r="P1961">
        <v>0</v>
      </c>
      <c r="Q1961" s="1">
        <v>0.33700000000000002</v>
      </c>
      <c r="R1961" s="1">
        <v>0.188</v>
      </c>
      <c r="S1961" s="1">
        <v>0.76600000000000001</v>
      </c>
      <c r="T1961" s="1">
        <v>0.126</v>
      </c>
      <c r="U1961" s="1">
        <v>0.37</v>
      </c>
      <c r="V1961" s="1">
        <v>150.04400000000001</v>
      </c>
      <c r="W1961">
        <v>4</v>
      </c>
    </row>
    <row r="1962" spans="1:23" x14ac:dyDescent="0.25">
      <c r="A1962" s="1" t="s">
        <v>17937</v>
      </c>
      <c r="B1962" s="1" t="s">
        <v>17938</v>
      </c>
      <c r="C1962" s="1" t="s">
        <v>5833</v>
      </c>
      <c r="D1962" s="1" t="s">
        <v>17939</v>
      </c>
      <c r="E1962" s="1" t="s">
        <v>5834</v>
      </c>
      <c r="F1962" s="1" t="s">
        <v>16972</v>
      </c>
      <c r="G1962">
        <v>181733</v>
      </c>
      <c r="H1962">
        <v>44</v>
      </c>
      <c r="I1962" s="1" t="s">
        <v>11063</v>
      </c>
      <c r="J1962" s="11">
        <v>44729.706458333334</v>
      </c>
      <c r="K1962" s="1" t="s">
        <v>5835</v>
      </c>
      <c r="L1962" s="1">
        <v>0.59</v>
      </c>
      <c r="M1962" s="1">
        <v>0.94299999999999995</v>
      </c>
      <c r="N1962">
        <v>5</v>
      </c>
      <c r="O1962" s="1">
        <v>-1.117</v>
      </c>
      <c r="P1962">
        <v>0</v>
      </c>
      <c r="Q1962" s="1">
        <v>0.58899999999999997</v>
      </c>
      <c r="R1962" s="1">
        <v>0.88300000000000001</v>
      </c>
      <c r="S1962" s="1">
        <v>0.187</v>
      </c>
      <c r="T1962" s="1">
        <v>0.17799999999999999</v>
      </c>
      <c r="U1962" s="1">
        <v>0.25700000000000001</v>
      </c>
      <c r="V1962" s="1">
        <v>144.92500000000001</v>
      </c>
      <c r="W1962">
        <v>4</v>
      </c>
    </row>
    <row r="1963" spans="1:23" x14ac:dyDescent="0.25">
      <c r="A1963" s="1" t="s">
        <v>17940</v>
      </c>
      <c r="B1963" s="1" t="s">
        <v>17941</v>
      </c>
      <c r="C1963" s="1" t="s">
        <v>5836</v>
      </c>
      <c r="D1963" s="1" t="s">
        <v>17942</v>
      </c>
      <c r="E1963" s="1" t="s">
        <v>5837</v>
      </c>
      <c r="F1963" s="1" t="s">
        <v>13683</v>
      </c>
      <c r="G1963">
        <v>237946</v>
      </c>
      <c r="H1963">
        <v>35</v>
      </c>
      <c r="I1963" s="1" t="s">
        <v>11063</v>
      </c>
      <c r="J1963" s="11">
        <v>44729.706458333334</v>
      </c>
      <c r="K1963" s="1" t="s">
        <v>5838</v>
      </c>
      <c r="L1963" s="1">
        <v>0.625</v>
      </c>
      <c r="M1963" s="1">
        <v>0.81299999999999994</v>
      </c>
      <c r="N1963">
        <v>5</v>
      </c>
      <c r="O1963" s="1">
        <v>-12.2</v>
      </c>
      <c r="P1963">
        <v>0</v>
      </c>
      <c r="Q1963" s="1">
        <v>0.40400000000000003</v>
      </c>
      <c r="R1963" s="1">
        <v>0.13500000000000001</v>
      </c>
      <c r="S1963" s="1">
        <v>0.22500000000000001</v>
      </c>
      <c r="T1963" s="1">
        <v>0.67300000000000004</v>
      </c>
      <c r="U1963" s="1">
        <v>0.40899999999999997</v>
      </c>
      <c r="V1963" s="1">
        <v>124.964</v>
      </c>
      <c r="W1963">
        <v>4</v>
      </c>
    </row>
    <row r="1964" spans="1:23" x14ac:dyDescent="0.25">
      <c r="A1964" s="1" t="s">
        <v>17943</v>
      </c>
      <c r="B1964" s="1" t="s">
        <v>17944</v>
      </c>
      <c r="C1964" s="1" t="s">
        <v>5839</v>
      </c>
      <c r="D1964" s="1" t="s">
        <v>17945</v>
      </c>
      <c r="E1964" s="1" t="s">
        <v>5840</v>
      </c>
      <c r="F1964" s="1" t="s">
        <v>16332</v>
      </c>
      <c r="G1964">
        <v>246770</v>
      </c>
      <c r="H1964">
        <v>53</v>
      </c>
      <c r="I1964" s="1" t="s">
        <v>11063</v>
      </c>
      <c r="J1964" s="11">
        <v>44729.706458333334</v>
      </c>
      <c r="K1964" s="1" t="s">
        <v>5838</v>
      </c>
      <c r="L1964" s="1">
        <v>0.50700000000000001</v>
      </c>
      <c r="M1964" s="1">
        <v>0.95099999999999996</v>
      </c>
      <c r="N1964">
        <v>1</v>
      </c>
      <c r="O1964" s="1">
        <v>-3.71</v>
      </c>
      <c r="P1964">
        <v>1</v>
      </c>
      <c r="Q1964" s="1">
        <v>0.65400000000000003</v>
      </c>
      <c r="R1964" s="1">
        <v>0.20300000000000001</v>
      </c>
      <c r="S1964" s="1">
        <v>0.47799999999999998</v>
      </c>
      <c r="T1964" s="1">
        <v>0.41699999999999998</v>
      </c>
      <c r="U1964" s="1">
        <v>0.628</v>
      </c>
      <c r="V1964" s="1">
        <v>140.077</v>
      </c>
      <c r="W1964">
        <v>4</v>
      </c>
    </row>
    <row r="1965" spans="1:23" x14ac:dyDescent="0.25">
      <c r="A1965" s="1" t="s">
        <v>17946</v>
      </c>
      <c r="B1965" s="1" t="s">
        <v>17944</v>
      </c>
      <c r="C1965" s="1" t="s">
        <v>5841</v>
      </c>
      <c r="D1965" s="1" t="s">
        <v>17945</v>
      </c>
      <c r="E1965" s="1" t="s">
        <v>5840</v>
      </c>
      <c r="F1965" s="1" t="s">
        <v>16332</v>
      </c>
      <c r="G1965">
        <v>272077</v>
      </c>
      <c r="H1965">
        <v>61</v>
      </c>
      <c r="I1965" s="1" t="s">
        <v>11063</v>
      </c>
      <c r="J1965" s="11">
        <v>44729.706458333334</v>
      </c>
      <c r="K1965" s="1" t="s">
        <v>5838</v>
      </c>
      <c r="L1965" s="1">
        <v>0.53600000000000003</v>
      </c>
      <c r="M1965" s="1">
        <v>0.94399999999999995</v>
      </c>
      <c r="N1965">
        <v>1</v>
      </c>
      <c r="O1965" s="1">
        <v>-3.0289999999999999</v>
      </c>
      <c r="P1965">
        <v>1</v>
      </c>
      <c r="Q1965" s="1">
        <v>0.86699999999999999</v>
      </c>
      <c r="R1965" s="1">
        <v>0.11700000000000001</v>
      </c>
      <c r="S1965" s="1">
        <v>0.34499999999999997</v>
      </c>
      <c r="T1965" s="1">
        <v>0.35299999999999998</v>
      </c>
      <c r="U1965" s="1">
        <v>0.58899999999999997</v>
      </c>
      <c r="V1965" s="1">
        <v>174.03100000000001</v>
      </c>
      <c r="W1965">
        <v>4</v>
      </c>
    </row>
    <row r="1966" spans="1:23" x14ac:dyDescent="0.25">
      <c r="A1966" s="1" t="s">
        <v>11186</v>
      </c>
      <c r="B1966" s="1" t="s">
        <v>11187</v>
      </c>
      <c r="C1966" s="1" t="s">
        <v>5842</v>
      </c>
      <c r="D1966" s="1" t="s">
        <v>11188</v>
      </c>
      <c r="E1966" s="1" t="s">
        <v>5843</v>
      </c>
      <c r="F1966" s="1" t="s">
        <v>14181</v>
      </c>
      <c r="G1966">
        <v>178333</v>
      </c>
      <c r="H1966">
        <v>56</v>
      </c>
      <c r="I1966" s="1" t="s">
        <v>11063</v>
      </c>
      <c r="J1966" s="11">
        <v>44729.706458333334</v>
      </c>
      <c r="K1966" s="1" t="s">
        <v>5844</v>
      </c>
      <c r="L1966" s="1">
        <v>0.63100000000000001</v>
      </c>
      <c r="M1966" s="1">
        <v>0.66100000000000003</v>
      </c>
      <c r="N1966">
        <v>5</v>
      </c>
      <c r="O1966" s="1">
        <v>-5.5</v>
      </c>
      <c r="P1966">
        <v>0</v>
      </c>
      <c r="Q1966" s="1">
        <v>0.999</v>
      </c>
      <c r="R1966" s="1">
        <v>0.22700000000000001</v>
      </c>
      <c r="S1966" s="1">
        <v>0.14299999999999999</v>
      </c>
      <c r="T1966" s="1">
        <v>0.16600000000000001</v>
      </c>
      <c r="U1966" s="1">
        <v>0.69799999999999995</v>
      </c>
      <c r="V1966" s="1">
        <v>174.03100000000001</v>
      </c>
      <c r="W1966">
        <v>4</v>
      </c>
    </row>
    <row r="1967" spans="1:23" x14ac:dyDescent="0.25">
      <c r="A1967" s="1" t="s">
        <v>17947</v>
      </c>
      <c r="B1967" s="1" t="s">
        <v>17948</v>
      </c>
      <c r="C1967" s="1" t="s">
        <v>5845</v>
      </c>
      <c r="D1967" s="1" t="s">
        <v>5845</v>
      </c>
      <c r="E1967" s="1" t="s">
        <v>5846</v>
      </c>
      <c r="F1967" s="1" t="s">
        <v>17949</v>
      </c>
      <c r="G1967">
        <v>213861</v>
      </c>
      <c r="H1967">
        <v>44</v>
      </c>
      <c r="I1967" s="1" t="s">
        <v>11063</v>
      </c>
      <c r="J1967" s="11">
        <v>44729.706458333334</v>
      </c>
      <c r="K1967" s="1" t="s">
        <v>5847</v>
      </c>
      <c r="L1967" s="1">
        <v>0.67</v>
      </c>
      <c r="M1967" s="1">
        <v>0.93300000000000005</v>
      </c>
      <c r="N1967">
        <v>11</v>
      </c>
      <c r="O1967" s="1">
        <v>-4.4820000000000002</v>
      </c>
      <c r="P1967">
        <v>0</v>
      </c>
      <c r="Q1967" s="1">
        <v>0.871</v>
      </c>
      <c r="R1967" s="1">
        <v>0.27100000000000002</v>
      </c>
      <c r="S1967" s="1">
        <v>0.72299999999999998</v>
      </c>
      <c r="T1967" s="1">
        <v>0.59599999999999997</v>
      </c>
      <c r="U1967" s="1">
        <v>0.751</v>
      </c>
      <c r="V1967" s="1">
        <v>101.015</v>
      </c>
      <c r="W1967">
        <v>4</v>
      </c>
    </row>
    <row r="1968" spans="1:23" x14ac:dyDescent="0.25">
      <c r="A1968" s="1" t="s">
        <v>17950</v>
      </c>
      <c r="B1968" s="1" t="s">
        <v>17951</v>
      </c>
      <c r="C1968" s="1" t="s">
        <v>5848</v>
      </c>
      <c r="D1968" s="1" t="s">
        <v>5848</v>
      </c>
      <c r="E1968" s="1" t="s">
        <v>5849</v>
      </c>
      <c r="F1968" s="1" t="s">
        <v>17952</v>
      </c>
      <c r="G1968">
        <v>234285</v>
      </c>
      <c r="H1968">
        <v>61</v>
      </c>
      <c r="I1968" s="1" t="s">
        <v>11063</v>
      </c>
      <c r="J1968" s="11">
        <v>44729.706458333334</v>
      </c>
      <c r="K1968" s="1" t="s">
        <v>5850</v>
      </c>
      <c r="L1968" s="1">
        <v>0.65300000000000002</v>
      </c>
      <c r="M1968" s="1">
        <v>0.91</v>
      </c>
      <c r="N1968">
        <v>10</v>
      </c>
      <c r="O1968" s="1">
        <v>-3.36</v>
      </c>
      <c r="P1968">
        <v>1</v>
      </c>
      <c r="Q1968" s="1">
        <v>0.56599999999999995</v>
      </c>
      <c r="R1968" s="1">
        <v>0.79</v>
      </c>
      <c r="S1968" s="1">
        <v>0</v>
      </c>
      <c r="T1968" s="1">
        <v>0.318</v>
      </c>
      <c r="U1968" s="1">
        <v>0.92100000000000004</v>
      </c>
      <c r="V1968" s="1">
        <v>126.047</v>
      </c>
      <c r="W1968">
        <v>4</v>
      </c>
    </row>
    <row r="1969" spans="1:23" x14ac:dyDescent="0.25">
      <c r="A1969" s="1" t="s">
        <v>17953</v>
      </c>
      <c r="B1969" s="1" t="s">
        <v>17954</v>
      </c>
      <c r="C1969" s="1" t="s">
        <v>5851</v>
      </c>
      <c r="D1969" s="1" t="s">
        <v>17955</v>
      </c>
      <c r="E1969" s="1" t="s">
        <v>5852</v>
      </c>
      <c r="F1969" s="1" t="s">
        <v>17956</v>
      </c>
      <c r="G1969">
        <v>233337</v>
      </c>
      <c r="H1969">
        <v>63</v>
      </c>
      <c r="I1969" s="1" t="s">
        <v>11063</v>
      </c>
      <c r="J1969" s="11">
        <v>44729.706458333334</v>
      </c>
      <c r="K1969" s="1" t="s">
        <v>5853</v>
      </c>
      <c r="L1969" s="1">
        <v>0.56000000000000005</v>
      </c>
      <c r="M1969" s="1">
        <v>0.55100000000000005</v>
      </c>
      <c r="N1969">
        <v>0</v>
      </c>
      <c r="O1969" s="1">
        <v>-5.4459999999999997</v>
      </c>
      <c r="P1969">
        <v>1</v>
      </c>
      <c r="Q1969" s="1">
        <v>0.56299999999999994</v>
      </c>
      <c r="R1969" s="1">
        <v>0.44500000000000001</v>
      </c>
      <c r="S1969" s="1">
        <v>0</v>
      </c>
      <c r="T1969" s="1">
        <v>0.16300000000000001</v>
      </c>
      <c r="U1969" s="1">
        <v>0.26300000000000001</v>
      </c>
      <c r="V1969" s="1">
        <v>119.777</v>
      </c>
      <c r="W1969">
        <v>4</v>
      </c>
    </row>
    <row r="1970" spans="1:23" x14ac:dyDescent="0.25">
      <c r="A1970" s="1" t="s">
        <v>17957</v>
      </c>
      <c r="B1970" s="1" t="s">
        <v>17954</v>
      </c>
      <c r="C1970" s="1" t="s">
        <v>5854</v>
      </c>
      <c r="D1970" s="1" t="s">
        <v>17958</v>
      </c>
      <c r="E1970" s="1" t="s">
        <v>5852</v>
      </c>
      <c r="F1970" s="1" t="s">
        <v>15476</v>
      </c>
      <c r="G1970">
        <v>371908</v>
      </c>
      <c r="H1970">
        <v>17</v>
      </c>
      <c r="I1970" s="1" t="s">
        <v>11063</v>
      </c>
      <c r="J1970" s="11">
        <v>44729.706458333334</v>
      </c>
      <c r="K1970" s="1" t="s">
        <v>5853</v>
      </c>
      <c r="L1970" s="1">
        <v>0.82499999999999996</v>
      </c>
      <c r="M1970" s="1">
        <v>0.73499999999999999</v>
      </c>
      <c r="N1970">
        <v>2</v>
      </c>
      <c r="O1970" s="1">
        <v>-8.9309999999999992</v>
      </c>
      <c r="P1970">
        <v>1</v>
      </c>
      <c r="Q1970" s="1">
        <v>0.22800000000000001</v>
      </c>
      <c r="R1970" s="1">
        <v>0.126</v>
      </c>
      <c r="S1970" s="1">
        <v>0.66200000000000003</v>
      </c>
      <c r="T1970" s="1">
        <v>0.20899999999999999</v>
      </c>
      <c r="U1970" s="1">
        <v>0.56000000000000005</v>
      </c>
      <c r="V1970" s="1">
        <v>119.991</v>
      </c>
      <c r="W1970">
        <v>4</v>
      </c>
    </row>
    <row r="1971" spans="1:23" x14ac:dyDescent="0.25">
      <c r="A1971" s="1" t="s">
        <v>11189</v>
      </c>
      <c r="B1971" s="1" t="s">
        <v>11190</v>
      </c>
      <c r="C1971" s="1" t="s">
        <v>5855</v>
      </c>
      <c r="D1971" s="1" t="s">
        <v>11191</v>
      </c>
      <c r="E1971" s="1" t="s">
        <v>338</v>
      </c>
      <c r="F1971" s="1" t="s">
        <v>11620</v>
      </c>
      <c r="G1971">
        <v>242068</v>
      </c>
      <c r="H1971">
        <v>62</v>
      </c>
      <c r="I1971" s="1" t="s">
        <v>11063</v>
      </c>
      <c r="J1971" s="11">
        <v>44729.706458333334</v>
      </c>
      <c r="K1971" s="1" t="s">
        <v>339</v>
      </c>
      <c r="L1971" s="1">
        <v>0.502</v>
      </c>
      <c r="M1971" s="1">
        <v>0.77700000000000002</v>
      </c>
      <c r="N1971">
        <v>1</v>
      </c>
      <c r="O1971" s="1">
        <v>-4.6269999999999998</v>
      </c>
      <c r="P1971">
        <v>1</v>
      </c>
      <c r="Q1971" s="1">
        <v>0.93400000000000005</v>
      </c>
      <c r="R1971" s="1">
        <v>0.11700000000000001</v>
      </c>
      <c r="S1971" s="1">
        <v>0.29099999999999998</v>
      </c>
      <c r="T1971" s="1">
        <v>0.95699999999999996</v>
      </c>
      <c r="U1971" s="1">
        <v>0.35599999999999998</v>
      </c>
      <c r="V1971" s="1">
        <v>174.15299999999999</v>
      </c>
      <c r="W1971">
        <v>4</v>
      </c>
    </row>
    <row r="1972" spans="1:23" x14ac:dyDescent="0.25">
      <c r="A1972" s="1" t="s">
        <v>17959</v>
      </c>
      <c r="B1972" s="1" t="s">
        <v>17960</v>
      </c>
      <c r="C1972" s="1" t="s">
        <v>5856</v>
      </c>
      <c r="D1972" s="1" t="s">
        <v>17961</v>
      </c>
      <c r="E1972" s="1" t="s">
        <v>5857</v>
      </c>
      <c r="F1972" s="1" t="s">
        <v>13269</v>
      </c>
      <c r="G1972">
        <v>156800</v>
      </c>
      <c r="H1972">
        <v>70</v>
      </c>
      <c r="I1972" s="1" t="s">
        <v>11063</v>
      </c>
      <c r="J1972" s="11">
        <v>44729.706458333334</v>
      </c>
      <c r="K1972" s="1" t="s">
        <v>5858</v>
      </c>
      <c r="L1972" s="1">
        <v>0.90100000000000002</v>
      </c>
      <c r="M1972" s="1">
        <v>0.93400000000000005</v>
      </c>
      <c r="N1972">
        <v>11</v>
      </c>
      <c r="O1972" s="1">
        <v>-2.3450000000000002</v>
      </c>
      <c r="P1972">
        <v>1</v>
      </c>
      <c r="Q1972" s="1">
        <v>0.27300000000000002</v>
      </c>
      <c r="R1972" s="1">
        <v>0.79400000000000004</v>
      </c>
      <c r="S1972" s="1">
        <v>0.76800000000000002</v>
      </c>
      <c r="T1972" s="1">
        <v>0.19400000000000001</v>
      </c>
      <c r="U1972" s="1">
        <v>0.86799999999999999</v>
      </c>
      <c r="V1972" s="1">
        <v>150.03700000000001</v>
      </c>
      <c r="W1972">
        <v>4</v>
      </c>
    </row>
    <row r="1973" spans="1:23" x14ac:dyDescent="0.25">
      <c r="A1973" s="1" t="s">
        <v>17962</v>
      </c>
      <c r="B1973" s="1" t="s">
        <v>13722</v>
      </c>
      <c r="C1973" s="1" t="s">
        <v>5859</v>
      </c>
      <c r="D1973" s="1" t="s">
        <v>17963</v>
      </c>
      <c r="E1973" s="1" t="s">
        <v>2173</v>
      </c>
      <c r="F1973" s="1" t="s">
        <v>11538</v>
      </c>
      <c r="G1973">
        <v>177000</v>
      </c>
      <c r="H1973">
        <v>83</v>
      </c>
      <c r="I1973" s="1" t="s">
        <v>11063</v>
      </c>
      <c r="J1973" s="11">
        <v>44729.706458333334</v>
      </c>
      <c r="K1973" s="1" t="s">
        <v>2174</v>
      </c>
      <c r="L1973" s="1">
        <v>0.90800000000000003</v>
      </c>
      <c r="M1973" s="1">
        <v>0.621</v>
      </c>
      <c r="N1973">
        <v>1</v>
      </c>
      <c r="O1973" s="1">
        <v>-6.6379999999999999</v>
      </c>
      <c r="P1973">
        <v>0</v>
      </c>
      <c r="Q1973" s="1">
        <v>0.10199999999999999</v>
      </c>
      <c r="R1973" s="1">
        <v>0.28199999999999997</v>
      </c>
      <c r="S1973" s="1">
        <v>0.53900000000000003</v>
      </c>
      <c r="T1973" s="1">
        <v>0.95799999999999996</v>
      </c>
      <c r="U1973" s="1">
        <v>0.42099999999999999</v>
      </c>
      <c r="V1973" s="1">
        <v>150.011</v>
      </c>
      <c r="W1973">
        <v>4</v>
      </c>
    </row>
    <row r="1974" spans="1:23" x14ac:dyDescent="0.25">
      <c r="A1974" s="1" t="s">
        <v>11192</v>
      </c>
      <c r="B1974" s="1" t="s">
        <v>11193</v>
      </c>
      <c r="C1974" s="1" t="s">
        <v>5860</v>
      </c>
      <c r="D1974" s="1" t="s">
        <v>5458</v>
      </c>
      <c r="E1974" s="1" t="s">
        <v>5861</v>
      </c>
      <c r="F1974" s="1" t="s">
        <v>11660</v>
      </c>
      <c r="G1974">
        <v>231290</v>
      </c>
      <c r="H1974">
        <v>63</v>
      </c>
      <c r="I1974" s="1" t="s">
        <v>11063</v>
      </c>
      <c r="J1974" s="11">
        <v>44729.706458333334</v>
      </c>
      <c r="K1974" s="1" t="s">
        <v>5862</v>
      </c>
      <c r="L1974" s="1">
        <v>0.59</v>
      </c>
      <c r="M1974" s="1">
        <v>0.76400000000000001</v>
      </c>
      <c r="N1974">
        <v>2</v>
      </c>
      <c r="O1974" s="1">
        <v>-4.7350000000000003</v>
      </c>
      <c r="P1974">
        <v>1</v>
      </c>
      <c r="Q1974" s="1">
        <v>0.46700000000000003</v>
      </c>
      <c r="R1974" s="1">
        <v>0.22900000000000001</v>
      </c>
      <c r="S1974" s="1">
        <v>0</v>
      </c>
      <c r="T1974" s="1">
        <v>0.192</v>
      </c>
      <c r="U1974" s="1">
        <v>0.33100000000000002</v>
      </c>
      <c r="V1974" s="1">
        <v>104.911</v>
      </c>
      <c r="W1974">
        <v>4</v>
      </c>
    </row>
    <row r="1975" spans="1:23" x14ac:dyDescent="0.25">
      <c r="A1975" s="1" t="s">
        <v>17964</v>
      </c>
      <c r="B1975" s="1" t="s">
        <v>17965</v>
      </c>
      <c r="C1975" s="1" t="s">
        <v>5863</v>
      </c>
      <c r="D1975" s="1" t="s">
        <v>5458</v>
      </c>
      <c r="E1975" s="1" t="s">
        <v>5864</v>
      </c>
      <c r="F1975" s="1" t="s">
        <v>11660</v>
      </c>
      <c r="G1975">
        <v>218239</v>
      </c>
      <c r="H1975">
        <v>66</v>
      </c>
      <c r="I1975" s="1" t="s">
        <v>11063</v>
      </c>
      <c r="J1975" s="11">
        <v>44729.706458333334</v>
      </c>
      <c r="K1975" s="1" t="s">
        <v>5865</v>
      </c>
      <c r="L1975" s="1">
        <v>0.60799999999999998</v>
      </c>
      <c r="M1975" s="1">
        <v>0.84499999999999997</v>
      </c>
      <c r="N1975">
        <v>6</v>
      </c>
      <c r="O1975" s="1">
        <v>-2.2919999999999998</v>
      </c>
      <c r="P1975">
        <v>1</v>
      </c>
      <c r="Q1975" s="1">
        <v>0.59699999999999998</v>
      </c>
      <c r="R1975" s="1">
        <v>0.13600000000000001</v>
      </c>
      <c r="S1975" s="1">
        <v>0</v>
      </c>
      <c r="T1975" s="1">
        <v>0.111</v>
      </c>
      <c r="U1975" s="1">
        <v>0.32200000000000001</v>
      </c>
      <c r="V1975" s="1">
        <v>98.975999999999999</v>
      </c>
      <c r="W1975">
        <v>4</v>
      </c>
    </row>
    <row r="1976" spans="1:23" x14ac:dyDescent="0.25">
      <c r="A1976" s="1" t="s">
        <v>17966</v>
      </c>
      <c r="B1976" s="1" t="s">
        <v>17967</v>
      </c>
      <c r="C1976" s="1" t="s">
        <v>5866</v>
      </c>
      <c r="D1976" s="1" t="s">
        <v>5458</v>
      </c>
      <c r="E1976" s="1" t="s">
        <v>5867</v>
      </c>
      <c r="F1976" s="1" t="s">
        <v>11660</v>
      </c>
      <c r="G1976">
        <v>253250</v>
      </c>
      <c r="H1976">
        <v>56</v>
      </c>
      <c r="I1976" s="1" t="s">
        <v>11063</v>
      </c>
      <c r="J1976" s="11">
        <v>44729.706458333334</v>
      </c>
      <c r="K1976" s="1" t="s">
        <v>5868</v>
      </c>
      <c r="L1976" s="1">
        <v>0.53600000000000003</v>
      </c>
      <c r="M1976" s="1">
        <v>0.77600000000000002</v>
      </c>
      <c r="N1976">
        <v>1</v>
      </c>
      <c r="O1976" s="1">
        <v>-6.343</v>
      </c>
      <c r="P1976">
        <v>0</v>
      </c>
      <c r="Q1976" s="1">
        <v>0.48499999999999999</v>
      </c>
      <c r="R1976" s="1">
        <v>0.13700000000000001</v>
      </c>
      <c r="S1976" s="1">
        <v>0.183</v>
      </c>
      <c r="T1976" s="1">
        <v>0.26900000000000002</v>
      </c>
      <c r="U1976" s="1">
        <v>0.41399999999999998</v>
      </c>
      <c r="V1976" s="1">
        <v>144.03700000000001</v>
      </c>
      <c r="W1976">
        <v>4</v>
      </c>
    </row>
    <row r="1977" spans="1:23" x14ac:dyDescent="0.25">
      <c r="A1977" s="1" t="s">
        <v>17968</v>
      </c>
      <c r="B1977" s="1" t="s">
        <v>17969</v>
      </c>
      <c r="C1977" s="1" t="s">
        <v>5869</v>
      </c>
      <c r="D1977" s="1" t="s">
        <v>5458</v>
      </c>
      <c r="E1977" s="1" t="s">
        <v>5870</v>
      </c>
      <c r="F1977" s="1" t="s">
        <v>11660</v>
      </c>
      <c r="G1977">
        <v>238337</v>
      </c>
      <c r="H1977">
        <v>59</v>
      </c>
      <c r="I1977" s="1" t="s">
        <v>11063</v>
      </c>
      <c r="J1977" s="11">
        <v>44729.706458333334</v>
      </c>
      <c r="K1977" s="1" t="s">
        <v>5871</v>
      </c>
      <c r="L1977" s="1">
        <v>0.53</v>
      </c>
      <c r="M1977" s="1">
        <v>0.72899999999999998</v>
      </c>
      <c r="N1977">
        <v>0</v>
      </c>
      <c r="O1977" s="1">
        <v>-6.0190000000000001</v>
      </c>
      <c r="P1977">
        <v>1</v>
      </c>
      <c r="Q1977" s="1">
        <v>0.376</v>
      </c>
      <c r="R1977" s="1">
        <v>0.69899999999999995</v>
      </c>
      <c r="S1977" s="1">
        <v>0</v>
      </c>
      <c r="T1977" s="1">
        <v>0.10299999999999999</v>
      </c>
      <c r="U1977" s="1">
        <v>0.219</v>
      </c>
      <c r="V1977" s="1">
        <v>139.929</v>
      </c>
      <c r="W1977">
        <v>4</v>
      </c>
    </row>
    <row r="1978" spans="1:23" x14ac:dyDescent="0.25">
      <c r="A1978" s="1" t="s">
        <v>17970</v>
      </c>
      <c r="B1978" s="1" t="s">
        <v>17971</v>
      </c>
      <c r="C1978" s="1" t="s">
        <v>5872</v>
      </c>
      <c r="D1978" s="1" t="s">
        <v>5458</v>
      </c>
      <c r="E1978" s="1" t="s">
        <v>5873</v>
      </c>
      <c r="F1978" s="1" t="s">
        <v>11660</v>
      </c>
      <c r="G1978">
        <v>214546</v>
      </c>
      <c r="H1978">
        <v>61</v>
      </c>
      <c r="I1978" s="1" t="s">
        <v>11063</v>
      </c>
      <c r="J1978" s="11">
        <v>44729.706458333334</v>
      </c>
      <c r="K1978" s="1" t="s">
        <v>5874</v>
      </c>
      <c r="L1978" s="1">
        <v>0.68700000000000006</v>
      </c>
      <c r="M1978" s="1">
        <v>0.83199999999999996</v>
      </c>
      <c r="N1978">
        <v>8</v>
      </c>
      <c r="O1978" s="1">
        <v>-4.4340000000000002</v>
      </c>
      <c r="P1978">
        <v>1</v>
      </c>
      <c r="Q1978" s="1">
        <v>0.36599999999999999</v>
      </c>
      <c r="R1978" s="1">
        <v>0.93100000000000005</v>
      </c>
      <c r="S1978" s="1">
        <v>0.13200000000000001</v>
      </c>
      <c r="T1978" s="1">
        <v>0.183</v>
      </c>
      <c r="U1978" s="1">
        <v>0.44800000000000001</v>
      </c>
      <c r="V1978" s="1">
        <v>123.036</v>
      </c>
      <c r="W1978">
        <v>4</v>
      </c>
    </row>
    <row r="1979" spans="1:23" x14ac:dyDescent="0.25">
      <c r="A1979" s="1" t="s">
        <v>17972</v>
      </c>
      <c r="B1979" s="1" t="s">
        <v>17973</v>
      </c>
      <c r="C1979" s="1" t="s">
        <v>5875</v>
      </c>
      <c r="D1979" s="1" t="s">
        <v>5875</v>
      </c>
      <c r="E1979" s="1" t="s">
        <v>5876</v>
      </c>
      <c r="F1979" s="1" t="s">
        <v>15250</v>
      </c>
      <c r="G1979">
        <v>183067</v>
      </c>
      <c r="H1979">
        <v>63</v>
      </c>
      <c r="I1979" s="1" t="s">
        <v>11063</v>
      </c>
      <c r="J1979" s="11">
        <v>44729.706458333334</v>
      </c>
      <c r="K1979" s="1" t="s">
        <v>5877</v>
      </c>
      <c r="L1979" s="1">
        <v>0.79400000000000004</v>
      </c>
      <c r="M1979" s="1">
        <v>0.72799999999999998</v>
      </c>
      <c r="N1979">
        <v>1</v>
      </c>
      <c r="O1979" s="1">
        <v>-6.7590000000000003</v>
      </c>
      <c r="P1979">
        <v>1</v>
      </c>
      <c r="Q1979" s="1">
        <v>0.114</v>
      </c>
      <c r="R1979" s="1">
        <v>0.121</v>
      </c>
      <c r="S1979" s="1">
        <v>0.88200000000000001</v>
      </c>
      <c r="T1979" s="1">
        <v>0.22700000000000001</v>
      </c>
      <c r="U1979" s="1">
        <v>0.36</v>
      </c>
      <c r="V1979" s="1">
        <v>105.024</v>
      </c>
      <c r="W1979">
        <v>4</v>
      </c>
    </row>
    <row r="1980" spans="1:23" x14ac:dyDescent="0.25">
      <c r="A1980" s="1" t="s">
        <v>17974</v>
      </c>
      <c r="B1980" s="1" t="s">
        <v>14974</v>
      </c>
      <c r="C1980" s="1" t="s">
        <v>5878</v>
      </c>
      <c r="D1980" s="1" t="s">
        <v>14975</v>
      </c>
      <c r="E1980" s="1" t="s">
        <v>3250</v>
      </c>
      <c r="F1980" s="1" t="s">
        <v>14976</v>
      </c>
      <c r="G1980">
        <v>226002</v>
      </c>
      <c r="H1980">
        <v>63</v>
      </c>
      <c r="I1980" s="1" t="s">
        <v>11063</v>
      </c>
      <c r="J1980" s="11">
        <v>44729.706458333334</v>
      </c>
      <c r="K1980" s="1" t="s">
        <v>235</v>
      </c>
      <c r="L1980" s="1">
        <v>0.71</v>
      </c>
      <c r="M1980" s="1">
        <v>0.80800000000000005</v>
      </c>
      <c r="N1980">
        <v>2</v>
      </c>
      <c r="O1980" s="1">
        <v>-6.7030000000000003</v>
      </c>
      <c r="P1980">
        <v>0</v>
      </c>
      <c r="Q1980" s="1">
        <v>0.433</v>
      </c>
      <c r="R1980" s="1">
        <v>0.44</v>
      </c>
      <c r="S1980" s="1">
        <v>0.77300000000000002</v>
      </c>
      <c r="T1980" s="1">
        <v>0.73399999999999999</v>
      </c>
      <c r="U1980" s="1">
        <v>0.39200000000000002</v>
      </c>
      <c r="V1980" s="1">
        <v>99.989000000000004</v>
      </c>
      <c r="W1980">
        <v>4</v>
      </c>
    </row>
    <row r="1981" spans="1:23" x14ac:dyDescent="0.25">
      <c r="A1981" s="1" t="s">
        <v>17975</v>
      </c>
      <c r="B1981" s="1" t="s">
        <v>17976</v>
      </c>
      <c r="C1981" s="1" t="s">
        <v>5879</v>
      </c>
      <c r="D1981" s="1" t="s">
        <v>5879</v>
      </c>
      <c r="E1981" s="1" t="s">
        <v>5880</v>
      </c>
      <c r="F1981" s="1" t="s">
        <v>14364</v>
      </c>
      <c r="G1981">
        <v>240293</v>
      </c>
      <c r="H1981">
        <v>52</v>
      </c>
      <c r="I1981" s="1" t="s">
        <v>11063</v>
      </c>
      <c r="J1981" s="11">
        <v>44729.706458333334</v>
      </c>
      <c r="K1981" s="1" t="s">
        <v>5881</v>
      </c>
      <c r="L1981" s="1">
        <v>0.59399999999999997</v>
      </c>
      <c r="M1981" s="1">
        <v>0.70899999999999996</v>
      </c>
      <c r="N1981">
        <v>6</v>
      </c>
      <c r="O1981" s="1">
        <v>-9.5410000000000004</v>
      </c>
      <c r="P1981">
        <v>0</v>
      </c>
      <c r="Q1981" s="1">
        <v>0.377</v>
      </c>
      <c r="R1981" s="1">
        <v>0.315</v>
      </c>
      <c r="S1981" s="1">
        <v>0.56200000000000006</v>
      </c>
      <c r="T1981" s="1">
        <v>0.73799999999999999</v>
      </c>
      <c r="U1981" s="1">
        <v>0.58699999999999997</v>
      </c>
      <c r="V1981" s="1">
        <v>90.001000000000005</v>
      </c>
      <c r="W1981">
        <v>4</v>
      </c>
    </row>
    <row r="1982" spans="1:23" x14ac:dyDescent="0.25">
      <c r="A1982" s="1" t="s">
        <v>17977</v>
      </c>
      <c r="B1982" s="1" t="s">
        <v>17978</v>
      </c>
      <c r="C1982" s="1" t="s">
        <v>5882</v>
      </c>
      <c r="D1982" s="1" t="s">
        <v>5882</v>
      </c>
      <c r="E1982" s="1" t="s">
        <v>5883</v>
      </c>
      <c r="F1982" s="1" t="s">
        <v>17979</v>
      </c>
      <c r="G1982">
        <v>231724</v>
      </c>
      <c r="H1982">
        <v>37</v>
      </c>
      <c r="I1982" s="1" t="s">
        <v>11063</v>
      </c>
      <c r="J1982" s="11">
        <v>44729.706458333334</v>
      </c>
      <c r="K1982" s="1" t="s">
        <v>5884</v>
      </c>
      <c r="L1982" s="1">
        <v>0.48399999999999999</v>
      </c>
      <c r="M1982" s="1">
        <v>0.70499999999999996</v>
      </c>
      <c r="N1982">
        <v>11</v>
      </c>
      <c r="O1982" s="1">
        <v>-4.3220000000000001</v>
      </c>
      <c r="P1982">
        <v>0</v>
      </c>
      <c r="Q1982" s="1">
        <v>0.439</v>
      </c>
      <c r="R1982" s="1">
        <v>0.45200000000000001</v>
      </c>
      <c r="S1982" s="1">
        <v>0.69599999999999995</v>
      </c>
      <c r="T1982" s="1">
        <v>0.11</v>
      </c>
      <c r="U1982" s="1">
        <v>0.191</v>
      </c>
      <c r="V1982" s="1">
        <v>145.023</v>
      </c>
      <c r="W1982">
        <v>4</v>
      </c>
    </row>
    <row r="1983" spans="1:23" x14ac:dyDescent="0.25">
      <c r="A1983" s="1" t="s">
        <v>17980</v>
      </c>
      <c r="B1983" s="1" t="s">
        <v>17981</v>
      </c>
      <c r="C1983" s="1" t="s">
        <v>5885</v>
      </c>
      <c r="D1983" s="1" t="s">
        <v>17982</v>
      </c>
      <c r="E1983" s="1" t="s">
        <v>5886</v>
      </c>
      <c r="F1983" s="1" t="s">
        <v>17983</v>
      </c>
      <c r="G1983">
        <v>218482</v>
      </c>
      <c r="H1983">
        <v>37</v>
      </c>
      <c r="I1983" s="1" t="s">
        <v>11063</v>
      </c>
      <c r="J1983" s="11">
        <v>44729.706458333334</v>
      </c>
      <c r="K1983" s="1" t="s">
        <v>5887</v>
      </c>
      <c r="L1983" s="1">
        <v>0.61099999999999999</v>
      </c>
      <c r="M1983" s="1">
        <v>0.57199999999999995</v>
      </c>
      <c r="N1983">
        <v>9</v>
      </c>
      <c r="O1983" s="1">
        <v>-5.74</v>
      </c>
      <c r="P1983">
        <v>0</v>
      </c>
      <c r="Q1983" s="1">
        <v>0.437</v>
      </c>
      <c r="R1983" s="1">
        <v>0.27500000000000002</v>
      </c>
      <c r="S1983" s="1">
        <v>0.88300000000000001</v>
      </c>
      <c r="T1983" s="1">
        <v>0.91700000000000004</v>
      </c>
      <c r="U1983" s="1">
        <v>0.23699999999999999</v>
      </c>
      <c r="V1983" s="1">
        <v>145.01900000000001</v>
      </c>
      <c r="W1983">
        <v>4</v>
      </c>
    </row>
    <row r="1984" spans="1:23" x14ac:dyDescent="0.25">
      <c r="A1984" s="1" t="s">
        <v>17984</v>
      </c>
      <c r="B1984" s="1" t="s">
        <v>17985</v>
      </c>
      <c r="C1984" s="1" t="s">
        <v>5888</v>
      </c>
      <c r="D1984" s="1" t="s">
        <v>5888</v>
      </c>
      <c r="E1984" s="1" t="s">
        <v>5889</v>
      </c>
      <c r="F1984" s="1" t="s">
        <v>14620</v>
      </c>
      <c r="G1984">
        <v>192000</v>
      </c>
      <c r="H1984">
        <v>47</v>
      </c>
      <c r="I1984" s="1" t="s">
        <v>11063</v>
      </c>
      <c r="J1984" s="11">
        <v>44729.706458333334</v>
      </c>
      <c r="K1984" s="1" t="s">
        <v>5887</v>
      </c>
      <c r="L1984" s="1">
        <v>0.47899999999999998</v>
      </c>
      <c r="M1984" s="1">
        <v>0.746</v>
      </c>
      <c r="N1984">
        <v>4</v>
      </c>
      <c r="O1984" s="1" t="s">
        <v>3681</v>
      </c>
      <c r="P1984">
        <v>1</v>
      </c>
      <c r="Q1984" s="1">
        <v>0.17799999999999999</v>
      </c>
      <c r="R1984" s="1">
        <v>0.91400000000000003</v>
      </c>
      <c r="S1984" s="1">
        <v>0.33800000000000002</v>
      </c>
      <c r="T1984" s="1">
        <v>0.11700000000000001</v>
      </c>
      <c r="U1984" s="1">
        <v>0.32200000000000001</v>
      </c>
      <c r="V1984" s="1">
        <v>159.99</v>
      </c>
      <c r="W1984">
        <v>4</v>
      </c>
    </row>
    <row r="1985" spans="1:23" x14ac:dyDescent="0.25">
      <c r="A1985" s="1" t="s">
        <v>17986</v>
      </c>
      <c r="B1985" s="1" t="s">
        <v>17987</v>
      </c>
      <c r="C1985" s="1" t="s">
        <v>5890</v>
      </c>
      <c r="D1985" s="1" t="s">
        <v>17988</v>
      </c>
      <c r="E1985" s="1" t="s">
        <v>5891</v>
      </c>
      <c r="F1985" s="1" t="s">
        <v>17989</v>
      </c>
      <c r="G1985">
        <v>211666</v>
      </c>
      <c r="H1985">
        <v>30</v>
      </c>
      <c r="I1985" s="1" t="s">
        <v>11063</v>
      </c>
      <c r="J1985" s="11">
        <v>44729.706458333334</v>
      </c>
      <c r="K1985" s="1" t="s">
        <v>5887</v>
      </c>
      <c r="L1985" s="1">
        <v>0.53700000000000003</v>
      </c>
      <c r="M1985" s="1">
        <v>0.69699999999999995</v>
      </c>
      <c r="N1985">
        <v>1</v>
      </c>
      <c r="O1985" s="1">
        <v>-4.58</v>
      </c>
      <c r="P1985">
        <v>0</v>
      </c>
      <c r="Q1985" s="1">
        <v>0.38500000000000001</v>
      </c>
      <c r="R1985" s="1">
        <v>0.13200000000000001</v>
      </c>
      <c r="S1985" s="1">
        <v>0</v>
      </c>
      <c r="T1985" s="1">
        <v>0.104</v>
      </c>
      <c r="U1985" s="1">
        <v>0.22800000000000001</v>
      </c>
      <c r="V1985" s="1">
        <v>144.00899999999999</v>
      </c>
      <c r="W1985">
        <v>4</v>
      </c>
    </row>
    <row r="1986" spans="1:23" x14ac:dyDescent="0.25">
      <c r="A1986" s="1" t="s">
        <v>17990</v>
      </c>
      <c r="B1986" s="1" t="s">
        <v>17991</v>
      </c>
      <c r="C1986" s="1" t="s">
        <v>5892</v>
      </c>
      <c r="D1986" s="1" t="s">
        <v>17992</v>
      </c>
      <c r="E1986" s="1" t="s">
        <v>5893</v>
      </c>
      <c r="F1986" s="1" t="s">
        <v>17993</v>
      </c>
      <c r="G1986">
        <v>216699</v>
      </c>
      <c r="H1986">
        <v>38</v>
      </c>
      <c r="I1986" s="1" t="s">
        <v>11063</v>
      </c>
      <c r="J1986" s="11">
        <v>44729.706458333334</v>
      </c>
      <c r="K1986" s="1" t="s">
        <v>3618</v>
      </c>
      <c r="L1986" s="1">
        <v>0.60199999999999998</v>
      </c>
      <c r="M1986" s="1">
        <v>0.625</v>
      </c>
      <c r="N1986">
        <v>6</v>
      </c>
      <c r="O1986" s="1">
        <v>-6.7910000000000004</v>
      </c>
      <c r="P1986">
        <v>0</v>
      </c>
      <c r="Q1986" s="1">
        <v>0.54400000000000004</v>
      </c>
      <c r="R1986" s="1">
        <v>0.67400000000000004</v>
      </c>
      <c r="S1986" s="1">
        <v>0</v>
      </c>
      <c r="T1986" s="1">
        <v>0.12</v>
      </c>
      <c r="U1986" s="1">
        <v>0.33700000000000002</v>
      </c>
      <c r="V1986" s="1">
        <v>102.861</v>
      </c>
      <c r="W1986">
        <v>4</v>
      </c>
    </row>
    <row r="1987" spans="1:23" x14ac:dyDescent="0.25">
      <c r="A1987" s="1" t="s">
        <v>17994</v>
      </c>
      <c r="B1987" s="1" t="s">
        <v>17995</v>
      </c>
      <c r="C1987" s="1" t="s">
        <v>5894</v>
      </c>
      <c r="D1987" s="1" t="s">
        <v>4731</v>
      </c>
      <c r="E1987" s="1" t="s">
        <v>5895</v>
      </c>
      <c r="F1987" s="1" t="s">
        <v>11616</v>
      </c>
      <c r="G1987">
        <v>225000</v>
      </c>
      <c r="H1987">
        <v>40</v>
      </c>
      <c r="I1987" s="1" t="s">
        <v>11063</v>
      </c>
      <c r="J1987" s="11">
        <v>44729.706458333334</v>
      </c>
      <c r="K1987" s="1" t="s">
        <v>4377</v>
      </c>
      <c r="L1987" s="1">
        <v>0.46700000000000003</v>
      </c>
      <c r="M1987" s="1">
        <v>0.63900000000000001</v>
      </c>
      <c r="N1987">
        <v>0</v>
      </c>
      <c r="O1987" s="1">
        <v>-6.3840000000000003</v>
      </c>
      <c r="P1987">
        <v>0</v>
      </c>
      <c r="Q1987" s="1">
        <v>0.124</v>
      </c>
      <c r="R1987" s="1">
        <v>0.191</v>
      </c>
      <c r="S1987" s="1">
        <v>0.224</v>
      </c>
      <c r="T1987" s="1">
        <v>0.10199999999999999</v>
      </c>
      <c r="U1987" s="1">
        <v>0.155</v>
      </c>
      <c r="V1987" s="1">
        <v>127.758</v>
      </c>
      <c r="W1987">
        <v>4</v>
      </c>
    </row>
    <row r="1988" spans="1:23" x14ac:dyDescent="0.25">
      <c r="A1988" s="1" t="s">
        <v>17996</v>
      </c>
      <c r="B1988" s="1" t="s">
        <v>17997</v>
      </c>
      <c r="C1988" s="1" t="s">
        <v>3016</v>
      </c>
      <c r="D1988" s="1" t="s">
        <v>3016</v>
      </c>
      <c r="E1988" s="1" t="s">
        <v>5896</v>
      </c>
      <c r="F1988" s="1" t="s">
        <v>17998</v>
      </c>
      <c r="G1988">
        <v>199500</v>
      </c>
      <c r="H1988">
        <v>49</v>
      </c>
      <c r="I1988" s="1" t="s">
        <v>11063</v>
      </c>
      <c r="J1988" s="11">
        <v>44729.706458333334</v>
      </c>
      <c r="K1988" s="1" t="s">
        <v>5221</v>
      </c>
      <c r="L1988" s="1">
        <v>0.29599999999999999</v>
      </c>
      <c r="M1988" s="1">
        <v>0.71899999999999997</v>
      </c>
      <c r="N1988">
        <v>4</v>
      </c>
      <c r="O1988" s="1">
        <v>-5.03</v>
      </c>
      <c r="P1988">
        <v>1</v>
      </c>
      <c r="Q1988" s="1">
        <v>0.52600000000000002</v>
      </c>
      <c r="R1988" s="1">
        <v>0.161</v>
      </c>
      <c r="S1988" s="1">
        <v>0</v>
      </c>
      <c r="T1988" s="1">
        <v>0.32800000000000001</v>
      </c>
      <c r="U1988" s="1">
        <v>0.121</v>
      </c>
      <c r="V1988" s="1">
        <v>159.92599999999999</v>
      </c>
      <c r="W1988">
        <v>4</v>
      </c>
    </row>
    <row r="1989" spans="1:23" x14ac:dyDescent="0.25">
      <c r="A1989" s="1" t="s">
        <v>17999</v>
      </c>
      <c r="B1989" s="1" t="s">
        <v>14974</v>
      </c>
      <c r="C1989" s="1" t="s">
        <v>5897</v>
      </c>
      <c r="D1989" s="1" t="s">
        <v>14975</v>
      </c>
      <c r="E1989" s="1" t="s">
        <v>3250</v>
      </c>
      <c r="F1989" s="1" t="s">
        <v>14976</v>
      </c>
      <c r="G1989">
        <v>161188</v>
      </c>
      <c r="H1989">
        <v>56</v>
      </c>
      <c r="I1989" s="1" t="s">
        <v>11063</v>
      </c>
      <c r="J1989" s="11">
        <v>44729.706458333334</v>
      </c>
      <c r="K1989" s="1" t="s">
        <v>235</v>
      </c>
      <c r="L1989" s="1">
        <v>0.81100000000000005</v>
      </c>
      <c r="M1989" s="1">
        <v>0.51200000000000001</v>
      </c>
      <c r="N1989">
        <v>2</v>
      </c>
      <c r="O1989" s="1">
        <v>-6.38</v>
      </c>
      <c r="P1989">
        <v>1</v>
      </c>
      <c r="Q1989" s="1">
        <v>0.17299999999999999</v>
      </c>
      <c r="R1989" s="1">
        <v>0.216</v>
      </c>
      <c r="S1989" s="1">
        <v>0.26600000000000001</v>
      </c>
      <c r="T1989" s="1">
        <v>0.77</v>
      </c>
      <c r="U1989" s="1">
        <v>0.33600000000000002</v>
      </c>
      <c r="V1989" s="1">
        <v>92.025000000000006</v>
      </c>
      <c r="W1989">
        <v>4</v>
      </c>
    </row>
    <row r="1990" spans="1:23" x14ac:dyDescent="0.25">
      <c r="A1990" s="1" t="s">
        <v>18000</v>
      </c>
      <c r="B1990" s="1" t="s">
        <v>16252</v>
      </c>
      <c r="C1990" s="1" t="s">
        <v>5898</v>
      </c>
      <c r="D1990" s="1" t="s">
        <v>5898</v>
      </c>
      <c r="E1990" s="1" t="s">
        <v>4352</v>
      </c>
      <c r="F1990" s="1" t="s">
        <v>14585</v>
      </c>
      <c r="G1990">
        <v>187479</v>
      </c>
      <c r="H1990">
        <v>27</v>
      </c>
      <c r="I1990" s="1" t="s">
        <v>11063</v>
      </c>
      <c r="J1990" s="11">
        <v>44729.706458333334</v>
      </c>
      <c r="K1990" s="1" t="s">
        <v>4353</v>
      </c>
      <c r="L1990" s="1">
        <v>0.58499999999999996</v>
      </c>
      <c r="M1990" s="1">
        <v>0.94099999999999995</v>
      </c>
      <c r="N1990">
        <v>1</v>
      </c>
      <c r="O1990" s="1">
        <v>-3.9420000000000002</v>
      </c>
      <c r="P1990">
        <v>1</v>
      </c>
      <c r="Q1990" s="1">
        <v>0.45600000000000002</v>
      </c>
      <c r="R1990" s="1">
        <v>0.51700000000000002</v>
      </c>
      <c r="S1990" s="1">
        <v>0.17299999999999999</v>
      </c>
      <c r="T1990" s="1">
        <v>0.44600000000000001</v>
      </c>
      <c r="U1990" s="1">
        <v>0.40600000000000003</v>
      </c>
      <c r="V1990" s="1">
        <v>147.09200000000001</v>
      </c>
      <c r="W1990">
        <v>4</v>
      </c>
    </row>
    <row r="1991" spans="1:23" x14ac:dyDescent="0.25">
      <c r="A1991" s="1" t="s">
        <v>18001</v>
      </c>
      <c r="B1991" s="1" t="s">
        <v>18002</v>
      </c>
      <c r="C1991" s="1" t="s">
        <v>5899</v>
      </c>
      <c r="D1991" s="1" t="s">
        <v>5899</v>
      </c>
      <c r="E1991" s="1" t="s">
        <v>5900</v>
      </c>
      <c r="F1991" s="1" t="s">
        <v>14585</v>
      </c>
      <c r="G1991">
        <v>244424</v>
      </c>
      <c r="H1991">
        <v>32</v>
      </c>
      <c r="I1991" s="1" t="s">
        <v>11063</v>
      </c>
      <c r="J1991" s="11">
        <v>44729.706458333334</v>
      </c>
      <c r="K1991" s="1" t="s">
        <v>381</v>
      </c>
      <c r="L1991" s="1">
        <v>0.56200000000000006</v>
      </c>
      <c r="M1991" s="1">
        <v>0.72599999999999998</v>
      </c>
      <c r="N1991">
        <v>8</v>
      </c>
      <c r="O1991" s="1">
        <v>-4.952</v>
      </c>
      <c r="P1991">
        <v>1</v>
      </c>
      <c r="Q1991" s="1">
        <v>0.77200000000000002</v>
      </c>
      <c r="R1991" s="1">
        <v>0.98699999999999999</v>
      </c>
      <c r="S1991" s="1">
        <v>0.81699999999999995</v>
      </c>
      <c r="T1991" s="1">
        <v>0.73099999999999998</v>
      </c>
      <c r="U1991" s="1">
        <v>0.55100000000000005</v>
      </c>
      <c r="V1991" s="1">
        <v>163.017</v>
      </c>
      <c r="W1991">
        <v>4</v>
      </c>
    </row>
    <row r="1992" spans="1:23" x14ac:dyDescent="0.25">
      <c r="A1992" s="1" t="s">
        <v>11074</v>
      </c>
      <c r="B1992" s="1" t="s">
        <v>11075</v>
      </c>
      <c r="C1992" s="1" t="s">
        <v>2901</v>
      </c>
      <c r="D1992" s="1" t="s">
        <v>11076</v>
      </c>
      <c r="E1992" s="1" t="s">
        <v>2902</v>
      </c>
      <c r="F1992" s="1" t="s">
        <v>14585</v>
      </c>
      <c r="G1992">
        <v>192608</v>
      </c>
      <c r="H1992">
        <v>0</v>
      </c>
      <c r="I1992" s="1" t="s">
        <v>11063</v>
      </c>
      <c r="J1992" s="11">
        <v>44729.706458333334</v>
      </c>
      <c r="K1992" s="1" t="s">
        <v>2903</v>
      </c>
      <c r="L1992" s="1">
        <v>0.79800000000000004</v>
      </c>
      <c r="M1992" s="1">
        <v>0.53700000000000003</v>
      </c>
      <c r="N1992">
        <v>2</v>
      </c>
      <c r="O1992" s="1">
        <v>-7.4180000000000001</v>
      </c>
      <c r="P1992">
        <v>1</v>
      </c>
      <c r="Q1992" s="1">
        <v>0.66800000000000004</v>
      </c>
      <c r="R1992" s="1">
        <v>0.72299999999999998</v>
      </c>
      <c r="S1992" s="1">
        <v>0.57299999999999995</v>
      </c>
      <c r="T1992" s="1">
        <v>0.44</v>
      </c>
      <c r="U1992" s="1">
        <v>0.21099999999999999</v>
      </c>
      <c r="V1992" s="1">
        <v>100.066</v>
      </c>
      <c r="W1992">
        <v>4</v>
      </c>
    </row>
    <row r="1993" spans="1:23" x14ac:dyDescent="0.25">
      <c r="A1993" s="1" t="s">
        <v>18003</v>
      </c>
      <c r="B1993" s="1" t="s">
        <v>13969</v>
      </c>
      <c r="C1993" s="1" t="s">
        <v>5557</v>
      </c>
      <c r="D1993" s="1" t="s">
        <v>5557</v>
      </c>
      <c r="E1993" s="1" t="s">
        <v>2375</v>
      </c>
      <c r="F1993" s="1" t="s">
        <v>14585</v>
      </c>
      <c r="G1993">
        <v>142831</v>
      </c>
      <c r="H1993">
        <v>0</v>
      </c>
      <c r="I1993" s="1" t="s">
        <v>11063</v>
      </c>
      <c r="J1993" s="11">
        <v>44729.706458333334</v>
      </c>
      <c r="K1993" s="1" t="s">
        <v>2376</v>
      </c>
      <c r="L1993" s="1">
        <v>0.69199999999999995</v>
      </c>
      <c r="M1993" s="1">
        <v>0.42799999999999999</v>
      </c>
      <c r="N1993">
        <v>1</v>
      </c>
      <c r="O1993" s="1">
        <v>-8.1180000000000003</v>
      </c>
      <c r="P1993">
        <v>1</v>
      </c>
      <c r="Q1993" s="1">
        <v>0.34</v>
      </c>
      <c r="R1993" s="1">
        <v>0.54700000000000004</v>
      </c>
      <c r="S1993" s="1">
        <v>0.49</v>
      </c>
      <c r="T1993" s="1">
        <v>0.11799999999999999</v>
      </c>
      <c r="U1993" s="1">
        <v>0.29699999999999999</v>
      </c>
      <c r="V1993" s="1">
        <v>112.925</v>
      </c>
      <c r="W1993">
        <v>4</v>
      </c>
    </row>
    <row r="1994" spans="1:23" x14ac:dyDescent="0.25">
      <c r="A1994" s="1" t="s">
        <v>18004</v>
      </c>
      <c r="B1994" s="1" t="s">
        <v>18005</v>
      </c>
      <c r="C1994" s="1" t="s">
        <v>5901</v>
      </c>
      <c r="D1994" s="1" t="s">
        <v>5901</v>
      </c>
      <c r="E1994" s="1" t="s">
        <v>5902</v>
      </c>
      <c r="F1994" s="1" t="s">
        <v>18006</v>
      </c>
      <c r="G1994">
        <v>184889</v>
      </c>
      <c r="H1994">
        <v>60</v>
      </c>
      <c r="I1994" s="1" t="s">
        <v>11063</v>
      </c>
      <c r="J1994" s="11">
        <v>44729.706458333334</v>
      </c>
      <c r="K1994" s="1" t="s">
        <v>5903</v>
      </c>
      <c r="L1994" s="1">
        <v>0.73</v>
      </c>
      <c r="M1994" s="1">
        <v>0.78900000000000003</v>
      </c>
      <c r="N1994">
        <v>10</v>
      </c>
      <c r="O1994" s="1">
        <v>-3.9820000000000002</v>
      </c>
      <c r="P1994">
        <v>1</v>
      </c>
      <c r="Q1994" s="1">
        <v>0.34</v>
      </c>
      <c r="R1994" s="1">
        <v>0.26900000000000002</v>
      </c>
      <c r="S1994" s="1">
        <v>0</v>
      </c>
      <c r="T1994" s="1">
        <v>0.129</v>
      </c>
      <c r="U1994" s="1">
        <v>0.106</v>
      </c>
      <c r="V1994" s="1">
        <v>107.98099999999999</v>
      </c>
      <c r="W1994">
        <v>4</v>
      </c>
    </row>
    <row r="1995" spans="1:23" x14ac:dyDescent="0.25">
      <c r="A1995" s="1" t="s">
        <v>18007</v>
      </c>
      <c r="B1995" s="1" t="s">
        <v>18008</v>
      </c>
      <c r="C1995" s="1" t="s">
        <v>5904</v>
      </c>
      <c r="D1995" s="1" t="s">
        <v>5904</v>
      </c>
      <c r="E1995" s="1" t="s">
        <v>5905</v>
      </c>
      <c r="F1995" s="1" t="s">
        <v>14187</v>
      </c>
      <c r="G1995">
        <v>230181</v>
      </c>
      <c r="H1995">
        <v>29</v>
      </c>
      <c r="I1995" s="1" t="s">
        <v>11063</v>
      </c>
      <c r="J1995" s="11">
        <v>44729.706458333334</v>
      </c>
      <c r="K1995" s="1" t="s">
        <v>5221</v>
      </c>
      <c r="L1995" s="1">
        <v>0.39400000000000002</v>
      </c>
      <c r="M1995" s="1">
        <v>0.77500000000000002</v>
      </c>
      <c r="N1995">
        <v>6</v>
      </c>
      <c r="O1995" s="1">
        <v>-4.7560000000000002</v>
      </c>
      <c r="P1995">
        <v>0</v>
      </c>
      <c r="Q1995" s="1">
        <v>0.40100000000000002</v>
      </c>
      <c r="R1995" s="1">
        <v>0.51700000000000002</v>
      </c>
      <c r="S1995" s="1">
        <v>0</v>
      </c>
      <c r="T1995" s="1">
        <v>0.158</v>
      </c>
      <c r="U1995" s="1">
        <v>0.20599999999999999</v>
      </c>
      <c r="V1995" s="1">
        <v>110.012</v>
      </c>
      <c r="W1995">
        <v>4</v>
      </c>
    </row>
    <row r="1996" spans="1:23" x14ac:dyDescent="0.25">
      <c r="A1996" s="1" t="s">
        <v>18009</v>
      </c>
      <c r="B1996" s="1" t="s">
        <v>18010</v>
      </c>
      <c r="C1996" s="1" t="s">
        <v>5906</v>
      </c>
      <c r="D1996" s="1" t="s">
        <v>5906</v>
      </c>
      <c r="E1996" s="1" t="s">
        <v>5907</v>
      </c>
      <c r="F1996" s="1" t="s">
        <v>14187</v>
      </c>
      <c r="G1996">
        <v>197419</v>
      </c>
      <c r="H1996">
        <v>27</v>
      </c>
      <c r="I1996" s="1" t="s">
        <v>11063</v>
      </c>
      <c r="J1996" s="11">
        <v>44729.706458333334</v>
      </c>
      <c r="K1996" s="1" t="s">
        <v>250</v>
      </c>
      <c r="L1996" s="1">
        <v>0.64400000000000002</v>
      </c>
      <c r="M1996" s="1">
        <v>0.86399999999999999</v>
      </c>
      <c r="N1996">
        <v>5</v>
      </c>
      <c r="O1996" s="1">
        <v>-6.3410000000000002</v>
      </c>
      <c r="P1996">
        <v>0</v>
      </c>
      <c r="Q1996" s="1">
        <v>0.433</v>
      </c>
      <c r="R1996" s="1">
        <v>0.88800000000000001</v>
      </c>
      <c r="S1996" s="1">
        <v>0.13300000000000001</v>
      </c>
      <c r="T1996" s="1">
        <v>0.154</v>
      </c>
      <c r="U1996" s="1">
        <v>0.59299999999999997</v>
      </c>
      <c r="V1996" s="1">
        <v>123.97499999999999</v>
      </c>
      <c r="W1996">
        <v>4</v>
      </c>
    </row>
    <row r="1997" spans="1:23" x14ac:dyDescent="0.25">
      <c r="A1997" s="1" t="s">
        <v>18011</v>
      </c>
      <c r="B1997" s="1" t="s">
        <v>18012</v>
      </c>
      <c r="C1997" s="1" t="s">
        <v>5908</v>
      </c>
      <c r="D1997" s="1" t="s">
        <v>18013</v>
      </c>
      <c r="E1997" s="1" t="s">
        <v>5909</v>
      </c>
      <c r="F1997" s="1" t="s">
        <v>18014</v>
      </c>
      <c r="G1997">
        <v>217600</v>
      </c>
      <c r="H1997">
        <v>15</v>
      </c>
      <c r="I1997" s="1" t="s">
        <v>11063</v>
      </c>
      <c r="J1997" s="11">
        <v>44729.706458333334</v>
      </c>
      <c r="K1997" s="1" t="s">
        <v>5910</v>
      </c>
      <c r="L1997" s="1">
        <v>0.54800000000000004</v>
      </c>
      <c r="M1997" s="1">
        <v>0.95</v>
      </c>
      <c r="N1997">
        <v>6</v>
      </c>
      <c r="O1997" s="1">
        <v>-2.1659999999999999</v>
      </c>
      <c r="P1997">
        <v>1</v>
      </c>
      <c r="Q1997" s="1">
        <v>0.3</v>
      </c>
      <c r="R1997" s="1">
        <v>0.159</v>
      </c>
      <c r="S1997" s="1">
        <v>0.56000000000000005</v>
      </c>
      <c r="T1997" s="1">
        <v>0.58099999999999996</v>
      </c>
      <c r="U1997" s="1">
        <v>0.19500000000000001</v>
      </c>
      <c r="V1997" s="1">
        <v>150.244</v>
      </c>
      <c r="W1997">
        <v>4</v>
      </c>
    </row>
    <row r="1998" spans="1:23" x14ac:dyDescent="0.25">
      <c r="A1998" s="1" t="s">
        <v>18015</v>
      </c>
      <c r="B1998" s="1" t="s">
        <v>13503</v>
      </c>
      <c r="C1998" s="1" t="s">
        <v>589</v>
      </c>
      <c r="D1998" s="1" t="s">
        <v>589</v>
      </c>
      <c r="E1998" s="1" t="s">
        <v>1972</v>
      </c>
      <c r="F1998" s="1" t="s">
        <v>18014</v>
      </c>
      <c r="G1998">
        <v>254600</v>
      </c>
      <c r="H1998">
        <v>36</v>
      </c>
      <c r="I1998" s="1" t="s">
        <v>11063</v>
      </c>
      <c r="J1998" s="11">
        <v>44729.706458333334</v>
      </c>
      <c r="K1998" s="1" t="s">
        <v>1973</v>
      </c>
      <c r="L1998" s="1">
        <v>0.53900000000000003</v>
      </c>
      <c r="M1998" s="1">
        <v>0.66</v>
      </c>
      <c r="N1998">
        <v>5</v>
      </c>
      <c r="O1998" s="1">
        <v>-8.2319999999999993</v>
      </c>
      <c r="P1998">
        <v>0</v>
      </c>
      <c r="Q1998" s="1">
        <v>0.60199999999999998</v>
      </c>
      <c r="R1998" s="1">
        <v>0.17</v>
      </c>
      <c r="S1998" s="1">
        <v>0</v>
      </c>
      <c r="T1998" s="1">
        <v>0.39</v>
      </c>
      <c r="U1998" s="1">
        <v>0.35599999999999998</v>
      </c>
      <c r="V1998" s="1">
        <v>150.04499999999999</v>
      </c>
      <c r="W1998">
        <v>4</v>
      </c>
    </row>
    <row r="1999" spans="1:23" x14ac:dyDescent="0.25">
      <c r="A1999" s="1" t="s">
        <v>18016</v>
      </c>
      <c r="B1999" s="1" t="s">
        <v>18017</v>
      </c>
      <c r="C1999" s="1" t="s">
        <v>5911</v>
      </c>
      <c r="D1999" s="1" t="s">
        <v>5911</v>
      </c>
      <c r="E1999" s="1" t="s">
        <v>5912</v>
      </c>
      <c r="F1999" s="1" t="s">
        <v>14585</v>
      </c>
      <c r="G1999">
        <v>215360</v>
      </c>
      <c r="H1999">
        <v>66</v>
      </c>
      <c r="I1999" s="1" t="s">
        <v>11063</v>
      </c>
      <c r="J1999" s="11">
        <v>44729.706458333334</v>
      </c>
      <c r="K1999" s="1" t="s">
        <v>5913</v>
      </c>
      <c r="L1999" s="1">
        <v>0.61099999999999999</v>
      </c>
      <c r="M1999" s="1">
        <v>0.65100000000000002</v>
      </c>
      <c r="N1999">
        <v>1</v>
      </c>
      <c r="O1999" s="1">
        <v>-6.9729999999999999</v>
      </c>
      <c r="P1999">
        <v>1</v>
      </c>
      <c r="Q1999" s="1">
        <v>0.58899999999999997</v>
      </c>
      <c r="R1999" s="1">
        <v>0.14399999999999999</v>
      </c>
      <c r="S1999" s="1">
        <v>0.17</v>
      </c>
      <c r="T1999" s="1">
        <v>0.105</v>
      </c>
      <c r="U1999" s="1">
        <v>0.35099999999999998</v>
      </c>
      <c r="V1999" s="1">
        <v>122.983</v>
      </c>
      <c r="W1999">
        <v>4</v>
      </c>
    </row>
    <row r="2000" spans="1:23" x14ac:dyDescent="0.25">
      <c r="A2000" s="1" t="s">
        <v>18018</v>
      </c>
      <c r="B2000" s="1" t="s">
        <v>18019</v>
      </c>
      <c r="C2000" s="1" t="s">
        <v>5914</v>
      </c>
      <c r="D2000" s="1" t="s">
        <v>5914</v>
      </c>
      <c r="E2000" s="1" t="s">
        <v>5915</v>
      </c>
      <c r="F2000" s="1" t="s">
        <v>14585</v>
      </c>
      <c r="G2000">
        <v>221000</v>
      </c>
      <c r="H2000">
        <v>65</v>
      </c>
      <c r="I2000" s="1" t="s">
        <v>11063</v>
      </c>
      <c r="J2000" s="11">
        <v>44729.706458333334</v>
      </c>
      <c r="K2000" s="1" t="s">
        <v>5916</v>
      </c>
      <c r="L2000" s="1">
        <v>0.42799999999999999</v>
      </c>
      <c r="M2000" s="1">
        <v>0.877</v>
      </c>
      <c r="N2000">
        <v>5</v>
      </c>
      <c r="O2000" s="1">
        <v>-4.7220000000000004</v>
      </c>
      <c r="P2000">
        <v>0</v>
      </c>
      <c r="Q2000" s="1">
        <v>0.83499999999999996</v>
      </c>
      <c r="R2000" s="1">
        <v>0.153</v>
      </c>
      <c r="S2000" s="1">
        <v>0.372</v>
      </c>
      <c r="T2000" s="1">
        <v>0.94299999999999995</v>
      </c>
      <c r="U2000" s="1">
        <v>0.113</v>
      </c>
      <c r="V2000" s="1">
        <v>75.518000000000001</v>
      </c>
      <c r="W2000">
        <v>4</v>
      </c>
    </row>
    <row r="2001" spans="1:23" x14ac:dyDescent="0.25">
      <c r="A2001" s="1" t="s">
        <v>18020</v>
      </c>
      <c r="B2001" s="1" t="s">
        <v>11671</v>
      </c>
      <c r="C2001" s="1" t="s">
        <v>5917</v>
      </c>
      <c r="D2001" s="1" t="s">
        <v>18021</v>
      </c>
      <c r="E2001" s="1" t="s">
        <v>387</v>
      </c>
      <c r="F2001" s="1" t="s">
        <v>14129</v>
      </c>
      <c r="G2001">
        <v>324466</v>
      </c>
      <c r="H2001">
        <v>75</v>
      </c>
      <c r="I2001" s="1" t="s">
        <v>11063</v>
      </c>
      <c r="J2001" s="11">
        <v>44729.706458333334</v>
      </c>
      <c r="K2001" s="1" t="s">
        <v>113</v>
      </c>
      <c r="L2001" s="1">
        <v>0.60899999999999999</v>
      </c>
      <c r="M2001" s="1">
        <v>0.67400000000000004</v>
      </c>
      <c r="N2001">
        <v>10</v>
      </c>
      <c r="O2001" s="1">
        <v>-7.3879999999999999</v>
      </c>
      <c r="P2001">
        <v>0</v>
      </c>
      <c r="Q2001" s="1">
        <v>0.54800000000000004</v>
      </c>
      <c r="R2001" s="1">
        <v>0.73499999999999999</v>
      </c>
      <c r="S2001" s="1">
        <v>0.6</v>
      </c>
      <c r="T2001" s="1">
        <v>0.34499999999999997</v>
      </c>
      <c r="U2001" s="1">
        <v>0.315</v>
      </c>
      <c r="V2001" s="1">
        <v>90.009</v>
      </c>
      <c r="W2001">
        <v>4</v>
      </c>
    </row>
    <row r="2002" spans="1:23" x14ac:dyDescent="0.25">
      <c r="A2002" s="1" t="s">
        <v>18022</v>
      </c>
      <c r="B2002" s="1" t="s">
        <v>18023</v>
      </c>
      <c r="C2002" s="1" t="s">
        <v>5918</v>
      </c>
      <c r="D2002" s="1" t="s">
        <v>14044</v>
      </c>
      <c r="E2002" s="1" t="s">
        <v>5919</v>
      </c>
      <c r="F2002" s="1" t="s">
        <v>14045</v>
      </c>
      <c r="G2002">
        <v>179120</v>
      </c>
      <c r="H2002">
        <v>81</v>
      </c>
      <c r="I2002" s="1" t="s">
        <v>11063</v>
      </c>
      <c r="J2002" s="11">
        <v>44729.706458333334</v>
      </c>
      <c r="K2002" s="1" t="s">
        <v>5920</v>
      </c>
      <c r="L2002" s="1">
        <v>0.73099999999999998</v>
      </c>
      <c r="M2002" s="1">
        <v>0.80700000000000005</v>
      </c>
      <c r="N2002">
        <v>3</v>
      </c>
      <c r="O2002" s="1">
        <v>-6.492</v>
      </c>
      <c r="P2002">
        <v>0</v>
      </c>
      <c r="Q2002" s="1">
        <v>0.1</v>
      </c>
      <c r="R2002" s="1">
        <v>0.18099999999999999</v>
      </c>
      <c r="S2002" s="1">
        <v>0.751</v>
      </c>
      <c r="T2002" s="1">
        <v>0.31900000000000001</v>
      </c>
      <c r="U2002" s="1">
        <v>0.76500000000000001</v>
      </c>
      <c r="V2002" s="1">
        <v>114.759</v>
      </c>
      <c r="W2002">
        <v>4</v>
      </c>
    </row>
    <row r="2003" spans="1:23" x14ac:dyDescent="0.25">
      <c r="A2003" s="1" t="s">
        <v>18024</v>
      </c>
      <c r="B2003" s="1" t="s">
        <v>18025</v>
      </c>
      <c r="C2003" s="1" t="s">
        <v>5921</v>
      </c>
      <c r="D2003" s="1" t="s">
        <v>18026</v>
      </c>
      <c r="E2003" s="1" t="s">
        <v>5922</v>
      </c>
      <c r="F2003" s="1" t="s">
        <v>13934</v>
      </c>
      <c r="G2003">
        <v>260906</v>
      </c>
      <c r="H2003">
        <v>72</v>
      </c>
      <c r="I2003" s="1" t="s">
        <v>11063</v>
      </c>
      <c r="J2003" s="11">
        <v>44729.706458333334</v>
      </c>
      <c r="K2003" s="1" t="s">
        <v>5923</v>
      </c>
      <c r="L2003" s="1">
        <v>0.32100000000000001</v>
      </c>
      <c r="M2003" s="1">
        <v>0.42899999999999999</v>
      </c>
      <c r="N2003">
        <v>6</v>
      </c>
      <c r="O2003" s="1">
        <v>-7.0730000000000004</v>
      </c>
      <c r="P2003">
        <v>1</v>
      </c>
      <c r="Q2003" s="1">
        <v>0.30199999999999999</v>
      </c>
      <c r="R2003" s="1">
        <v>0.72399999999999998</v>
      </c>
      <c r="S2003" s="1">
        <v>0.91</v>
      </c>
      <c r="T2003" s="1">
        <v>0.60599999999999998</v>
      </c>
      <c r="U2003" s="1">
        <v>0.17399999999999999</v>
      </c>
      <c r="V2003" s="1">
        <v>123.419</v>
      </c>
      <c r="W2003">
        <v>4</v>
      </c>
    </row>
    <row r="2004" spans="1:23" x14ac:dyDescent="0.25">
      <c r="A2004" s="1" t="s">
        <v>18027</v>
      </c>
      <c r="B2004" s="1" t="s">
        <v>18028</v>
      </c>
      <c r="C2004" s="1" t="s">
        <v>5924</v>
      </c>
      <c r="D2004" s="1" t="s">
        <v>18026</v>
      </c>
      <c r="E2004" s="1" t="s">
        <v>5925</v>
      </c>
      <c r="F2004" s="1" t="s">
        <v>13934</v>
      </c>
      <c r="G2004">
        <v>194848</v>
      </c>
      <c r="H2004">
        <v>73</v>
      </c>
      <c r="I2004" s="1" t="s">
        <v>11063</v>
      </c>
      <c r="J2004" s="11">
        <v>44729.706458333334</v>
      </c>
      <c r="K2004" s="1" t="s">
        <v>5926</v>
      </c>
      <c r="L2004" s="1">
        <v>0.32300000000000001</v>
      </c>
      <c r="M2004" s="1">
        <v>0.40500000000000003</v>
      </c>
      <c r="N2004">
        <v>10</v>
      </c>
      <c r="O2004" s="1">
        <v>-8.5329999999999995</v>
      </c>
      <c r="P2004">
        <v>0</v>
      </c>
      <c r="Q2004" s="1">
        <v>0.41299999999999998</v>
      </c>
      <c r="R2004" s="1">
        <v>0.84899999999999998</v>
      </c>
      <c r="S2004" s="1">
        <v>0.54400000000000004</v>
      </c>
      <c r="T2004" s="1">
        <v>0.13800000000000001</v>
      </c>
      <c r="U2004" s="1">
        <v>0.27400000000000002</v>
      </c>
      <c r="V2004" s="1">
        <v>145.10400000000001</v>
      </c>
      <c r="W2004">
        <v>5</v>
      </c>
    </row>
    <row r="2005" spans="1:23" x14ac:dyDescent="0.25">
      <c r="A2005" s="1" t="s">
        <v>18029</v>
      </c>
      <c r="B2005" s="1" t="s">
        <v>18030</v>
      </c>
      <c r="C2005" s="1" t="s">
        <v>3724</v>
      </c>
      <c r="D2005" s="1" t="s">
        <v>3724</v>
      </c>
      <c r="E2005" s="1" t="s">
        <v>5927</v>
      </c>
      <c r="F2005" s="1" t="s">
        <v>18031</v>
      </c>
      <c r="G2005">
        <v>281325</v>
      </c>
      <c r="H2005">
        <v>58</v>
      </c>
      <c r="I2005" s="1" t="s">
        <v>11063</v>
      </c>
      <c r="J2005" s="11">
        <v>44729.706458333334</v>
      </c>
      <c r="K2005" s="1" t="s">
        <v>1053</v>
      </c>
      <c r="L2005" s="1">
        <v>0.85899999999999999</v>
      </c>
      <c r="M2005" s="1">
        <v>0.53</v>
      </c>
      <c r="N2005">
        <v>4</v>
      </c>
      <c r="O2005" s="1">
        <v>-14.865</v>
      </c>
      <c r="P2005">
        <v>0</v>
      </c>
      <c r="Q2005" s="1">
        <v>0.77700000000000002</v>
      </c>
      <c r="R2005" s="1">
        <v>0.14000000000000001</v>
      </c>
      <c r="S2005" s="1">
        <v>0.81799999999999995</v>
      </c>
      <c r="T2005" s="1">
        <v>0.995</v>
      </c>
      <c r="U2005" s="1">
        <v>0.34899999999999998</v>
      </c>
      <c r="V2005" s="1">
        <v>127.977</v>
      </c>
      <c r="W2005">
        <v>4</v>
      </c>
    </row>
    <row r="2006" spans="1:23" x14ac:dyDescent="0.25">
      <c r="A2006" s="1" t="s">
        <v>18032</v>
      </c>
      <c r="B2006" s="1" t="s">
        <v>18033</v>
      </c>
      <c r="C2006" s="1" t="s">
        <v>5928</v>
      </c>
      <c r="D2006" s="1" t="s">
        <v>5928</v>
      </c>
      <c r="E2006" s="1" t="s">
        <v>5929</v>
      </c>
      <c r="F2006" s="1" t="s">
        <v>14068</v>
      </c>
      <c r="G2006">
        <v>210288</v>
      </c>
      <c r="H2006">
        <v>71</v>
      </c>
      <c r="I2006" s="1" t="s">
        <v>11063</v>
      </c>
      <c r="J2006" s="11">
        <v>44729.706458333334</v>
      </c>
      <c r="K2006" s="1" t="s">
        <v>5930</v>
      </c>
      <c r="L2006" s="1">
        <v>0.68100000000000005</v>
      </c>
      <c r="M2006" s="1">
        <v>0.86399999999999999</v>
      </c>
      <c r="N2006">
        <v>8</v>
      </c>
      <c r="O2006" s="1">
        <v>-4.3</v>
      </c>
      <c r="P2006">
        <v>0</v>
      </c>
      <c r="Q2006" s="1">
        <v>0.11600000000000001</v>
      </c>
      <c r="R2006" s="1">
        <v>0.20799999999999999</v>
      </c>
      <c r="S2006" s="1">
        <v>0.39800000000000002</v>
      </c>
      <c r="T2006" s="1">
        <v>0.192</v>
      </c>
      <c r="U2006" s="1">
        <v>0.47899999999999998</v>
      </c>
      <c r="V2006" s="1">
        <v>90.007999999999996</v>
      </c>
      <c r="W2006">
        <v>4</v>
      </c>
    </row>
    <row r="2007" spans="1:23" x14ac:dyDescent="0.25">
      <c r="A2007" s="1" t="s">
        <v>18034</v>
      </c>
      <c r="B2007" s="1" t="s">
        <v>18035</v>
      </c>
      <c r="C2007" s="1" t="s">
        <v>5931</v>
      </c>
      <c r="D2007" s="1" t="s">
        <v>5934</v>
      </c>
      <c r="E2007" s="1" t="s">
        <v>5932</v>
      </c>
      <c r="F2007" s="1" t="s">
        <v>18036</v>
      </c>
      <c r="G2007">
        <v>205700</v>
      </c>
      <c r="H2007">
        <v>30</v>
      </c>
      <c r="I2007" s="1" t="s">
        <v>11063</v>
      </c>
      <c r="J2007" s="11">
        <v>44729.706458333334</v>
      </c>
      <c r="K2007" s="1" t="s">
        <v>5933</v>
      </c>
      <c r="L2007" s="1">
        <v>0.41399999999999998</v>
      </c>
      <c r="M2007" s="1">
        <v>0.97499999999999998</v>
      </c>
      <c r="N2007">
        <v>11</v>
      </c>
      <c r="O2007" s="1">
        <v>-1.9930000000000001</v>
      </c>
      <c r="P2007">
        <v>1</v>
      </c>
      <c r="Q2007" s="1">
        <v>0.16800000000000001</v>
      </c>
      <c r="R2007" s="1">
        <v>0.36099999999999999</v>
      </c>
      <c r="S2007" s="1">
        <v>0.67400000000000004</v>
      </c>
      <c r="T2007" s="1">
        <v>0.40600000000000003</v>
      </c>
      <c r="U2007" s="1">
        <v>0.65300000000000002</v>
      </c>
      <c r="V2007" s="1">
        <v>191.02500000000001</v>
      </c>
      <c r="W2007">
        <v>4</v>
      </c>
    </row>
    <row r="2008" spans="1:23" x14ac:dyDescent="0.25">
      <c r="A2008" s="1" t="s">
        <v>18037</v>
      </c>
      <c r="B2008" s="1" t="s">
        <v>18035</v>
      </c>
      <c r="C2008" s="1" t="s">
        <v>5934</v>
      </c>
      <c r="D2008" s="1" t="s">
        <v>5934</v>
      </c>
      <c r="E2008" s="1" t="s">
        <v>5932</v>
      </c>
      <c r="F2008" s="1" t="s">
        <v>18036</v>
      </c>
      <c r="G2008">
        <v>201300</v>
      </c>
      <c r="H2008">
        <v>41</v>
      </c>
      <c r="I2008" s="1" t="s">
        <v>11063</v>
      </c>
      <c r="J2008" s="11">
        <v>44729.706458333334</v>
      </c>
      <c r="K2008" s="1" t="s">
        <v>5933</v>
      </c>
      <c r="L2008" s="1">
        <v>0.27600000000000002</v>
      </c>
      <c r="M2008" s="1">
        <v>0.94599999999999995</v>
      </c>
      <c r="N2008">
        <v>1</v>
      </c>
      <c r="O2008" s="1">
        <v>-2.738</v>
      </c>
      <c r="P2008">
        <v>0</v>
      </c>
      <c r="Q2008" s="1">
        <v>0.13100000000000001</v>
      </c>
      <c r="R2008" s="1">
        <v>0.29899999999999999</v>
      </c>
      <c r="S2008" s="1">
        <v>0.26900000000000002</v>
      </c>
      <c r="T2008" s="1">
        <v>0.10199999999999999</v>
      </c>
      <c r="U2008" s="1">
        <v>0.47499999999999998</v>
      </c>
      <c r="V2008" s="1">
        <v>190.91900000000001</v>
      </c>
      <c r="W2008">
        <v>3</v>
      </c>
    </row>
    <row r="2009" spans="1:23" x14ac:dyDescent="0.25">
      <c r="A2009" s="1" t="s">
        <v>18038</v>
      </c>
      <c r="B2009" s="1" t="s">
        <v>18039</v>
      </c>
      <c r="C2009" s="1" t="s">
        <v>5935</v>
      </c>
      <c r="D2009" s="1" t="s">
        <v>5935</v>
      </c>
      <c r="E2009" s="1" t="s">
        <v>5936</v>
      </c>
      <c r="F2009" s="1" t="s">
        <v>13114</v>
      </c>
      <c r="G2009">
        <v>187560</v>
      </c>
      <c r="H2009">
        <v>67</v>
      </c>
      <c r="I2009" s="1" t="s">
        <v>11063</v>
      </c>
      <c r="J2009" s="11">
        <v>44729.706458333334</v>
      </c>
      <c r="K2009" s="1" t="s">
        <v>5937</v>
      </c>
      <c r="L2009" s="1">
        <v>0.81</v>
      </c>
      <c r="M2009" s="1">
        <v>0.7</v>
      </c>
      <c r="N2009">
        <v>4</v>
      </c>
      <c r="O2009" s="1">
        <v>-5.6639999999999997</v>
      </c>
      <c r="P2009">
        <v>0</v>
      </c>
      <c r="Q2009" s="1">
        <v>0.39900000000000002</v>
      </c>
      <c r="R2009" s="1">
        <v>0.26700000000000002</v>
      </c>
      <c r="S2009" s="1">
        <v>0.66900000000000004</v>
      </c>
      <c r="T2009" s="1">
        <v>0.13700000000000001</v>
      </c>
      <c r="U2009" s="1">
        <v>0.193</v>
      </c>
      <c r="V2009" s="1">
        <v>116.01900000000001</v>
      </c>
      <c r="W2009">
        <v>4</v>
      </c>
    </row>
    <row r="2010" spans="1:23" x14ac:dyDescent="0.25">
      <c r="A2010" s="1" t="s">
        <v>18040</v>
      </c>
      <c r="B2010" s="1" t="s">
        <v>18041</v>
      </c>
      <c r="C2010" s="1" t="s">
        <v>5938</v>
      </c>
      <c r="D2010" s="1" t="s">
        <v>18042</v>
      </c>
      <c r="E2010" s="1" t="s">
        <v>5939</v>
      </c>
      <c r="F2010" s="1" t="s">
        <v>17439</v>
      </c>
      <c r="G2010">
        <v>211428</v>
      </c>
      <c r="H2010">
        <v>33</v>
      </c>
      <c r="I2010" s="1" t="s">
        <v>11063</v>
      </c>
      <c r="J2010" s="11">
        <v>44729.706458333334</v>
      </c>
      <c r="K2010" s="1" t="s">
        <v>5940</v>
      </c>
      <c r="L2010" s="1">
        <v>0.55000000000000004</v>
      </c>
      <c r="M2010" s="1">
        <v>0.96499999999999997</v>
      </c>
      <c r="N2010">
        <v>4</v>
      </c>
      <c r="O2010" s="1">
        <v>-2.23</v>
      </c>
      <c r="P2010">
        <v>0</v>
      </c>
      <c r="Q2010" s="1">
        <v>0.129</v>
      </c>
      <c r="R2010" s="1">
        <v>0.121</v>
      </c>
      <c r="S2010" s="1">
        <v>0</v>
      </c>
      <c r="T2010" s="1">
        <v>0.376</v>
      </c>
      <c r="U2010" s="1">
        <v>0.42299999999999999</v>
      </c>
      <c r="V2010" s="1">
        <v>125.96599999999999</v>
      </c>
      <c r="W2010">
        <v>4</v>
      </c>
    </row>
    <row r="2011" spans="1:23" x14ac:dyDescent="0.25">
      <c r="A2011" s="1" t="s">
        <v>18043</v>
      </c>
      <c r="B2011" s="1" t="s">
        <v>12852</v>
      </c>
      <c r="C2011" s="1" t="s">
        <v>5941</v>
      </c>
      <c r="D2011" s="1" t="s">
        <v>5941</v>
      </c>
      <c r="E2011" s="1" t="s">
        <v>1312</v>
      </c>
      <c r="F2011" s="1" t="s">
        <v>14748</v>
      </c>
      <c r="G2011">
        <v>215050</v>
      </c>
      <c r="H2011">
        <v>59</v>
      </c>
      <c r="I2011" s="1" t="s">
        <v>11063</v>
      </c>
      <c r="J2011" s="11">
        <v>44729.706458333334</v>
      </c>
      <c r="K2011" s="1" t="s">
        <v>1053</v>
      </c>
      <c r="L2011" s="1">
        <v>0.71899999999999997</v>
      </c>
      <c r="M2011" s="1">
        <v>0.80900000000000005</v>
      </c>
      <c r="N2011">
        <v>6</v>
      </c>
      <c r="O2011" s="1">
        <v>-4.6790000000000003</v>
      </c>
      <c r="P2011">
        <v>1</v>
      </c>
      <c r="Q2011" s="1">
        <v>0.182</v>
      </c>
      <c r="R2011" s="1">
        <v>0.28599999999999998</v>
      </c>
      <c r="S2011" s="1">
        <v>0</v>
      </c>
      <c r="T2011" s="1">
        <v>0.81</v>
      </c>
      <c r="U2011" s="1">
        <v>0.23799999999999999</v>
      </c>
      <c r="V2011" s="1">
        <v>125.072</v>
      </c>
      <c r="W2011">
        <v>4</v>
      </c>
    </row>
    <row r="2012" spans="1:23" x14ac:dyDescent="0.25">
      <c r="A2012" s="1" t="s">
        <v>18044</v>
      </c>
      <c r="B2012" s="1" t="s">
        <v>18045</v>
      </c>
      <c r="C2012" s="1" t="s">
        <v>2188</v>
      </c>
      <c r="D2012" s="1" t="s">
        <v>2188</v>
      </c>
      <c r="E2012" s="1" t="s">
        <v>5942</v>
      </c>
      <c r="F2012" s="1" t="s">
        <v>18046</v>
      </c>
      <c r="G2012">
        <v>184812</v>
      </c>
      <c r="H2012">
        <v>49</v>
      </c>
      <c r="I2012" s="1" t="s">
        <v>11063</v>
      </c>
      <c r="J2012" s="11">
        <v>44729.706458333334</v>
      </c>
      <c r="K2012" s="1" t="s">
        <v>244</v>
      </c>
      <c r="L2012" s="1">
        <v>0.74099999999999999</v>
      </c>
      <c r="M2012" s="1">
        <v>0.80800000000000005</v>
      </c>
      <c r="N2012">
        <v>6</v>
      </c>
      <c r="O2012" s="1">
        <v>-4.4340000000000002</v>
      </c>
      <c r="P2012">
        <v>0</v>
      </c>
      <c r="Q2012" s="1">
        <v>0.439</v>
      </c>
      <c r="R2012" s="1">
        <v>0.91100000000000003</v>
      </c>
      <c r="S2012" s="1">
        <v>0.14599999999999999</v>
      </c>
      <c r="T2012" s="1">
        <v>0.60899999999999999</v>
      </c>
      <c r="U2012" s="1">
        <v>0.41499999999999998</v>
      </c>
      <c r="V2012" s="1">
        <v>99.983999999999995</v>
      </c>
      <c r="W2012">
        <v>4</v>
      </c>
    </row>
    <row r="2013" spans="1:23" x14ac:dyDescent="0.25">
      <c r="A2013" s="1" t="s">
        <v>18047</v>
      </c>
      <c r="B2013" s="1" t="s">
        <v>18048</v>
      </c>
      <c r="C2013" s="1" t="s">
        <v>5943</v>
      </c>
      <c r="D2013" s="1" t="s">
        <v>5943</v>
      </c>
      <c r="E2013" s="1" t="s">
        <v>5944</v>
      </c>
      <c r="F2013" s="1" t="s">
        <v>13564</v>
      </c>
      <c r="G2013">
        <v>232627</v>
      </c>
      <c r="H2013">
        <v>58</v>
      </c>
      <c r="I2013" s="1" t="s">
        <v>11063</v>
      </c>
      <c r="J2013" s="11">
        <v>44729.706458333334</v>
      </c>
      <c r="K2013" s="1" t="s">
        <v>5945</v>
      </c>
      <c r="L2013" s="1">
        <v>0.61899999999999999</v>
      </c>
      <c r="M2013" s="1">
        <v>0.85799999999999998</v>
      </c>
      <c r="N2013">
        <v>10</v>
      </c>
      <c r="O2013" s="1">
        <v>-5.28</v>
      </c>
      <c r="P2013">
        <v>1</v>
      </c>
      <c r="Q2013" s="1">
        <v>0.92900000000000005</v>
      </c>
      <c r="R2013" s="1">
        <v>0.79100000000000004</v>
      </c>
      <c r="S2013" s="1">
        <v>0</v>
      </c>
      <c r="T2013" s="1">
        <v>0.17299999999999999</v>
      </c>
      <c r="U2013" s="1">
        <v>0.23</v>
      </c>
      <c r="V2013" s="1">
        <v>106.017</v>
      </c>
      <c r="W2013">
        <v>4</v>
      </c>
    </row>
    <row r="2014" spans="1:23" x14ac:dyDescent="0.25">
      <c r="A2014" s="1" t="s">
        <v>18049</v>
      </c>
      <c r="B2014" s="1" t="s">
        <v>14491</v>
      </c>
      <c r="C2014" s="1" t="s">
        <v>5946</v>
      </c>
      <c r="D2014" s="1" t="s">
        <v>5946</v>
      </c>
      <c r="E2014" s="1" t="s">
        <v>2825</v>
      </c>
      <c r="F2014" s="1" t="s">
        <v>13580</v>
      </c>
      <c r="G2014">
        <v>211373</v>
      </c>
      <c r="H2014">
        <v>46</v>
      </c>
      <c r="I2014" s="1" t="s">
        <v>11063</v>
      </c>
      <c r="J2014" s="11">
        <v>44729.706458333334</v>
      </c>
      <c r="K2014" s="1" t="s">
        <v>996</v>
      </c>
      <c r="L2014" s="1">
        <v>0.69099999999999995</v>
      </c>
      <c r="M2014" s="1">
        <v>0.495</v>
      </c>
      <c r="N2014">
        <v>10</v>
      </c>
      <c r="O2014" s="1">
        <v>-8.8379999999999992</v>
      </c>
      <c r="P2014">
        <v>1</v>
      </c>
      <c r="Q2014" s="1">
        <v>0.59499999999999997</v>
      </c>
      <c r="R2014" s="1">
        <v>0.23499999999999999</v>
      </c>
      <c r="S2014" s="1">
        <v>0</v>
      </c>
      <c r="T2014" s="1">
        <v>0.63</v>
      </c>
      <c r="U2014" s="1">
        <v>0.78200000000000003</v>
      </c>
      <c r="V2014" s="1">
        <v>133.52600000000001</v>
      </c>
      <c r="W2014">
        <v>4</v>
      </c>
    </row>
    <row r="2015" spans="1:23" x14ac:dyDescent="0.25">
      <c r="A2015" s="1" t="s">
        <v>18050</v>
      </c>
      <c r="B2015" s="1" t="s">
        <v>14491</v>
      </c>
      <c r="C2015" s="1" t="s">
        <v>5947</v>
      </c>
      <c r="D2015" s="1" t="s">
        <v>5947</v>
      </c>
      <c r="E2015" s="1" t="s">
        <v>2825</v>
      </c>
      <c r="F2015" s="1" t="s">
        <v>13931</v>
      </c>
      <c r="G2015">
        <v>258352</v>
      </c>
      <c r="H2015">
        <v>67</v>
      </c>
      <c r="I2015" s="1" t="s">
        <v>11063</v>
      </c>
      <c r="J2015" s="11">
        <v>44729.706458333334</v>
      </c>
      <c r="K2015" s="1" t="s">
        <v>996</v>
      </c>
      <c r="L2015" s="1">
        <v>0.69</v>
      </c>
      <c r="M2015" s="1">
        <v>0.45300000000000001</v>
      </c>
      <c r="N2015">
        <v>9</v>
      </c>
      <c r="O2015" s="1">
        <v>-9.3119999999999994</v>
      </c>
      <c r="P2015">
        <v>1</v>
      </c>
      <c r="Q2015" s="1">
        <v>0.439</v>
      </c>
      <c r="R2015" s="1">
        <v>0.46100000000000002</v>
      </c>
      <c r="S2015" s="1">
        <v>0.69</v>
      </c>
      <c r="T2015" s="1">
        <v>0.17199999999999999</v>
      </c>
      <c r="U2015" s="1">
        <v>0.34799999999999998</v>
      </c>
      <c r="V2015" s="1">
        <v>84.992000000000004</v>
      </c>
      <c r="W2015">
        <v>4</v>
      </c>
    </row>
    <row r="2016" spans="1:23" x14ac:dyDescent="0.25">
      <c r="A2016" s="1" t="s">
        <v>18051</v>
      </c>
      <c r="B2016" s="1" t="s">
        <v>14491</v>
      </c>
      <c r="C2016" s="1" t="s">
        <v>5948</v>
      </c>
      <c r="D2016" s="1" t="s">
        <v>5948</v>
      </c>
      <c r="E2016" s="1" t="s">
        <v>2825</v>
      </c>
      <c r="F2016" s="1" t="s">
        <v>18052</v>
      </c>
      <c r="G2016">
        <v>186514</v>
      </c>
      <c r="H2016">
        <v>0</v>
      </c>
      <c r="I2016" s="1" t="s">
        <v>11063</v>
      </c>
      <c r="J2016" s="11">
        <v>44729.706458333334</v>
      </c>
      <c r="K2016" s="1" t="s">
        <v>996</v>
      </c>
      <c r="L2016" s="1">
        <v>0.85299999999999998</v>
      </c>
      <c r="M2016" s="1">
        <v>0.64300000000000002</v>
      </c>
      <c r="N2016">
        <v>5</v>
      </c>
      <c r="O2016" s="1">
        <v>-6.2</v>
      </c>
      <c r="P2016">
        <v>0</v>
      </c>
      <c r="Q2016" s="1">
        <v>0.66300000000000003</v>
      </c>
      <c r="R2016" s="1">
        <v>0.47699999999999998</v>
      </c>
      <c r="S2016" s="1">
        <v>0</v>
      </c>
      <c r="T2016" s="1">
        <v>0.104</v>
      </c>
      <c r="U2016" s="1">
        <v>0.91400000000000003</v>
      </c>
      <c r="V2016" s="1">
        <v>129.97900000000001</v>
      </c>
      <c r="W2016">
        <v>4</v>
      </c>
    </row>
    <row r="2017" spans="1:23" x14ac:dyDescent="0.25">
      <c r="A2017" s="1" t="s">
        <v>18053</v>
      </c>
      <c r="B2017" s="1" t="s">
        <v>14491</v>
      </c>
      <c r="C2017" s="1" t="s">
        <v>5949</v>
      </c>
      <c r="D2017" s="1" t="s">
        <v>18054</v>
      </c>
      <c r="E2017" s="1" t="s">
        <v>2825</v>
      </c>
      <c r="F2017" s="1" t="s">
        <v>18055</v>
      </c>
      <c r="G2017">
        <v>294607</v>
      </c>
      <c r="H2017">
        <v>65</v>
      </c>
      <c r="I2017" s="1" t="s">
        <v>11063</v>
      </c>
      <c r="J2017" s="11">
        <v>44729.706458333334</v>
      </c>
      <c r="K2017" s="1" t="s">
        <v>996</v>
      </c>
      <c r="L2017" s="1">
        <v>0.52400000000000002</v>
      </c>
      <c r="M2017" s="1">
        <v>0.56299999999999994</v>
      </c>
      <c r="N2017">
        <v>3</v>
      </c>
      <c r="O2017" s="1">
        <v>-13.43</v>
      </c>
      <c r="P2017">
        <v>0</v>
      </c>
      <c r="Q2017" s="1">
        <v>0.77800000000000002</v>
      </c>
      <c r="R2017" s="1">
        <v>0.46600000000000003</v>
      </c>
      <c r="S2017" s="1">
        <v>0.67900000000000005</v>
      </c>
      <c r="T2017" s="1">
        <v>0.21</v>
      </c>
      <c r="U2017" s="1">
        <v>0.19</v>
      </c>
      <c r="V2017" s="1">
        <v>178.33199999999999</v>
      </c>
      <c r="W2017">
        <v>4</v>
      </c>
    </row>
    <row r="2018" spans="1:23" x14ac:dyDescent="0.25">
      <c r="A2018" s="1" t="s">
        <v>18056</v>
      </c>
      <c r="B2018" s="1" t="s">
        <v>11315</v>
      </c>
      <c r="C2018" s="1" t="s">
        <v>606</v>
      </c>
      <c r="D2018" s="1" t="s">
        <v>11481</v>
      </c>
      <c r="E2018" s="1" t="s">
        <v>112</v>
      </c>
      <c r="F2018" s="1" t="s">
        <v>13569</v>
      </c>
      <c r="G2018">
        <v>171040</v>
      </c>
      <c r="H2018">
        <v>72</v>
      </c>
      <c r="I2018" s="1" t="s">
        <v>11063</v>
      </c>
      <c r="J2018" s="11">
        <v>44729.706458333334</v>
      </c>
      <c r="K2018" s="1" t="s">
        <v>113</v>
      </c>
      <c r="L2018" s="1">
        <v>0.36499999999999999</v>
      </c>
      <c r="M2018" s="1">
        <v>0.85099999999999998</v>
      </c>
      <c r="N2018">
        <v>4</v>
      </c>
      <c r="O2018" s="1">
        <v>-6.2380000000000004</v>
      </c>
      <c r="P2018">
        <v>0</v>
      </c>
      <c r="Q2018" s="1">
        <v>0.64500000000000002</v>
      </c>
      <c r="R2018" s="1">
        <v>0.96399999999999997</v>
      </c>
      <c r="S2018" s="1">
        <v>0.3</v>
      </c>
      <c r="T2018" s="1">
        <v>0.23699999999999999</v>
      </c>
      <c r="U2018" s="1">
        <v>0.309</v>
      </c>
      <c r="V2018" s="1">
        <v>78.085999999999999</v>
      </c>
      <c r="W2018">
        <v>4</v>
      </c>
    </row>
    <row r="2019" spans="1:23" x14ac:dyDescent="0.25">
      <c r="A2019" s="1" t="s">
        <v>18057</v>
      </c>
      <c r="B2019" s="1" t="s">
        <v>18058</v>
      </c>
      <c r="C2019" s="1" t="s">
        <v>5950</v>
      </c>
      <c r="D2019" s="1" t="s">
        <v>18059</v>
      </c>
      <c r="E2019" s="1" t="s">
        <v>1463</v>
      </c>
      <c r="F2019" s="1" t="s">
        <v>18060</v>
      </c>
      <c r="G2019">
        <v>258906</v>
      </c>
      <c r="H2019">
        <v>1</v>
      </c>
      <c r="I2019" s="1" t="s">
        <v>11063</v>
      </c>
      <c r="J2019" s="11">
        <v>44729.706458333334</v>
      </c>
      <c r="K2019" s="1" t="s">
        <v>5951</v>
      </c>
      <c r="L2019" s="1">
        <v>0.41199999999999998</v>
      </c>
      <c r="M2019" s="1">
        <v>0.84399999999999997</v>
      </c>
      <c r="N2019">
        <v>2</v>
      </c>
      <c r="O2019" s="1">
        <v>-5.6130000000000004</v>
      </c>
      <c r="P2019">
        <v>1</v>
      </c>
      <c r="Q2019" s="1">
        <v>0.37</v>
      </c>
      <c r="R2019" s="1">
        <v>0.214</v>
      </c>
      <c r="S2019" s="1">
        <v>0</v>
      </c>
      <c r="T2019" s="1">
        <v>0.13400000000000001</v>
      </c>
      <c r="U2019" s="1">
        <v>0.45900000000000002</v>
      </c>
      <c r="V2019" s="1">
        <v>174.452</v>
      </c>
      <c r="W2019">
        <v>4</v>
      </c>
    </row>
    <row r="2020" spans="1:23" x14ac:dyDescent="0.25">
      <c r="A2020" s="1" t="s">
        <v>18061</v>
      </c>
      <c r="B2020" s="1" t="s">
        <v>18062</v>
      </c>
      <c r="C2020" s="1" t="s">
        <v>5952</v>
      </c>
      <c r="D2020" s="1" t="s">
        <v>5952</v>
      </c>
      <c r="E2020" s="1" t="s">
        <v>5953</v>
      </c>
      <c r="F2020" s="1" t="s">
        <v>18063</v>
      </c>
      <c r="G2020">
        <v>214285</v>
      </c>
      <c r="H2020">
        <v>22</v>
      </c>
      <c r="I2020" s="1" t="s">
        <v>11063</v>
      </c>
      <c r="J2020" s="11">
        <v>44729.706458333334</v>
      </c>
      <c r="K2020" s="1" t="s">
        <v>5954</v>
      </c>
      <c r="L2020" s="1">
        <v>0.64300000000000002</v>
      </c>
      <c r="M2020" s="1">
        <v>0.90700000000000003</v>
      </c>
      <c r="N2020">
        <v>0</v>
      </c>
      <c r="O2020" s="1">
        <v>-3.6480000000000001</v>
      </c>
      <c r="P2020">
        <v>0</v>
      </c>
      <c r="Q2020" s="1">
        <v>0.753</v>
      </c>
      <c r="R2020" s="1">
        <v>0.32200000000000001</v>
      </c>
      <c r="S2020" s="1">
        <v>0.70499999999999996</v>
      </c>
      <c r="T2020" s="1">
        <v>0.109</v>
      </c>
      <c r="U2020" s="1">
        <v>0.755</v>
      </c>
      <c r="V2020" s="1">
        <v>139.995</v>
      </c>
      <c r="W2020">
        <v>4</v>
      </c>
    </row>
    <row r="2021" spans="1:23" x14ac:dyDescent="0.25">
      <c r="A2021" s="1" t="s">
        <v>18064</v>
      </c>
      <c r="B2021" s="1" t="s">
        <v>18065</v>
      </c>
      <c r="C2021" s="1" t="s">
        <v>5955</v>
      </c>
      <c r="D2021" s="1" t="s">
        <v>17796</v>
      </c>
      <c r="E2021" s="1" t="s">
        <v>5956</v>
      </c>
      <c r="F2021" s="1" t="s">
        <v>15987</v>
      </c>
      <c r="G2021">
        <v>210660</v>
      </c>
      <c r="H2021">
        <v>44</v>
      </c>
      <c r="I2021" s="1" t="s">
        <v>11063</v>
      </c>
      <c r="J2021" s="11">
        <v>44729.706458333334</v>
      </c>
      <c r="K2021" s="1" t="s">
        <v>5957</v>
      </c>
      <c r="L2021" s="1">
        <v>0.52800000000000002</v>
      </c>
      <c r="M2021" s="1">
        <v>0.61</v>
      </c>
      <c r="N2021">
        <v>5</v>
      </c>
      <c r="O2021" s="1">
        <v>-6.5640000000000001</v>
      </c>
      <c r="P2021">
        <v>1</v>
      </c>
      <c r="Q2021" s="1">
        <v>0.28699999999999998</v>
      </c>
      <c r="R2021" s="1">
        <v>0.374</v>
      </c>
      <c r="S2021" s="1">
        <v>0.73199999999999998</v>
      </c>
      <c r="T2021" s="1">
        <v>0.21099999999999999</v>
      </c>
      <c r="U2021" s="1">
        <v>0.30399999999999999</v>
      </c>
      <c r="V2021" s="1">
        <v>130.108</v>
      </c>
      <c r="W2021">
        <v>4</v>
      </c>
    </row>
    <row r="2022" spans="1:23" x14ac:dyDescent="0.25">
      <c r="A2022" s="1" t="s">
        <v>11104</v>
      </c>
      <c r="B2022" s="1" t="s">
        <v>11105</v>
      </c>
      <c r="C2022" s="1" t="s">
        <v>5958</v>
      </c>
      <c r="D2022" s="1" t="s">
        <v>11071</v>
      </c>
      <c r="E2022" s="1" t="s">
        <v>340</v>
      </c>
      <c r="F2022" s="1" t="s">
        <v>11621</v>
      </c>
      <c r="G2022">
        <v>337560</v>
      </c>
      <c r="H2022">
        <v>76</v>
      </c>
      <c r="I2022" s="1" t="s">
        <v>11063</v>
      </c>
      <c r="J2022" s="11">
        <v>44729.706458333334</v>
      </c>
      <c r="K2022" s="1" t="s">
        <v>341</v>
      </c>
      <c r="L2022" s="1">
        <v>0.77500000000000002</v>
      </c>
      <c r="M2022" s="1">
        <v>0.58499999999999996</v>
      </c>
      <c r="N2022">
        <v>10</v>
      </c>
      <c r="O2022" s="1">
        <v>-9.516</v>
      </c>
      <c r="P2022">
        <v>0</v>
      </c>
      <c r="Q2022" s="1">
        <v>0.27100000000000002</v>
      </c>
      <c r="R2022" s="1">
        <v>0.42199999999999999</v>
      </c>
      <c r="S2022" s="1">
        <v>0.61899999999999999</v>
      </c>
      <c r="T2022" s="1">
        <v>0.77</v>
      </c>
      <c r="U2022" s="1">
        <v>0.51800000000000002</v>
      </c>
      <c r="V2022" s="1">
        <v>109.94199999999999</v>
      </c>
      <c r="W2022">
        <v>4</v>
      </c>
    </row>
    <row r="2023" spans="1:23" x14ac:dyDescent="0.25">
      <c r="A2023" s="1" t="s">
        <v>18066</v>
      </c>
      <c r="B2023" s="1" t="s">
        <v>18067</v>
      </c>
      <c r="C2023" s="1" t="s">
        <v>5959</v>
      </c>
      <c r="D2023" s="1" t="s">
        <v>18068</v>
      </c>
      <c r="E2023" s="1" t="s">
        <v>5960</v>
      </c>
      <c r="F2023" s="1" t="s">
        <v>18069</v>
      </c>
      <c r="G2023">
        <v>227920</v>
      </c>
      <c r="H2023">
        <v>0</v>
      </c>
      <c r="I2023" s="1" t="s">
        <v>11063</v>
      </c>
      <c r="J2023" s="11">
        <v>44729.706458333334</v>
      </c>
      <c r="K2023" s="1" t="s">
        <v>5961</v>
      </c>
      <c r="L2023" s="1">
        <v>0.40100000000000002</v>
      </c>
      <c r="M2023" s="1">
        <v>0.224</v>
      </c>
      <c r="N2023">
        <v>4</v>
      </c>
      <c r="O2023" s="1">
        <v>-16.620999999999999</v>
      </c>
      <c r="P2023">
        <v>1</v>
      </c>
      <c r="Q2023" s="1">
        <v>0.30099999999999999</v>
      </c>
      <c r="R2023" s="1">
        <v>0.74299999999999999</v>
      </c>
      <c r="S2023" s="1">
        <v>0.80400000000000005</v>
      </c>
      <c r="T2023" s="1">
        <v>0.108</v>
      </c>
      <c r="U2023" s="1">
        <v>0.127</v>
      </c>
      <c r="V2023" s="1">
        <v>170.06100000000001</v>
      </c>
      <c r="W2023">
        <v>4</v>
      </c>
    </row>
    <row r="2024" spans="1:23" x14ac:dyDescent="0.25">
      <c r="A2024" s="1" t="s">
        <v>18070</v>
      </c>
      <c r="B2024" s="1" t="s">
        <v>14079</v>
      </c>
      <c r="C2024" s="1" t="s">
        <v>5962</v>
      </c>
      <c r="D2024" s="1" t="s">
        <v>5962</v>
      </c>
      <c r="E2024" s="1" t="s">
        <v>2468</v>
      </c>
      <c r="F2024" s="1" t="s">
        <v>14347</v>
      </c>
      <c r="G2024">
        <v>245425</v>
      </c>
      <c r="H2024">
        <v>83</v>
      </c>
      <c r="I2024" s="1" t="s">
        <v>11063</v>
      </c>
      <c r="J2024" s="11">
        <v>44729.706458333334</v>
      </c>
      <c r="K2024" s="1" t="s">
        <v>2469</v>
      </c>
      <c r="L2024" s="1">
        <v>0.70399999999999996</v>
      </c>
      <c r="M2024" s="1">
        <v>0.22500000000000001</v>
      </c>
      <c r="N2024">
        <v>6</v>
      </c>
      <c r="O2024" s="1">
        <v>-14.454000000000001</v>
      </c>
      <c r="P2024">
        <v>0</v>
      </c>
      <c r="Q2024" s="1">
        <v>0.99399999999999999</v>
      </c>
      <c r="R2024" s="1">
        <v>0.90200000000000002</v>
      </c>
      <c r="S2024" s="1">
        <v>0.65700000000000003</v>
      </c>
      <c r="T2024" s="1">
        <v>0.106</v>
      </c>
      <c r="U2024" s="1">
        <v>0.24299999999999999</v>
      </c>
      <c r="V2024" s="1">
        <v>120.006</v>
      </c>
      <c r="W2024">
        <v>4</v>
      </c>
    </row>
    <row r="2025" spans="1:23" x14ac:dyDescent="0.25">
      <c r="A2025" s="1" t="s">
        <v>11118</v>
      </c>
      <c r="B2025" s="1" t="s">
        <v>11119</v>
      </c>
      <c r="C2025" s="1" t="s">
        <v>342</v>
      </c>
      <c r="D2025" s="1" t="s">
        <v>342</v>
      </c>
      <c r="E2025" s="1" t="s">
        <v>343</v>
      </c>
      <c r="F2025" s="1" t="s">
        <v>11622</v>
      </c>
      <c r="G2025">
        <v>291526</v>
      </c>
      <c r="H2025">
        <v>5</v>
      </c>
      <c r="I2025" s="1" t="s">
        <v>11063</v>
      </c>
      <c r="J2025" s="11">
        <v>44729.706458333334</v>
      </c>
      <c r="K2025" s="1" t="s">
        <v>50</v>
      </c>
      <c r="L2025" s="1">
        <v>0.45200000000000001</v>
      </c>
      <c r="M2025" s="1">
        <v>0.55000000000000004</v>
      </c>
      <c r="N2025">
        <v>1</v>
      </c>
      <c r="O2025" s="1">
        <v>-6.2640000000000002</v>
      </c>
      <c r="P2025">
        <v>1</v>
      </c>
      <c r="Q2025" s="1">
        <v>0.33200000000000002</v>
      </c>
      <c r="R2025" s="1">
        <v>0.32600000000000001</v>
      </c>
      <c r="S2025" s="1">
        <v>0.35099999999999998</v>
      </c>
      <c r="T2025" s="1">
        <v>0.11</v>
      </c>
      <c r="U2025" s="1">
        <v>0.83</v>
      </c>
      <c r="V2025" s="1">
        <v>94.004000000000005</v>
      </c>
      <c r="W2025">
        <v>4</v>
      </c>
    </row>
    <row r="2026" spans="1:23" x14ac:dyDescent="0.25">
      <c r="A2026" s="1" t="s">
        <v>18071</v>
      </c>
      <c r="B2026" s="1" t="s">
        <v>18072</v>
      </c>
      <c r="C2026" s="1" t="s">
        <v>5963</v>
      </c>
      <c r="D2026" s="1" t="s">
        <v>18073</v>
      </c>
      <c r="E2026" s="1" t="s">
        <v>5964</v>
      </c>
      <c r="F2026" s="1" t="s">
        <v>13253</v>
      </c>
      <c r="G2026">
        <v>268514</v>
      </c>
      <c r="H2026">
        <v>0</v>
      </c>
      <c r="I2026" s="1" t="s">
        <v>11063</v>
      </c>
      <c r="J2026" s="11">
        <v>44729.706458333334</v>
      </c>
      <c r="K2026" s="1" t="s">
        <v>239</v>
      </c>
      <c r="L2026" s="1">
        <v>0.312</v>
      </c>
      <c r="M2026" s="1">
        <v>0.64600000000000002</v>
      </c>
      <c r="N2026">
        <v>8</v>
      </c>
      <c r="O2026" s="1">
        <v>-7.9870000000000001</v>
      </c>
      <c r="P2026">
        <v>1</v>
      </c>
      <c r="Q2026" s="1">
        <v>0.63800000000000001</v>
      </c>
      <c r="R2026" s="1">
        <v>0.14699999999999999</v>
      </c>
      <c r="S2026" s="1">
        <v>0.59499999999999997</v>
      </c>
      <c r="T2026" s="1">
        <v>0.36</v>
      </c>
      <c r="U2026" s="1">
        <v>0.191</v>
      </c>
      <c r="V2026" s="1">
        <v>201.964</v>
      </c>
      <c r="W2026">
        <v>4</v>
      </c>
    </row>
    <row r="2027" spans="1:23" x14ac:dyDescent="0.25">
      <c r="A2027" s="1" t="s">
        <v>11623</v>
      </c>
      <c r="B2027" s="1" t="s">
        <v>11624</v>
      </c>
      <c r="C2027" s="1" t="s">
        <v>344</v>
      </c>
      <c r="D2027" s="1" t="s">
        <v>11625</v>
      </c>
      <c r="E2027" s="1" t="s">
        <v>345</v>
      </c>
      <c r="F2027" s="1" t="s">
        <v>11587</v>
      </c>
      <c r="G2027">
        <v>210626</v>
      </c>
      <c r="H2027">
        <v>77</v>
      </c>
      <c r="I2027" s="1" t="s">
        <v>11063</v>
      </c>
      <c r="J2027" s="11">
        <v>44729.706458333334</v>
      </c>
      <c r="K2027" s="1" t="s">
        <v>346</v>
      </c>
      <c r="L2027" s="1">
        <v>0.747</v>
      </c>
      <c r="M2027" s="1">
        <v>0.71599999999999997</v>
      </c>
      <c r="N2027">
        <v>11</v>
      </c>
      <c r="O2027" s="1">
        <v>-2.4569999999999999</v>
      </c>
      <c r="P2027">
        <v>0</v>
      </c>
      <c r="Q2027" s="1">
        <v>0.75</v>
      </c>
      <c r="R2027" s="1">
        <v>0.13500000000000001</v>
      </c>
      <c r="S2027" s="1">
        <v>0</v>
      </c>
      <c r="T2027" s="1">
        <v>0.251</v>
      </c>
      <c r="U2027" s="1">
        <v>0.751</v>
      </c>
      <c r="V2027" s="1">
        <v>125.008</v>
      </c>
      <c r="W2027">
        <v>4</v>
      </c>
    </row>
    <row r="2028" spans="1:23" x14ac:dyDescent="0.25">
      <c r="A2028" s="1" t="s">
        <v>18074</v>
      </c>
      <c r="B2028" s="1" t="s">
        <v>18075</v>
      </c>
      <c r="C2028" s="1" t="s">
        <v>5965</v>
      </c>
      <c r="D2028" s="1" t="s">
        <v>5965</v>
      </c>
      <c r="E2028" s="1" t="s">
        <v>5966</v>
      </c>
      <c r="F2028" s="1" t="s">
        <v>18076</v>
      </c>
      <c r="G2028">
        <v>201500</v>
      </c>
      <c r="H2028">
        <v>48</v>
      </c>
      <c r="I2028" s="1" t="s">
        <v>11063</v>
      </c>
      <c r="J2028" s="11">
        <v>44729.706458333334</v>
      </c>
      <c r="K2028" s="1" t="s">
        <v>2344</v>
      </c>
      <c r="L2028" s="1">
        <v>0.82</v>
      </c>
      <c r="M2028" s="1">
        <v>0.8</v>
      </c>
      <c r="N2028">
        <v>5</v>
      </c>
      <c r="O2028" s="1">
        <v>-5.2809999999999997</v>
      </c>
      <c r="P2028">
        <v>0</v>
      </c>
      <c r="Q2028" s="1">
        <v>0.13800000000000001</v>
      </c>
      <c r="R2028" s="1">
        <v>0.85799999999999998</v>
      </c>
      <c r="S2028" s="1">
        <v>0.34899999999999998</v>
      </c>
      <c r="T2028" s="1">
        <v>0.34300000000000003</v>
      </c>
      <c r="U2028" s="1">
        <v>0.51900000000000002</v>
      </c>
      <c r="V2028" s="1">
        <v>120.083</v>
      </c>
      <c r="W2028">
        <v>4</v>
      </c>
    </row>
    <row r="2029" spans="1:23" x14ac:dyDescent="0.25">
      <c r="A2029" s="1" t="s">
        <v>18077</v>
      </c>
      <c r="B2029" s="1" t="s">
        <v>18078</v>
      </c>
      <c r="C2029" s="1" t="s">
        <v>5967</v>
      </c>
      <c r="D2029" s="1" t="s">
        <v>5967</v>
      </c>
      <c r="E2029" s="1" t="s">
        <v>5968</v>
      </c>
      <c r="F2029" s="1" t="s">
        <v>11538</v>
      </c>
      <c r="G2029">
        <v>204924</v>
      </c>
      <c r="H2029">
        <v>34</v>
      </c>
      <c r="I2029" s="1" t="s">
        <v>11063</v>
      </c>
      <c r="J2029" s="11">
        <v>44729.706458333334</v>
      </c>
      <c r="K2029" s="1" t="s">
        <v>1141</v>
      </c>
      <c r="L2029" s="1">
        <v>0.34499999999999997</v>
      </c>
      <c r="M2029" s="1">
        <v>0.85199999999999998</v>
      </c>
      <c r="N2029">
        <v>2</v>
      </c>
      <c r="O2029" s="1">
        <v>-4.0339999999999998</v>
      </c>
      <c r="P2029">
        <v>1</v>
      </c>
      <c r="Q2029" s="1">
        <v>0.123</v>
      </c>
      <c r="R2029" s="1">
        <v>0.33900000000000002</v>
      </c>
      <c r="S2029" s="1">
        <v>0.30299999999999999</v>
      </c>
      <c r="T2029" s="1">
        <v>0.13300000000000001</v>
      </c>
      <c r="U2029" s="1">
        <v>0.32600000000000001</v>
      </c>
      <c r="V2029" s="1">
        <v>149.82300000000001</v>
      </c>
      <c r="W2029">
        <v>4</v>
      </c>
    </row>
    <row r="2030" spans="1:23" x14ac:dyDescent="0.25">
      <c r="A2030" s="1" t="s">
        <v>18079</v>
      </c>
      <c r="B2030" s="1" t="s">
        <v>18080</v>
      </c>
      <c r="C2030" s="1" t="s">
        <v>2154</v>
      </c>
      <c r="D2030" s="1" t="s">
        <v>2154</v>
      </c>
      <c r="E2030" s="1" t="s">
        <v>5969</v>
      </c>
      <c r="F2030" s="1" t="s">
        <v>18081</v>
      </c>
      <c r="G2030">
        <v>335617</v>
      </c>
      <c r="H2030">
        <v>40</v>
      </c>
      <c r="I2030" s="1" t="s">
        <v>11063</v>
      </c>
      <c r="J2030" s="11">
        <v>44729.706458333334</v>
      </c>
      <c r="K2030" s="1" t="s">
        <v>5970</v>
      </c>
      <c r="L2030" s="1">
        <v>0.371</v>
      </c>
      <c r="M2030" s="1">
        <v>0.76400000000000001</v>
      </c>
      <c r="N2030">
        <v>7</v>
      </c>
      <c r="O2030" s="1">
        <v>-8.0440000000000005</v>
      </c>
      <c r="P2030">
        <v>0</v>
      </c>
      <c r="Q2030" s="1">
        <v>0.36299999999999999</v>
      </c>
      <c r="R2030" s="1">
        <v>0.17699999999999999</v>
      </c>
      <c r="S2030" s="1">
        <v>0.91500000000000004</v>
      </c>
      <c r="T2030" s="1">
        <v>0.439</v>
      </c>
      <c r="U2030" s="1">
        <v>0.38500000000000001</v>
      </c>
      <c r="V2030" s="1">
        <v>95.965000000000003</v>
      </c>
      <c r="W2030">
        <v>4</v>
      </c>
    </row>
    <row r="2031" spans="1:23" x14ac:dyDescent="0.25">
      <c r="A2031" s="1" t="s">
        <v>18082</v>
      </c>
      <c r="B2031" s="1" t="s">
        <v>18080</v>
      </c>
      <c r="C2031" s="1" t="s">
        <v>5971</v>
      </c>
      <c r="D2031" s="1" t="s">
        <v>18083</v>
      </c>
      <c r="E2031" s="1" t="s">
        <v>5969</v>
      </c>
      <c r="F2031" s="1" t="s">
        <v>14630</v>
      </c>
      <c r="G2031">
        <v>263520</v>
      </c>
      <c r="H2031">
        <v>53</v>
      </c>
      <c r="I2031" s="1" t="s">
        <v>11063</v>
      </c>
      <c r="J2031" s="11">
        <v>44729.706458333334</v>
      </c>
      <c r="K2031" s="1" t="s">
        <v>5970</v>
      </c>
      <c r="L2031" s="1">
        <v>0.56499999999999995</v>
      </c>
      <c r="M2031" s="1">
        <v>0.80600000000000005</v>
      </c>
      <c r="N2031">
        <v>8</v>
      </c>
      <c r="O2031" s="1">
        <v>-6.5209999999999999</v>
      </c>
      <c r="P2031">
        <v>1</v>
      </c>
      <c r="Q2031" s="1">
        <v>0.109</v>
      </c>
      <c r="R2031" s="1">
        <v>0.442</v>
      </c>
      <c r="S2031" s="1">
        <v>0.46300000000000002</v>
      </c>
      <c r="T2031" s="1">
        <v>0.63300000000000001</v>
      </c>
      <c r="U2031" s="1">
        <v>0.628</v>
      </c>
      <c r="V2031" s="1">
        <v>91.975999999999999</v>
      </c>
      <c r="W2031">
        <v>4</v>
      </c>
    </row>
    <row r="2032" spans="1:23" x14ac:dyDescent="0.25">
      <c r="A2032" s="1" t="s">
        <v>18084</v>
      </c>
      <c r="B2032" s="1" t="s">
        <v>18080</v>
      </c>
      <c r="C2032" s="1" t="s">
        <v>5972</v>
      </c>
      <c r="D2032" s="1" t="s">
        <v>8518</v>
      </c>
      <c r="E2032" s="1" t="s">
        <v>5969</v>
      </c>
      <c r="F2032" s="1" t="s">
        <v>18085</v>
      </c>
      <c r="G2032">
        <v>267546</v>
      </c>
      <c r="H2032">
        <v>39</v>
      </c>
      <c r="I2032" s="1" t="s">
        <v>11063</v>
      </c>
      <c r="J2032" s="11">
        <v>44729.706458333334</v>
      </c>
      <c r="K2032" s="1" t="s">
        <v>5970</v>
      </c>
      <c r="L2032" s="1">
        <v>0.72699999999999998</v>
      </c>
      <c r="M2032" s="1">
        <v>0.71799999999999997</v>
      </c>
      <c r="N2032">
        <v>10</v>
      </c>
      <c r="O2032" s="1">
        <v>-7.0069999999999997</v>
      </c>
      <c r="P2032">
        <v>1</v>
      </c>
      <c r="Q2032" s="1">
        <v>0.113</v>
      </c>
      <c r="R2032" s="1">
        <v>0.20100000000000001</v>
      </c>
      <c r="S2032" s="1">
        <v>0</v>
      </c>
      <c r="T2032" s="1">
        <v>0.71</v>
      </c>
      <c r="U2032" s="1">
        <v>0.63900000000000001</v>
      </c>
      <c r="V2032" s="1">
        <v>122.051</v>
      </c>
      <c r="W2032">
        <v>4</v>
      </c>
    </row>
    <row r="2033" spans="1:23" x14ac:dyDescent="0.25">
      <c r="A2033" s="1" t="s">
        <v>18086</v>
      </c>
      <c r="B2033" s="1" t="s">
        <v>18087</v>
      </c>
      <c r="C2033" s="1" t="s">
        <v>5973</v>
      </c>
      <c r="D2033" s="1" t="s">
        <v>5973</v>
      </c>
      <c r="E2033" s="1" t="s">
        <v>5974</v>
      </c>
      <c r="F2033" s="1" t="s">
        <v>18088</v>
      </c>
      <c r="G2033">
        <v>269571</v>
      </c>
      <c r="H2033">
        <v>19</v>
      </c>
      <c r="I2033" s="1" t="s">
        <v>11063</v>
      </c>
      <c r="J2033" s="11">
        <v>44729.706458333334</v>
      </c>
      <c r="K2033" s="1" t="s">
        <v>1150</v>
      </c>
      <c r="L2033" s="1">
        <v>0.69299999999999995</v>
      </c>
      <c r="M2033" s="1">
        <v>0.91700000000000004</v>
      </c>
      <c r="N2033">
        <v>8</v>
      </c>
      <c r="O2033" s="1">
        <v>-3.444</v>
      </c>
      <c r="P2033">
        <v>1</v>
      </c>
      <c r="Q2033" s="1">
        <v>0.36199999999999999</v>
      </c>
      <c r="R2033" s="1">
        <v>0.38300000000000001</v>
      </c>
      <c r="S2033" s="1">
        <v>0.28499999999999998</v>
      </c>
      <c r="T2033" s="1">
        <v>0.14799999999999999</v>
      </c>
      <c r="U2033" s="1">
        <v>0.48499999999999999</v>
      </c>
      <c r="V2033" s="1">
        <v>140.041</v>
      </c>
      <c r="W2033">
        <v>4</v>
      </c>
    </row>
    <row r="2034" spans="1:23" x14ac:dyDescent="0.25">
      <c r="A2034" s="1" t="s">
        <v>18089</v>
      </c>
      <c r="B2034" s="1" t="s">
        <v>18090</v>
      </c>
      <c r="C2034" s="1" t="s">
        <v>5975</v>
      </c>
      <c r="D2034" s="1" t="s">
        <v>5975</v>
      </c>
      <c r="E2034" s="1" t="s">
        <v>5976</v>
      </c>
      <c r="F2034" s="1" t="s">
        <v>17651</v>
      </c>
      <c r="G2034">
        <v>196114</v>
      </c>
      <c r="H2034">
        <v>38</v>
      </c>
      <c r="I2034" s="1" t="s">
        <v>11063</v>
      </c>
      <c r="J2034" s="11">
        <v>44729.706458333334</v>
      </c>
      <c r="K2034" s="1" t="s">
        <v>50</v>
      </c>
      <c r="L2034" s="1">
        <v>0.50900000000000001</v>
      </c>
      <c r="M2034" s="1">
        <v>0.80700000000000005</v>
      </c>
      <c r="N2034">
        <v>9</v>
      </c>
      <c r="O2034" s="1">
        <v>-5.1210000000000004</v>
      </c>
      <c r="P2034">
        <v>1</v>
      </c>
      <c r="Q2034" s="1">
        <v>0.47299999999999998</v>
      </c>
      <c r="R2034" s="1">
        <v>0.89500000000000002</v>
      </c>
      <c r="S2034" s="1">
        <v>0.74</v>
      </c>
      <c r="T2034" s="1">
        <v>0.73799999999999999</v>
      </c>
      <c r="U2034" s="1">
        <v>0.28199999999999997</v>
      </c>
      <c r="V2034" s="1">
        <v>175.161</v>
      </c>
      <c r="W2034">
        <v>4</v>
      </c>
    </row>
    <row r="2035" spans="1:23" x14ac:dyDescent="0.25">
      <c r="A2035" s="1" t="s">
        <v>18091</v>
      </c>
      <c r="B2035" s="1" t="s">
        <v>18092</v>
      </c>
      <c r="C2035" s="1" t="s">
        <v>5977</v>
      </c>
      <c r="D2035" s="1" t="s">
        <v>5977</v>
      </c>
      <c r="E2035" s="1" t="s">
        <v>5978</v>
      </c>
      <c r="F2035" s="1" t="s">
        <v>13465</v>
      </c>
      <c r="G2035">
        <v>180326</v>
      </c>
      <c r="H2035">
        <v>30</v>
      </c>
      <c r="I2035" s="1" t="s">
        <v>11063</v>
      </c>
      <c r="J2035" s="11">
        <v>44729.706458333334</v>
      </c>
      <c r="K2035" s="1" t="s">
        <v>998</v>
      </c>
      <c r="L2035" s="1">
        <v>0.69899999999999995</v>
      </c>
      <c r="M2035" s="1">
        <v>0.60199999999999998</v>
      </c>
      <c r="N2035">
        <v>4</v>
      </c>
      <c r="O2035" s="1">
        <v>-6.6840000000000002</v>
      </c>
      <c r="P2035">
        <v>0</v>
      </c>
      <c r="Q2035" s="1">
        <v>0.41</v>
      </c>
      <c r="R2035" s="1">
        <v>0.35099999999999998</v>
      </c>
      <c r="S2035" s="1">
        <v>0.159</v>
      </c>
      <c r="T2035" s="1">
        <v>0.44</v>
      </c>
      <c r="U2035" s="1">
        <v>0.499</v>
      </c>
      <c r="V2035" s="1">
        <v>91.995999999999995</v>
      </c>
      <c r="W2035">
        <v>4</v>
      </c>
    </row>
    <row r="2036" spans="1:23" x14ac:dyDescent="0.25">
      <c r="A2036" s="1" t="s">
        <v>18093</v>
      </c>
      <c r="B2036" s="1" t="s">
        <v>18094</v>
      </c>
      <c r="C2036" s="1" t="s">
        <v>5979</v>
      </c>
      <c r="D2036" s="1" t="s">
        <v>18095</v>
      </c>
      <c r="E2036" s="1" t="s">
        <v>5980</v>
      </c>
      <c r="F2036" s="1" t="s">
        <v>13524</v>
      </c>
      <c r="G2036">
        <v>216000</v>
      </c>
      <c r="H2036">
        <v>9</v>
      </c>
      <c r="I2036" s="1" t="s">
        <v>11063</v>
      </c>
      <c r="J2036" s="11">
        <v>44729.706458333334</v>
      </c>
      <c r="K2036" s="1" t="s">
        <v>5981</v>
      </c>
      <c r="L2036" s="1">
        <v>0.47199999999999998</v>
      </c>
      <c r="M2036" s="1">
        <v>0.47099999999999997</v>
      </c>
      <c r="N2036">
        <v>5</v>
      </c>
      <c r="O2036" s="1">
        <v>-9.3010000000000002</v>
      </c>
      <c r="P2036">
        <v>1</v>
      </c>
      <c r="Q2036" s="1">
        <v>0.29199999999999998</v>
      </c>
      <c r="R2036" s="1">
        <v>0.22800000000000001</v>
      </c>
      <c r="S2036" s="1">
        <v>0</v>
      </c>
      <c r="T2036" s="1">
        <v>0.153</v>
      </c>
      <c r="U2036" s="1">
        <v>0.44500000000000001</v>
      </c>
      <c r="V2036" s="1">
        <v>159.99100000000001</v>
      </c>
      <c r="W2036">
        <v>4</v>
      </c>
    </row>
    <row r="2037" spans="1:23" x14ac:dyDescent="0.25">
      <c r="A2037" s="1" t="s">
        <v>18096</v>
      </c>
      <c r="B2037" s="1" t="s">
        <v>18097</v>
      </c>
      <c r="C2037" s="1" t="s">
        <v>5982</v>
      </c>
      <c r="D2037" s="1" t="s">
        <v>5982</v>
      </c>
      <c r="E2037" s="1" t="s">
        <v>5983</v>
      </c>
      <c r="F2037" s="1" t="s">
        <v>13931</v>
      </c>
      <c r="G2037">
        <v>218482</v>
      </c>
      <c r="H2037">
        <v>33</v>
      </c>
      <c r="I2037" s="1" t="s">
        <v>11063</v>
      </c>
      <c r="J2037" s="11">
        <v>44729.706458333334</v>
      </c>
      <c r="K2037" s="1" t="s">
        <v>5984</v>
      </c>
      <c r="L2037" s="1">
        <v>0.53900000000000003</v>
      </c>
      <c r="M2037" s="1">
        <v>0.35099999999999998</v>
      </c>
      <c r="N2037">
        <v>5</v>
      </c>
      <c r="O2037" s="1">
        <v>-10.803000000000001</v>
      </c>
      <c r="P2037">
        <v>0</v>
      </c>
      <c r="Q2037" s="1">
        <v>0.41699999999999998</v>
      </c>
      <c r="R2037" s="1">
        <v>0.55000000000000004</v>
      </c>
      <c r="S2037" s="1">
        <v>0.74199999999999999</v>
      </c>
      <c r="T2037" s="1">
        <v>0.10199999999999999</v>
      </c>
      <c r="U2037" s="1">
        <v>0.38500000000000001</v>
      </c>
      <c r="V2037" s="1">
        <v>144.98699999999999</v>
      </c>
      <c r="W2037">
        <v>4</v>
      </c>
    </row>
    <row r="2038" spans="1:23" x14ac:dyDescent="0.25">
      <c r="A2038" s="1" t="s">
        <v>18098</v>
      </c>
      <c r="B2038" s="1" t="s">
        <v>18099</v>
      </c>
      <c r="C2038" s="1" t="s">
        <v>5985</v>
      </c>
      <c r="D2038" s="1" t="s">
        <v>5985</v>
      </c>
      <c r="E2038" s="1" t="s">
        <v>5986</v>
      </c>
      <c r="F2038" s="1" t="s">
        <v>15956</v>
      </c>
      <c r="G2038">
        <v>204004</v>
      </c>
      <c r="H2038">
        <v>0</v>
      </c>
      <c r="I2038" s="1" t="s">
        <v>11063</v>
      </c>
      <c r="J2038" s="11">
        <v>44729.706458333334</v>
      </c>
      <c r="K2038" s="1" t="s">
        <v>50</v>
      </c>
      <c r="L2038" s="1">
        <v>0.53700000000000003</v>
      </c>
      <c r="M2038" s="1">
        <v>0.30399999999999999</v>
      </c>
      <c r="N2038">
        <v>7</v>
      </c>
      <c r="O2038" s="1">
        <v>-7.524</v>
      </c>
      <c r="P2038">
        <v>1</v>
      </c>
      <c r="Q2038" s="1">
        <v>0.29099999999999998</v>
      </c>
      <c r="R2038" s="1">
        <v>0.57699999999999996</v>
      </c>
      <c r="S2038" s="1">
        <v>0.27700000000000002</v>
      </c>
      <c r="T2038" s="1">
        <v>0.95799999999999996</v>
      </c>
      <c r="U2038" s="1">
        <v>0.86699999999999999</v>
      </c>
      <c r="V2038" s="1">
        <v>140.054</v>
      </c>
      <c r="W2038">
        <v>4</v>
      </c>
    </row>
    <row r="2039" spans="1:23" x14ac:dyDescent="0.25">
      <c r="A2039" s="1" t="s">
        <v>18100</v>
      </c>
      <c r="B2039" s="1" t="s">
        <v>18099</v>
      </c>
      <c r="C2039" s="1" t="s">
        <v>5987</v>
      </c>
      <c r="D2039" s="1" t="s">
        <v>5987</v>
      </c>
      <c r="E2039" s="1" t="s">
        <v>5986</v>
      </c>
      <c r="F2039" s="1" t="s">
        <v>18101</v>
      </c>
      <c r="G2039">
        <v>185352</v>
      </c>
      <c r="H2039">
        <v>1</v>
      </c>
      <c r="I2039" s="1" t="s">
        <v>11063</v>
      </c>
      <c r="J2039" s="11">
        <v>44729.706458333334</v>
      </c>
      <c r="K2039" s="1" t="s">
        <v>50</v>
      </c>
      <c r="L2039" s="1">
        <v>0.627</v>
      </c>
      <c r="M2039" s="1">
        <v>0.67900000000000005</v>
      </c>
      <c r="N2039">
        <v>3</v>
      </c>
      <c r="O2039" s="1">
        <v>-10.397</v>
      </c>
      <c r="P2039">
        <v>1</v>
      </c>
      <c r="Q2039" s="1">
        <v>0.67700000000000005</v>
      </c>
      <c r="R2039" s="1">
        <v>0.76600000000000001</v>
      </c>
      <c r="S2039" s="1">
        <v>0.13700000000000001</v>
      </c>
      <c r="T2039" s="1">
        <v>0.17199999999999999</v>
      </c>
      <c r="U2039" s="1">
        <v>0.185</v>
      </c>
      <c r="V2039" s="1">
        <v>139.97</v>
      </c>
      <c r="W2039">
        <v>4</v>
      </c>
    </row>
    <row r="2040" spans="1:23" x14ac:dyDescent="0.25">
      <c r="A2040" s="1" t="s">
        <v>18102</v>
      </c>
      <c r="B2040" s="1" t="s">
        <v>18103</v>
      </c>
      <c r="C2040" s="1" t="s">
        <v>5988</v>
      </c>
      <c r="D2040" s="1" t="s">
        <v>5988</v>
      </c>
      <c r="E2040" s="1" t="s">
        <v>5989</v>
      </c>
      <c r="F2040" s="1" t="s">
        <v>18104</v>
      </c>
      <c r="G2040">
        <v>198929</v>
      </c>
      <c r="H2040">
        <v>0</v>
      </c>
      <c r="I2040" s="1" t="s">
        <v>11063</v>
      </c>
      <c r="J2040" s="11">
        <v>44729.706458333334</v>
      </c>
      <c r="K2040" s="1" t="s">
        <v>50</v>
      </c>
      <c r="L2040" s="1">
        <v>0.54400000000000004</v>
      </c>
      <c r="M2040" s="1">
        <v>0.72299999999999998</v>
      </c>
      <c r="N2040">
        <v>11</v>
      </c>
      <c r="O2040" s="1">
        <v>-5.758</v>
      </c>
      <c r="P2040">
        <v>1</v>
      </c>
      <c r="Q2040" s="1">
        <v>0.4</v>
      </c>
      <c r="R2040" s="1">
        <v>0.57099999999999995</v>
      </c>
      <c r="S2040" s="1">
        <v>0.10199999999999999</v>
      </c>
      <c r="T2040" s="1">
        <v>0.13400000000000001</v>
      </c>
      <c r="U2040" s="1">
        <v>0.192</v>
      </c>
      <c r="V2040" s="1">
        <v>139.923</v>
      </c>
      <c r="W2040">
        <v>4</v>
      </c>
    </row>
    <row r="2041" spans="1:23" x14ac:dyDescent="0.25">
      <c r="A2041" s="1" t="s">
        <v>18105</v>
      </c>
      <c r="B2041" s="1" t="s">
        <v>18106</v>
      </c>
      <c r="C2041" s="1" t="s">
        <v>5990</v>
      </c>
      <c r="D2041" s="1" t="s">
        <v>1362</v>
      </c>
      <c r="E2041" s="1" t="s">
        <v>5991</v>
      </c>
      <c r="F2041" s="1" t="s">
        <v>16633</v>
      </c>
      <c r="G2041">
        <v>259866</v>
      </c>
      <c r="H2041">
        <v>14</v>
      </c>
      <c r="I2041" s="1" t="s">
        <v>11063</v>
      </c>
      <c r="J2041" s="11">
        <v>44729.706458333334</v>
      </c>
      <c r="K2041" s="1" t="s">
        <v>50</v>
      </c>
      <c r="L2041" s="1">
        <v>0.62</v>
      </c>
      <c r="M2041" s="1">
        <v>0.40899999999999997</v>
      </c>
      <c r="N2041">
        <v>4</v>
      </c>
      <c r="O2041" s="1">
        <v>-14.276999999999999</v>
      </c>
      <c r="P2041">
        <v>0</v>
      </c>
      <c r="Q2041" s="1">
        <v>0.61099999999999999</v>
      </c>
      <c r="R2041" s="1">
        <v>0.74199999999999999</v>
      </c>
      <c r="S2041" s="1">
        <v>0.89700000000000002</v>
      </c>
      <c r="T2041" s="1">
        <v>0.111</v>
      </c>
      <c r="U2041" s="1">
        <v>0.104</v>
      </c>
      <c r="V2041" s="1">
        <v>84.972999999999999</v>
      </c>
      <c r="W2041">
        <v>4</v>
      </c>
    </row>
    <row r="2042" spans="1:23" x14ac:dyDescent="0.25">
      <c r="A2042" s="1" t="s">
        <v>18107</v>
      </c>
      <c r="B2042" s="1" t="s">
        <v>18108</v>
      </c>
      <c r="C2042" s="1" t="s">
        <v>5992</v>
      </c>
      <c r="D2042" s="1" t="s">
        <v>18109</v>
      </c>
      <c r="E2042" s="1" t="s">
        <v>5993</v>
      </c>
      <c r="F2042" s="1" t="s">
        <v>11763</v>
      </c>
      <c r="G2042">
        <v>200275</v>
      </c>
      <c r="H2042">
        <v>21</v>
      </c>
      <c r="I2042" s="1" t="s">
        <v>11063</v>
      </c>
      <c r="J2042" s="11">
        <v>44729.706458333334</v>
      </c>
      <c r="K2042" s="1" t="s">
        <v>5994</v>
      </c>
      <c r="L2042" s="1">
        <v>0.53100000000000003</v>
      </c>
      <c r="M2042" s="1">
        <v>0.69299999999999995</v>
      </c>
      <c r="N2042">
        <v>11</v>
      </c>
      <c r="O2042" s="1">
        <v>-6.07</v>
      </c>
      <c r="P2042">
        <v>1</v>
      </c>
      <c r="Q2042" s="1">
        <v>0.36899999999999999</v>
      </c>
      <c r="R2042" s="1">
        <v>0.38400000000000001</v>
      </c>
      <c r="S2042" s="1">
        <v>0.14899999999999999</v>
      </c>
      <c r="T2042" s="1">
        <v>0.52100000000000002</v>
      </c>
      <c r="U2042" s="1">
        <v>0.26400000000000001</v>
      </c>
      <c r="V2042" s="1">
        <v>145.07400000000001</v>
      </c>
      <c r="W2042">
        <v>4</v>
      </c>
    </row>
    <row r="2043" spans="1:23" x14ac:dyDescent="0.25">
      <c r="A2043" s="1" t="s">
        <v>18110</v>
      </c>
      <c r="B2043" s="1" t="s">
        <v>12154</v>
      </c>
      <c r="C2043" s="1" t="s">
        <v>4425</v>
      </c>
      <c r="D2043" s="1" t="s">
        <v>4425</v>
      </c>
      <c r="E2043" s="1" t="s">
        <v>683</v>
      </c>
      <c r="F2043" s="1" t="s">
        <v>13302</v>
      </c>
      <c r="G2043">
        <v>162442</v>
      </c>
      <c r="H2043">
        <v>39</v>
      </c>
      <c r="I2043" s="1" t="s">
        <v>11063</v>
      </c>
      <c r="J2043" s="11">
        <v>44729.706458333334</v>
      </c>
      <c r="K2043" s="1" t="s">
        <v>684</v>
      </c>
      <c r="L2043" s="1">
        <v>0.54800000000000004</v>
      </c>
      <c r="M2043" s="1">
        <v>0.83499999999999996</v>
      </c>
      <c r="N2043">
        <v>1</v>
      </c>
      <c r="O2043" s="1">
        <v>-5.0940000000000003</v>
      </c>
      <c r="P2043">
        <v>1</v>
      </c>
      <c r="Q2043" s="1">
        <v>0.39400000000000002</v>
      </c>
      <c r="R2043" s="1">
        <v>0.874</v>
      </c>
      <c r="S2043" s="1">
        <v>0.65300000000000002</v>
      </c>
      <c r="T2043" s="1">
        <v>0.23799999999999999</v>
      </c>
      <c r="U2043" s="1">
        <v>0.38500000000000001</v>
      </c>
      <c r="V2043" s="1">
        <v>160.02199999999999</v>
      </c>
      <c r="W2043">
        <v>4</v>
      </c>
    </row>
    <row r="2044" spans="1:23" x14ac:dyDescent="0.25">
      <c r="A2044" s="1" t="s">
        <v>18111</v>
      </c>
      <c r="B2044" s="1" t="s">
        <v>18112</v>
      </c>
      <c r="C2044" s="1" t="s">
        <v>5995</v>
      </c>
      <c r="D2044" s="1" t="s">
        <v>17939</v>
      </c>
      <c r="E2044" s="1" t="s">
        <v>5996</v>
      </c>
      <c r="F2044" s="1" t="s">
        <v>16972</v>
      </c>
      <c r="G2044">
        <v>222386</v>
      </c>
      <c r="H2044">
        <v>49</v>
      </c>
      <c r="I2044" s="1" t="s">
        <v>11063</v>
      </c>
      <c r="J2044" s="11">
        <v>44729.706458333334</v>
      </c>
      <c r="K2044" s="1" t="s">
        <v>5997</v>
      </c>
      <c r="L2044" s="1">
        <v>0.60399999999999998</v>
      </c>
      <c r="M2044" s="1">
        <v>0.74199999999999999</v>
      </c>
      <c r="N2044">
        <v>8</v>
      </c>
      <c r="O2044" s="1">
        <v>-8.1010000000000009</v>
      </c>
      <c r="P2044">
        <v>0</v>
      </c>
      <c r="Q2044" s="1">
        <v>0.315</v>
      </c>
      <c r="R2044" s="1">
        <v>0.14699999999999999</v>
      </c>
      <c r="S2044" s="1">
        <v>0.73299999999999998</v>
      </c>
      <c r="T2044" s="1">
        <v>0.158</v>
      </c>
      <c r="U2044" s="1">
        <v>0.123</v>
      </c>
      <c r="V2044" s="1">
        <v>108.021</v>
      </c>
      <c r="W2044">
        <v>4</v>
      </c>
    </row>
    <row r="2045" spans="1:23" x14ac:dyDescent="0.25">
      <c r="A2045" s="1" t="s">
        <v>11112</v>
      </c>
      <c r="B2045" s="1" t="s">
        <v>11113</v>
      </c>
      <c r="C2045" s="1" t="s">
        <v>347</v>
      </c>
      <c r="D2045" s="1" t="s">
        <v>347</v>
      </c>
      <c r="E2045" s="1" t="s">
        <v>348</v>
      </c>
      <c r="F2045" s="1" t="s">
        <v>11626</v>
      </c>
      <c r="G2045">
        <v>222266</v>
      </c>
      <c r="H2045">
        <v>0</v>
      </c>
      <c r="I2045" s="1" t="s">
        <v>11063</v>
      </c>
      <c r="J2045" s="11">
        <v>44729.706458333334</v>
      </c>
      <c r="K2045" s="1" t="s">
        <v>349</v>
      </c>
      <c r="L2045" s="1">
        <v>0.61599999999999999</v>
      </c>
      <c r="M2045" s="1">
        <v>0.93400000000000005</v>
      </c>
      <c r="N2045">
        <v>5</v>
      </c>
      <c r="O2045" s="1">
        <v>-4.992</v>
      </c>
      <c r="P2045">
        <v>0</v>
      </c>
      <c r="Q2045" s="1">
        <v>0.65400000000000003</v>
      </c>
      <c r="R2045" s="1">
        <v>0.156</v>
      </c>
      <c r="S2045" s="1">
        <v>0.318</v>
      </c>
      <c r="T2045" s="1">
        <v>0.36</v>
      </c>
      <c r="U2045" s="1">
        <v>0.55200000000000005</v>
      </c>
      <c r="V2045" s="1">
        <v>122.018</v>
      </c>
      <c r="W2045">
        <v>4</v>
      </c>
    </row>
    <row r="2046" spans="1:23" x14ac:dyDescent="0.25">
      <c r="A2046" s="1" t="s">
        <v>18113</v>
      </c>
      <c r="B2046" s="1" t="s">
        <v>18114</v>
      </c>
      <c r="C2046" s="1" t="s">
        <v>5998</v>
      </c>
      <c r="D2046" s="1" t="s">
        <v>5998</v>
      </c>
      <c r="E2046" s="1" t="s">
        <v>5999</v>
      </c>
      <c r="F2046" s="1" t="s">
        <v>11626</v>
      </c>
      <c r="G2046">
        <v>156226</v>
      </c>
      <c r="H2046">
        <v>0</v>
      </c>
      <c r="I2046" s="1" t="s">
        <v>11063</v>
      </c>
      <c r="J2046" s="11">
        <v>44729.706458333334</v>
      </c>
      <c r="K2046" s="1" t="s">
        <v>6000</v>
      </c>
      <c r="L2046" s="1">
        <v>0.81200000000000006</v>
      </c>
      <c r="M2046" s="1">
        <v>0.59399999999999997</v>
      </c>
      <c r="N2046">
        <v>5</v>
      </c>
      <c r="O2046" s="1">
        <v>-6.6189999999999998</v>
      </c>
      <c r="P2046">
        <v>1</v>
      </c>
      <c r="Q2046" s="1">
        <v>0.77600000000000002</v>
      </c>
      <c r="R2046" s="1">
        <v>0.56599999999999995</v>
      </c>
      <c r="S2046" s="1">
        <v>0.186</v>
      </c>
      <c r="T2046" s="1">
        <v>0.15</v>
      </c>
      <c r="U2046" s="1">
        <v>0.624</v>
      </c>
      <c r="V2046" s="1">
        <v>105.989</v>
      </c>
      <c r="W2046">
        <v>4</v>
      </c>
    </row>
    <row r="2047" spans="1:23" x14ac:dyDescent="0.25">
      <c r="A2047" s="1" t="s">
        <v>18115</v>
      </c>
      <c r="B2047" s="1" t="s">
        <v>16278</v>
      </c>
      <c r="C2047" s="1" t="s">
        <v>6001</v>
      </c>
      <c r="D2047" s="1" t="s">
        <v>6001</v>
      </c>
      <c r="E2047" s="1" t="s">
        <v>4376</v>
      </c>
      <c r="F2047" s="1" t="s">
        <v>11626</v>
      </c>
      <c r="G2047">
        <v>190684</v>
      </c>
      <c r="H2047">
        <v>30</v>
      </c>
      <c r="I2047" s="1" t="s">
        <v>11063</v>
      </c>
      <c r="J2047" s="11">
        <v>44729.706458333334</v>
      </c>
      <c r="K2047" s="1" t="s">
        <v>4377</v>
      </c>
      <c r="L2047" s="1">
        <v>0.52200000000000002</v>
      </c>
      <c r="M2047" s="1">
        <v>0.81899999999999995</v>
      </c>
      <c r="N2047">
        <v>0</v>
      </c>
      <c r="O2047" s="1">
        <v>-4.6849999999999996</v>
      </c>
      <c r="P2047">
        <v>0</v>
      </c>
      <c r="Q2047" s="1">
        <v>0.17899999999999999</v>
      </c>
      <c r="R2047" s="1">
        <v>0.24099999999999999</v>
      </c>
      <c r="S2047" s="1">
        <v>0</v>
      </c>
      <c r="T2047" s="1">
        <v>0.85</v>
      </c>
      <c r="U2047" s="1">
        <v>0.124</v>
      </c>
      <c r="V2047" s="1">
        <v>145.71600000000001</v>
      </c>
      <c r="W2047">
        <v>4</v>
      </c>
    </row>
    <row r="2048" spans="1:23" x14ac:dyDescent="0.25">
      <c r="A2048" s="1" t="s">
        <v>11144</v>
      </c>
      <c r="B2048" s="1" t="s">
        <v>11145</v>
      </c>
      <c r="C2048" s="1" t="s">
        <v>6002</v>
      </c>
      <c r="D2048" s="1" t="s">
        <v>11146</v>
      </c>
      <c r="E2048" s="1" t="s">
        <v>6003</v>
      </c>
      <c r="F2048" s="1" t="s">
        <v>11626</v>
      </c>
      <c r="G2048">
        <v>255368</v>
      </c>
      <c r="H2048">
        <v>33</v>
      </c>
      <c r="I2048" s="1" t="s">
        <v>11063</v>
      </c>
      <c r="J2048" s="11">
        <v>44729.706458333334</v>
      </c>
      <c r="K2048" s="1" t="s">
        <v>6004</v>
      </c>
      <c r="L2048" s="1">
        <v>0.46400000000000002</v>
      </c>
      <c r="M2048" s="1">
        <v>0.81399999999999995</v>
      </c>
      <c r="N2048">
        <v>6</v>
      </c>
      <c r="O2048" s="1">
        <v>-4.2110000000000003</v>
      </c>
      <c r="P2048">
        <v>0</v>
      </c>
      <c r="Q2048" s="1">
        <v>0.63200000000000001</v>
      </c>
      <c r="R2048" s="1">
        <v>0.11600000000000001</v>
      </c>
      <c r="S2048" s="1">
        <v>0.98599999999999999</v>
      </c>
      <c r="T2048" s="1">
        <v>0.39</v>
      </c>
      <c r="U2048" s="1">
        <v>0.33200000000000002</v>
      </c>
      <c r="V2048" s="1">
        <v>90.113</v>
      </c>
      <c r="W2048">
        <v>4</v>
      </c>
    </row>
    <row r="2049" spans="1:23" x14ac:dyDescent="0.25">
      <c r="A2049" s="1" t="s">
        <v>18116</v>
      </c>
      <c r="B2049" s="1" t="s">
        <v>18117</v>
      </c>
      <c r="C2049" s="1" t="s">
        <v>6005</v>
      </c>
      <c r="D2049" s="1" t="s">
        <v>18118</v>
      </c>
      <c r="E2049" s="1" t="s">
        <v>6006</v>
      </c>
      <c r="F2049" s="1" t="s">
        <v>11626</v>
      </c>
      <c r="G2049">
        <v>193846</v>
      </c>
      <c r="H2049">
        <v>61</v>
      </c>
      <c r="I2049" s="1" t="s">
        <v>11063</v>
      </c>
      <c r="J2049" s="11">
        <v>44729.706458333334</v>
      </c>
      <c r="K2049" s="1" t="s">
        <v>6007</v>
      </c>
      <c r="L2049" s="1">
        <v>0.52900000000000003</v>
      </c>
      <c r="M2049" s="1">
        <v>0.61199999999999999</v>
      </c>
      <c r="N2049">
        <v>10</v>
      </c>
      <c r="O2049" s="1">
        <v>-8.7940000000000005</v>
      </c>
      <c r="P2049">
        <v>1</v>
      </c>
      <c r="Q2049" s="1">
        <v>0.52</v>
      </c>
      <c r="R2049" s="1">
        <v>0.253</v>
      </c>
      <c r="S2049" s="1">
        <v>0</v>
      </c>
      <c r="T2049" s="1">
        <v>0.246</v>
      </c>
      <c r="U2049" s="1">
        <v>0.434</v>
      </c>
      <c r="V2049" s="1">
        <v>119.27200000000001</v>
      </c>
      <c r="W2049">
        <v>4</v>
      </c>
    </row>
    <row r="2050" spans="1:23" x14ac:dyDescent="0.25">
      <c r="A2050" s="1" t="s">
        <v>18119</v>
      </c>
      <c r="B2050" s="1" t="s">
        <v>18120</v>
      </c>
      <c r="C2050" s="1" t="s">
        <v>6008</v>
      </c>
      <c r="D2050" s="1" t="s">
        <v>18121</v>
      </c>
      <c r="E2050" s="1" t="s">
        <v>6009</v>
      </c>
      <c r="F2050" s="1" t="s">
        <v>18122</v>
      </c>
      <c r="G2050">
        <v>431080</v>
      </c>
      <c r="H2050">
        <v>48</v>
      </c>
      <c r="I2050" s="1" t="s">
        <v>11063</v>
      </c>
      <c r="J2050" s="11">
        <v>44729.706458333334</v>
      </c>
      <c r="K2050" s="1" t="s">
        <v>6010</v>
      </c>
      <c r="L2050" s="1">
        <v>0.26200000000000001</v>
      </c>
      <c r="M2050" s="1">
        <v>0.96799999999999997</v>
      </c>
      <c r="N2050">
        <v>6</v>
      </c>
      <c r="O2050" s="1">
        <v>-3.6739999999999999</v>
      </c>
      <c r="P2050">
        <v>1</v>
      </c>
      <c r="Q2050" s="1">
        <v>0.12</v>
      </c>
      <c r="R2050" s="1">
        <v>0.69199999999999995</v>
      </c>
      <c r="S2050" s="1">
        <v>0.10299999999999999</v>
      </c>
      <c r="T2050" s="1">
        <v>0.747</v>
      </c>
      <c r="U2050" s="1">
        <v>0.28999999999999998</v>
      </c>
      <c r="V2050" s="1">
        <v>183.99700000000001</v>
      </c>
      <c r="W2050">
        <v>4</v>
      </c>
    </row>
    <row r="2051" spans="1:23" x14ac:dyDescent="0.25">
      <c r="A2051" s="1" t="s">
        <v>18123</v>
      </c>
      <c r="B2051" s="1" t="s">
        <v>18124</v>
      </c>
      <c r="C2051" s="1" t="s">
        <v>6011</v>
      </c>
      <c r="D2051" s="1" t="s">
        <v>6011</v>
      </c>
      <c r="E2051" s="1" t="s">
        <v>6012</v>
      </c>
      <c r="F2051" s="1" t="s">
        <v>11605</v>
      </c>
      <c r="G2051">
        <v>200294</v>
      </c>
      <c r="H2051">
        <v>42</v>
      </c>
      <c r="I2051" s="1" t="s">
        <v>11063</v>
      </c>
      <c r="J2051" s="11">
        <v>44729.706458333334</v>
      </c>
      <c r="K2051" s="1" t="s">
        <v>50</v>
      </c>
      <c r="L2051" s="1">
        <v>0.63400000000000001</v>
      </c>
      <c r="M2051" s="1">
        <v>0.83699999999999997</v>
      </c>
      <c r="N2051">
        <v>11</v>
      </c>
      <c r="O2051" s="1">
        <v>-4.649</v>
      </c>
      <c r="P2051">
        <v>0</v>
      </c>
      <c r="Q2051" s="1">
        <v>0.45300000000000001</v>
      </c>
      <c r="R2051" s="1">
        <v>0.90100000000000002</v>
      </c>
      <c r="S2051" s="1">
        <v>0.68100000000000005</v>
      </c>
      <c r="T2051" s="1">
        <v>0.34499999999999997</v>
      </c>
      <c r="U2051" s="1">
        <v>0.42299999999999999</v>
      </c>
      <c r="V2051" s="1">
        <v>102.095</v>
      </c>
      <c r="W2051">
        <v>4</v>
      </c>
    </row>
    <row r="2052" spans="1:23" x14ac:dyDescent="0.25">
      <c r="A2052" s="1" t="s">
        <v>11129</v>
      </c>
      <c r="B2052" s="1" t="s">
        <v>11130</v>
      </c>
      <c r="C2052" s="1" t="s">
        <v>6013</v>
      </c>
      <c r="D2052" s="1" t="s">
        <v>11131</v>
      </c>
      <c r="E2052" s="1" t="s">
        <v>1479</v>
      </c>
      <c r="F2052" s="1" t="s">
        <v>14118</v>
      </c>
      <c r="G2052">
        <v>195581</v>
      </c>
      <c r="H2052">
        <v>0</v>
      </c>
      <c r="I2052" s="1" t="s">
        <v>11063</v>
      </c>
      <c r="J2052" s="11">
        <v>44729.706458333334</v>
      </c>
      <c r="K2052" s="1" t="s">
        <v>1480</v>
      </c>
      <c r="L2052" s="1">
        <v>0.629</v>
      </c>
      <c r="M2052" s="1">
        <v>0.91800000000000004</v>
      </c>
      <c r="N2052">
        <v>11</v>
      </c>
      <c r="O2052" s="1">
        <v>-2.6949999999999998</v>
      </c>
      <c r="P2052">
        <v>0</v>
      </c>
      <c r="Q2052" s="1">
        <v>0.51200000000000001</v>
      </c>
      <c r="R2052" s="1">
        <v>0.14099999999999999</v>
      </c>
      <c r="S2052" s="1">
        <v>0.32500000000000001</v>
      </c>
      <c r="T2052" s="1">
        <v>0.253</v>
      </c>
      <c r="U2052" s="1">
        <v>0.27200000000000002</v>
      </c>
      <c r="V2052" s="1">
        <v>126.038</v>
      </c>
      <c r="W2052">
        <v>4</v>
      </c>
    </row>
    <row r="2053" spans="1:23" x14ac:dyDescent="0.25">
      <c r="A2053" s="1" t="s">
        <v>18125</v>
      </c>
      <c r="B2053" s="1" t="s">
        <v>18126</v>
      </c>
      <c r="C2053" s="1" t="s">
        <v>6014</v>
      </c>
      <c r="D2053" s="1" t="s">
        <v>6014</v>
      </c>
      <c r="E2053" s="1" t="s">
        <v>6015</v>
      </c>
      <c r="F2053" s="1" t="s">
        <v>15459</v>
      </c>
      <c r="G2053">
        <v>147026</v>
      </c>
      <c r="H2053">
        <v>66</v>
      </c>
      <c r="I2053" s="1" t="s">
        <v>11063</v>
      </c>
      <c r="J2053" s="11">
        <v>44729.706458333334</v>
      </c>
      <c r="K2053" s="1" t="s">
        <v>6016</v>
      </c>
      <c r="L2053" s="1">
        <v>0.747</v>
      </c>
      <c r="M2053" s="1">
        <v>0.77600000000000002</v>
      </c>
      <c r="N2053">
        <v>10</v>
      </c>
      <c r="O2053" s="1">
        <v>-5.8979999999999997</v>
      </c>
      <c r="P2053">
        <v>0</v>
      </c>
      <c r="Q2053" s="1">
        <v>0.72199999999999998</v>
      </c>
      <c r="R2053" s="1">
        <v>0.23300000000000001</v>
      </c>
      <c r="S2053" s="1">
        <v>0.13800000000000001</v>
      </c>
      <c r="T2053" s="1">
        <v>0.76100000000000001</v>
      </c>
      <c r="U2053" s="1">
        <v>0.67</v>
      </c>
      <c r="V2053" s="1">
        <v>125.07</v>
      </c>
      <c r="W2053">
        <v>4</v>
      </c>
    </row>
    <row r="2054" spans="1:23" x14ac:dyDescent="0.25">
      <c r="A2054" s="1" t="s">
        <v>18127</v>
      </c>
      <c r="B2054" s="1" t="s">
        <v>18128</v>
      </c>
      <c r="C2054" s="1" t="s">
        <v>5198</v>
      </c>
      <c r="D2054" s="1" t="s">
        <v>5198</v>
      </c>
      <c r="E2054" s="1" t="s">
        <v>6017</v>
      </c>
      <c r="F2054" s="1" t="s">
        <v>17379</v>
      </c>
      <c r="G2054">
        <v>161951</v>
      </c>
      <c r="H2054">
        <v>48</v>
      </c>
      <c r="I2054" s="1" t="s">
        <v>11063</v>
      </c>
      <c r="J2054" s="11">
        <v>44729.706458333334</v>
      </c>
      <c r="K2054" s="1" t="s">
        <v>6018</v>
      </c>
      <c r="L2054" s="1">
        <v>0.56100000000000005</v>
      </c>
      <c r="M2054" s="1">
        <v>0.90900000000000003</v>
      </c>
      <c r="N2054">
        <v>11</v>
      </c>
      <c r="O2054" s="1">
        <v>-3.66</v>
      </c>
      <c r="P2054">
        <v>0</v>
      </c>
      <c r="Q2054" s="1">
        <v>0.39100000000000001</v>
      </c>
      <c r="R2054" s="1">
        <v>0.52700000000000002</v>
      </c>
      <c r="S2054" s="1">
        <v>0.20499999999999999</v>
      </c>
      <c r="T2054" s="1">
        <v>0.35099999999999998</v>
      </c>
      <c r="U2054" s="1">
        <v>0.19500000000000001</v>
      </c>
      <c r="V2054" s="1">
        <v>123.03</v>
      </c>
      <c r="W2054">
        <v>4</v>
      </c>
    </row>
    <row r="2055" spans="1:23" x14ac:dyDescent="0.25">
      <c r="A2055" s="1" t="s">
        <v>18129</v>
      </c>
      <c r="B2055" s="1" t="s">
        <v>18130</v>
      </c>
      <c r="C2055" s="1" t="s">
        <v>6019</v>
      </c>
      <c r="D2055" s="1" t="s">
        <v>18131</v>
      </c>
      <c r="E2055" s="1" t="s">
        <v>6020</v>
      </c>
      <c r="F2055" s="1" t="s">
        <v>15671</v>
      </c>
      <c r="G2055">
        <v>198390</v>
      </c>
      <c r="H2055">
        <v>61</v>
      </c>
      <c r="I2055" s="1" t="s">
        <v>11063</v>
      </c>
      <c r="J2055" s="11">
        <v>44729.706458333334</v>
      </c>
      <c r="K2055" s="1" t="s">
        <v>6021</v>
      </c>
      <c r="L2055" s="1">
        <v>0.59799999999999998</v>
      </c>
      <c r="M2055" s="1">
        <v>0.502</v>
      </c>
      <c r="N2055">
        <v>1</v>
      </c>
      <c r="O2055" s="1">
        <v>-6.2729999999999997</v>
      </c>
      <c r="P2055">
        <v>1</v>
      </c>
      <c r="Q2055" s="1">
        <v>0.44700000000000001</v>
      </c>
      <c r="R2055" s="1">
        <v>0.86199999999999999</v>
      </c>
      <c r="S2055" s="1">
        <v>0</v>
      </c>
      <c r="T2055" s="1">
        <v>0.96</v>
      </c>
      <c r="U2055" s="1">
        <v>0.40300000000000002</v>
      </c>
      <c r="V2055" s="1">
        <v>121.621</v>
      </c>
      <c r="W2055">
        <v>5</v>
      </c>
    </row>
    <row r="2056" spans="1:23" x14ac:dyDescent="0.25">
      <c r="A2056" s="1" t="s">
        <v>18132</v>
      </c>
      <c r="B2056" s="1" t="s">
        <v>18133</v>
      </c>
      <c r="C2056" s="1" t="s">
        <v>6022</v>
      </c>
      <c r="D2056" s="1" t="s">
        <v>6023</v>
      </c>
      <c r="E2056" s="1" t="s">
        <v>6023</v>
      </c>
      <c r="F2056" s="1" t="s">
        <v>18134</v>
      </c>
      <c r="G2056">
        <v>300850</v>
      </c>
      <c r="H2056">
        <v>37</v>
      </c>
      <c r="I2056" s="1" t="s">
        <v>11063</v>
      </c>
      <c r="J2056" s="11">
        <v>44729.706458333334</v>
      </c>
      <c r="K2056" s="1" t="s">
        <v>998</v>
      </c>
      <c r="L2056" s="1">
        <v>0.26500000000000001</v>
      </c>
      <c r="M2056" s="1">
        <v>0.749</v>
      </c>
      <c r="N2056">
        <v>6</v>
      </c>
      <c r="O2056" s="1">
        <v>-6.1609999999999996</v>
      </c>
      <c r="P2056">
        <v>0</v>
      </c>
      <c r="Q2056" s="1">
        <v>0.503</v>
      </c>
      <c r="R2056" s="1">
        <v>0.33100000000000002</v>
      </c>
      <c r="S2056" s="1">
        <v>0.47799999999999998</v>
      </c>
      <c r="T2056" s="1">
        <v>0.123</v>
      </c>
      <c r="U2056" s="1">
        <v>0.26100000000000001</v>
      </c>
      <c r="V2056" s="1">
        <v>174.125</v>
      </c>
      <c r="W2056">
        <v>5</v>
      </c>
    </row>
    <row r="2057" spans="1:23" x14ac:dyDescent="0.25">
      <c r="A2057" s="1" t="s">
        <v>18135</v>
      </c>
      <c r="B2057" s="1" t="s">
        <v>11484</v>
      </c>
      <c r="C2057" s="1" t="s">
        <v>6024</v>
      </c>
      <c r="D2057" s="1" t="s">
        <v>18073</v>
      </c>
      <c r="E2057" s="1" t="s">
        <v>238</v>
      </c>
      <c r="F2057" s="1" t="s">
        <v>13253</v>
      </c>
      <c r="G2057">
        <v>265116</v>
      </c>
      <c r="H2057">
        <v>0</v>
      </c>
      <c r="I2057" s="1" t="s">
        <v>11063</v>
      </c>
      <c r="J2057" s="11">
        <v>44729.706458333334</v>
      </c>
      <c r="K2057" s="1" t="s">
        <v>239</v>
      </c>
      <c r="L2057" s="1">
        <v>0.374</v>
      </c>
      <c r="M2057" s="1">
        <v>0.70099999999999996</v>
      </c>
      <c r="N2057">
        <v>10</v>
      </c>
      <c r="O2057" s="1">
        <v>-6.6740000000000004</v>
      </c>
      <c r="P2057">
        <v>0</v>
      </c>
      <c r="Q2057" s="1">
        <v>0.11799999999999999</v>
      </c>
      <c r="R2057" s="1">
        <v>0.13300000000000001</v>
      </c>
      <c r="S2057" s="1">
        <v>0.73699999999999999</v>
      </c>
      <c r="T2057" s="1">
        <v>0.81200000000000006</v>
      </c>
      <c r="U2057" s="1">
        <v>0.57899999999999996</v>
      </c>
      <c r="V2057" s="1">
        <v>172.04</v>
      </c>
      <c r="W2057">
        <v>4</v>
      </c>
    </row>
    <row r="2058" spans="1:23" x14ac:dyDescent="0.25">
      <c r="A2058" s="1" t="s">
        <v>18136</v>
      </c>
      <c r="B2058" s="1" t="s">
        <v>18137</v>
      </c>
      <c r="C2058" s="1" t="s">
        <v>6025</v>
      </c>
      <c r="D2058" s="1" t="s">
        <v>6025</v>
      </c>
      <c r="E2058" s="1" t="s">
        <v>6026</v>
      </c>
      <c r="F2058" s="1" t="s">
        <v>18138</v>
      </c>
      <c r="G2058">
        <v>138282</v>
      </c>
      <c r="H2058">
        <v>50</v>
      </c>
      <c r="I2058" s="1" t="s">
        <v>11063</v>
      </c>
      <c r="J2058" s="11">
        <v>44729.706458333334</v>
      </c>
      <c r="K2058" s="1" t="s">
        <v>6027</v>
      </c>
      <c r="L2058" s="1">
        <v>0.68500000000000005</v>
      </c>
      <c r="M2058" s="1">
        <v>0.75</v>
      </c>
      <c r="N2058">
        <v>11</v>
      </c>
      <c r="O2058" s="1">
        <v>-4.8179999999999996</v>
      </c>
      <c r="P2058">
        <v>1</v>
      </c>
      <c r="Q2058" s="1">
        <v>0.83699999999999997</v>
      </c>
      <c r="R2058" s="1">
        <v>0.436</v>
      </c>
      <c r="S2058" s="1">
        <v>0</v>
      </c>
      <c r="T2058" s="1">
        <v>0.27200000000000002</v>
      </c>
      <c r="U2058" s="1">
        <v>0.68799999999999994</v>
      </c>
      <c r="V2058" s="1">
        <v>105.054</v>
      </c>
      <c r="W2058">
        <v>4</v>
      </c>
    </row>
    <row r="2059" spans="1:23" x14ac:dyDescent="0.25">
      <c r="A2059" s="1" t="s">
        <v>18139</v>
      </c>
      <c r="B2059" s="1" t="s">
        <v>17815</v>
      </c>
      <c r="C2059" s="1" t="s">
        <v>6028</v>
      </c>
      <c r="D2059" s="1" t="s">
        <v>18140</v>
      </c>
      <c r="E2059" s="1" t="s">
        <v>5724</v>
      </c>
      <c r="F2059" s="1" t="s">
        <v>18138</v>
      </c>
      <c r="G2059">
        <v>201044</v>
      </c>
      <c r="H2059">
        <v>38</v>
      </c>
      <c r="I2059" s="1" t="s">
        <v>11063</v>
      </c>
      <c r="J2059" s="11">
        <v>44729.706458333334</v>
      </c>
      <c r="K2059" s="1" t="s">
        <v>4098</v>
      </c>
      <c r="L2059" s="1">
        <v>0.56000000000000005</v>
      </c>
      <c r="M2059" s="1">
        <v>0.93400000000000005</v>
      </c>
      <c r="N2059">
        <v>11</v>
      </c>
      <c r="O2059" s="1">
        <v>-2.984</v>
      </c>
      <c r="P2059">
        <v>1</v>
      </c>
      <c r="Q2059" s="1">
        <v>0.378</v>
      </c>
      <c r="R2059" s="1">
        <v>0.45700000000000002</v>
      </c>
      <c r="S2059" s="1">
        <v>0.311</v>
      </c>
      <c r="T2059" s="1">
        <v>0.29699999999999999</v>
      </c>
      <c r="U2059" s="1">
        <v>0.32500000000000001</v>
      </c>
      <c r="V2059" s="1">
        <v>134.00399999999999</v>
      </c>
      <c r="W2059">
        <v>4</v>
      </c>
    </row>
    <row r="2060" spans="1:23" x14ac:dyDescent="0.25">
      <c r="A2060" s="1" t="s">
        <v>18141</v>
      </c>
      <c r="B2060" s="1" t="s">
        <v>18142</v>
      </c>
      <c r="C2060" s="1" t="s">
        <v>6029</v>
      </c>
      <c r="D2060" s="1" t="s">
        <v>6029</v>
      </c>
      <c r="E2060" s="1" t="s">
        <v>6030</v>
      </c>
      <c r="F2060" s="1" t="s">
        <v>11763</v>
      </c>
      <c r="G2060">
        <v>165000</v>
      </c>
      <c r="H2060">
        <v>27</v>
      </c>
      <c r="I2060" s="1" t="s">
        <v>11063</v>
      </c>
      <c r="J2060" s="11">
        <v>44729.706458333334</v>
      </c>
      <c r="K2060" s="1" t="s">
        <v>6031</v>
      </c>
      <c r="L2060" s="1">
        <v>0.69399999999999995</v>
      </c>
      <c r="M2060" s="1">
        <v>0.48099999999999998</v>
      </c>
      <c r="N2060">
        <v>1</v>
      </c>
      <c r="O2060" s="1">
        <v>-9.1690000000000005</v>
      </c>
      <c r="P2060">
        <v>1</v>
      </c>
      <c r="Q2060" s="1">
        <v>0.53400000000000003</v>
      </c>
      <c r="R2060" s="1">
        <v>0.90100000000000002</v>
      </c>
      <c r="S2060" s="1">
        <v>0.109</v>
      </c>
      <c r="T2060" s="1">
        <v>0.14399999999999999</v>
      </c>
      <c r="U2060" s="1">
        <v>0.112</v>
      </c>
      <c r="V2060" s="1">
        <v>119.93300000000001</v>
      </c>
      <c r="W2060">
        <v>4</v>
      </c>
    </row>
    <row r="2061" spans="1:23" x14ac:dyDescent="0.25">
      <c r="A2061" s="1" t="s">
        <v>11132</v>
      </c>
      <c r="B2061" s="1" t="s">
        <v>11133</v>
      </c>
      <c r="C2061" s="1" t="s">
        <v>6032</v>
      </c>
      <c r="D2061" s="1" t="s">
        <v>6032</v>
      </c>
      <c r="E2061" s="1" t="s">
        <v>2088</v>
      </c>
      <c r="F2061" s="1" t="s">
        <v>18143</v>
      </c>
      <c r="G2061">
        <v>195909</v>
      </c>
      <c r="H2061">
        <v>59</v>
      </c>
      <c r="I2061" s="1" t="s">
        <v>11063</v>
      </c>
      <c r="J2061" s="11">
        <v>44729.706458333334</v>
      </c>
      <c r="K2061" s="1" t="s">
        <v>2089</v>
      </c>
      <c r="L2061" s="1">
        <v>0.73699999999999999</v>
      </c>
      <c r="M2061" s="1">
        <v>0.45600000000000002</v>
      </c>
      <c r="N2061">
        <v>0</v>
      </c>
      <c r="O2061" s="1">
        <v>-9.7910000000000004</v>
      </c>
      <c r="P2061">
        <v>1</v>
      </c>
      <c r="Q2061" s="1">
        <v>0.81699999999999995</v>
      </c>
      <c r="R2061" s="1">
        <v>0.30599999999999999</v>
      </c>
      <c r="S2061" s="1">
        <v>0</v>
      </c>
      <c r="T2061" s="1">
        <v>0.86299999999999999</v>
      </c>
      <c r="U2061" s="1">
        <v>0.42</v>
      </c>
      <c r="V2061" s="1">
        <v>132.875</v>
      </c>
      <c r="W2061">
        <v>4</v>
      </c>
    </row>
    <row r="2062" spans="1:23" x14ac:dyDescent="0.25">
      <c r="A2062" s="1" t="s">
        <v>18144</v>
      </c>
      <c r="B2062" s="1" t="s">
        <v>18145</v>
      </c>
      <c r="C2062" s="1" t="s">
        <v>6033</v>
      </c>
      <c r="D2062" s="1" t="s">
        <v>6033</v>
      </c>
      <c r="E2062" s="1" t="s">
        <v>6034</v>
      </c>
      <c r="F2062" s="1" t="s">
        <v>11763</v>
      </c>
      <c r="G2062">
        <v>263100</v>
      </c>
      <c r="H2062">
        <v>39</v>
      </c>
      <c r="I2062" s="1" t="s">
        <v>11063</v>
      </c>
      <c r="J2062" s="11">
        <v>44729.706458333334</v>
      </c>
      <c r="K2062" s="1" t="s">
        <v>6035</v>
      </c>
      <c r="L2062" s="1">
        <v>0.504</v>
      </c>
      <c r="M2062" s="1">
        <v>0.438</v>
      </c>
      <c r="N2062">
        <v>6</v>
      </c>
      <c r="O2062" s="1">
        <v>-12.266999999999999</v>
      </c>
      <c r="P2062">
        <v>1</v>
      </c>
      <c r="Q2062" s="1">
        <v>0.33100000000000002</v>
      </c>
      <c r="R2062" s="1">
        <v>0.46700000000000003</v>
      </c>
      <c r="S2062" s="1">
        <v>0.93200000000000005</v>
      </c>
      <c r="T2062" s="1">
        <v>0.125</v>
      </c>
      <c r="U2062" s="1">
        <v>0.95299999999999996</v>
      </c>
      <c r="V2062" s="1">
        <v>149.99100000000001</v>
      </c>
      <c r="W2062">
        <v>3</v>
      </c>
    </row>
    <row r="2063" spans="1:23" x14ac:dyDescent="0.25">
      <c r="A2063" s="1" t="s">
        <v>18146</v>
      </c>
      <c r="B2063" s="1" t="s">
        <v>18147</v>
      </c>
      <c r="C2063" s="1" t="s">
        <v>6036</v>
      </c>
      <c r="D2063" s="1" t="s">
        <v>6036</v>
      </c>
      <c r="E2063" s="1" t="s">
        <v>6037</v>
      </c>
      <c r="F2063" s="1" t="s">
        <v>11763</v>
      </c>
      <c r="G2063">
        <v>153430</v>
      </c>
      <c r="H2063">
        <v>41</v>
      </c>
      <c r="I2063" s="1" t="s">
        <v>11063</v>
      </c>
      <c r="J2063" s="11">
        <v>44729.706458333334</v>
      </c>
      <c r="K2063" s="1" t="s">
        <v>6038</v>
      </c>
      <c r="L2063" s="1">
        <v>0.55400000000000005</v>
      </c>
      <c r="M2063" s="1">
        <v>0.83499999999999996</v>
      </c>
      <c r="N2063">
        <v>5</v>
      </c>
      <c r="O2063" s="1">
        <v>-4.6989999999999998</v>
      </c>
      <c r="P2063">
        <v>1</v>
      </c>
      <c r="Q2063" s="1">
        <v>0.33400000000000002</v>
      </c>
      <c r="R2063" s="1">
        <v>0.33400000000000002</v>
      </c>
      <c r="S2063" s="1">
        <v>0.83199999999999996</v>
      </c>
      <c r="T2063" s="1">
        <v>0.91200000000000003</v>
      </c>
      <c r="U2063" s="1">
        <v>0.64900000000000002</v>
      </c>
      <c r="V2063" s="1">
        <v>117.932</v>
      </c>
      <c r="W2063">
        <v>4</v>
      </c>
    </row>
    <row r="2064" spans="1:23" x14ac:dyDescent="0.25">
      <c r="A2064" s="1" t="s">
        <v>18148</v>
      </c>
      <c r="B2064" s="1" t="s">
        <v>16284</v>
      </c>
      <c r="C2064" s="1" t="s">
        <v>1454</v>
      </c>
      <c r="D2064" s="1" t="s">
        <v>1454</v>
      </c>
      <c r="E2064" s="1" t="s">
        <v>4386</v>
      </c>
      <c r="F2064" s="1" t="s">
        <v>11763</v>
      </c>
      <c r="G2064">
        <v>163547</v>
      </c>
      <c r="H2064">
        <v>67</v>
      </c>
      <c r="I2064" s="1" t="s">
        <v>11063</v>
      </c>
      <c r="J2064" s="11">
        <v>44729.706458333334</v>
      </c>
      <c r="K2064" s="1" t="s">
        <v>4387</v>
      </c>
      <c r="L2064" s="1">
        <v>0.63600000000000001</v>
      </c>
      <c r="M2064" s="1">
        <v>0.24299999999999999</v>
      </c>
      <c r="N2064">
        <v>2</v>
      </c>
      <c r="O2064" s="1">
        <v>-9.5090000000000003</v>
      </c>
      <c r="P2064">
        <v>1</v>
      </c>
      <c r="Q2064" s="1">
        <v>0.4</v>
      </c>
      <c r="R2064" s="1">
        <v>0.81499999999999995</v>
      </c>
      <c r="S2064" s="1">
        <v>0</v>
      </c>
      <c r="T2064" s="1">
        <v>0.111</v>
      </c>
      <c r="U2064" s="1">
        <v>0.23899999999999999</v>
      </c>
      <c r="V2064" s="1">
        <v>142.01599999999999</v>
      </c>
      <c r="W2064">
        <v>4</v>
      </c>
    </row>
    <row r="2065" spans="1:23" x14ac:dyDescent="0.25">
      <c r="A2065" s="1" t="s">
        <v>18149</v>
      </c>
      <c r="B2065" s="1" t="s">
        <v>14974</v>
      </c>
      <c r="C2065" s="1" t="s">
        <v>5344</v>
      </c>
      <c r="D2065" s="1" t="s">
        <v>5344</v>
      </c>
      <c r="E2065" s="1" t="s">
        <v>3250</v>
      </c>
      <c r="F2065" s="1" t="s">
        <v>11763</v>
      </c>
      <c r="G2065">
        <v>220589</v>
      </c>
      <c r="H2065">
        <v>44</v>
      </c>
      <c r="I2065" s="1" t="s">
        <v>11063</v>
      </c>
      <c r="J2065" s="11">
        <v>44729.706458333334</v>
      </c>
      <c r="K2065" s="1" t="s">
        <v>235</v>
      </c>
      <c r="L2065" s="1">
        <v>0.83799999999999997</v>
      </c>
      <c r="M2065" s="1">
        <v>0.54500000000000004</v>
      </c>
      <c r="N2065">
        <v>5</v>
      </c>
      <c r="O2065" s="1">
        <v>-6.7130000000000001</v>
      </c>
      <c r="P2065">
        <v>1</v>
      </c>
      <c r="Q2065" s="1">
        <v>0.70599999999999996</v>
      </c>
      <c r="R2065" s="1">
        <v>0.20799999999999999</v>
      </c>
      <c r="S2065" s="1">
        <v>0.80100000000000005</v>
      </c>
      <c r="T2065" s="1">
        <v>0.10299999999999999</v>
      </c>
      <c r="U2065" s="1">
        <v>0.63100000000000001</v>
      </c>
      <c r="V2065" s="1">
        <v>114.998</v>
      </c>
      <c r="W2065">
        <v>4</v>
      </c>
    </row>
    <row r="2066" spans="1:23" x14ac:dyDescent="0.25">
      <c r="A2066" s="1" t="s">
        <v>18150</v>
      </c>
      <c r="B2066" s="1" t="s">
        <v>18151</v>
      </c>
      <c r="C2066" s="1" t="s">
        <v>6039</v>
      </c>
      <c r="D2066" s="1" t="s">
        <v>6039</v>
      </c>
      <c r="E2066" s="1" t="s">
        <v>6040</v>
      </c>
      <c r="F2066" s="1" t="s">
        <v>11763</v>
      </c>
      <c r="G2066">
        <v>270677</v>
      </c>
      <c r="H2066">
        <v>38</v>
      </c>
      <c r="I2066" s="1" t="s">
        <v>11063</v>
      </c>
      <c r="J2066" s="11">
        <v>44729.706458333334</v>
      </c>
      <c r="K2066" s="1" t="s">
        <v>2372</v>
      </c>
      <c r="L2066" s="1">
        <v>0.33800000000000002</v>
      </c>
      <c r="M2066" s="1">
        <v>0.51200000000000001</v>
      </c>
      <c r="N2066">
        <v>4</v>
      </c>
      <c r="O2066" s="1">
        <v>-9.5960000000000001</v>
      </c>
      <c r="P2066">
        <v>1</v>
      </c>
      <c r="Q2066" s="1">
        <v>0.11</v>
      </c>
      <c r="R2066" s="1">
        <v>0.78600000000000003</v>
      </c>
      <c r="S2066" s="1">
        <v>0.39300000000000002</v>
      </c>
      <c r="T2066" s="1">
        <v>0.81899999999999995</v>
      </c>
      <c r="U2066" s="1">
        <v>0.20300000000000001</v>
      </c>
      <c r="V2066" s="1">
        <v>89.15</v>
      </c>
      <c r="W2066">
        <v>4</v>
      </c>
    </row>
    <row r="2067" spans="1:23" x14ac:dyDescent="0.25">
      <c r="A2067" s="1" t="s">
        <v>18152</v>
      </c>
      <c r="B2067" s="1" t="s">
        <v>18153</v>
      </c>
      <c r="C2067" s="1" t="s">
        <v>6041</v>
      </c>
      <c r="D2067" s="1" t="s">
        <v>6041</v>
      </c>
      <c r="E2067" s="1" t="s">
        <v>6042</v>
      </c>
      <c r="F2067" s="1" t="s">
        <v>15459</v>
      </c>
      <c r="G2067">
        <v>197100</v>
      </c>
      <c r="H2067">
        <v>43</v>
      </c>
      <c r="I2067" s="1" t="s">
        <v>11063</v>
      </c>
      <c r="J2067" s="11">
        <v>44729.706458333334</v>
      </c>
      <c r="K2067" s="1" t="s">
        <v>6043</v>
      </c>
      <c r="L2067" s="1">
        <v>0.54600000000000004</v>
      </c>
      <c r="M2067" s="1">
        <v>0.76400000000000001</v>
      </c>
      <c r="N2067">
        <v>5</v>
      </c>
      <c r="O2067" s="1">
        <v>-4.641</v>
      </c>
      <c r="P2067">
        <v>1</v>
      </c>
      <c r="Q2067" s="1">
        <v>0.53</v>
      </c>
      <c r="R2067" s="1">
        <v>0.80300000000000005</v>
      </c>
      <c r="S2067" s="1">
        <v>0.88400000000000001</v>
      </c>
      <c r="T2067" s="1">
        <v>0.97099999999999997</v>
      </c>
      <c r="U2067" s="1">
        <v>0.35499999999999998</v>
      </c>
      <c r="V2067" s="1">
        <v>152.994</v>
      </c>
      <c r="W2067">
        <v>4</v>
      </c>
    </row>
    <row r="2068" spans="1:23" x14ac:dyDescent="0.25">
      <c r="A2068" s="1" t="s">
        <v>18154</v>
      </c>
      <c r="B2068" s="1" t="s">
        <v>18155</v>
      </c>
      <c r="C2068" s="1" t="s">
        <v>2887</v>
      </c>
      <c r="D2068" s="1" t="s">
        <v>18156</v>
      </c>
      <c r="E2068" s="1" t="s">
        <v>6044</v>
      </c>
      <c r="F2068" s="1" t="s">
        <v>17640</v>
      </c>
      <c r="G2068">
        <v>194923</v>
      </c>
      <c r="H2068">
        <v>34</v>
      </c>
      <c r="I2068" s="1" t="s">
        <v>11063</v>
      </c>
      <c r="J2068" s="11">
        <v>44729.706458333334</v>
      </c>
      <c r="K2068" s="1" t="s">
        <v>6045</v>
      </c>
      <c r="L2068" s="1">
        <v>0.45600000000000002</v>
      </c>
      <c r="M2068" s="1">
        <v>0.68799999999999994</v>
      </c>
      <c r="N2068">
        <v>10</v>
      </c>
      <c r="O2068" s="1">
        <v>-6.2880000000000003</v>
      </c>
      <c r="P2068">
        <v>1</v>
      </c>
      <c r="Q2068" s="1">
        <v>0.33900000000000002</v>
      </c>
      <c r="R2068" s="1">
        <v>0.28899999999999998</v>
      </c>
      <c r="S2068" s="1">
        <v>0.81100000000000005</v>
      </c>
      <c r="T2068" s="1">
        <v>0.40600000000000003</v>
      </c>
      <c r="U2068" s="1">
        <v>0.72399999999999998</v>
      </c>
      <c r="V2068" s="1">
        <v>170.08</v>
      </c>
      <c r="W2068">
        <v>4</v>
      </c>
    </row>
    <row r="2069" spans="1:23" x14ac:dyDescent="0.25">
      <c r="A2069" s="1" t="s">
        <v>18157</v>
      </c>
      <c r="B2069" s="1" t="s">
        <v>18158</v>
      </c>
      <c r="C2069" s="1" t="s">
        <v>6046</v>
      </c>
      <c r="D2069" s="1" t="s">
        <v>6046</v>
      </c>
      <c r="E2069" s="1" t="s">
        <v>6047</v>
      </c>
      <c r="F2069" s="1" t="s">
        <v>15638</v>
      </c>
      <c r="G2069">
        <v>221376</v>
      </c>
      <c r="H2069">
        <v>37</v>
      </c>
      <c r="I2069" s="1" t="s">
        <v>11063</v>
      </c>
      <c r="J2069" s="11">
        <v>44729.706458333334</v>
      </c>
      <c r="K2069" s="1" t="s">
        <v>3873</v>
      </c>
      <c r="L2069" s="1">
        <v>0.35199999999999998</v>
      </c>
      <c r="M2069" s="1">
        <v>0.76800000000000002</v>
      </c>
      <c r="N2069">
        <v>1</v>
      </c>
      <c r="O2069" s="1">
        <v>-6.7220000000000004</v>
      </c>
      <c r="P2069">
        <v>1</v>
      </c>
      <c r="Q2069" s="1">
        <v>0.127</v>
      </c>
      <c r="R2069" s="1">
        <v>0.65500000000000003</v>
      </c>
      <c r="S2069" s="1">
        <v>0.193</v>
      </c>
      <c r="T2069" s="1">
        <v>0.54900000000000004</v>
      </c>
      <c r="U2069" s="1">
        <v>0.99199999999999999</v>
      </c>
      <c r="V2069" s="1">
        <v>140.06899999999999</v>
      </c>
      <c r="W2069">
        <v>4</v>
      </c>
    </row>
    <row r="2070" spans="1:23" x14ac:dyDescent="0.25">
      <c r="A2070" s="1" t="s">
        <v>11134</v>
      </c>
      <c r="B2070" s="1" t="s">
        <v>11135</v>
      </c>
      <c r="C2070" s="1" t="s">
        <v>6048</v>
      </c>
      <c r="D2070" s="1" t="s">
        <v>6048</v>
      </c>
      <c r="E2070" s="1" t="s">
        <v>6049</v>
      </c>
      <c r="F2070" s="1" t="s">
        <v>16754</v>
      </c>
      <c r="G2070">
        <v>168837</v>
      </c>
      <c r="H2070">
        <v>24</v>
      </c>
      <c r="I2070" s="1" t="s">
        <v>11063</v>
      </c>
      <c r="J2070" s="11">
        <v>44729.706458333334</v>
      </c>
      <c r="K2070" s="1" t="s">
        <v>6050</v>
      </c>
      <c r="L2070" s="1">
        <v>0.622</v>
      </c>
      <c r="M2070" s="1">
        <v>0.73799999999999999</v>
      </c>
      <c r="N2070">
        <v>9</v>
      </c>
      <c r="O2070" s="1">
        <v>-3.9769999999999999</v>
      </c>
      <c r="P2070">
        <v>0</v>
      </c>
      <c r="Q2070" s="1">
        <v>0.60599999999999998</v>
      </c>
      <c r="R2070" s="1">
        <v>0.317</v>
      </c>
      <c r="S2070" s="1">
        <v>0.16500000000000001</v>
      </c>
      <c r="T2070" s="1">
        <v>0.16600000000000001</v>
      </c>
      <c r="U2070" s="1">
        <v>0.22500000000000001</v>
      </c>
      <c r="V2070" s="1">
        <v>171.98400000000001</v>
      </c>
      <c r="W2070">
        <v>4</v>
      </c>
    </row>
    <row r="2071" spans="1:23" x14ac:dyDescent="0.25">
      <c r="A2071" s="1" t="s">
        <v>18159</v>
      </c>
      <c r="B2071" s="1" t="s">
        <v>18160</v>
      </c>
      <c r="C2071" s="1" t="s">
        <v>3494</v>
      </c>
      <c r="D2071" s="1" t="s">
        <v>3494</v>
      </c>
      <c r="E2071" s="1" t="s">
        <v>6051</v>
      </c>
      <c r="F2071" s="1" t="s">
        <v>14343</v>
      </c>
      <c r="G2071">
        <v>177659</v>
      </c>
      <c r="H2071">
        <v>46</v>
      </c>
      <c r="I2071" s="1" t="s">
        <v>11063</v>
      </c>
      <c r="J2071" s="11">
        <v>44729.706458333334</v>
      </c>
      <c r="K2071" s="1" t="s">
        <v>933</v>
      </c>
      <c r="L2071" s="1">
        <v>0.52400000000000002</v>
      </c>
      <c r="M2071" s="1">
        <v>0.72299999999999998</v>
      </c>
      <c r="N2071">
        <v>4</v>
      </c>
      <c r="O2071" s="1">
        <v>-5.5140000000000002</v>
      </c>
      <c r="P2071">
        <v>0</v>
      </c>
      <c r="Q2071" s="1">
        <v>0.70399999999999996</v>
      </c>
      <c r="R2071" s="1">
        <v>0.41499999999999998</v>
      </c>
      <c r="S2071" s="1">
        <v>0</v>
      </c>
      <c r="T2071" s="1">
        <v>0.32500000000000001</v>
      </c>
      <c r="U2071" s="1">
        <v>0.15</v>
      </c>
      <c r="V2071" s="1">
        <v>150.15100000000001</v>
      </c>
      <c r="W2071">
        <v>4</v>
      </c>
    </row>
    <row r="2072" spans="1:23" x14ac:dyDescent="0.25">
      <c r="A2072" s="1" t="s">
        <v>18161</v>
      </c>
      <c r="B2072" s="1" t="s">
        <v>18162</v>
      </c>
      <c r="C2072" s="1" t="s">
        <v>6052</v>
      </c>
      <c r="D2072" s="1" t="s">
        <v>6052</v>
      </c>
      <c r="E2072" s="1" t="s">
        <v>6053</v>
      </c>
      <c r="F2072" s="1" t="s">
        <v>18163</v>
      </c>
      <c r="G2072">
        <v>229757</v>
      </c>
      <c r="H2072">
        <v>0</v>
      </c>
      <c r="I2072" s="1" t="s">
        <v>11063</v>
      </c>
      <c r="J2072" s="11">
        <v>44729.706458333334</v>
      </c>
      <c r="K2072" s="1" t="s">
        <v>50</v>
      </c>
      <c r="L2072" s="1">
        <v>0.51100000000000001</v>
      </c>
      <c r="M2072" s="1">
        <v>0.79100000000000004</v>
      </c>
      <c r="N2072">
        <v>11</v>
      </c>
      <c r="O2072" s="1">
        <v>-3.931</v>
      </c>
      <c r="P2072">
        <v>1</v>
      </c>
      <c r="Q2072" s="1">
        <v>0.41499999999999998</v>
      </c>
      <c r="R2072" s="1">
        <v>0.20300000000000001</v>
      </c>
      <c r="S2072" s="1">
        <v>0.77</v>
      </c>
      <c r="T2072" s="1">
        <v>0.90700000000000003</v>
      </c>
      <c r="U2072" s="1">
        <v>0.34599999999999997</v>
      </c>
      <c r="V2072" s="1">
        <v>95.045000000000002</v>
      </c>
      <c r="W2072">
        <v>4</v>
      </c>
    </row>
    <row r="2073" spans="1:23" x14ac:dyDescent="0.25">
      <c r="A2073" s="1" t="s">
        <v>18164</v>
      </c>
      <c r="B2073" s="1" t="s">
        <v>18165</v>
      </c>
      <c r="C2073" s="1" t="s">
        <v>6054</v>
      </c>
      <c r="D2073" s="1" t="s">
        <v>6054</v>
      </c>
      <c r="E2073" s="1" t="s">
        <v>6055</v>
      </c>
      <c r="F2073" s="1" t="s">
        <v>16267</v>
      </c>
      <c r="G2073">
        <v>260645</v>
      </c>
      <c r="H2073">
        <v>33</v>
      </c>
      <c r="I2073" s="1" t="s">
        <v>11063</v>
      </c>
      <c r="J2073" s="11">
        <v>44729.706458333334</v>
      </c>
      <c r="K2073" s="1" t="s">
        <v>50</v>
      </c>
      <c r="L2073" s="1">
        <v>0.56699999999999995</v>
      </c>
      <c r="M2073" s="1">
        <v>0.67300000000000004</v>
      </c>
      <c r="N2073">
        <v>6</v>
      </c>
      <c r="O2073" s="1">
        <v>-7.875</v>
      </c>
      <c r="P2073">
        <v>0</v>
      </c>
      <c r="Q2073" s="1">
        <v>0.71099999999999997</v>
      </c>
      <c r="R2073" s="1">
        <v>0.30199999999999999</v>
      </c>
      <c r="S2073" s="1">
        <v>0.12</v>
      </c>
      <c r="T2073" s="1">
        <v>0.26300000000000001</v>
      </c>
      <c r="U2073" s="1">
        <v>0.39</v>
      </c>
      <c r="V2073" s="1">
        <v>92.97</v>
      </c>
      <c r="W2073">
        <v>4</v>
      </c>
    </row>
    <row r="2074" spans="1:23" x14ac:dyDescent="0.25">
      <c r="A2074" s="1" t="s">
        <v>18166</v>
      </c>
      <c r="B2074" s="1" t="s">
        <v>18167</v>
      </c>
      <c r="C2074" s="1" t="s">
        <v>6056</v>
      </c>
      <c r="D2074" s="1" t="s">
        <v>6056</v>
      </c>
      <c r="E2074" s="1" t="s">
        <v>6057</v>
      </c>
      <c r="F2074" s="1" t="s">
        <v>14129</v>
      </c>
      <c r="G2074">
        <v>280946</v>
      </c>
      <c r="H2074">
        <v>15</v>
      </c>
      <c r="I2074" s="1" t="s">
        <v>11063</v>
      </c>
      <c r="J2074" s="11">
        <v>44729.706458333334</v>
      </c>
      <c r="K2074" s="1" t="s">
        <v>1053</v>
      </c>
      <c r="L2074" s="1">
        <v>0.54300000000000004</v>
      </c>
      <c r="M2074" s="1">
        <v>0.77200000000000002</v>
      </c>
      <c r="N2074">
        <v>1</v>
      </c>
      <c r="O2074" s="1">
        <v>-5.0549999999999997</v>
      </c>
      <c r="P2074">
        <v>0</v>
      </c>
      <c r="Q2074" s="1">
        <v>0.51300000000000001</v>
      </c>
      <c r="R2074" s="1">
        <v>0.27400000000000002</v>
      </c>
      <c r="S2074" s="1">
        <v>0.34300000000000003</v>
      </c>
      <c r="T2074" s="1">
        <v>0.255</v>
      </c>
      <c r="U2074" s="1">
        <v>0.224</v>
      </c>
      <c r="V2074" s="1">
        <v>139.65199999999999</v>
      </c>
      <c r="W2074">
        <v>4</v>
      </c>
    </row>
    <row r="2075" spans="1:23" x14ac:dyDescent="0.25">
      <c r="A2075" s="1" t="s">
        <v>18168</v>
      </c>
      <c r="B2075" s="1" t="s">
        <v>18169</v>
      </c>
      <c r="C2075" s="1" t="s">
        <v>6058</v>
      </c>
      <c r="D2075" s="1" t="s">
        <v>18170</v>
      </c>
      <c r="E2075" s="1" t="s">
        <v>6059</v>
      </c>
      <c r="F2075" s="1" t="s">
        <v>11340</v>
      </c>
      <c r="G2075">
        <v>181935</v>
      </c>
      <c r="H2075">
        <v>32</v>
      </c>
      <c r="I2075" s="1" t="s">
        <v>11063</v>
      </c>
      <c r="J2075" s="11">
        <v>44729.706458333334</v>
      </c>
      <c r="K2075" s="1" t="s">
        <v>6060</v>
      </c>
      <c r="L2075" s="1">
        <v>0.503</v>
      </c>
      <c r="M2075" s="1">
        <v>0.49199999999999999</v>
      </c>
      <c r="N2075">
        <v>2</v>
      </c>
      <c r="O2075" s="1">
        <v>-8.6029999999999998</v>
      </c>
      <c r="P2075">
        <v>0</v>
      </c>
      <c r="Q2075" s="1">
        <v>0.60199999999999998</v>
      </c>
      <c r="R2075" s="1">
        <v>0.11700000000000001</v>
      </c>
      <c r="S2075" s="1">
        <v>0</v>
      </c>
      <c r="T2075" s="1">
        <v>0.71699999999999997</v>
      </c>
      <c r="U2075" s="1">
        <v>0.249</v>
      </c>
      <c r="V2075" s="1">
        <v>123.56399999999999</v>
      </c>
      <c r="W2075">
        <v>4</v>
      </c>
    </row>
    <row r="2076" spans="1:23" x14ac:dyDescent="0.25">
      <c r="A2076" s="1" t="s">
        <v>18171</v>
      </c>
      <c r="B2076" s="1" t="s">
        <v>18172</v>
      </c>
      <c r="C2076" s="1" t="s">
        <v>2624</v>
      </c>
      <c r="D2076" s="1" t="s">
        <v>18170</v>
      </c>
      <c r="E2076" s="1" t="s">
        <v>6061</v>
      </c>
      <c r="F2076" s="1" t="s">
        <v>11340</v>
      </c>
      <c r="G2076">
        <v>207272</v>
      </c>
      <c r="H2076">
        <v>29</v>
      </c>
      <c r="I2076" s="1" t="s">
        <v>11063</v>
      </c>
      <c r="J2076" s="11">
        <v>44729.706458333334</v>
      </c>
      <c r="K2076" s="1" t="s">
        <v>6062</v>
      </c>
      <c r="L2076" s="1">
        <v>0.59099999999999997</v>
      </c>
      <c r="M2076" s="1">
        <v>0.65200000000000002</v>
      </c>
      <c r="N2076">
        <v>7</v>
      </c>
      <c r="O2076" s="1">
        <v>-7.3470000000000004</v>
      </c>
      <c r="P2076">
        <v>1</v>
      </c>
      <c r="Q2076" s="1">
        <v>0.33900000000000002</v>
      </c>
      <c r="R2076" s="1">
        <v>0.83599999999999997</v>
      </c>
      <c r="S2076" s="1">
        <v>0.15</v>
      </c>
      <c r="T2076" s="1">
        <v>0.222</v>
      </c>
      <c r="U2076" s="1">
        <v>0.23100000000000001</v>
      </c>
      <c r="V2076" s="1">
        <v>110.006</v>
      </c>
      <c r="W2076">
        <v>4</v>
      </c>
    </row>
    <row r="2077" spans="1:23" x14ac:dyDescent="0.25">
      <c r="A2077" s="1" t="s">
        <v>18173</v>
      </c>
      <c r="B2077" s="1" t="s">
        <v>18174</v>
      </c>
      <c r="C2077" s="1" t="s">
        <v>6063</v>
      </c>
      <c r="D2077" s="1" t="s">
        <v>18170</v>
      </c>
      <c r="E2077" s="1" t="s">
        <v>6064</v>
      </c>
      <c r="F2077" s="1" t="s">
        <v>11340</v>
      </c>
      <c r="G2077">
        <v>211690</v>
      </c>
      <c r="H2077">
        <v>35</v>
      </c>
      <c r="I2077" s="1" t="s">
        <v>11063</v>
      </c>
      <c r="J2077" s="11">
        <v>44729.706458333334</v>
      </c>
      <c r="K2077" s="1" t="s">
        <v>6065</v>
      </c>
      <c r="L2077" s="1">
        <v>0.52900000000000003</v>
      </c>
      <c r="M2077" s="1">
        <v>0.73899999999999999</v>
      </c>
      <c r="N2077">
        <v>7</v>
      </c>
      <c r="O2077" s="1">
        <v>-2.62</v>
      </c>
      <c r="P2077">
        <v>0</v>
      </c>
      <c r="Q2077" s="1">
        <v>0.30099999999999999</v>
      </c>
      <c r="R2077" s="1">
        <v>0.23300000000000001</v>
      </c>
      <c r="S2077" s="1">
        <v>0.81499999999999995</v>
      </c>
      <c r="T2077" s="1">
        <v>0.112</v>
      </c>
      <c r="U2077" s="1">
        <v>0.183</v>
      </c>
      <c r="V2077" s="1">
        <v>141.88900000000001</v>
      </c>
      <c r="W2077">
        <v>4</v>
      </c>
    </row>
    <row r="2078" spans="1:23" x14ac:dyDescent="0.25">
      <c r="A2078" s="1" t="s">
        <v>18175</v>
      </c>
      <c r="B2078" s="1" t="s">
        <v>18176</v>
      </c>
      <c r="C2078" s="1" t="s">
        <v>6066</v>
      </c>
      <c r="D2078" s="1" t="s">
        <v>18170</v>
      </c>
      <c r="E2078" s="1" t="s">
        <v>6067</v>
      </c>
      <c r="F2078" s="1" t="s">
        <v>11340</v>
      </c>
      <c r="G2078">
        <v>207096</v>
      </c>
      <c r="H2078">
        <v>26</v>
      </c>
      <c r="I2078" s="1" t="s">
        <v>11063</v>
      </c>
      <c r="J2078" s="11">
        <v>44729.706458333334</v>
      </c>
      <c r="K2078" s="1" t="s">
        <v>6065</v>
      </c>
      <c r="L2078" s="1">
        <v>0.53300000000000003</v>
      </c>
      <c r="M2078" s="1">
        <v>0.89500000000000002</v>
      </c>
      <c r="N2078">
        <v>2</v>
      </c>
      <c r="O2078" s="1">
        <v>-2.7690000000000001</v>
      </c>
      <c r="P2078">
        <v>0</v>
      </c>
      <c r="Q2078" s="1">
        <v>0.374</v>
      </c>
      <c r="R2078" s="1">
        <v>0.41099999999999998</v>
      </c>
      <c r="S2078" s="1">
        <v>0.18</v>
      </c>
      <c r="T2078" s="1">
        <v>0.11</v>
      </c>
      <c r="U2078" s="1">
        <v>0.318</v>
      </c>
      <c r="V2078" s="1">
        <v>123.93899999999999</v>
      </c>
      <c r="W2078">
        <v>4</v>
      </c>
    </row>
    <row r="2079" spans="1:23" x14ac:dyDescent="0.25">
      <c r="A2079" s="1" t="s">
        <v>18177</v>
      </c>
      <c r="B2079" s="1" t="s">
        <v>18178</v>
      </c>
      <c r="C2079" s="1" t="s">
        <v>6068</v>
      </c>
      <c r="D2079" s="1" t="s">
        <v>18170</v>
      </c>
      <c r="E2079" s="1" t="s">
        <v>6069</v>
      </c>
      <c r="F2079" s="1" t="s">
        <v>11340</v>
      </c>
      <c r="G2079">
        <v>217498</v>
      </c>
      <c r="H2079">
        <v>49</v>
      </c>
      <c r="I2079" s="1" t="s">
        <v>11063</v>
      </c>
      <c r="J2079" s="11">
        <v>44729.706458333334</v>
      </c>
      <c r="K2079" s="1" t="s">
        <v>6070</v>
      </c>
      <c r="L2079" s="1">
        <v>0.58299999999999996</v>
      </c>
      <c r="M2079" s="1">
        <v>0.72299999999999998</v>
      </c>
      <c r="N2079">
        <v>6</v>
      </c>
      <c r="O2079" s="1">
        <v>-3.8879999999999999</v>
      </c>
      <c r="P2079">
        <v>0</v>
      </c>
      <c r="Q2079" s="1">
        <v>0.434</v>
      </c>
      <c r="R2079" s="1">
        <v>0.128</v>
      </c>
      <c r="S2079" s="1">
        <v>0</v>
      </c>
      <c r="T2079" s="1">
        <v>0.32300000000000001</v>
      </c>
      <c r="U2079" s="1">
        <v>0.35099999999999998</v>
      </c>
      <c r="V2079" s="1">
        <v>128.13800000000001</v>
      </c>
      <c r="W2079">
        <v>4</v>
      </c>
    </row>
    <row r="2080" spans="1:23" x14ac:dyDescent="0.25">
      <c r="A2080" s="1" t="s">
        <v>18179</v>
      </c>
      <c r="B2080" s="1" t="s">
        <v>18180</v>
      </c>
      <c r="C2080" s="1" t="s">
        <v>6071</v>
      </c>
      <c r="D2080" s="1" t="s">
        <v>6071</v>
      </c>
      <c r="E2080" s="1" t="s">
        <v>6072</v>
      </c>
      <c r="F2080" s="1" t="s">
        <v>11677</v>
      </c>
      <c r="G2080">
        <v>209027</v>
      </c>
      <c r="H2080">
        <v>30</v>
      </c>
      <c r="I2080" s="1" t="s">
        <v>11063</v>
      </c>
      <c r="J2080" s="11">
        <v>44729.706458333334</v>
      </c>
      <c r="K2080" s="1" t="s">
        <v>50</v>
      </c>
      <c r="L2080" s="1">
        <v>0.73</v>
      </c>
      <c r="M2080" s="1">
        <v>0.57999999999999996</v>
      </c>
      <c r="N2080">
        <v>7</v>
      </c>
      <c r="O2080" s="1">
        <v>-6.9630000000000001</v>
      </c>
      <c r="P2080">
        <v>1</v>
      </c>
      <c r="Q2080" s="1">
        <v>0.875</v>
      </c>
      <c r="R2080" s="1">
        <v>0.42499999999999999</v>
      </c>
      <c r="S2080" s="1">
        <v>0</v>
      </c>
      <c r="T2080" s="1">
        <v>0.23100000000000001</v>
      </c>
      <c r="U2080" s="1">
        <v>0.28399999999999997</v>
      </c>
      <c r="V2080" s="1">
        <v>93.051000000000002</v>
      </c>
      <c r="W2080">
        <v>4</v>
      </c>
    </row>
    <row r="2081" spans="1:23" x14ac:dyDescent="0.25">
      <c r="A2081" s="1" t="s">
        <v>18181</v>
      </c>
      <c r="B2081" s="1" t="s">
        <v>18182</v>
      </c>
      <c r="C2081" s="1" t="s">
        <v>6073</v>
      </c>
      <c r="D2081" s="1" t="s">
        <v>6073</v>
      </c>
      <c r="E2081" s="1" t="s">
        <v>6074</v>
      </c>
      <c r="F2081" s="1" t="s">
        <v>18183</v>
      </c>
      <c r="G2081">
        <v>157532</v>
      </c>
      <c r="H2081">
        <v>29</v>
      </c>
      <c r="I2081" s="1" t="s">
        <v>11063</v>
      </c>
      <c r="J2081" s="11">
        <v>44729.706458333334</v>
      </c>
      <c r="K2081" s="1" t="s">
        <v>50</v>
      </c>
      <c r="L2081" s="1">
        <v>0.47</v>
      </c>
      <c r="M2081" s="1">
        <v>0.70599999999999996</v>
      </c>
      <c r="N2081">
        <v>1</v>
      </c>
      <c r="O2081" s="1">
        <v>-8.0969999999999995</v>
      </c>
      <c r="P2081">
        <v>0</v>
      </c>
      <c r="Q2081" s="1">
        <v>0.95599999999999996</v>
      </c>
      <c r="R2081" s="1">
        <v>0.216</v>
      </c>
      <c r="S2081" s="1">
        <v>0.27100000000000002</v>
      </c>
      <c r="T2081" s="1">
        <v>0.109</v>
      </c>
      <c r="U2081" s="1">
        <v>0.49099999999999999</v>
      </c>
      <c r="V2081" s="1">
        <v>80.62</v>
      </c>
      <c r="W2081">
        <v>4</v>
      </c>
    </row>
    <row r="2082" spans="1:23" x14ac:dyDescent="0.25">
      <c r="A2082" s="1" t="s">
        <v>18184</v>
      </c>
      <c r="B2082" s="1" t="s">
        <v>18185</v>
      </c>
      <c r="C2082" s="1" t="s">
        <v>6075</v>
      </c>
      <c r="D2082" s="1" t="s">
        <v>6075</v>
      </c>
      <c r="E2082" s="1" t="s">
        <v>6076</v>
      </c>
      <c r="F2082" s="1" t="s">
        <v>15965</v>
      </c>
      <c r="G2082">
        <v>236869</v>
      </c>
      <c r="H2082">
        <v>24</v>
      </c>
      <c r="I2082" s="1" t="s">
        <v>11063</v>
      </c>
      <c r="J2082" s="11">
        <v>44729.706458333334</v>
      </c>
      <c r="K2082" s="1" t="s">
        <v>933</v>
      </c>
      <c r="L2082" s="1">
        <v>0.60199999999999998</v>
      </c>
      <c r="M2082" s="1">
        <v>0.73499999999999999</v>
      </c>
      <c r="N2082">
        <v>10</v>
      </c>
      <c r="O2082" s="1">
        <v>-4.1159999999999997</v>
      </c>
      <c r="P2082">
        <v>0</v>
      </c>
      <c r="Q2082" s="1">
        <v>0.65500000000000003</v>
      </c>
      <c r="R2082" s="1">
        <v>0.13900000000000001</v>
      </c>
      <c r="S2082" s="1">
        <v>0.40300000000000002</v>
      </c>
      <c r="T2082" s="1">
        <v>0.67700000000000005</v>
      </c>
      <c r="U2082" s="1">
        <v>0.33100000000000002</v>
      </c>
      <c r="V2082" s="1">
        <v>114.917</v>
      </c>
      <c r="W2082">
        <v>4</v>
      </c>
    </row>
    <row r="2083" spans="1:23" x14ac:dyDescent="0.25">
      <c r="A2083" s="1" t="s">
        <v>18186</v>
      </c>
      <c r="B2083" s="1" t="s">
        <v>18187</v>
      </c>
      <c r="C2083" s="1" t="s">
        <v>6077</v>
      </c>
      <c r="D2083" s="1" t="s">
        <v>6077</v>
      </c>
      <c r="E2083" s="1" t="s">
        <v>6078</v>
      </c>
      <c r="F2083" s="1" t="s">
        <v>18188</v>
      </c>
      <c r="G2083">
        <v>147212</v>
      </c>
      <c r="H2083">
        <v>18</v>
      </c>
      <c r="I2083" s="1" t="s">
        <v>11063</v>
      </c>
      <c r="J2083" s="11">
        <v>44729.706458333334</v>
      </c>
      <c r="K2083" s="1" t="s">
        <v>6079</v>
      </c>
      <c r="L2083" s="1">
        <v>0.627</v>
      </c>
      <c r="M2083" s="1">
        <v>0.53800000000000003</v>
      </c>
      <c r="N2083">
        <v>10</v>
      </c>
      <c r="O2083" s="1">
        <v>-9.8339999999999996</v>
      </c>
      <c r="P2083">
        <v>0</v>
      </c>
      <c r="Q2083" s="1">
        <v>0.24399999999999999</v>
      </c>
      <c r="R2083" s="1">
        <v>0.11799999999999999</v>
      </c>
      <c r="S2083" s="1">
        <v>0</v>
      </c>
      <c r="T2083" s="1">
        <v>0.13100000000000001</v>
      </c>
      <c r="U2083" s="1">
        <v>0.47499999999999998</v>
      </c>
      <c r="V2083" s="1">
        <v>75.057000000000002</v>
      </c>
      <c r="W2083">
        <v>4</v>
      </c>
    </row>
    <row r="2084" spans="1:23" x14ac:dyDescent="0.25">
      <c r="A2084" s="1" t="s">
        <v>18189</v>
      </c>
      <c r="B2084" s="1" t="s">
        <v>18190</v>
      </c>
      <c r="C2084" s="1" t="s">
        <v>6080</v>
      </c>
      <c r="D2084" s="1" t="s">
        <v>6080</v>
      </c>
      <c r="E2084" s="1" t="s">
        <v>6081</v>
      </c>
      <c r="F2084" s="1" t="s">
        <v>11423</v>
      </c>
      <c r="G2084">
        <v>160874</v>
      </c>
      <c r="H2084">
        <v>0</v>
      </c>
      <c r="I2084" s="1" t="s">
        <v>11063</v>
      </c>
      <c r="J2084" s="11">
        <v>44729.706458333334</v>
      </c>
      <c r="K2084" s="1" t="s">
        <v>1066</v>
      </c>
      <c r="L2084" s="1">
        <v>0.52</v>
      </c>
      <c r="M2084" s="1">
        <v>0.66200000000000003</v>
      </c>
      <c r="N2084">
        <v>1</v>
      </c>
      <c r="O2084" s="1">
        <v>-8.6280000000000001</v>
      </c>
      <c r="P2084">
        <v>1</v>
      </c>
      <c r="Q2084" s="1">
        <v>0.69599999999999995</v>
      </c>
      <c r="R2084" s="1">
        <v>0.15</v>
      </c>
      <c r="S2084" s="1">
        <v>0.79200000000000004</v>
      </c>
      <c r="T2084" s="1">
        <v>0.36</v>
      </c>
      <c r="U2084" s="1">
        <v>0.17100000000000001</v>
      </c>
      <c r="V2084" s="1">
        <v>74.968000000000004</v>
      </c>
      <c r="W2084">
        <v>4</v>
      </c>
    </row>
    <row r="2085" spans="1:23" x14ac:dyDescent="0.25">
      <c r="A2085" s="1" t="s">
        <v>18191</v>
      </c>
      <c r="B2085" s="1" t="s">
        <v>18192</v>
      </c>
      <c r="C2085" s="1" t="s">
        <v>6082</v>
      </c>
      <c r="D2085" s="1" t="s">
        <v>6082</v>
      </c>
      <c r="E2085" s="1" t="s">
        <v>6083</v>
      </c>
      <c r="F2085" s="1" t="s">
        <v>18193</v>
      </c>
      <c r="G2085">
        <v>192004</v>
      </c>
      <c r="H2085">
        <v>27</v>
      </c>
      <c r="I2085" s="1" t="s">
        <v>11063</v>
      </c>
      <c r="J2085" s="11">
        <v>44729.706458333334</v>
      </c>
      <c r="K2085" s="1" t="s">
        <v>50</v>
      </c>
      <c r="L2085" s="1">
        <v>0.628</v>
      </c>
      <c r="M2085" s="1">
        <v>0.78900000000000003</v>
      </c>
      <c r="N2085">
        <v>9</v>
      </c>
      <c r="O2085" s="1">
        <v>-6.1029999999999998</v>
      </c>
      <c r="P2085">
        <v>0</v>
      </c>
      <c r="Q2085" s="1">
        <v>0.65300000000000002</v>
      </c>
      <c r="R2085" s="1">
        <v>0.16700000000000001</v>
      </c>
      <c r="S2085" s="1">
        <v>0.192</v>
      </c>
      <c r="T2085" s="1">
        <v>0.124</v>
      </c>
      <c r="U2085" s="1">
        <v>0.41499999999999998</v>
      </c>
      <c r="V2085" s="1">
        <v>144.89500000000001</v>
      </c>
      <c r="W2085">
        <v>4</v>
      </c>
    </row>
    <row r="2086" spans="1:23" x14ac:dyDescent="0.25">
      <c r="A2086" s="1" t="s">
        <v>18194</v>
      </c>
      <c r="B2086" s="1" t="s">
        <v>18192</v>
      </c>
      <c r="C2086" s="1" t="s">
        <v>6084</v>
      </c>
      <c r="D2086" s="1" t="s">
        <v>6084</v>
      </c>
      <c r="E2086" s="1" t="s">
        <v>6083</v>
      </c>
      <c r="F2086" s="1" t="s">
        <v>15668</v>
      </c>
      <c r="G2086">
        <v>149072</v>
      </c>
      <c r="H2086">
        <v>30</v>
      </c>
      <c r="I2086" s="1" t="s">
        <v>11063</v>
      </c>
      <c r="J2086" s="11">
        <v>44729.706458333334</v>
      </c>
      <c r="K2086" s="1" t="s">
        <v>50</v>
      </c>
      <c r="L2086" s="1">
        <v>0.56200000000000006</v>
      </c>
      <c r="M2086" s="1">
        <v>0.53300000000000003</v>
      </c>
      <c r="N2086">
        <v>8</v>
      </c>
      <c r="O2086" s="1">
        <v>-8.343</v>
      </c>
      <c r="P2086">
        <v>0</v>
      </c>
      <c r="Q2086" s="1">
        <v>0.61199999999999999</v>
      </c>
      <c r="R2086" s="1">
        <v>0.89800000000000002</v>
      </c>
      <c r="S2086" s="1">
        <v>0.22900000000000001</v>
      </c>
      <c r="T2086" s="1">
        <v>0.14699999999999999</v>
      </c>
      <c r="U2086" s="1">
        <v>0.54</v>
      </c>
      <c r="V2086" s="1">
        <v>144.91399999999999</v>
      </c>
      <c r="W2086">
        <v>4</v>
      </c>
    </row>
    <row r="2087" spans="1:23" x14ac:dyDescent="0.25">
      <c r="A2087" s="1" t="s">
        <v>18195</v>
      </c>
      <c r="B2087" s="1" t="s">
        <v>18192</v>
      </c>
      <c r="C2087" s="1" t="s">
        <v>6085</v>
      </c>
      <c r="D2087" s="1" t="s">
        <v>6085</v>
      </c>
      <c r="E2087" s="1" t="s">
        <v>6083</v>
      </c>
      <c r="F2087" s="1" t="s">
        <v>18196</v>
      </c>
      <c r="G2087">
        <v>186629</v>
      </c>
      <c r="H2087">
        <v>21</v>
      </c>
      <c r="I2087" s="1" t="s">
        <v>11063</v>
      </c>
      <c r="J2087" s="11">
        <v>44729.706458333334</v>
      </c>
      <c r="K2087" s="1" t="s">
        <v>50</v>
      </c>
      <c r="L2087" s="1">
        <v>0.46200000000000002</v>
      </c>
      <c r="M2087" s="1">
        <v>0.52900000000000003</v>
      </c>
      <c r="N2087">
        <v>0</v>
      </c>
      <c r="O2087" s="1">
        <v>-10.301</v>
      </c>
      <c r="P2087">
        <v>0</v>
      </c>
      <c r="Q2087" s="1">
        <v>0.126</v>
      </c>
      <c r="R2087" s="1">
        <v>0.105</v>
      </c>
      <c r="S2087" s="1">
        <v>0.54800000000000004</v>
      </c>
      <c r="T2087" s="1">
        <v>0.33300000000000002</v>
      </c>
      <c r="U2087" s="1">
        <v>0.46600000000000003</v>
      </c>
      <c r="V2087" s="1">
        <v>154.626</v>
      </c>
      <c r="W2087">
        <v>4</v>
      </c>
    </row>
    <row r="2088" spans="1:23" x14ac:dyDescent="0.25">
      <c r="A2088" s="1" t="s">
        <v>18197</v>
      </c>
      <c r="B2088" s="1" t="s">
        <v>18198</v>
      </c>
      <c r="C2088" s="1" t="s">
        <v>6086</v>
      </c>
      <c r="D2088" s="1" t="s">
        <v>6086</v>
      </c>
      <c r="E2088" s="1" t="s">
        <v>6087</v>
      </c>
      <c r="F2088" s="1" t="s">
        <v>16880</v>
      </c>
      <c r="G2088">
        <v>260481</v>
      </c>
      <c r="H2088">
        <v>0</v>
      </c>
      <c r="I2088" s="1" t="s">
        <v>11063</v>
      </c>
      <c r="J2088" s="11">
        <v>44729.706458333334</v>
      </c>
      <c r="K2088" s="1" t="s">
        <v>6088</v>
      </c>
      <c r="L2088" s="1">
        <v>0.50800000000000001</v>
      </c>
      <c r="M2088" s="1">
        <v>0.61199999999999999</v>
      </c>
      <c r="N2088">
        <v>7</v>
      </c>
      <c r="O2088" s="1">
        <v>-7.1740000000000004</v>
      </c>
      <c r="P2088">
        <v>0</v>
      </c>
      <c r="Q2088" s="1">
        <v>0.36199999999999999</v>
      </c>
      <c r="R2088" s="1">
        <v>0.72299999999999998</v>
      </c>
      <c r="S2088" s="1">
        <v>0.13500000000000001</v>
      </c>
      <c r="T2088" s="1">
        <v>0.111</v>
      </c>
      <c r="U2088" s="1">
        <v>0.113</v>
      </c>
      <c r="V2088" s="1">
        <v>82.661000000000001</v>
      </c>
      <c r="W2088">
        <v>4</v>
      </c>
    </row>
    <row r="2089" spans="1:23" x14ac:dyDescent="0.25">
      <c r="A2089" s="1" t="s">
        <v>11061</v>
      </c>
      <c r="B2089" s="1" t="s">
        <v>11062</v>
      </c>
      <c r="C2089" s="1" t="s">
        <v>350</v>
      </c>
      <c r="D2089" s="1" t="s">
        <v>350</v>
      </c>
      <c r="E2089" s="1" t="s">
        <v>351</v>
      </c>
      <c r="F2089" s="1" t="s">
        <v>11627</v>
      </c>
      <c r="G2089">
        <v>188689</v>
      </c>
      <c r="H2089">
        <v>30</v>
      </c>
      <c r="I2089" s="1" t="s">
        <v>11063</v>
      </c>
      <c r="J2089" s="11">
        <v>44729.706458333334</v>
      </c>
      <c r="K2089" s="1" t="s">
        <v>50</v>
      </c>
      <c r="L2089" s="1">
        <v>0.54800000000000004</v>
      </c>
      <c r="M2089" s="1">
        <v>0.80500000000000005</v>
      </c>
      <c r="N2089">
        <v>0</v>
      </c>
      <c r="O2089" s="1">
        <v>-6.5430000000000001</v>
      </c>
      <c r="P2089">
        <v>1</v>
      </c>
      <c r="Q2089" s="1">
        <v>0.36</v>
      </c>
      <c r="R2089" s="1">
        <v>0.14099999999999999</v>
      </c>
      <c r="S2089" s="1">
        <v>0.23300000000000001</v>
      </c>
      <c r="T2089" s="1">
        <v>0.111</v>
      </c>
      <c r="U2089" s="1">
        <v>0.379</v>
      </c>
      <c r="V2089" s="1">
        <v>144.952</v>
      </c>
      <c r="W2089">
        <v>4</v>
      </c>
    </row>
    <row r="2090" spans="1:23" x14ac:dyDescent="0.25">
      <c r="A2090" s="1" t="s">
        <v>18199</v>
      </c>
      <c r="B2090" s="1" t="s">
        <v>18200</v>
      </c>
      <c r="C2090" s="1" t="s">
        <v>6089</v>
      </c>
      <c r="D2090" s="1" t="s">
        <v>6089</v>
      </c>
      <c r="E2090" s="1" t="s">
        <v>6090</v>
      </c>
      <c r="F2090" s="1" t="s">
        <v>14018</v>
      </c>
      <c r="G2090">
        <v>230335</v>
      </c>
      <c r="H2090">
        <v>0</v>
      </c>
      <c r="I2090" s="1" t="s">
        <v>11063</v>
      </c>
      <c r="J2090" s="11">
        <v>44729.706458333334</v>
      </c>
      <c r="K2090" s="1" t="s">
        <v>1053</v>
      </c>
      <c r="L2090" s="1">
        <v>0.51700000000000002</v>
      </c>
      <c r="M2090" s="1">
        <v>0.56299999999999994</v>
      </c>
      <c r="N2090">
        <v>3</v>
      </c>
      <c r="O2090" s="1">
        <v>-5.931</v>
      </c>
      <c r="P2090">
        <v>1</v>
      </c>
      <c r="Q2090" s="1">
        <v>0.42699999999999999</v>
      </c>
      <c r="R2090" s="1">
        <v>0.68700000000000006</v>
      </c>
      <c r="S2090" s="1">
        <v>0</v>
      </c>
      <c r="T2090" s="1">
        <v>0.156</v>
      </c>
      <c r="U2090" s="1">
        <v>0.46500000000000002</v>
      </c>
      <c r="V2090" s="1">
        <v>146.88800000000001</v>
      </c>
      <c r="W2090">
        <v>4</v>
      </c>
    </row>
    <row r="2091" spans="1:23" x14ac:dyDescent="0.25">
      <c r="A2091" s="1" t="s">
        <v>18201</v>
      </c>
      <c r="B2091" s="1" t="s">
        <v>18202</v>
      </c>
      <c r="C2091" s="1" t="s">
        <v>6091</v>
      </c>
      <c r="D2091" s="1" t="s">
        <v>6091</v>
      </c>
      <c r="E2091" s="1" t="s">
        <v>6092</v>
      </c>
      <c r="F2091" s="1" t="s">
        <v>14727</v>
      </c>
      <c r="G2091">
        <v>209129</v>
      </c>
      <c r="H2091">
        <v>38</v>
      </c>
      <c r="I2091" s="1" t="s">
        <v>11063</v>
      </c>
      <c r="J2091" s="11">
        <v>44729.706458333334</v>
      </c>
      <c r="K2091" s="1" t="s">
        <v>6093</v>
      </c>
      <c r="L2091" s="1">
        <v>0.59</v>
      </c>
      <c r="M2091" s="1">
        <v>0.77</v>
      </c>
      <c r="N2091">
        <v>4</v>
      </c>
      <c r="O2091" s="1">
        <v>-7.2409999999999997</v>
      </c>
      <c r="P2091">
        <v>0</v>
      </c>
      <c r="Q2091" s="1">
        <v>0.90700000000000003</v>
      </c>
      <c r="R2091" s="1">
        <v>0.44500000000000001</v>
      </c>
      <c r="S2091" s="1">
        <v>0</v>
      </c>
      <c r="T2091" s="1">
        <v>0.105</v>
      </c>
      <c r="U2091" s="1">
        <v>0.432</v>
      </c>
      <c r="V2091" s="1">
        <v>75.001999999999995</v>
      </c>
      <c r="W2091">
        <v>4</v>
      </c>
    </row>
    <row r="2092" spans="1:23" x14ac:dyDescent="0.25">
      <c r="A2092" s="1" t="s">
        <v>11206</v>
      </c>
      <c r="B2092" s="1" t="s">
        <v>11207</v>
      </c>
      <c r="C2092" s="1" t="s">
        <v>6094</v>
      </c>
      <c r="D2092" s="1" t="s">
        <v>6094</v>
      </c>
      <c r="E2092" s="1" t="s">
        <v>6095</v>
      </c>
      <c r="F2092" s="1" t="s">
        <v>14333</v>
      </c>
      <c r="G2092">
        <v>184109</v>
      </c>
      <c r="H2092">
        <v>12</v>
      </c>
      <c r="I2092" s="1" t="s">
        <v>11063</v>
      </c>
      <c r="J2092" s="11">
        <v>44729.706458333334</v>
      </c>
      <c r="K2092" s="1" t="s">
        <v>50</v>
      </c>
      <c r="L2092" s="1">
        <v>0.59</v>
      </c>
      <c r="M2092" s="1">
        <v>0.81100000000000005</v>
      </c>
      <c r="N2092">
        <v>1</v>
      </c>
      <c r="O2092" s="1">
        <v>-6.8140000000000001</v>
      </c>
      <c r="P2092">
        <v>0</v>
      </c>
      <c r="Q2092" s="1">
        <v>0.109</v>
      </c>
      <c r="R2092" s="1">
        <v>0.13400000000000001</v>
      </c>
      <c r="S2092" s="1">
        <v>0.41299999999999998</v>
      </c>
      <c r="T2092" s="1">
        <v>0.89900000000000002</v>
      </c>
      <c r="U2092" s="1">
        <v>0.26900000000000002</v>
      </c>
      <c r="V2092" s="1">
        <v>72.948999999999998</v>
      </c>
      <c r="W2092">
        <v>4</v>
      </c>
    </row>
    <row r="2093" spans="1:23" x14ac:dyDescent="0.25">
      <c r="A2093" s="1" t="s">
        <v>18203</v>
      </c>
      <c r="B2093" s="1" t="s">
        <v>11121</v>
      </c>
      <c r="C2093" s="1" t="s">
        <v>6096</v>
      </c>
      <c r="D2093" s="1" t="s">
        <v>6096</v>
      </c>
      <c r="E2093" s="1" t="s">
        <v>6097</v>
      </c>
      <c r="F2093" s="1" t="s">
        <v>13934</v>
      </c>
      <c r="G2093">
        <v>154766</v>
      </c>
      <c r="H2093">
        <v>2</v>
      </c>
      <c r="I2093" s="1" t="s">
        <v>11063</v>
      </c>
      <c r="J2093" s="11">
        <v>44729.706458333334</v>
      </c>
      <c r="K2093" s="1" t="s">
        <v>50</v>
      </c>
      <c r="L2093" s="1">
        <v>0.66</v>
      </c>
      <c r="M2093" s="1">
        <v>0.86599999999999999</v>
      </c>
      <c r="N2093">
        <v>5</v>
      </c>
      <c r="O2093" s="1">
        <v>-3.4689999999999999</v>
      </c>
      <c r="P2093">
        <v>0</v>
      </c>
      <c r="Q2093" s="1">
        <v>0.34699999999999998</v>
      </c>
      <c r="R2093" s="1">
        <v>0.56799999999999995</v>
      </c>
      <c r="S2093" s="1">
        <v>0.51800000000000002</v>
      </c>
      <c r="T2093" s="1">
        <v>0.109</v>
      </c>
      <c r="U2093" s="1">
        <v>0.38</v>
      </c>
      <c r="V2093" s="1">
        <v>107.036</v>
      </c>
      <c r="W2093">
        <v>4</v>
      </c>
    </row>
    <row r="2094" spans="1:23" x14ac:dyDescent="0.25">
      <c r="A2094" s="1" t="s">
        <v>11120</v>
      </c>
      <c r="B2094" s="1" t="s">
        <v>11121</v>
      </c>
      <c r="C2094" s="1" t="s">
        <v>6098</v>
      </c>
      <c r="D2094" s="1" t="s">
        <v>6098</v>
      </c>
      <c r="E2094" s="1" t="s">
        <v>6097</v>
      </c>
      <c r="F2094" s="1" t="s">
        <v>14620</v>
      </c>
      <c r="G2094">
        <v>184000</v>
      </c>
      <c r="H2094">
        <v>0</v>
      </c>
      <c r="I2094" s="1" t="s">
        <v>11063</v>
      </c>
      <c r="J2094" s="11">
        <v>44729.706458333334</v>
      </c>
      <c r="K2094" s="1" t="s">
        <v>50</v>
      </c>
      <c r="L2094" s="1">
        <v>0.77300000000000002</v>
      </c>
      <c r="M2094" s="1">
        <v>0.73099999999999998</v>
      </c>
      <c r="N2094">
        <v>0</v>
      </c>
      <c r="O2094" s="1">
        <v>-5.6180000000000003</v>
      </c>
      <c r="P2094">
        <v>1</v>
      </c>
      <c r="Q2094" s="1">
        <v>0.113</v>
      </c>
      <c r="R2094" s="1">
        <v>0.17299999999999999</v>
      </c>
      <c r="S2094" s="1">
        <v>0.14000000000000001</v>
      </c>
      <c r="T2094" s="1">
        <v>0.104</v>
      </c>
      <c r="U2094" s="1">
        <v>0.34499999999999997</v>
      </c>
      <c r="V2094" s="1">
        <v>150.01300000000001</v>
      </c>
      <c r="W2094">
        <v>4</v>
      </c>
    </row>
    <row r="2095" spans="1:23" x14ac:dyDescent="0.25">
      <c r="A2095" s="1" t="s">
        <v>18204</v>
      </c>
      <c r="B2095" s="1" t="s">
        <v>18205</v>
      </c>
      <c r="C2095" s="1" t="s">
        <v>6099</v>
      </c>
      <c r="D2095" s="1" t="s">
        <v>18206</v>
      </c>
      <c r="E2095" s="1" t="s">
        <v>6100</v>
      </c>
      <c r="F2095" s="1" t="s">
        <v>15088</v>
      </c>
      <c r="G2095">
        <v>228169</v>
      </c>
      <c r="H2095">
        <v>0</v>
      </c>
      <c r="I2095" s="1" t="s">
        <v>11063</v>
      </c>
      <c r="J2095" s="11">
        <v>44729.706458333334</v>
      </c>
      <c r="K2095" s="1" t="s">
        <v>6101</v>
      </c>
      <c r="L2095" s="1">
        <v>0.628</v>
      </c>
      <c r="M2095" s="1">
        <v>0.877</v>
      </c>
      <c r="N2095">
        <v>10</v>
      </c>
      <c r="O2095" s="1">
        <v>-3.016</v>
      </c>
      <c r="P2095">
        <v>0</v>
      </c>
      <c r="Q2095" s="1">
        <v>0.41</v>
      </c>
      <c r="R2095" s="1">
        <v>0.189</v>
      </c>
      <c r="S2095" s="1">
        <v>0</v>
      </c>
      <c r="T2095" s="1">
        <v>0.22800000000000001</v>
      </c>
      <c r="U2095" s="1">
        <v>0.19900000000000001</v>
      </c>
      <c r="V2095" s="1">
        <v>142.03399999999999</v>
      </c>
      <c r="W2095">
        <v>4</v>
      </c>
    </row>
    <row r="2096" spans="1:23" x14ac:dyDescent="0.25">
      <c r="A2096" s="1" t="s">
        <v>18207</v>
      </c>
      <c r="B2096" s="1" t="s">
        <v>18208</v>
      </c>
      <c r="C2096" s="1" t="s">
        <v>6102</v>
      </c>
      <c r="D2096" s="1" t="s">
        <v>18209</v>
      </c>
      <c r="E2096" s="1" t="s">
        <v>6103</v>
      </c>
      <c r="F2096" s="1" t="s">
        <v>15476</v>
      </c>
      <c r="G2096">
        <v>254746</v>
      </c>
      <c r="H2096">
        <v>51</v>
      </c>
      <c r="I2096" s="1" t="s">
        <v>11063</v>
      </c>
      <c r="J2096" s="11">
        <v>44729.706458333334</v>
      </c>
      <c r="K2096" s="1" t="s">
        <v>6104</v>
      </c>
      <c r="L2096" s="1">
        <v>0.72099999999999997</v>
      </c>
      <c r="M2096" s="1">
        <v>0.78200000000000003</v>
      </c>
      <c r="N2096">
        <v>11</v>
      </c>
      <c r="O2096" s="1">
        <v>-7.2119999999999997</v>
      </c>
      <c r="P2096">
        <v>0</v>
      </c>
      <c r="Q2096" s="1">
        <v>0.38300000000000001</v>
      </c>
      <c r="R2096" s="1">
        <v>0.20899999999999999</v>
      </c>
      <c r="S2096" s="1">
        <v>0.67400000000000004</v>
      </c>
      <c r="T2096" s="1">
        <v>0.14399999999999999</v>
      </c>
      <c r="U2096" s="1">
        <v>0.46600000000000003</v>
      </c>
      <c r="V2096" s="1">
        <v>100.999</v>
      </c>
      <c r="W2096">
        <v>4</v>
      </c>
    </row>
    <row r="2097" spans="1:23" x14ac:dyDescent="0.25">
      <c r="A2097" s="1" t="s">
        <v>18210</v>
      </c>
      <c r="B2097" s="1" t="s">
        <v>18211</v>
      </c>
      <c r="C2097" s="1" t="s">
        <v>6105</v>
      </c>
      <c r="D2097" s="1" t="s">
        <v>18212</v>
      </c>
      <c r="E2097" s="1" t="s">
        <v>6106</v>
      </c>
      <c r="F2097" s="1" t="s">
        <v>18213</v>
      </c>
      <c r="G2097">
        <v>198400</v>
      </c>
      <c r="H2097">
        <v>60</v>
      </c>
      <c r="I2097" s="1" t="s">
        <v>11063</v>
      </c>
      <c r="J2097" s="11">
        <v>44729.706458333334</v>
      </c>
      <c r="K2097" s="1" t="s">
        <v>6107</v>
      </c>
      <c r="L2097" s="1">
        <v>0.60699999999999998</v>
      </c>
      <c r="M2097" s="1">
        <v>0.94099999999999995</v>
      </c>
      <c r="N2097">
        <v>11</v>
      </c>
      <c r="O2097" s="1">
        <v>-3.8069999999999999</v>
      </c>
      <c r="P2097">
        <v>0</v>
      </c>
      <c r="Q2097" s="1">
        <v>0.48099999999999998</v>
      </c>
      <c r="R2097" s="1">
        <v>0.37</v>
      </c>
      <c r="S2097" s="1">
        <v>0.13700000000000001</v>
      </c>
      <c r="T2097" s="1">
        <v>0.32100000000000001</v>
      </c>
      <c r="U2097" s="1">
        <v>0.52100000000000002</v>
      </c>
      <c r="V2097" s="1">
        <v>75.400999999999996</v>
      </c>
      <c r="W2097">
        <v>4</v>
      </c>
    </row>
    <row r="2098" spans="1:23" x14ac:dyDescent="0.25">
      <c r="A2098" s="1" t="s">
        <v>18214</v>
      </c>
      <c r="B2098" s="1" t="s">
        <v>18215</v>
      </c>
      <c r="C2098" s="1" t="s">
        <v>6108</v>
      </c>
      <c r="D2098" s="1" t="s">
        <v>18216</v>
      </c>
      <c r="E2098" s="1" t="s">
        <v>6109</v>
      </c>
      <c r="F2098" s="1" t="s">
        <v>18217</v>
      </c>
      <c r="G2098">
        <v>297493</v>
      </c>
      <c r="H2098">
        <v>52</v>
      </c>
      <c r="I2098" s="1" t="s">
        <v>11063</v>
      </c>
      <c r="J2098" s="11">
        <v>44729.706458333334</v>
      </c>
      <c r="K2098" s="1" t="s">
        <v>6110</v>
      </c>
      <c r="L2098" s="1">
        <v>0.159</v>
      </c>
      <c r="M2098" s="1">
        <v>0.377</v>
      </c>
      <c r="N2098">
        <v>7</v>
      </c>
      <c r="O2098" s="1">
        <v>-10.195</v>
      </c>
      <c r="P2098">
        <v>0</v>
      </c>
      <c r="Q2098" s="1">
        <v>0.40600000000000003</v>
      </c>
      <c r="R2098" s="1">
        <v>0.32900000000000001</v>
      </c>
      <c r="S2098" s="1">
        <v>0.89800000000000002</v>
      </c>
      <c r="T2098" s="1">
        <v>0.75</v>
      </c>
      <c r="U2098" s="1">
        <v>0.95599999999999996</v>
      </c>
      <c r="V2098" s="1">
        <v>66.988</v>
      </c>
      <c r="W2098">
        <v>4</v>
      </c>
    </row>
    <row r="2099" spans="1:23" x14ac:dyDescent="0.25">
      <c r="A2099" s="1" t="s">
        <v>18218</v>
      </c>
      <c r="B2099" s="1" t="s">
        <v>18133</v>
      </c>
      <c r="C2099" s="1" t="s">
        <v>6111</v>
      </c>
      <c r="D2099" s="1" t="s">
        <v>6111</v>
      </c>
      <c r="E2099" s="1" t="s">
        <v>6023</v>
      </c>
      <c r="F2099" s="1" t="s">
        <v>15987</v>
      </c>
      <c r="G2099">
        <v>392259</v>
      </c>
      <c r="H2099">
        <v>45</v>
      </c>
      <c r="I2099" s="1" t="s">
        <v>11063</v>
      </c>
      <c r="J2099" s="11">
        <v>44729.706458333334</v>
      </c>
      <c r="K2099" s="1" t="s">
        <v>998</v>
      </c>
      <c r="L2099" s="1">
        <v>0.53500000000000003</v>
      </c>
      <c r="M2099" s="1">
        <v>0.89700000000000002</v>
      </c>
      <c r="N2099">
        <v>11</v>
      </c>
      <c r="O2099" s="1">
        <v>-5.3280000000000003</v>
      </c>
      <c r="P2099">
        <v>0</v>
      </c>
      <c r="Q2099" s="1">
        <v>0.24099999999999999</v>
      </c>
      <c r="R2099" s="1">
        <v>0.47499999999999998</v>
      </c>
      <c r="S2099" s="1">
        <v>0.108</v>
      </c>
      <c r="T2099" s="1">
        <v>0.45900000000000002</v>
      </c>
      <c r="U2099" s="1">
        <v>0.19400000000000001</v>
      </c>
      <c r="V2099" s="1">
        <v>166.017</v>
      </c>
      <c r="W2099">
        <v>4</v>
      </c>
    </row>
    <row r="2100" spans="1:23" x14ac:dyDescent="0.25">
      <c r="A2100" s="1" t="s">
        <v>18219</v>
      </c>
      <c r="B2100" s="1" t="s">
        <v>18133</v>
      </c>
      <c r="C2100" s="1" t="s">
        <v>6112</v>
      </c>
      <c r="D2100" s="1" t="s">
        <v>6023</v>
      </c>
      <c r="E2100" s="1" t="s">
        <v>6023</v>
      </c>
      <c r="F2100" s="1" t="s">
        <v>18134</v>
      </c>
      <c r="G2100">
        <v>266365</v>
      </c>
      <c r="H2100">
        <v>53</v>
      </c>
      <c r="I2100" s="1" t="s">
        <v>11063</v>
      </c>
      <c r="J2100" s="11">
        <v>44729.706458333334</v>
      </c>
      <c r="K2100" s="1" t="s">
        <v>998</v>
      </c>
      <c r="L2100" s="1">
        <v>0.311</v>
      </c>
      <c r="M2100" s="1">
        <v>0.85699999999999998</v>
      </c>
      <c r="N2100">
        <v>11</v>
      </c>
      <c r="O2100" s="1">
        <v>-8.3320000000000007</v>
      </c>
      <c r="P2100">
        <v>0</v>
      </c>
      <c r="Q2100" s="1">
        <v>0.39600000000000002</v>
      </c>
      <c r="R2100" s="1">
        <v>0.13700000000000001</v>
      </c>
      <c r="S2100" s="1">
        <v>0.80500000000000005</v>
      </c>
      <c r="T2100" s="1">
        <v>0.307</v>
      </c>
      <c r="U2100" s="1">
        <v>0.35799999999999998</v>
      </c>
      <c r="V2100" s="1">
        <v>119.96</v>
      </c>
      <c r="W2100">
        <v>4</v>
      </c>
    </row>
    <row r="2101" spans="1:23" x14ac:dyDescent="0.25">
      <c r="A2101" s="1" t="s">
        <v>18220</v>
      </c>
      <c r="B2101" s="1" t="s">
        <v>18133</v>
      </c>
      <c r="C2101" s="1" t="s">
        <v>6113</v>
      </c>
      <c r="D2101" s="1" t="s">
        <v>6023</v>
      </c>
      <c r="E2101" s="1" t="s">
        <v>6023</v>
      </c>
      <c r="F2101" s="1" t="s">
        <v>18134</v>
      </c>
      <c r="G2101">
        <v>234024</v>
      </c>
      <c r="H2101">
        <v>43</v>
      </c>
      <c r="I2101" s="1" t="s">
        <v>11063</v>
      </c>
      <c r="J2101" s="11">
        <v>44729.706458333334</v>
      </c>
      <c r="K2101" s="1" t="s">
        <v>998</v>
      </c>
      <c r="L2101" s="1">
        <v>0.23300000000000001</v>
      </c>
      <c r="M2101" s="1">
        <v>0.73699999999999999</v>
      </c>
      <c r="N2101">
        <v>11</v>
      </c>
      <c r="O2101" s="1">
        <v>-7.2729999999999997</v>
      </c>
      <c r="P2101">
        <v>0</v>
      </c>
      <c r="Q2101" s="1">
        <v>0.56299999999999994</v>
      </c>
      <c r="R2101" s="1">
        <v>0.122</v>
      </c>
      <c r="S2101" s="1">
        <v>0.99199999999999999</v>
      </c>
      <c r="T2101" s="1">
        <v>0.12</v>
      </c>
      <c r="U2101" s="1">
        <v>0.182</v>
      </c>
      <c r="V2101" s="1">
        <v>174.09700000000001</v>
      </c>
      <c r="W2101">
        <v>4</v>
      </c>
    </row>
    <row r="2102" spans="1:23" x14ac:dyDescent="0.25">
      <c r="A2102" s="1" t="s">
        <v>18221</v>
      </c>
      <c r="B2102" s="1" t="s">
        <v>18133</v>
      </c>
      <c r="C2102" s="1" t="s">
        <v>6114</v>
      </c>
      <c r="D2102" s="1" t="s">
        <v>6023</v>
      </c>
      <c r="E2102" s="1" t="s">
        <v>6023</v>
      </c>
      <c r="F2102" s="1" t="s">
        <v>18134</v>
      </c>
      <c r="G2102">
        <v>220097</v>
      </c>
      <c r="H2102">
        <v>40</v>
      </c>
      <c r="I2102" s="1" t="s">
        <v>11063</v>
      </c>
      <c r="J2102" s="11">
        <v>44729.706458333334</v>
      </c>
      <c r="K2102" s="1" t="s">
        <v>998</v>
      </c>
      <c r="L2102" s="1">
        <v>0.32100000000000001</v>
      </c>
      <c r="M2102" s="1">
        <v>0.88800000000000001</v>
      </c>
      <c r="N2102">
        <v>9</v>
      </c>
      <c r="O2102" s="1">
        <v>-6.2249999999999996</v>
      </c>
      <c r="P2102">
        <v>0</v>
      </c>
      <c r="Q2102" s="1">
        <v>0.52600000000000002</v>
      </c>
      <c r="R2102" s="1">
        <v>0.65</v>
      </c>
      <c r="S2102" s="1">
        <v>0.16900000000000001</v>
      </c>
      <c r="T2102" s="1">
        <v>0.82099999999999995</v>
      </c>
      <c r="U2102" s="1">
        <v>0.126</v>
      </c>
      <c r="V2102" s="1">
        <v>178.864</v>
      </c>
      <c r="W2102">
        <v>4</v>
      </c>
    </row>
    <row r="2103" spans="1:23" x14ac:dyDescent="0.25">
      <c r="A2103" s="1" t="s">
        <v>18222</v>
      </c>
      <c r="B2103" s="1" t="s">
        <v>18223</v>
      </c>
      <c r="C2103" s="1" t="s">
        <v>6115</v>
      </c>
      <c r="D2103" s="1" t="s">
        <v>18224</v>
      </c>
      <c r="E2103" s="1" t="s">
        <v>6116</v>
      </c>
      <c r="F2103" s="1" t="s">
        <v>18225</v>
      </c>
      <c r="G2103">
        <v>272394</v>
      </c>
      <c r="H2103">
        <v>85</v>
      </c>
      <c r="I2103" s="1" t="s">
        <v>11063</v>
      </c>
      <c r="J2103" s="11">
        <v>44729.706458333334</v>
      </c>
      <c r="K2103" s="1" t="s">
        <v>6117</v>
      </c>
      <c r="L2103" s="1">
        <v>0.54800000000000004</v>
      </c>
      <c r="M2103" s="1">
        <v>0.53200000000000003</v>
      </c>
      <c r="N2103">
        <v>5</v>
      </c>
      <c r="O2103" s="1">
        <v>-7.5960000000000001</v>
      </c>
      <c r="P2103">
        <v>1</v>
      </c>
      <c r="Q2103" s="1">
        <v>0.32300000000000001</v>
      </c>
      <c r="R2103" s="1">
        <v>0.186</v>
      </c>
      <c r="S2103" s="1">
        <v>0.26300000000000001</v>
      </c>
      <c r="T2103" s="1">
        <v>0.217</v>
      </c>
      <c r="U2103" s="1">
        <v>0.40500000000000003</v>
      </c>
      <c r="V2103" s="1">
        <v>85.03</v>
      </c>
      <c r="W2103">
        <v>4</v>
      </c>
    </row>
    <row r="2104" spans="1:23" x14ac:dyDescent="0.25">
      <c r="A2104" s="1" t="s">
        <v>18226</v>
      </c>
      <c r="B2104" s="1" t="s">
        <v>18227</v>
      </c>
      <c r="C2104" s="1" t="s">
        <v>6118</v>
      </c>
      <c r="D2104" s="1" t="s">
        <v>17554</v>
      </c>
      <c r="E2104" s="1" t="s">
        <v>6119</v>
      </c>
      <c r="F2104" s="1" t="s">
        <v>15585</v>
      </c>
      <c r="G2104">
        <v>206320</v>
      </c>
      <c r="H2104">
        <v>58</v>
      </c>
      <c r="I2104" s="1" t="s">
        <v>11063</v>
      </c>
      <c r="J2104" s="11">
        <v>44729.706458333334</v>
      </c>
      <c r="K2104" s="1" t="s">
        <v>6120</v>
      </c>
      <c r="L2104" s="1">
        <v>0.57099999999999995</v>
      </c>
      <c r="M2104" s="1">
        <v>0.90300000000000002</v>
      </c>
      <c r="N2104">
        <v>7</v>
      </c>
      <c r="O2104" s="1">
        <v>-2.1840000000000002</v>
      </c>
      <c r="P2104">
        <v>1</v>
      </c>
      <c r="Q2104" s="1">
        <v>0.214</v>
      </c>
      <c r="R2104" s="1">
        <v>0.61499999999999999</v>
      </c>
      <c r="S2104" s="1">
        <v>0.123</v>
      </c>
      <c r="T2104" s="1">
        <v>0.186</v>
      </c>
      <c r="U2104" s="1">
        <v>0.47699999999999998</v>
      </c>
      <c r="V2104" s="1">
        <v>127.95099999999999</v>
      </c>
      <c r="W2104">
        <v>4</v>
      </c>
    </row>
    <row r="2105" spans="1:23" x14ac:dyDescent="0.25">
      <c r="A2105" s="1" t="s">
        <v>18228</v>
      </c>
      <c r="B2105" s="1" t="s">
        <v>18229</v>
      </c>
      <c r="C2105" s="1" t="s">
        <v>6121</v>
      </c>
      <c r="D2105" s="1" t="s">
        <v>6121</v>
      </c>
      <c r="E2105" s="1" t="s">
        <v>6122</v>
      </c>
      <c r="F2105" s="1" t="s">
        <v>18230</v>
      </c>
      <c r="G2105">
        <v>185250</v>
      </c>
      <c r="H2105">
        <v>49</v>
      </c>
      <c r="I2105" s="1" t="s">
        <v>11063</v>
      </c>
      <c r="J2105" s="11">
        <v>44729.706458333334</v>
      </c>
      <c r="K2105" s="1" t="s">
        <v>6123</v>
      </c>
      <c r="L2105" s="1">
        <v>0.59899999999999998</v>
      </c>
      <c r="M2105" s="1">
        <v>0.84199999999999997</v>
      </c>
      <c r="N2105">
        <v>5</v>
      </c>
      <c r="O2105" s="1">
        <v>-5.7119999999999997</v>
      </c>
      <c r="P2105">
        <v>1</v>
      </c>
      <c r="Q2105" s="1">
        <v>0.14299999999999999</v>
      </c>
      <c r="R2105" s="1">
        <v>0.7</v>
      </c>
      <c r="S2105" s="1">
        <v>0</v>
      </c>
      <c r="T2105" s="1">
        <v>0.88900000000000001</v>
      </c>
      <c r="U2105" s="1">
        <v>0.42799999999999999</v>
      </c>
      <c r="V2105" s="1">
        <v>100.053</v>
      </c>
      <c r="W2105">
        <v>4</v>
      </c>
    </row>
    <row r="2106" spans="1:23" x14ac:dyDescent="0.25">
      <c r="A2106" s="1" t="s">
        <v>18231</v>
      </c>
      <c r="B2106" s="1" t="s">
        <v>18232</v>
      </c>
      <c r="C2106" s="1" t="s">
        <v>6124</v>
      </c>
      <c r="D2106" s="1" t="s">
        <v>18233</v>
      </c>
      <c r="E2106" s="1" t="s">
        <v>6125</v>
      </c>
      <c r="F2106" s="1" t="s">
        <v>11327</v>
      </c>
      <c r="G2106">
        <v>189200</v>
      </c>
      <c r="H2106">
        <v>33</v>
      </c>
      <c r="I2106" s="1" t="s">
        <v>11063</v>
      </c>
      <c r="J2106" s="11">
        <v>44729.706458333334</v>
      </c>
      <c r="K2106" s="1" t="s">
        <v>6126</v>
      </c>
      <c r="L2106" s="1">
        <v>0.61699999999999999</v>
      </c>
      <c r="M2106" s="1">
        <v>0.80400000000000005</v>
      </c>
      <c r="N2106">
        <v>6</v>
      </c>
      <c r="O2106" s="1">
        <v>-6.0149999999999997</v>
      </c>
      <c r="P2106">
        <v>1</v>
      </c>
      <c r="Q2106" s="1">
        <v>0.86</v>
      </c>
      <c r="R2106" s="1">
        <v>0.13200000000000001</v>
      </c>
      <c r="S2106" s="1">
        <v>0.45900000000000002</v>
      </c>
      <c r="T2106" s="1">
        <v>0.90100000000000002</v>
      </c>
      <c r="U2106" s="1">
        <v>0.64200000000000002</v>
      </c>
      <c r="V2106" s="1">
        <v>150.05500000000001</v>
      </c>
      <c r="W2106">
        <v>4</v>
      </c>
    </row>
    <row r="2107" spans="1:23" x14ac:dyDescent="0.25">
      <c r="A2107" s="1" t="s">
        <v>18234</v>
      </c>
      <c r="B2107" s="1" t="s">
        <v>18235</v>
      </c>
      <c r="C2107" s="1" t="s">
        <v>6127</v>
      </c>
      <c r="D2107" s="1" t="s">
        <v>17554</v>
      </c>
      <c r="E2107" s="1" t="s">
        <v>6128</v>
      </c>
      <c r="F2107" s="1" t="s">
        <v>15585</v>
      </c>
      <c r="G2107">
        <v>219240</v>
      </c>
      <c r="H2107">
        <v>55</v>
      </c>
      <c r="I2107" s="1" t="s">
        <v>11063</v>
      </c>
      <c r="J2107" s="11">
        <v>44729.706458333334</v>
      </c>
      <c r="K2107" s="1" t="s">
        <v>6129</v>
      </c>
      <c r="L2107" s="1">
        <v>0.67300000000000004</v>
      </c>
      <c r="M2107" s="1">
        <v>0.89400000000000002</v>
      </c>
      <c r="N2107">
        <v>0</v>
      </c>
      <c r="O2107" s="1">
        <v>-2.73</v>
      </c>
      <c r="P2107">
        <v>1</v>
      </c>
      <c r="Q2107" s="1">
        <v>0.59399999999999997</v>
      </c>
      <c r="R2107" s="1">
        <v>0.14799999999999999</v>
      </c>
      <c r="S2107" s="1">
        <v>0.34</v>
      </c>
      <c r="T2107" s="1">
        <v>0.14099999999999999</v>
      </c>
      <c r="U2107" s="1">
        <v>0.63</v>
      </c>
      <c r="V2107" s="1">
        <v>118.89400000000001</v>
      </c>
      <c r="W2107">
        <v>4</v>
      </c>
    </row>
    <row r="2108" spans="1:23" x14ac:dyDescent="0.25">
      <c r="A2108" s="1" t="s">
        <v>18236</v>
      </c>
      <c r="B2108" s="1" t="s">
        <v>18237</v>
      </c>
      <c r="C2108" s="1" t="s">
        <v>6130</v>
      </c>
      <c r="D2108" s="1" t="s">
        <v>6130</v>
      </c>
      <c r="E2108" s="1" t="s">
        <v>6131</v>
      </c>
      <c r="F2108" s="1" t="s">
        <v>18238</v>
      </c>
      <c r="G2108">
        <v>221793</v>
      </c>
      <c r="H2108">
        <v>31</v>
      </c>
      <c r="I2108" s="1" t="s">
        <v>11063</v>
      </c>
      <c r="J2108" s="11">
        <v>44729.706458333334</v>
      </c>
      <c r="K2108" s="1" t="s">
        <v>1066</v>
      </c>
      <c r="L2108" s="1">
        <v>0.27200000000000002</v>
      </c>
      <c r="M2108" s="1">
        <v>0.89700000000000002</v>
      </c>
      <c r="N2108">
        <v>7</v>
      </c>
      <c r="O2108" s="1">
        <v>-3.9990000000000001</v>
      </c>
      <c r="P2108">
        <v>0</v>
      </c>
      <c r="Q2108" s="1">
        <v>0.105</v>
      </c>
      <c r="R2108" s="1">
        <v>0.94599999999999995</v>
      </c>
      <c r="S2108" s="1">
        <v>0.52300000000000002</v>
      </c>
      <c r="T2108" s="1">
        <v>0.13400000000000001</v>
      </c>
      <c r="U2108" s="1">
        <v>0.158</v>
      </c>
      <c r="V2108" s="1">
        <v>145.143</v>
      </c>
      <c r="W2108">
        <v>4</v>
      </c>
    </row>
    <row r="2109" spans="1:23" x14ac:dyDescent="0.25">
      <c r="A2109" s="1" t="s">
        <v>18239</v>
      </c>
      <c r="B2109" s="1" t="s">
        <v>18240</v>
      </c>
      <c r="C2109" s="1" t="s">
        <v>6132</v>
      </c>
      <c r="D2109" s="1" t="s">
        <v>6132</v>
      </c>
      <c r="E2109" s="1" t="s">
        <v>6133</v>
      </c>
      <c r="F2109" s="1" t="s">
        <v>15987</v>
      </c>
      <c r="G2109">
        <v>249148</v>
      </c>
      <c r="H2109">
        <v>38</v>
      </c>
      <c r="I2109" s="1" t="s">
        <v>11063</v>
      </c>
      <c r="J2109" s="11">
        <v>44729.706458333334</v>
      </c>
      <c r="K2109" s="1" t="s">
        <v>6134</v>
      </c>
      <c r="L2109" s="1">
        <v>0.52800000000000002</v>
      </c>
      <c r="M2109" s="1">
        <v>0.441</v>
      </c>
      <c r="N2109">
        <v>4</v>
      </c>
      <c r="O2109" s="1">
        <v>-7.5090000000000003</v>
      </c>
      <c r="P2109">
        <v>1</v>
      </c>
      <c r="Q2109" s="1">
        <v>0.29799999999999999</v>
      </c>
      <c r="R2109" s="1">
        <v>0.505</v>
      </c>
      <c r="S2109" s="1">
        <v>0.31900000000000001</v>
      </c>
      <c r="T2109" s="1">
        <v>0.111</v>
      </c>
      <c r="U2109" s="1">
        <v>0.27100000000000002</v>
      </c>
      <c r="V2109" s="1">
        <v>139.89400000000001</v>
      </c>
      <c r="W2109">
        <v>4</v>
      </c>
    </row>
    <row r="2110" spans="1:23" x14ac:dyDescent="0.25">
      <c r="A2110" s="1" t="s">
        <v>18241</v>
      </c>
      <c r="B2110" s="1" t="s">
        <v>18242</v>
      </c>
      <c r="C2110" s="1" t="s">
        <v>6135</v>
      </c>
      <c r="D2110" s="1" t="s">
        <v>6135</v>
      </c>
      <c r="E2110" s="1" t="s">
        <v>6136</v>
      </c>
      <c r="F2110" s="1" t="s">
        <v>18243</v>
      </c>
      <c r="G2110">
        <v>318537</v>
      </c>
      <c r="H2110">
        <v>40</v>
      </c>
      <c r="I2110" s="1" t="s">
        <v>11063</v>
      </c>
      <c r="J2110" s="11">
        <v>44729.706458333334</v>
      </c>
      <c r="K2110" s="1" t="s">
        <v>6045</v>
      </c>
      <c r="L2110" s="1">
        <v>0.47599999999999998</v>
      </c>
      <c r="M2110" s="1">
        <v>0.69199999999999995</v>
      </c>
      <c r="N2110">
        <v>6</v>
      </c>
      <c r="O2110" s="1">
        <v>-5.7759999999999998</v>
      </c>
      <c r="P2110">
        <v>0</v>
      </c>
      <c r="Q2110" s="1">
        <v>0.32900000000000001</v>
      </c>
      <c r="R2110" s="1">
        <v>0.17100000000000001</v>
      </c>
      <c r="S2110" s="1">
        <v>0.182</v>
      </c>
      <c r="T2110" s="1">
        <v>0.13800000000000001</v>
      </c>
      <c r="U2110" s="1">
        <v>0.49199999999999999</v>
      </c>
      <c r="V2110" s="1">
        <v>139.87700000000001</v>
      </c>
      <c r="W2110">
        <v>4</v>
      </c>
    </row>
    <row r="2111" spans="1:23" x14ac:dyDescent="0.25">
      <c r="A2111" s="1" t="s">
        <v>18244</v>
      </c>
      <c r="B2111" s="1" t="s">
        <v>18242</v>
      </c>
      <c r="C2111" s="1" t="s">
        <v>6137</v>
      </c>
      <c r="D2111" s="1" t="s">
        <v>6137</v>
      </c>
      <c r="E2111" s="1" t="s">
        <v>6136</v>
      </c>
      <c r="F2111" s="1" t="s">
        <v>18245</v>
      </c>
      <c r="G2111">
        <v>204425</v>
      </c>
      <c r="H2111">
        <v>33</v>
      </c>
      <c r="I2111" s="1" t="s">
        <v>11063</v>
      </c>
      <c r="J2111" s="11">
        <v>44729.706458333334</v>
      </c>
      <c r="K2111" s="1" t="s">
        <v>6045</v>
      </c>
      <c r="L2111" s="1">
        <v>0.66900000000000004</v>
      </c>
      <c r="M2111" s="1">
        <v>0.75900000000000001</v>
      </c>
      <c r="N2111">
        <v>1</v>
      </c>
      <c r="O2111" s="1">
        <v>-6.0309999999999997</v>
      </c>
      <c r="P2111">
        <v>1</v>
      </c>
      <c r="Q2111" s="1">
        <v>0.42399999999999999</v>
      </c>
      <c r="R2111" s="1">
        <v>0.76600000000000001</v>
      </c>
      <c r="S2111" s="1">
        <v>0.60199999999999998</v>
      </c>
      <c r="T2111" s="1">
        <v>0.11700000000000001</v>
      </c>
      <c r="U2111" s="1">
        <v>0.40699999999999997</v>
      </c>
      <c r="V2111" s="1">
        <v>100.02800000000001</v>
      </c>
      <c r="W2111">
        <v>4</v>
      </c>
    </row>
    <row r="2112" spans="1:23" x14ac:dyDescent="0.25">
      <c r="A2112" s="1" t="s">
        <v>11136</v>
      </c>
      <c r="B2112" s="1" t="s">
        <v>11137</v>
      </c>
      <c r="C2112" s="1" t="s">
        <v>6138</v>
      </c>
      <c r="D2112" s="1" t="s">
        <v>6138</v>
      </c>
      <c r="E2112" s="1" t="s">
        <v>6139</v>
      </c>
      <c r="F2112" s="1" t="s">
        <v>16630</v>
      </c>
      <c r="G2112">
        <v>183071</v>
      </c>
      <c r="H2112">
        <v>0</v>
      </c>
      <c r="I2112" s="1" t="s">
        <v>11063</v>
      </c>
      <c r="J2112" s="11">
        <v>44729.706458333334</v>
      </c>
      <c r="K2112" s="1" t="s">
        <v>50</v>
      </c>
      <c r="L2112" s="1">
        <v>0.45100000000000001</v>
      </c>
      <c r="M2112" s="1">
        <v>0.49399999999999999</v>
      </c>
      <c r="N2112">
        <v>6</v>
      </c>
      <c r="O2112" s="1">
        <v>-8.2189999999999994</v>
      </c>
      <c r="P2112">
        <v>1</v>
      </c>
      <c r="Q2112" s="1">
        <v>0.35</v>
      </c>
      <c r="R2112" s="1">
        <v>0.57199999999999995</v>
      </c>
      <c r="S2112" s="1">
        <v>0.98899999999999999</v>
      </c>
      <c r="T2112" s="1">
        <v>0.11700000000000001</v>
      </c>
      <c r="U2112" s="1">
        <v>0.187</v>
      </c>
      <c r="V2112" s="1">
        <v>75.09</v>
      </c>
      <c r="W2112">
        <v>4</v>
      </c>
    </row>
    <row r="2113" spans="1:23" x14ac:dyDescent="0.25">
      <c r="A2113" s="1" t="s">
        <v>18246</v>
      </c>
      <c r="B2113" s="1" t="s">
        <v>18247</v>
      </c>
      <c r="C2113" s="1" t="s">
        <v>6140</v>
      </c>
      <c r="D2113" s="1" t="s">
        <v>301</v>
      </c>
      <c r="E2113" s="1" t="s">
        <v>6141</v>
      </c>
      <c r="F2113" s="1" t="s">
        <v>18248</v>
      </c>
      <c r="G2113">
        <v>212800</v>
      </c>
      <c r="H2113">
        <v>29</v>
      </c>
      <c r="I2113" s="1" t="s">
        <v>11063</v>
      </c>
      <c r="J2113" s="11">
        <v>44729.706458333334</v>
      </c>
      <c r="K2113" s="1" t="s">
        <v>933</v>
      </c>
      <c r="L2113" s="1">
        <v>0.51800000000000002</v>
      </c>
      <c r="M2113" s="1">
        <v>0.54600000000000004</v>
      </c>
      <c r="N2113">
        <v>7</v>
      </c>
      <c r="O2113" s="1">
        <v>-6.4610000000000003</v>
      </c>
      <c r="P2113">
        <v>0</v>
      </c>
      <c r="Q2113" s="1">
        <v>0.496</v>
      </c>
      <c r="R2113" s="1">
        <v>0.64</v>
      </c>
      <c r="S2113" s="1">
        <v>0</v>
      </c>
      <c r="T2113" s="1">
        <v>0.121</v>
      </c>
      <c r="U2113" s="1">
        <v>0.90800000000000003</v>
      </c>
      <c r="V2113" s="1">
        <v>160.011</v>
      </c>
      <c r="W2113">
        <v>4</v>
      </c>
    </row>
    <row r="2114" spans="1:23" x14ac:dyDescent="0.25">
      <c r="A2114" s="1" t="s">
        <v>18249</v>
      </c>
      <c r="B2114" s="1" t="s">
        <v>18250</v>
      </c>
      <c r="C2114" s="1" t="s">
        <v>6142</v>
      </c>
      <c r="D2114" s="1" t="s">
        <v>6142</v>
      </c>
      <c r="E2114" s="1" t="s">
        <v>6143</v>
      </c>
      <c r="F2114" s="1" t="s">
        <v>13253</v>
      </c>
      <c r="G2114">
        <v>150000</v>
      </c>
      <c r="H2114">
        <v>0</v>
      </c>
      <c r="I2114" s="1" t="s">
        <v>11063</v>
      </c>
      <c r="J2114" s="11">
        <v>44729.706458333334</v>
      </c>
      <c r="K2114" s="1" t="s">
        <v>6144</v>
      </c>
      <c r="L2114" s="1">
        <v>0.63100000000000001</v>
      </c>
      <c r="M2114" s="1">
        <v>0.94699999999999995</v>
      </c>
      <c r="N2114">
        <v>1</v>
      </c>
      <c r="O2114" s="1">
        <v>-1.466</v>
      </c>
      <c r="P2114">
        <v>1</v>
      </c>
      <c r="Q2114" s="1">
        <v>0.124</v>
      </c>
      <c r="R2114" s="1">
        <v>0.184</v>
      </c>
      <c r="S2114" s="1">
        <v>0.22700000000000001</v>
      </c>
      <c r="T2114" s="1">
        <v>0.191</v>
      </c>
      <c r="U2114" s="1">
        <v>0.54800000000000004</v>
      </c>
      <c r="V2114" s="1">
        <v>160.024</v>
      </c>
      <c r="W2114">
        <v>4</v>
      </c>
    </row>
    <row r="2115" spans="1:23" x14ac:dyDescent="0.25">
      <c r="A2115" s="1" t="s">
        <v>18251</v>
      </c>
      <c r="B2115" s="1" t="s">
        <v>18252</v>
      </c>
      <c r="C2115" s="1" t="s">
        <v>6145</v>
      </c>
      <c r="D2115" s="1" t="s">
        <v>18253</v>
      </c>
      <c r="E2115" s="1" t="s">
        <v>6146</v>
      </c>
      <c r="F2115" s="1" t="s">
        <v>13253</v>
      </c>
      <c r="G2115">
        <v>171464</v>
      </c>
      <c r="H2115">
        <v>37</v>
      </c>
      <c r="I2115" s="1" t="s">
        <v>11063</v>
      </c>
      <c r="J2115" s="11">
        <v>44729.706458333334</v>
      </c>
      <c r="K2115" s="1" t="s">
        <v>6147</v>
      </c>
      <c r="L2115" s="1">
        <v>0.66700000000000004</v>
      </c>
      <c r="M2115" s="1">
        <v>0.81100000000000005</v>
      </c>
      <c r="N2115">
        <v>1</v>
      </c>
      <c r="O2115" s="1">
        <v>-4.6849999999999996</v>
      </c>
      <c r="P2115">
        <v>1</v>
      </c>
      <c r="Q2115" s="1">
        <v>0.105</v>
      </c>
      <c r="R2115" s="1">
        <v>0.59299999999999997</v>
      </c>
      <c r="S2115" s="1">
        <v>0.73599999999999999</v>
      </c>
      <c r="T2115" s="1">
        <v>0.64800000000000002</v>
      </c>
      <c r="U2115" s="1">
        <v>0.443</v>
      </c>
      <c r="V2115" s="1">
        <v>104.93600000000001</v>
      </c>
      <c r="W2115">
        <v>4</v>
      </c>
    </row>
    <row r="2116" spans="1:23" x14ac:dyDescent="0.25">
      <c r="A2116" s="1" t="s">
        <v>18254</v>
      </c>
      <c r="B2116" s="1" t="s">
        <v>18255</v>
      </c>
      <c r="C2116" s="1" t="s">
        <v>6148</v>
      </c>
      <c r="D2116" s="1" t="s">
        <v>6148</v>
      </c>
      <c r="E2116" s="1" t="s">
        <v>6149</v>
      </c>
      <c r="F2116" s="1" t="s">
        <v>13253</v>
      </c>
      <c r="G2116">
        <v>200727</v>
      </c>
      <c r="H2116">
        <v>37</v>
      </c>
      <c r="I2116" s="1" t="s">
        <v>11063</v>
      </c>
      <c r="J2116" s="11">
        <v>44729.706458333334</v>
      </c>
      <c r="K2116" s="1" t="s">
        <v>6150</v>
      </c>
      <c r="L2116" s="1">
        <v>0.79800000000000004</v>
      </c>
      <c r="M2116" s="1">
        <v>0.66400000000000003</v>
      </c>
      <c r="N2116">
        <v>8</v>
      </c>
      <c r="O2116" s="1">
        <v>-4.3209999999999997</v>
      </c>
      <c r="P2116">
        <v>0</v>
      </c>
      <c r="Q2116" s="1">
        <v>0.3</v>
      </c>
      <c r="R2116" s="1">
        <v>0.46</v>
      </c>
      <c r="S2116" s="1">
        <v>0.73699999999999999</v>
      </c>
      <c r="T2116" s="1">
        <v>0.157</v>
      </c>
      <c r="U2116" s="1">
        <v>0.314</v>
      </c>
      <c r="V2116" s="1">
        <v>110.02500000000001</v>
      </c>
      <c r="W2116">
        <v>4</v>
      </c>
    </row>
    <row r="2117" spans="1:23" x14ac:dyDescent="0.25">
      <c r="A2117" s="1" t="s">
        <v>18256</v>
      </c>
      <c r="B2117" s="1" t="s">
        <v>18257</v>
      </c>
      <c r="C2117" s="1" t="s">
        <v>6151</v>
      </c>
      <c r="D2117" s="1" t="s">
        <v>6151</v>
      </c>
      <c r="E2117" s="1" t="s">
        <v>6152</v>
      </c>
      <c r="F2117" s="1" t="s">
        <v>13253</v>
      </c>
      <c r="G2117">
        <v>234000</v>
      </c>
      <c r="H2117">
        <v>21</v>
      </c>
      <c r="I2117" s="1" t="s">
        <v>11063</v>
      </c>
      <c r="J2117" s="11">
        <v>44729.706458333334</v>
      </c>
      <c r="K2117" s="1" t="s">
        <v>2225</v>
      </c>
      <c r="L2117" s="1">
        <v>0.6</v>
      </c>
      <c r="M2117" s="1">
        <v>0.90400000000000003</v>
      </c>
      <c r="N2117">
        <v>10</v>
      </c>
      <c r="O2117" s="1">
        <v>-2.657</v>
      </c>
      <c r="P2117">
        <v>0</v>
      </c>
      <c r="Q2117" s="1">
        <v>0.83299999999999996</v>
      </c>
      <c r="R2117" s="1">
        <v>0.11700000000000001</v>
      </c>
      <c r="S2117" s="1">
        <v>0.19900000000000001</v>
      </c>
      <c r="T2117" s="1">
        <v>0.31</v>
      </c>
      <c r="U2117" s="1">
        <v>0.55100000000000005</v>
      </c>
      <c r="V2117" s="1">
        <v>99.986000000000004</v>
      </c>
      <c r="W2117">
        <v>4</v>
      </c>
    </row>
    <row r="2118" spans="1:23" x14ac:dyDescent="0.25">
      <c r="A2118" s="1" t="s">
        <v>18258</v>
      </c>
      <c r="B2118" s="1" t="s">
        <v>18259</v>
      </c>
      <c r="C2118" s="1" t="s">
        <v>6153</v>
      </c>
      <c r="D2118" s="1" t="s">
        <v>18260</v>
      </c>
      <c r="E2118" s="1" t="s">
        <v>6154</v>
      </c>
      <c r="F2118" s="1" t="s">
        <v>13253</v>
      </c>
      <c r="G2118">
        <v>190106</v>
      </c>
      <c r="H2118">
        <v>53</v>
      </c>
      <c r="I2118" s="1" t="s">
        <v>11063</v>
      </c>
      <c r="J2118" s="11">
        <v>44729.706458333334</v>
      </c>
      <c r="K2118" s="1" t="s">
        <v>6155</v>
      </c>
      <c r="L2118" s="1">
        <v>0.54800000000000004</v>
      </c>
      <c r="M2118" s="1">
        <v>0.71399999999999997</v>
      </c>
      <c r="N2118">
        <v>2</v>
      </c>
      <c r="O2118" s="1">
        <v>-6.2069999999999999</v>
      </c>
      <c r="P2118">
        <v>1</v>
      </c>
      <c r="Q2118" s="1">
        <v>0.86</v>
      </c>
      <c r="R2118" s="1">
        <v>0.11700000000000001</v>
      </c>
      <c r="S2118" s="1">
        <v>0</v>
      </c>
      <c r="T2118" s="1">
        <v>0.13200000000000001</v>
      </c>
      <c r="U2118" s="1">
        <v>0.53300000000000003</v>
      </c>
      <c r="V2118" s="1">
        <v>77.683000000000007</v>
      </c>
      <c r="W2118">
        <v>4</v>
      </c>
    </row>
    <row r="2119" spans="1:23" x14ac:dyDescent="0.25">
      <c r="A2119" s="1" t="s">
        <v>18261</v>
      </c>
      <c r="B2119" s="1" t="s">
        <v>11065</v>
      </c>
      <c r="C2119" s="1" t="s">
        <v>6156</v>
      </c>
      <c r="D2119" s="1" t="s">
        <v>18262</v>
      </c>
      <c r="E2119" s="1" t="s">
        <v>6157</v>
      </c>
      <c r="F2119" s="1" t="s">
        <v>13253</v>
      </c>
      <c r="G2119">
        <v>142608</v>
      </c>
      <c r="H2119">
        <v>28</v>
      </c>
      <c r="I2119" s="1" t="s">
        <v>11063</v>
      </c>
      <c r="J2119" s="11">
        <v>44729.706458333334</v>
      </c>
      <c r="K2119" s="1" t="s">
        <v>6158</v>
      </c>
      <c r="L2119" s="1">
        <v>0.67400000000000004</v>
      </c>
      <c r="M2119" s="1">
        <v>0.626</v>
      </c>
      <c r="N2119">
        <v>0</v>
      </c>
      <c r="O2119" s="1">
        <v>-4.0679999999999996</v>
      </c>
      <c r="P2119">
        <v>1</v>
      </c>
      <c r="Q2119" s="1">
        <v>0.85</v>
      </c>
      <c r="R2119" s="1">
        <v>0.41399999999999998</v>
      </c>
      <c r="S2119" s="1">
        <v>0.61599999999999999</v>
      </c>
      <c r="T2119" s="1">
        <v>0.44400000000000001</v>
      </c>
      <c r="U2119" s="1">
        <v>0.33400000000000002</v>
      </c>
      <c r="V2119" s="1">
        <v>135.869</v>
      </c>
      <c r="W2119">
        <v>3</v>
      </c>
    </row>
    <row r="2120" spans="1:23" x14ac:dyDescent="0.25">
      <c r="A2120" s="1" t="s">
        <v>11064</v>
      </c>
      <c r="B2120" s="1" t="s">
        <v>11065</v>
      </c>
      <c r="C2120" s="1" t="s">
        <v>6159</v>
      </c>
      <c r="D2120" s="1" t="s">
        <v>6159</v>
      </c>
      <c r="E2120" s="1" t="s">
        <v>6157</v>
      </c>
      <c r="F2120" s="1" t="s">
        <v>16706</v>
      </c>
      <c r="G2120">
        <v>231663</v>
      </c>
      <c r="H2120">
        <v>65</v>
      </c>
      <c r="I2120" s="1" t="s">
        <v>11063</v>
      </c>
      <c r="J2120" s="11">
        <v>44729.706458333334</v>
      </c>
      <c r="K2120" s="1" t="s">
        <v>6158</v>
      </c>
      <c r="L2120" s="1">
        <v>0.57399999999999995</v>
      </c>
      <c r="M2120" s="1">
        <v>0.61199999999999999</v>
      </c>
      <c r="N2120">
        <v>0</v>
      </c>
      <c r="O2120" s="1">
        <v>-4.7409999999999997</v>
      </c>
      <c r="P2120">
        <v>1</v>
      </c>
      <c r="Q2120" s="1">
        <v>0.78100000000000003</v>
      </c>
      <c r="R2120" s="1">
        <v>0.35699999999999998</v>
      </c>
      <c r="S2120" s="1">
        <v>0</v>
      </c>
      <c r="T2120" s="1">
        <v>0.158</v>
      </c>
      <c r="U2120" s="1">
        <v>0.36799999999999999</v>
      </c>
      <c r="V2120" s="1">
        <v>136.04599999999999</v>
      </c>
      <c r="W2120">
        <v>3</v>
      </c>
    </row>
    <row r="2121" spans="1:23" x14ac:dyDescent="0.25">
      <c r="A2121" s="1" t="s">
        <v>18263</v>
      </c>
      <c r="B2121" s="1" t="s">
        <v>18264</v>
      </c>
      <c r="C2121" s="1" t="s">
        <v>6160</v>
      </c>
      <c r="D2121" s="1" t="s">
        <v>6160</v>
      </c>
      <c r="E2121" s="1" t="s">
        <v>6161</v>
      </c>
      <c r="F2121" s="1" t="s">
        <v>18265</v>
      </c>
      <c r="G2121">
        <v>252853</v>
      </c>
      <c r="H2121">
        <v>41</v>
      </c>
      <c r="I2121" s="1" t="s">
        <v>11063</v>
      </c>
      <c r="J2121" s="11">
        <v>44729.706458333334</v>
      </c>
      <c r="K2121" s="1" t="s">
        <v>6162</v>
      </c>
      <c r="L2121" s="1">
        <v>0.751</v>
      </c>
      <c r="M2121" s="1">
        <v>0.85099999999999998</v>
      </c>
      <c r="N2121">
        <v>11</v>
      </c>
      <c r="O2121" s="1">
        <v>-3.8820000000000001</v>
      </c>
      <c r="P2121">
        <v>0</v>
      </c>
      <c r="Q2121" s="1">
        <v>0.29299999999999998</v>
      </c>
      <c r="R2121" s="1">
        <v>0.46800000000000003</v>
      </c>
      <c r="S2121" s="1">
        <v>0.17100000000000001</v>
      </c>
      <c r="T2121" s="1">
        <v>0.307</v>
      </c>
      <c r="U2121" s="1">
        <v>0.41299999999999998</v>
      </c>
      <c r="V2121" s="1">
        <v>139.99299999999999</v>
      </c>
      <c r="W2121">
        <v>4</v>
      </c>
    </row>
    <row r="2122" spans="1:23" x14ac:dyDescent="0.25">
      <c r="A2122" s="1" t="s">
        <v>18266</v>
      </c>
      <c r="B2122" s="1" t="s">
        <v>18267</v>
      </c>
      <c r="C2122" s="1" t="s">
        <v>6163</v>
      </c>
      <c r="D2122" s="1" t="s">
        <v>6163</v>
      </c>
      <c r="E2122" s="1" t="s">
        <v>6164</v>
      </c>
      <c r="F2122" s="1" t="s">
        <v>18268</v>
      </c>
      <c r="G2122">
        <v>165831</v>
      </c>
      <c r="H2122">
        <v>24</v>
      </c>
      <c r="I2122" s="1" t="s">
        <v>11063</v>
      </c>
      <c r="J2122" s="11">
        <v>44729.706458333334</v>
      </c>
      <c r="K2122" s="1" t="s">
        <v>1053</v>
      </c>
      <c r="L2122" s="1">
        <v>0.753</v>
      </c>
      <c r="M2122" s="1">
        <v>0.57699999999999996</v>
      </c>
      <c r="N2122">
        <v>4</v>
      </c>
      <c r="O2122" s="1">
        <v>-10.071</v>
      </c>
      <c r="P2122">
        <v>0</v>
      </c>
      <c r="Q2122" s="1">
        <v>0.86499999999999999</v>
      </c>
      <c r="R2122" s="1">
        <v>0.23300000000000001</v>
      </c>
      <c r="S2122" s="1">
        <v>0.28699999999999998</v>
      </c>
      <c r="T2122" s="1">
        <v>0.19900000000000001</v>
      </c>
      <c r="U2122" s="1">
        <v>0.20399999999999999</v>
      </c>
      <c r="V2122" s="1">
        <v>99.989000000000004</v>
      </c>
      <c r="W2122">
        <v>4</v>
      </c>
    </row>
    <row r="2123" spans="1:23" x14ac:dyDescent="0.25">
      <c r="A2123" s="1" t="s">
        <v>18269</v>
      </c>
      <c r="B2123" s="1" t="s">
        <v>18270</v>
      </c>
      <c r="C2123" s="1" t="s">
        <v>6165</v>
      </c>
      <c r="D2123" s="1" t="s">
        <v>6165</v>
      </c>
      <c r="E2123" s="1" t="s">
        <v>6166</v>
      </c>
      <c r="F2123" s="1" t="s">
        <v>18268</v>
      </c>
      <c r="G2123">
        <v>173000</v>
      </c>
      <c r="H2123">
        <v>30</v>
      </c>
      <c r="I2123" s="1" t="s">
        <v>11063</v>
      </c>
      <c r="J2123" s="11">
        <v>44729.706458333334</v>
      </c>
      <c r="K2123" s="1" t="s">
        <v>947</v>
      </c>
      <c r="L2123" s="1">
        <v>0.82899999999999996</v>
      </c>
      <c r="M2123" s="1">
        <v>0.752</v>
      </c>
      <c r="N2123">
        <v>0</v>
      </c>
      <c r="O2123" s="1">
        <v>-7.6390000000000002</v>
      </c>
      <c r="P2123">
        <v>0</v>
      </c>
      <c r="Q2123" s="1">
        <v>0.45400000000000001</v>
      </c>
      <c r="R2123" s="1">
        <v>0.44800000000000001</v>
      </c>
      <c r="S2123" s="1">
        <v>0.122</v>
      </c>
      <c r="T2123" s="1">
        <v>0.90700000000000003</v>
      </c>
      <c r="U2123" s="1">
        <v>0.626</v>
      </c>
      <c r="V2123" s="1">
        <v>127.982</v>
      </c>
      <c r="W2123">
        <v>4</v>
      </c>
    </row>
    <row r="2124" spans="1:23" x14ac:dyDescent="0.25">
      <c r="A2124" s="1" t="s">
        <v>11122</v>
      </c>
      <c r="B2124" s="1" t="s">
        <v>11123</v>
      </c>
      <c r="C2124" s="1" t="s">
        <v>6167</v>
      </c>
      <c r="D2124" s="1" t="s">
        <v>6167</v>
      </c>
      <c r="E2124" s="1" t="s">
        <v>6168</v>
      </c>
      <c r="F2124" s="1" t="s">
        <v>18268</v>
      </c>
      <c r="G2124">
        <v>179052</v>
      </c>
      <c r="H2124">
        <v>75</v>
      </c>
      <c r="I2124" s="1" t="s">
        <v>11063</v>
      </c>
      <c r="J2124" s="11">
        <v>44729.706458333334</v>
      </c>
      <c r="K2124" s="1" t="s">
        <v>6169</v>
      </c>
      <c r="L2124" s="1">
        <v>0.67</v>
      </c>
      <c r="M2124" s="1">
        <v>0.66800000000000004</v>
      </c>
      <c r="N2124">
        <v>3</v>
      </c>
      <c r="O2124" s="1">
        <v>-4.306</v>
      </c>
      <c r="P2124">
        <v>0</v>
      </c>
      <c r="Q2124" s="1">
        <v>0.42199999999999999</v>
      </c>
      <c r="R2124" s="1">
        <v>0.53600000000000003</v>
      </c>
      <c r="S2124" s="1">
        <v>0</v>
      </c>
      <c r="T2124" s="1">
        <v>0.13300000000000001</v>
      </c>
      <c r="U2124" s="1">
        <v>0.60799999999999998</v>
      </c>
      <c r="V2124" s="1">
        <v>88.033000000000001</v>
      </c>
      <c r="W2124">
        <v>4</v>
      </c>
    </row>
    <row r="2125" spans="1:23" x14ac:dyDescent="0.25">
      <c r="A2125" s="1" t="s">
        <v>18271</v>
      </c>
      <c r="B2125" s="1" t="s">
        <v>18272</v>
      </c>
      <c r="C2125" s="1" t="s">
        <v>6170</v>
      </c>
      <c r="D2125" s="1" t="s">
        <v>6170</v>
      </c>
      <c r="E2125" s="1" t="s">
        <v>6171</v>
      </c>
      <c r="F2125" s="1" t="s">
        <v>14461</v>
      </c>
      <c r="G2125">
        <v>232542</v>
      </c>
      <c r="H2125">
        <v>39</v>
      </c>
      <c r="I2125" s="1" t="s">
        <v>11063</v>
      </c>
      <c r="J2125" s="11">
        <v>44729.706458333334</v>
      </c>
      <c r="K2125" s="1" t="s">
        <v>1053</v>
      </c>
      <c r="L2125" s="1">
        <v>0.73799999999999999</v>
      </c>
      <c r="M2125" s="1">
        <v>0.86199999999999999</v>
      </c>
      <c r="N2125">
        <v>1</v>
      </c>
      <c r="O2125" s="1">
        <v>-6.0419999999999998</v>
      </c>
      <c r="P2125">
        <v>0</v>
      </c>
      <c r="Q2125" s="1">
        <v>0.46500000000000002</v>
      </c>
      <c r="R2125" s="1">
        <v>0.69</v>
      </c>
      <c r="S2125" s="1">
        <v>0.82499999999999996</v>
      </c>
      <c r="T2125" s="1">
        <v>0.748</v>
      </c>
      <c r="U2125" s="1">
        <v>0.73299999999999998</v>
      </c>
      <c r="V2125" s="1">
        <v>128.024</v>
      </c>
      <c r="W2125">
        <v>4</v>
      </c>
    </row>
    <row r="2126" spans="1:23" x14ac:dyDescent="0.25">
      <c r="A2126" s="1" t="s">
        <v>18273</v>
      </c>
      <c r="B2126" s="1" t="s">
        <v>18274</v>
      </c>
      <c r="C2126" s="1" t="s">
        <v>6172</v>
      </c>
      <c r="D2126" s="1" t="s">
        <v>6172</v>
      </c>
      <c r="E2126" s="1" t="s">
        <v>6173</v>
      </c>
      <c r="F2126" s="1" t="s">
        <v>13928</v>
      </c>
      <c r="G2126">
        <v>229946</v>
      </c>
      <c r="H2126">
        <v>56</v>
      </c>
      <c r="I2126" s="1" t="s">
        <v>11063</v>
      </c>
      <c r="J2126" s="11">
        <v>44729.706458333334</v>
      </c>
      <c r="K2126" s="1" t="s">
        <v>6174</v>
      </c>
      <c r="L2126" s="1">
        <v>0.59899999999999998</v>
      </c>
      <c r="M2126" s="1">
        <v>0.61399999999999999</v>
      </c>
      <c r="N2126">
        <v>10</v>
      </c>
      <c r="O2126" s="1">
        <v>-6.5730000000000004</v>
      </c>
      <c r="P2126">
        <v>1</v>
      </c>
      <c r="Q2126" s="1">
        <v>0.51700000000000002</v>
      </c>
      <c r="R2126" s="1">
        <v>0.20300000000000001</v>
      </c>
      <c r="S2126" s="1">
        <v>0.156</v>
      </c>
      <c r="T2126" s="1">
        <v>0.11700000000000001</v>
      </c>
      <c r="U2126" s="1">
        <v>0.122</v>
      </c>
      <c r="V2126" s="1">
        <v>128.04400000000001</v>
      </c>
      <c r="W2126">
        <v>4</v>
      </c>
    </row>
    <row r="2127" spans="1:23" x14ac:dyDescent="0.25">
      <c r="A2127" s="1" t="s">
        <v>18275</v>
      </c>
      <c r="B2127" s="1" t="s">
        <v>18276</v>
      </c>
      <c r="C2127" s="1" t="s">
        <v>6175</v>
      </c>
      <c r="D2127" s="1" t="s">
        <v>18277</v>
      </c>
      <c r="E2127" s="1" t="s">
        <v>6176</v>
      </c>
      <c r="F2127" s="1" t="s">
        <v>18278</v>
      </c>
      <c r="G2127">
        <v>243160</v>
      </c>
      <c r="H2127">
        <v>67</v>
      </c>
      <c r="I2127" s="1" t="s">
        <v>11063</v>
      </c>
      <c r="J2127" s="11">
        <v>44729.706458333334</v>
      </c>
      <c r="K2127" s="1" t="s">
        <v>6177</v>
      </c>
      <c r="L2127" s="1">
        <v>0.79300000000000004</v>
      </c>
      <c r="M2127" s="1">
        <v>0.5</v>
      </c>
      <c r="N2127">
        <v>6</v>
      </c>
      <c r="O2127" s="1">
        <v>-13.108000000000001</v>
      </c>
      <c r="P2127">
        <v>0</v>
      </c>
      <c r="Q2127" s="1">
        <v>0.31900000000000001</v>
      </c>
      <c r="R2127" s="1">
        <v>0.28000000000000003</v>
      </c>
      <c r="S2127" s="1">
        <v>0.19600000000000001</v>
      </c>
      <c r="T2127" s="1">
        <v>0.186</v>
      </c>
      <c r="U2127" s="1">
        <v>0.83299999999999996</v>
      </c>
      <c r="V2127" s="1">
        <v>123.017</v>
      </c>
      <c r="W2127">
        <v>4</v>
      </c>
    </row>
    <row r="2128" spans="1:23" x14ac:dyDescent="0.25">
      <c r="A2128" s="1" t="s">
        <v>18279</v>
      </c>
      <c r="B2128" s="1" t="s">
        <v>18280</v>
      </c>
      <c r="C2128" s="1" t="s">
        <v>444</v>
      </c>
      <c r="D2128" s="1" t="s">
        <v>444</v>
      </c>
      <c r="E2128" s="1" t="s">
        <v>6178</v>
      </c>
      <c r="F2128" s="1" t="s">
        <v>11665</v>
      </c>
      <c r="G2128">
        <v>208689</v>
      </c>
      <c r="H2128">
        <v>52</v>
      </c>
      <c r="I2128" s="1" t="s">
        <v>11063</v>
      </c>
      <c r="J2128" s="11">
        <v>44729.706458333334</v>
      </c>
      <c r="K2128" s="1" t="s">
        <v>493</v>
      </c>
      <c r="L2128" s="1">
        <v>0.41599999999999998</v>
      </c>
      <c r="M2128" s="1">
        <v>0.77100000000000002</v>
      </c>
      <c r="N2128">
        <v>7</v>
      </c>
      <c r="O2128" s="1">
        <v>-3.1829999999999998</v>
      </c>
      <c r="P2128">
        <v>0</v>
      </c>
      <c r="Q2128" s="1">
        <v>0.54</v>
      </c>
      <c r="R2128" s="1">
        <v>0.17799999999999999</v>
      </c>
      <c r="S2128" s="1">
        <v>0.157</v>
      </c>
      <c r="T2128" s="1">
        <v>0.501</v>
      </c>
      <c r="U2128" s="1">
        <v>0.49299999999999999</v>
      </c>
      <c r="V2128" s="1">
        <v>144.87299999999999</v>
      </c>
      <c r="W2128">
        <v>4</v>
      </c>
    </row>
    <row r="2129" spans="1:23" x14ac:dyDescent="0.25">
      <c r="A2129" s="1" t="s">
        <v>18281</v>
      </c>
      <c r="B2129" s="1" t="s">
        <v>18282</v>
      </c>
      <c r="C2129" s="1" t="s">
        <v>6179</v>
      </c>
      <c r="D2129" s="1" t="s">
        <v>2871</v>
      </c>
      <c r="E2129" s="1" t="s">
        <v>6180</v>
      </c>
      <c r="F2129" s="1" t="s">
        <v>11612</v>
      </c>
      <c r="G2129">
        <v>197946</v>
      </c>
      <c r="H2129">
        <v>73</v>
      </c>
      <c r="I2129" s="1" t="s">
        <v>11063</v>
      </c>
      <c r="J2129" s="11">
        <v>44729.706458333334</v>
      </c>
      <c r="K2129" s="1" t="s">
        <v>6181</v>
      </c>
      <c r="L2129" s="1">
        <v>0.57499999999999996</v>
      </c>
      <c r="M2129" s="1">
        <v>0.57099999999999995</v>
      </c>
      <c r="N2129">
        <v>1</v>
      </c>
      <c r="O2129" s="1">
        <v>-7.9059999999999997</v>
      </c>
      <c r="P2129">
        <v>1</v>
      </c>
      <c r="Q2129" s="1">
        <v>0.439</v>
      </c>
      <c r="R2129" s="1">
        <v>0.55800000000000005</v>
      </c>
      <c r="S2129" s="1">
        <v>0</v>
      </c>
      <c r="T2129" s="1">
        <v>0.91200000000000003</v>
      </c>
      <c r="U2129" s="1">
        <v>0.44900000000000001</v>
      </c>
      <c r="V2129" s="1">
        <v>105.04900000000001</v>
      </c>
      <c r="W2129">
        <v>4</v>
      </c>
    </row>
    <row r="2130" spans="1:23" x14ac:dyDescent="0.25">
      <c r="A2130" s="1" t="s">
        <v>18283</v>
      </c>
      <c r="B2130" s="1" t="s">
        <v>18284</v>
      </c>
      <c r="C2130" s="1" t="s">
        <v>6182</v>
      </c>
      <c r="D2130" s="1" t="s">
        <v>18285</v>
      </c>
      <c r="E2130" s="1" t="s">
        <v>6183</v>
      </c>
      <c r="F2130" s="1" t="s">
        <v>11471</v>
      </c>
      <c r="G2130">
        <v>240893</v>
      </c>
      <c r="H2130">
        <v>58</v>
      </c>
      <c r="I2130" s="1" t="s">
        <v>11063</v>
      </c>
      <c r="J2130" s="11">
        <v>44729.706458333334</v>
      </c>
      <c r="K2130" s="1" t="s">
        <v>6184</v>
      </c>
      <c r="L2130" s="1">
        <v>0.65100000000000002</v>
      </c>
      <c r="M2130" s="1">
        <v>0.89800000000000002</v>
      </c>
      <c r="N2130">
        <v>11</v>
      </c>
      <c r="O2130" s="1">
        <v>-4.9420000000000002</v>
      </c>
      <c r="P2130">
        <v>1</v>
      </c>
      <c r="Q2130" s="1">
        <v>0.39100000000000001</v>
      </c>
      <c r="R2130" s="1">
        <v>0.152</v>
      </c>
      <c r="S2130" s="1">
        <v>0</v>
      </c>
      <c r="T2130" s="1">
        <v>0.11</v>
      </c>
      <c r="U2130" s="1">
        <v>0.59899999999999998</v>
      </c>
      <c r="V2130" s="1">
        <v>126.051</v>
      </c>
      <c r="W2130">
        <v>4</v>
      </c>
    </row>
    <row r="2131" spans="1:23" x14ac:dyDescent="0.25">
      <c r="A2131" s="1" t="s">
        <v>18286</v>
      </c>
      <c r="B2131" s="1" t="s">
        <v>18287</v>
      </c>
      <c r="C2131" s="1" t="s">
        <v>5777</v>
      </c>
      <c r="D2131" s="1" t="s">
        <v>18288</v>
      </c>
      <c r="E2131" s="1" t="s">
        <v>6185</v>
      </c>
      <c r="F2131" s="1" t="s">
        <v>16196</v>
      </c>
      <c r="G2131">
        <v>241465</v>
      </c>
      <c r="H2131">
        <v>46</v>
      </c>
      <c r="I2131" s="1" t="s">
        <v>11063</v>
      </c>
      <c r="J2131" s="11">
        <v>44729.706458333334</v>
      </c>
      <c r="K2131" s="1" t="s">
        <v>6186</v>
      </c>
      <c r="L2131" s="1">
        <v>0.59099999999999997</v>
      </c>
      <c r="M2131" s="1">
        <v>0.67200000000000004</v>
      </c>
      <c r="N2131">
        <v>0</v>
      </c>
      <c r="O2131" s="1">
        <v>-6.5529999999999999</v>
      </c>
      <c r="P2131">
        <v>0</v>
      </c>
      <c r="Q2131" s="1">
        <v>0.379</v>
      </c>
      <c r="R2131" s="1">
        <v>0.63600000000000001</v>
      </c>
      <c r="S2131" s="1">
        <v>0</v>
      </c>
      <c r="T2131" s="1">
        <v>0.28799999999999998</v>
      </c>
      <c r="U2131" s="1">
        <v>0.44800000000000001</v>
      </c>
      <c r="V2131" s="1">
        <v>108.938</v>
      </c>
      <c r="W2131">
        <v>4</v>
      </c>
    </row>
    <row r="2132" spans="1:23" x14ac:dyDescent="0.25">
      <c r="A2132" s="1" t="s">
        <v>18289</v>
      </c>
      <c r="B2132" s="1" t="s">
        <v>18290</v>
      </c>
      <c r="C2132" s="1" t="s">
        <v>6187</v>
      </c>
      <c r="D2132" s="1" t="s">
        <v>18291</v>
      </c>
      <c r="E2132" s="1" t="s">
        <v>6188</v>
      </c>
      <c r="F2132" s="1" t="s">
        <v>13866</v>
      </c>
      <c r="G2132">
        <v>218406</v>
      </c>
      <c r="H2132">
        <v>0</v>
      </c>
      <c r="I2132" s="1" t="s">
        <v>11063</v>
      </c>
      <c r="J2132" s="11">
        <v>44729.706458333334</v>
      </c>
      <c r="K2132" s="1" t="s">
        <v>6189</v>
      </c>
      <c r="L2132" s="1">
        <v>0.67800000000000005</v>
      </c>
      <c r="M2132" s="1">
        <v>0.92400000000000004</v>
      </c>
      <c r="N2132">
        <v>0</v>
      </c>
      <c r="O2132" s="1">
        <v>-5.093</v>
      </c>
      <c r="P2132">
        <v>0</v>
      </c>
      <c r="Q2132" s="1">
        <v>0.38200000000000001</v>
      </c>
      <c r="R2132" s="1">
        <v>0.34</v>
      </c>
      <c r="S2132" s="1">
        <v>0.124</v>
      </c>
      <c r="T2132" s="1">
        <v>0.10299999999999999</v>
      </c>
      <c r="U2132" s="1">
        <v>0.41299999999999998</v>
      </c>
      <c r="V2132" s="1">
        <v>124.928</v>
      </c>
      <c r="W2132">
        <v>4</v>
      </c>
    </row>
    <row r="2133" spans="1:23" x14ac:dyDescent="0.25">
      <c r="A2133" s="1" t="s">
        <v>18292</v>
      </c>
      <c r="B2133" s="1" t="s">
        <v>18293</v>
      </c>
      <c r="C2133" s="1" t="s">
        <v>6190</v>
      </c>
      <c r="D2133" s="1" t="s">
        <v>18294</v>
      </c>
      <c r="E2133" s="1" t="s">
        <v>6191</v>
      </c>
      <c r="F2133" s="1" t="s">
        <v>18295</v>
      </c>
      <c r="G2133">
        <v>153360</v>
      </c>
      <c r="H2133">
        <v>50</v>
      </c>
      <c r="I2133" s="1" t="s">
        <v>11063</v>
      </c>
      <c r="J2133" s="11">
        <v>44729.706458333334</v>
      </c>
      <c r="K2133" s="1" t="s">
        <v>6192</v>
      </c>
      <c r="L2133" s="1">
        <v>0.78700000000000003</v>
      </c>
      <c r="M2133" s="1">
        <v>0.76700000000000002</v>
      </c>
      <c r="N2133">
        <v>0</v>
      </c>
      <c r="O2133" s="1">
        <v>-2.339</v>
      </c>
      <c r="P2133">
        <v>0</v>
      </c>
      <c r="Q2133" s="1">
        <v>0.47499999999999998</v>
      </c>
      <c r="R2133" s="1">
        <v>0.70699999999999996</v>
      </c>
      <c r="S2133" s="1">
        <v>0.70899999999999996</v>
      </c>
      <c r="T2133" s="1">
        <v>0.13100000000000001</v>
      </c>
      <c r="U2133" s="1">
        <v>0.77700000000000002</v>
      </c>
      <c r="V2133" s="1">
        <v>129.07300000000001</v>
      </c>
      <c r="W2133">
        <v>4</v>
      </c>
    </row>
    <row r="2134" spans="1:23" x14ac:dyDescent="0.25">
      <c r="A2134" s="1" t="s">
        <v>18296</v>
      </c>
      <c r="B2134" s="1" t="s">
        <v>18297</v>
      </c>
      <c r="C2134" s="1" t="s">
        <v>6193</v>
      </c>
      <c r="D2134" s="1" t="s">
        <v>6278</v>
      </c>
      <c r="E2134" s="1" t="s">
        <v>6194</v>
      </c>
      <c r="F2134" s="1" t="s">
        <v>15809</v>
      </c>
      <c r="G2134">
        <v>251147</v>
      </c>
      <c r="H2134">
        <v>64</v>
      </c>
      <c r="I2134" s="1" t="s">
        <v>11063</v>
      </c>
      <c r="J2134" s="11">
        <v>44729.706458333334</v>
      </c>
      <c r="K2134" s="1" t="s">
        <v>2063</v>
      </c>
      <c r="L2134" s="1">
        <v>0.627</v>
      </c>
      <c r="M2134" s="1">
        <v>0.84699999999999998</v>
      </c>
      <c r="N2134">
        <v>10</v>
      </c>
      <c r="O2134" s="1">
        <v>-5.3029999999999999</v>
      </c>
      <c r="P2134">
        <v>1</v>
      </c>
      <c r="Q2134" s="1">
        <v>0.35199999999999998</v>
      </c>
      <c r="R2134" s="1">
        <v>0.23699999999999999</v>
      </c>
      <c r="S2134" s="1">
        <v>0</v>
      </c>
      <c r="T2134" s="1">
        <v>0.21199999999999999</v>
      </c>
      <c r="U2134" s="1">
        <v>0.61099999999999999</v>
      </c>
      <c r="V2134" s="1">
        <v>126.017</v>
      </c>
      <c r="W2134">
        <v>4</v>
      </c>
    </row>
    <row r="2135" spans="1:23" x14ac:dyDescent="0.25">
      <c r="A2135" s="1" t="s">
        <v>18298</v>
      </c>
      <c r="B2135" s="1" t="s">
        <v>18299</v>
      </c>
      <c r="C2135" s="1" t="s">
        <v>6195</v>
      </c>
      <c r="D2135" s="1" t="s">
        <v>18300</v>
      </c>
      <c r="E2135" s="1" t="s">
        <v>6196</v>
      </c>
      <c r="F2135" s="1" t="s">
        <v>13922</v>
      </c>
      <c r="G2135">
        <v>221272</v>
      </c>
      <c r="H2135">
        <v>68</v>
      </c>
      <c r="I2135" s="1" t="s">
        <v>11063</v>
      </c>
      <c r="J2135" s="11">
        <v>44729.706458333334</v>
      </c>
      <c r="K2135" s="1" t="s">
        <v>6197</v>
      </c>
      <c r="L2135" s="1">
        <v>0.48499999999999999</v>
      </c>
      <c r="M2135" s="1">
        <v>0.72399999999999998</v>
      </c>
      <c r="N2135">
        <v>9</v>
      </c>
      <c r="O2135" s="1">
        <v>-4.633</v>
      </c>
      <c r="P2135">
        <v>0</v>
      </c>
      <c r="Q2135" s="1">
        <v>0.52100000000000002</v>
      </c>
      <c r="R2135" s="1">
        <v>0.73599999999999999</v>
      </c>
      <c r="S2135" s="1">
        <v>0</v>
      </c>
      <c r="T2135" s="1">
        <v>0.63100000000000001</v>
      </c>
      <c r="U2135" s="1">
        <v>0.433</v>
      </c>
      <c r="V2135" s="1">
        <v>128.04499999999999</v>
      </c>
      <c r="W2135">
        <v>4</v>
      </c>
    </row>
    <row r="2136" spans="1:23" x14ac:dyDescent="0.25">
      <c r="A2136" s="1" t="s">
        <v>12183</v>
      </c>
      <c r="B2136" s="1" t="s">
        <v>12184</v>
      </c>
      <c r="C2136" s="1" t="s">
        <v>707</v>
      </c>
      <c r="D2136" s="1" t="s">
        <v>6278</v>
      </c>
      <c r="E2136" s="1" t="s">
        <v>708</v>
      </c>
      <c r="F2136" s="1" t="s">
        <v>15809</v>
      </c>
      <c r="G2136">
        <v>254653</v>
      </c>
      <c r="H2136">
        <v>70</v>
      </c>
      <c r="I2136" s="1" t="s">
        <v>11063</v>
      </c>
      <c r="J2136" s="11">
        <v>44729.706458333334</v>
      </c>
      <c r="K2136" s="1" t="s">
        <v>709</v>
      </c>
      <c r="L2136" s="1">
        <v>0.46700000000000003</v>
      </c>
      <c r="M2136" s="1">
        <v>0.75700000000000001</v>
      </c>
      <c r="N2136">
        <v>2</v>
      </c>
      <c r="O2136" s="1">
        <v>-3.01</v>
      </c>
      <c r="P2136">
        <v>1</v>
      </c>
      <c r="Q2136" s="1">
        <v>0.51700000000000002</v>
      </c>
      <c r="R2136" s="1">
        <v>0.86599999999999999</v>
      </c>
      <c r="S2136" s="1">
        <v>0</v>
      </c>
      <c r="T2136" s="1">
        <v>0.74199999999999999</v>
      </c>
      <c r="U2136" s="1">
        <v>0.38300000000000001</v>
      </c>
      <c r="V2136" s="1">
        <v>131.99299999999999</v>
      </c>
      <c r="W2136">
        <v>4</v>
      </c>
    </row>
    <row r="2137" spans="1:23" x14ac:dyDescent="0.25">
      <c r="A2137" s="1" t="s">
        <v>18301</v>
      </c>
      <c r="B2137" s="1" t="s">
        <v>18302</v>
      </c>
      <c r="C2137" s="1" t="s">
        <v>6198</v>
      </c>
      <c r="D2137" s="1" t="s">
        <v>18285</v>
      </c>
      <c r="E2137" s="1" t="s">
        <v>6199</v>
      </c>
      <c r="F2137" s="1" t="s">
        <v>11471</v>
      </c>
      <c r="G2137">
        <v>229149</v>
      </c>
      <c r="H2137">
        <v>64</v>
      </c>
      <c r="I2137" s="1" t="s">
        <v>11063</v>
      </c>
      <c r="J2137" s="11">
        <v>44729.706458333334</v>
      </c>
      <c r="K2137" s="1" t="s">
        <v>6200</v>
      </c>
      <c r="L2137" s="1">
        <v>0.52300000000000002</v>
      </c>
      <c r="M2137" s="1">
        <v>0.86099999999999999</v>
      </c>
      <c r="N2137">
        <v>0</v>
      </c>
      <c r="O2137" s="1">
        <v>-3.4470000000000001</v>
      </c>
      <c r="P2137">
        <v>1</v>
      </c>
      <c r="Q2137" s="1">
        <v>0.64400000000000002</v>
      </c>
      <c r="R2137" s="1">
        <v>0.33600000000000002</v>
      </c>
      <c r="S2137" s="1">
        <v>0</v>
      </c>
      <c r="T2137" s="1">
        <v>0.14399999999999999</v>
      </c>
      <c r="U2137" s="1">
        <v>0.34599999999999997</v>
      </c>
      <c r="V2137" s="1">
        <v>127.04900000000001</v>
      </c>
      <c r="W2137">
        <v>4</v>
      </c>
    </row>
    <row r="2138" spans="1:23" x14ac:dyDescent="0.25">
      <c r="A2138" s="1" t="s">
        <v>18303</v>
      </c>
      <c r="B2138" s="1" t="s">
        <v>18304</v>
      </c>
      <c r="C2138" s="1" t="s">
        <v>6201</v>
      </c>
      <c r="D2138" s="1" t="s">
        <v>18305</v>
      </c>
      <c r="E2138" s="1" t="s">
        <v>6202</v>
      </c>
      <c r="F2138" s="1" t="s">
        <v>18306</v>
      </c>
      <c r="G2138">
        <v>166932</v>
      </c>
      <c r="H2138">
        <v>70</v>
      </c>
      <c r="I2138" s="1" t="s">
        <v>11063</v>
      </c>
      <c r="J2138" s="11">
        <v>44729.706458333334</v>
      </c>
      <c r="K2138" s="1" t="s">
        <v>6203</v>
      </c>
      <c r="L2138" s="1">
        <v>0.80100000000000005</v>
      </c>
      <c r="M2138" s="1">
        <v>0.98499999999999999</v>
      </c>
      <c r="N2138">
        <v>7</v>
      </c>
      <c r="O2138" s="1">
        <v>-2.69</v>
      </c>
      <c r="P2138">
        <v>1</v>
      </c>
      <c r="Q2138" s="1">
        <v>0.64700000000000002</v>
      </c>
      <c r="R2138" s="1">
        <v>0.20499999999999999</v>
      </c>
      <c r="S2138" s="1">
        <v>0.68600000000000005</v>
      </c>
      <c r="T2138" s="1">
        <v>0.29699999999999999</v>
      </c>
      <c r="U2138" s="1">
        <v>0.72</v>
      </c>
      <c r="V2138" s="1">
        <v>127.99</v>
      </c>
      <c r="W2138">
        <v>4</v>
      </c>
    </row>
    <row r="2139" spans="1:23" x14ac:dyDescent="0.25">
      <c r="A2139" s="1" t="s">
        <v>18307</v>
      </c>
      <c r="B2139" s="1" t="s">
        <v>18308</v>
      </c>
      <c r="C2139" s="1" t="s">
        <v>6204</v>
      </c>
      <c r="D2139" s="1" t="s">
        <v>15110</v>
      </c>
      <c r="E2139" s="1" t="s">
        <v>6205</v>
      </c>
      <c r="F2139" s="1" t="s">
        <v>11587</v>
      </c>
      <c r="G2139">
        <v>403493</v>
      </c>
      <c r="H2139">
        <v>67</v>
      </c>
      <c r="I2139" s="1" t="s">
        <v>11063</v>
      </c>
      <c r="J2139" s="11">
        <v>44729.706458333334</v>
      </c>
      <c r="K2139" s="1" t="s">
        <v>6206</v>
      </c>
      <c r="L2139" s="1">
        <v>0.63200000000000001</v>
      </c>
      <c r="M2139" s="1">
        <v>0.88</v>
      </c>
      <c r="N2139">
        <v>2</v>
      </c>
      <c r="O2139" s="1">
        <v>-4.0510000000000002</v>
      </c>
      <c r="P2139">
        <v>1</v>
      </c>
      <c r="Q2139" s="1">
        <v>0.46300000000000002</v>
      </c>
      <c r="R2139" s="1">
        <v>0.14399999999999999</v>
      </c>
      <c r="S2139" s="1">
        <v>0.21</v>
      </c>
      <c r="T2139" s="1">
        <v>0.11799999999999999</v>
      </c>
      <c r="U2139" s="1">
        <v>0.33800000000000002</v>
      </c>
      <c r="V2139" s="1">
        <v>129.00700000000001</v>
      </c>
      <c r="W2139">
        <v>4</v>
      </c>
    </row>
    <row r="2140" spans="1:23" x14ac:dyDescent="0.25">
      <c r="A2140" s="1" t="s">
        <v>18309</v>
      </c>
      <c r="B2140" s="1" t="s">
        <v>16501</v>
      </c>
      <c r="C2140" s="1" t="s">
        <v>6207</v>
      </c>
      <c r="D2140" s="1" t="s">
        <v>6207</v>
      </c>
      <c r="E2140" s="1" t="s">
        <v>4561</v>
      </c>
      <c r="F2140" s="1" t="s">
        <v>17296</v>
      </c>
      <c r="G2140">
        <v>234475</v>
      </c>
      <c r="H2140">
        <v>59</v>
      </c>
      <c r="I2140" s="1" t="s">
        <v>11063</v>
      </c>
      <c r="J2140" s="11">
        <v>44729.706458333334</v>
      </c>
      <c r="K2140" s="1" t="s">
        <v>4562</v>
      </c>
      <c r="L2140" s="1">
        <v>0.377</v>
      </c>
      <c r="M2140" s="1">
        <v>0.85799999999999998</v>
      </c>
      <c r="N2140">
        <v>11</v>
      </c>
      <c r="O2140" s="1">
        <v>-4.9000000000000004</v>
      </c>
      <c r="P2140">
        <v>0</v>
      </c>
      <c r="Q2140" s="1">
        <v>0.14799999999999999</v>
      </c>
      <c r="R2140" s="1">
        <v>0.13400000000000001</v>
      </c>
      <c r="S2140" s="1">
        <v>0.185</v>
      </c>
      <c r="T2140" s="1">
        <v>0.98499999999999999</v>
      </c>
      <c r="U2140" s="1">
        <v>0.11700000000000001</v>
      </c>
      <c r="V2140" s="1">
        <v>174.751</v>
      </c>
      <c r="W2140">
        <v>4</v>
      </c>
    </row>
    <row r="2141" spans="1:23" x14ac:dyDescent="0.25">
      <c r="A2141" s="1" t="s">
        <v>18310</v>
      </c>
      <c r="B2141" s="1" t="s">
        <v>18311</v>
      </c>
      <c r="C2141" s="1" t="s">
        <v>6208</v>
      </c>
      <c r="D2141" s="1" t="s">
        <v>6208</v>
      </c>
      <c r="E2141" s="1" t="s">
        <v>6209</v>
      </c>
      <c r="F2141" s="1" t="s">
        <v>16012</v>
      </c>
      <c r="G2141">
        <v>268571</v>
      </c>
      <c r="H2141">
        <v>51</v>
      </c>
      <c r="I2141" s="1" t="s">
        <v>11063</v>
      </c>
      <c r="J2141" s="11">
        <v>44729.706458333334</v>
      </c>
      <c r="K2141" s="1" t="s">
        <v>2568</v>
      </c>
      <c r="L2141" s="1">
        <v>0.42899999999999999</v>
      </c>
      <c r="M2141" s="1">
        <v>0.73699999999999999</v>
      </c>
      <c r="N2141">
        <v>10</v>
      </c>
      <c r="O2141" s="1">
        <v>-4.7880000000000003</v>
      </c>
      <c r="P2141">
        <v>0</v>
      </c>
      <c r="Q2141" s="1">
        <v>0.43099999999999999</v>
      </c>
      <c r="R2141" s="1">
        <v>0.216</v>
      </c>
      <c r="S2141" s="1">
        <v>0.14099999999999999</v>
      </c>
      <c r="T2141" s="1">
        <v>0.12</v>
      </c>
      <c r="U2141" s="1">
        <v>0.29699999999999999</v>
      </c>
      <c r="V2141" s="1">
        <v>174.98699999999999</v>
      </c>
      <c r="W2141">
        <v>4</v>
      </c>
    </row>
    <row r="2142" spans="1:23" x14ac:dyDescent="0.25">
      <c r="A2142" s="1" t="s">
        <v>18312</v>
      </c>
      <c r="B2142" s="1" t="s">
        <v>18313</v>
      </c>
      <c r="C2142" s="1" t="s">
        <v>6210</v>
      </c>
      <c r="D2142" s="1" t="s">
        <v>6210</v>
      </c>
      <c r="E2142" s="1" t="s">
        <v>6211</v>
      </c>
      <c r="F2142" s="1" t="s">
        <v>18314</v>
      </c>
      <c r="G2142">
        <v>264834</v>
      </c>
      <c r="H2142">
        <v>56</v>
      </c>
      <c r="I2142" s="1" t="s">
        <v>11063</v>
      </c>
      <c r="J2142" s="11">
        <v>44729.706458333334</v>
      </c>
      <c r="K2142" s="1" t="s">
        <v>2568</v>
      </c>
      <c r="L2142" s="1">
        <v>0.501</v>
      </c>
      <c r="M2142" s="1">
        <v>0.81499999999999995</v>
      </c>
      <c r="N2142">
        <v>7</v>
      </c>
      <c r="O2142" s="1">
        <v>-5.8819999999999997</v>
      </c>
      <c r="P2142">
        <v>0</v>
      </c>
      <c r="Q2142" s="1">
        <v>0.747</v>
      </c>
      <c r="R2142" s="1">
        <v>0.42499999999999999</v>
      </c>
      <c r="S2142" s="1">
        <v>0.115</v>
      </c>
      <c r="T2142" s="1">
        <v>0.26400000000000001</v>
      </c>
      <c r="U2142" s="1">
        <v>0.17499999999999999</v>
      </c>
      <c r="V2142" s="1">
        <v>173.93700000000001</v>
      </c>
      <c r="W2142">
        <v>4</v>
      </c>
    </row>
    <row r="2143" spans="1:23" x14ac:dyDescent="0.25">
      <c r="A2143" s="1" t="s">
        <v>11644</v>
      </c>
      <c r="B2143" s="1" t="s">
        <v>11645</v>
      </c>
      <c r="C2143" s="1" t="s">
        <v>365</v>
      </c>
      <c r="D2143" s="1" t="s">
        <v>11646</v>
      </c>
      <c r="E2143" s="1" t="s">
        <v>366</v>
      </c>
      <c r="F2143" s="1" t="s">
        <v>11647</v>
      </c>
      <c r="G2143">
        <v>169813</v>
      </c>
      <c r="H2143">
        <v>0</v>
      </c>
      <c r="I2143" s="1" t="s">
        <v>11063</v>
      </c>
      <c r="J2143" s="11">
        <v>44729.706458333334</v>
      </c>
      <c r="K2143" s="1" t="s">
        <v>367</v>
      </c>
      <c r="L2143" s="1">
        <v>0.622</v>
      </c>
      <c r="M2143" s="1">
        <v>0.79600000000000004</v>
      </c>
      <c r="N2143">
        <v>0</v>
      </c>
      <c r="O2143" s="1">
        <v>-2.9990000000000001</v>
      </c>
      <c r="P2143">
        <v>0</v>
      </c>
      <c r="Q2143" s="1">
        <v>0.17199999999999999</v>
      </c>
      <c r="R2143" s="1">
        <v>0.66700000000000004</v>
      </c>
      <c r="S2143" s="1">
        <v>0</v>
      </c>
      <c r="T2143" s="1">
        <v>0.106</v>
      </c>
      <c r="U2143" s="1">
        <v>0.62</v>
      </c>
      <c r="V2143" s="1">
        <v>197.70500000000001</v>
      </c>
      <c r="W2143">
        <v>4</v>
      </c>
    </row>
    <row r="2144" spans="1:23" x14ac:dyDescent="0.25">
      <c r="A2144" s="1" t="s">
        <v>18315</v>
      </c>
      <c r="B2144" s="1" t="s">
        <v>11645</v>
      </c>
      <c r="C2144" s="1" t="s">
        <v>6212</v>
      </c>
      <c r="D2144" s="1" t="s">
        <v>18316</v>
      </c>
      <c r="E2144" s="1" t="s">
        <v>366</v>
      </c>
      <c r="F2144" s="1" t="s">
        <v>18317</v>
      </c>
      <c r="G2144">
        <v>178480</v>
      </c>
      <c r="H2144">
        <v>78</v>
      </c>
      <c r="I2144" s="1" t="s">
        <v>11063</v>
      </c>
      <c r="J2144" s="11">
        <v>44729.706458333334</v>
      </c>
      <c r="K2144" s="1" t="s">
        <v>367</v>
      </c>
      <c r="L2144" s="1">
        <v>0.67400000000000004</v>
      </c>
      <c r="M2144" s="1">
        <v>0.88100000000000001</v>
      </c>
      <c r="N2144">
        <v>9</v>
      </c>
      <c r="O2144" s="1">
        <v>-2.8530000000000002</v>
      </c>
      <c r="P2144">
        <v>1</v>
      </c>
      <c r="Q2144" s="1">
        <v>0.14699999999999999</v>
      </c>
      <c r="R2144" s="1">
        <v>0.29599999999999999</v>
      </c>
      <c r="S2144" s="1">
        <v>0.30099999999999999</v>
      </c>
      <c r="T2144" s="1">
        <v>0.79300000000000004</v>
      </c>
      <c r="U2144" s="1">
        <v>0.23400000000000001</v>
      </c>
      <c r="V2144" s="1">
        <v>98.994</v>
      </c>
      <c r="W2144">
        <v>4</v>
      </c>
    </row>
    <row r="2145" spans="1:23" x14ac:dyDescent="0.25">
      <c r="A2145" s="1" t="s">
        <v>11648</v>
      </c>
      <c r="B2145" s="1" t="s">
        <v>11649</v>
      </c>
      <c r="C2145" s="1" t="s">
        <v>368</v>
      </c>
      <c r="D2145" s="1" t="s">
        <v>11650</v>
      </c>
      <c r="E2145" s="1" t="s">
        <v>369</v>
      </c>
      <c r="F2145" s="1" t="s">
        <v>11651</v>
      </c>
      <c r="G2145">
        <v>237706</v>
      </c>
      <c r="H2145">
        <v>67</v>
      </c>
      <c r="I2145" s="1" t="s">
        <v>11063</v>
      </c>
      <c r="J2145" s="11">
        <v>44729.706458333334</v>
      </c>
      <c r="K2145" s="1" t="s">
        <v>6213</v>
      </c>
      <c r="L2145" s="1">
        <v>0.68300000000000005</v>
      </c>
      <c r="M2145" s="1">
        <v>0.70799999999999996</v>
      </c>
      <c r="N2145">
        <v>5</v>
      </c>
      <c r="O2145" s="1">
        <v>-6.2439999999999998</v>
      </c>
      <c r="P2145">
        <v>0</v>
      </c>
      <c r="Q2145" s="1">
        <v>0.30499999999999999</v>
      </c>
      <c r="R2145" s="1">
        <v>0.39800000000000002</v>
      </c>
      <c r="S2145" s="1">
        <v>0.155</v>
      </c>
      <c r="T2145" s="1">
        <v>0.68600000000000005</v>
      </c>
      <c r="U2145" s="1">
        <v>0.35499999999999998</v>
      </c>
      <c r="V2145" s="1">
        <v>92.991</v>
      </c>
      <c r="W2145">
        <v>4</v>
      </c>
    </row>
    <row r="2146" spans="1:23" x14ac:dyDescent="0.25">
      <c r="A2146" s="1" t="s">
        <v>18318</v>
      </c>
      <c r="B2146" s="1" t="s">
        <v>18319</v>
      </c>
      <c r="C2146" s="1" t="s">
        <v>5988</v>
      </c>
      <c r="D2146" s="1" t="s">
        <v>5988</v>
      </c>
      <c r="E2146" s="1" t="s">
        <v>6214</v>
      </c>
      <c r="F2146" s="1" t="s">
        <v>14499</v>
      </c>
      <c r="G2146">
        <v>194677</v>
      </c>
      <c r="H2146">
        <v>37</v>
      </c>
      <c r="I2146" s="1" t="s">
        <v>11063</v>
      </c>
      <c r="J2146" s="11">
        <v>44729.706458333334</v>
      </c>
      <c r="K2146" s="1" t="s">
        <v>50</v>
      </c>
      <c r="L2146" s="1">
        <v>0.77800000000000002</v>
      </c>
      <c r="M2146" s="1">
        <v>0.88200000000000001</v>
      </c>
      <c r="N2146">
        <v>6</v>
      </c>
      <c r="O2146" s="1">
        <v>-2.6789999999999998</v>
      </c>
      <c r="P2146">
        <v>1</v>
      </c>
      <c r="Q2146" s="1">
        <v>0.57399999999999995</v>
      </c>
      <c r="R2146" s="1">
        <v>0.88600000000000001</v>
      </c>
      <c r="S2146" s="1">
        <v>0.19600000000000001</v>
      </c>
      <c r="T2146" s="1">
        <v>0.14000000000000001</v>
      </c>
      <c r="U2146" s="1">
        <v>0.57199999999999995</v>
      </c>
      <c r="V2146" s="1">
        <v>109.03400000000001</v>
      </c>
      <c r="W2146">
        <v>4</v>
      </c>
    </row>
    <row r="2147" spans="1:23" x14ac:dyDescent="0.25">
      <c r="A2147" s="1" t="s">
        <v>18320</v>
      </c>
      <c r="B2147" s="1" t="s">
        <v>18321</v>
      </c>
      <c r="C2147" s="1" t="s">
        <v>6215</v>
      </c>
      <c r="D2147" s="1" t="s">
        <v>18322</v>
      </c>
      <c r="E2147" s="1" t="s">
        <v>6216</v>
      </c>
      <c r="F2147" s="1" t="s">
        <v>18323</v>
      </c>
      <c r="G2147">
        <v>240300</v>
      </c>
      <c r="H2147">
        <v>33</v>
      </c>
      <c r="I2147" s="1" t="s">
        <v>11063</v>
      </c>
      <c r="J2147" s="11">
        <v>44729.706458333334</v>
      </c>
      <c r="K2147" s="1" t="s">
        <v>6217</v>
      </c>
      <c r="L2147" s="1">
        <v>0.68100000000000005</v>
      </c>
      <c r="M2147" s="1">
        <v>0.77500000000000002</v>
      </c>
      <c r="N2147">
        <v>5</v>
      </c>
      <c r="O2147" s="1">
        <v>-5.0149999999999997</v>
      </c>
      <c r="P2147">
        <v>1</v>
      </c>
      <c r="Q2147" s="1">
        <v>0.35399999999999998</v>
      </c>
      <c r="R2147" s="1">
        <v>0.621</v>
      </c>
      <c r="S2147" s="1">
        <v>0.154</v>
      </c>
      <c r="T2147" s="1">
        <v>0.15</v>
      </c>
      <c r="U2147" s="1">
        <v>0.33</v>
      </c>
      <c r="V2147" s="1">
        <v>100.00700000000001</v>
      </c>
      <c r="W2147">
        <v>4</v>
      </c>
    </row>
    <row r="2148" spans="1:23" x14ac:dyDescent="0.25">
      <c r="A2148" s="1" t="s">
        <v>18324</v>
      </c>
      <c r="B2148" s="1" t="s">
        <v>18325</v>
      </c>
      <c r="C2148" s="1" t="s">
        <v>6218</v>
      </c>
      <c r="D2148" s="1" t="s">
        <v>18326</v>
      </c>
      <c r="E2148" s="1" t="s">
        <v>6219</v>
      </c>
      <c r="F2148" s="1" t="s">
        <v>17379</v>
      </c>
      <c r="G2148">
        <v>164866</v>
      </c>
      <c r="H2148">
        <v>34</v>
      </c>
      <c r="I2148" s="1" t="s">
        <v>11063</v>
      </c>
      <c r="J2148" s="11">
        <v>44729.706458333334</v>
      </c>
      <c r="K2148" s="1" t="s">
        <v>4166</v>
      </c>
      <c r="L2148" s="1">
        <v>0.77900000000000003</v>
      </c>
      <c r="M2148" s="1">
        <v>0.52300000000000002</v>
      </c>
      <c r="N2148">
        <v>11</v>
      </c>
      <c r="O2148" s="1">
        <v>-7.6970000000000001</v>
      </c>
      <c r="P2148">
        <v>0</v>
      </c>
      <c r="Q2148" s="1">
        <v>0.115</v>
      </c>
      <c r="R2148" s="1">
        <v>0.34899999999999998</v>
      </c>
      <c r="S2148" s="1">
        <v>0</v>
      </c>
      <c r="T2148" s="1">
        <v>0.75800000000000001</v>
      </c>
      <c r="U2148" s="1">
        <v>0.71599999999999997</v>
      </c>
      <c r="V2148" s="1">
        <v>92.158000000000001</v>
      </c>
      <c r="W2148">
        <v>4</v>
      </c>
    </row>
    <row r="2149" spans="1:23" x14ac:dyDescent="0.25">
      <c r="A2149" s="1" t="s">
        <v>18327</v>
      </c>
      <c r="B2149" s="1" t="s">
        <v>18328</v>
      </c>
      <c r="C2149" s="1" t="s">
        <v>6220</v>
      </c>
      <c r="D2149" s="1" t="s">
        <v>18329</v>
      </c>
      <c r="E2149" s="1" t="s">
        <v>6221</v>
      </c>
      <c r="F2149" s="1" t="s">
        <v>15406</v>
      </c>
      <c r="G2149">
        <v>195825</v>
      </c>
      <c r="H2149">
        <v>37</v>
      </c>
      <c r="I2149" s="1" t="s">
        <v>11063</v>
      </c>
      <c r="J2149" s="11">
        <v>44729.706458333334</v>
      </c>
      <c r="K2149" s="1" t="s">
        <v>6222</v>
      </c>
      <c r="L2149" s="1">
        <v>0.64800000000000002</v>
      </c>
      <c r="M2149" s="1">
        <v>0.72599999999999998</v>
      </c>
      <c r="N2149">
        <v>6</v>
      </c>
      <c r="O2149" s="1">
        <v>-6.8529999999999998</v>
      </c>
      <c r="P2149">
        <v>0</v>
      </c>
      <c r="Q2149" s="1">
        <v>0.35</v>
      </c>
      <c r="R2149" s="1">
        <v>0.217</v>
      </c>
      <c r="S2149" s="1">
        <v>0.51700000000000002</v>
      </c>
      <c r="T2149" s="1">
        <v>0.124</v>
      </c>
      <c r="U2149" s="1">
        <v>0.26</v>
      </c>
      <c r="V2149" s="1">
        <v>129.95099999999999</v>
      </c>
      <c r="W2149">
        <v>4</v>
      </c>
    </row>
    <row r="2150" spans="1:23" x14ac:dyDescent="0.25">
      <c r="A2150" s="1" t="s">
        <v>18330</v>
      </c>
      <c r="B2150" s="1" t="s">
        <v>18331</v>
      </c>
      <c r="C2150" s="1" t="s">
        <v>6223</v>
      </c>
      <c r="D2150" s="1" t="s">
        <v>6223</v>
      </c>
      <c r="E2150" s="1" t="s">
        <v>6224</v>
      </c>
      <c r="F2150" s="1" t="s">
        <v>18332</v>
      </c>
      <c r="G2150">
        <v>172500</v>
      </c>
      <c r="H2150">
        <v>48</v>
      </c>
      <c r="I2150" s="1" t="s">
        <v>11063</v>
      </c>
      <c r="J2150" s="11">
        <v>44729.706458333334</v>
      </c>
      <c r="K2150" s="1" t="s">
        <v>6225</v>
      </c>
      <c r="L2150" s="1">
        <v>0.45600000000000002</v>
      </c>
      <c r="M2150" s="1">
        <v>0.83299999999999996</v>
      </c>
      <c r="N2150">
        <v>0</v>
      </c>
      <c r="O2150" s="1">
        <v>-4.242</v>
      </c>
      <c r="P2150">
        <v>1</v>
      </c>
      <c r="Q2150" s="1">
        <v>0.96399999999999997</v>
      </c>
      <c r="R2150" s="1">
        <v>0.108</v>
      </c>
      <c r="S2150" s="1">
        <v>0.17100000000000001</v>
      </c>
      <c r="T2150" s="1">
        <v>0.59199999999999997</v>
      </c>
      <c r="U2150" s="1">
        <v>0.26100000000000001</v>
      </c>
      <c r="V2150" s="1">
        <v>159.80799999999999</v>
      </c>
      <c r="W2150">
        <v>4</v>
      </c>
    </row>
    <row r="2151" spans="1:23" x14ac:dyDescent="0.25">
      <c r="A2151" s="1" t="s">
        <v>18333</v>
      </c>
      <c r="B2151" s="1" t="s">
        <v>17041</v>
      </c>
      <c r="C2151" s="1" t="s">
        <v>6226</v>
      </c>
      <c r="D2151" s="1" t="s">
        <v>6226</v>
      </c>
      <c r="E2151" s="1" t="s">
        <v>5032</v>
      </c>
      <c r="F2151" s="1" t="s">
        <v>13863</v>
      </c>
      <c r="G2151">
        <v>235826</v>
      </c>
      <c r="H2151">
        <v>67</v>
      </c>
      <c r="I2151" s="1" t="s">
        <v>11063</v>
      </c>
      <c r="J2151" s="11">
        <v>44729.706458333334</v>
      </c>
      <c r="K2151" s="1" t="s">
        <v>5033</v>
      </c>
      <c r="L2151" s="1">
        <v>0.69499999999999995</v>
      </c>
      <c r="M2151" s="1">
        <v>0.67200000000000004</v>
      </c>
      <c r="N2151">
        <v>1</v>
      </c>
      <c r="O2151" s="1">
        <v>-6.109</v>
      </c>
      <c r="P2151">
        <v>0</v>
      </c>
      <c r="Q2151" s="1">
        <v>0.34499999999999997</v>
      </c>
      <c r="R2151" s="1">
        <v>0.14000000000000001</v>
      </c>
      <c r="S2151" s="1">
        <v>0.79500000000000004</v>
      </c>
      <c r="T2151" s="1">
        <v>0.75600000000000001</v>
      </c>
      <c r="U2151" s="1">
        <v>0.245</v>
      </c>
      <c r="V2151" s="1">
        <v>104.988</v>
      </c>
      <c r="W2151">
        <v>4</v>
      </c>
    </row>
    <row r="2152" spans="1:23" x14ac:dyDescent="0.25">
      <c r="A2152" s="1" t="s">
        <v>18334</v>
      </c>
      <c r="B2152" s="1" t="s">
        <v>18335</v>
      </c>
      <c r="C2152" s="1" t="s">
        <v>6227</v>
      </c>
      <c r="D2152" s="1" t="s">
        <v>18336</v>
      </c>
      <c r="E2152" s="1" t="s">
        <v>6228</v>
      </c>
      <c r="F2152" s="1" t="s">
        <v>17740</v>
      </c>
      <c r="G2152">
        <v>343560</v>
      </c>
      <c r="H2152">
        <v>60</v>
      </c>
      <c r="I2152" s="1" t="s">
        <v>11063</v>
      </c>
      <c r="J2152" s="11">
        <v>44729.706458333334</v>
      </c>
      <c r="K2152" s="1" t="s">
        <v>6229</v>
      </c>
      <c r="L2152" s="1">
        <v>0.82399999999999995</v>
      </c>
      <c r="M2152" s="1">
        <v>0.69699999999999995</v>
      </c>
      <c r="N2152">
        <v>3</v>
      </c>
      <c r="O2152" s="1">
        <v>-8.2449999999999992</v>
      </c>
      <c r="P2152">
        <v>0</v>
      </c>
      <c r="Q2152" s="1">
        <v>0.372</v>
      </c>
      <c r="R2152" s="1">
        <v>0.89900000000000002</v>
      </c>
      <c r="S2152" s="1">
        <v>0.68200000000000005</v>
      </c>
      <c r="T2152" s="1">
        <v>0.65100000000000002</v>
      </c>
      <c r="U2152" s="1">
        <v>0.26100000000000001</v>
      </c>
      <c r="V2152" s="1">
        <v>125.998</v>
      </c>
      <c r="W2152">
        <v>4</v>
      </c>
    </row>
    <row r="2153" spans="1:23" x14ac:dyDescent="0.25">
      <c r="A2153" s="1" t="s">
        <v>18337</v>
      </c>
      <c r="B2153" s="1" t="s">
        <v>11671</v>
      </c>
      <c r="C2153" s="1" t="s">
        <v>6230</v>
      </c>
      <c r="D2153" s="1" t="s">
        <v>6230</v>
      </c>
      <c r="E2153" s="1" t="s">
        <v>387</v>
      </c>
      <c r="F2153" s="1" t="s">
        <v>18338</v>
      </c>
      <c r="G2153">
        <v>195920</v>
      </c>
      <c r="H2153">
        <v>80</v>
      </c>
      <c r="I2153" s="1" t="s">
        <v>11063</v>
      </c>
      <c r="J2153" s="11">
        <v>44729.706458333334</v>
      </c>
      <c r="K2153" s="1" t="s">
        <v>113</v>
      </c>
      <c r="L2153" s="1">
        <v>0.73199999999999998</v>
      </c>
      <c r="M2153" s="1">
        <v>0.39600000000000002</v>
      </c>
      <c r="N2153">
        <v>4</v>
      </c>
      <c r="O2153" s="1">
        <v>-9.3480000000000008</v>
      </c>
      <c r="P2153">
        <v>0</v>
      </c>
      <c r="Q2153" s="1">
        <v>0.28599999999999998</v>
      </c>
      <c r="R2153" s="1">
        <v>0.84099999999999997</v>
      </c>
      <c r="S2153" s="1">
        <v>0.35799999999999998</v>
      </c>
      <c r="T2153" s="1">
        <v>0.105</v>
      </c>
      <c r="U2153" s="1">
        <v>0.54800000000000004</v>
      </c>
      <c r="V2153" s="1">
        <v>90.024000000000001</v>
      </c>
      <c r="W2153">
        <v>4</v>
      </c>
    </row>
    <row r="2154" spans="1:23" x14ac:dyDescent="0.25">
      <c r="A2154" s="1" t="s">
        <v>18339</v>
      </c>
      <c r="B2154" s="1" t="s">
        <v>11671</v>
      </c>
      <c r="C2154" s="1" t="s">
        <v>4743</v>
      </c>
      <c r="D2154" s="1" t="s">
        <v>11672</v>
      </c>
      <c r="E2154" s="1" t="s">
        <v>387</v>
      </c>
      <c r="F2154" s="1" t="s">
        <v>11673</v>
      </c>
      <c r="G2154">
        <v>214506</v>
      </c>
      <c r="H2154">
        <v>82</v>
      </c>
      <c r="I2154" s="1" t="s">
        <v>11063</v>
      </c>
      <c r="J2154" s="11">
        <v>44729.706458333334</v>
      </c>
      <c r="K2154" s="1" t="s">
        <v>113</v>
      </c>
      <c r="L2154" s="1">
        <v>0.64500000000000002</v>
      </c>
      <c r="M2154" s="1">
        <v>0.71299999999999997</v>
      </c>
      <c r="N2154">
        <v>6</v>
      </c>
      <c r="O2154" s="1">
        <v>-5.3550000000000004</v>
      </c>
      <c r="P2154">
        <v>1</v>
      </c>
      <c r="Q2154" s="1">
        <v>0.39300000000000002</v>
      </c>
      <c r="R2154" s="1">
        <v>0.83499999999999996</v>
      </c>
      <c r="S2154" s="1">
        <v>0</v>
      </c>
      <c r="T2154" s="1">
        <v>0.113</v>
      </c>
      <c r="U2154" s="1">
        <v>0.56599999999999995</v>
      </c>
      <c r="V2154" s="1">
        <v>74.989000000000004</v>
      </c>
      <c r="W2154">
        <v>4</v>
      </c>
    </row>
    <row r="2155" spans="1:23" x14ac:dyDescent="0.25">
      <c r="A2155" s="1" t="s">
        <v>18340</v>
      </c>
      <c r="B2155" s="1" t="s">
        <v>18341</v>
      </c>
      <c r="C2155" s="1" t="s">
        <v>6231</v>
      </c>
      <c r="D2155" s="1" t="s">
        <v>18342</v>
      </c>
      <c r="E2155" s="1" t="s">
        <v>6232</v>
      </c>
      <c r="F2155" s="1" t="s">
        <v>15060</v>
      </c>
      <c r="G2155">
        <v>157066</v>
      </c>
      <c r="H2155">
        <v>79</v>
      </c>
      <c r="I2155" s="1" t="s">
        <v>11063</v>
      </c>
      <c r="J2155" s="11">
        <v>44729.706458333334</v>
      </c>
      <c r="K2155" s="1" t="s">
        <v>6233</v>
      </c>
      <c r="L2155" s="1">
        <v>0.878</v>
      </c>
      <c r="M2155" s="1">
        <v>0.61899999999999999</v>
      </c>
      <c r="N2155">
        <v>6</v>
      </c>
      <c r="O2155" s="1">
        <v>-5.56</v>
      </c>
      <c r="P2155">
        <v>1</v>
      </c>
      <c r="Q2155" s="1">
        <v>0.10199999999999999</v>
      </c>
      <c r="R2155" s="1">
        <v>0.53300000000000003</v>
      </c>
      <c r="S2155" s="1">
        <v>0</v>
      </c>
      <c r="T2155" s="1">
        <v>0.113</v>
      </c>
      <c r="U2155" s="1">
        <v>0.63900000000000001</v>
      </c>
      <c r="V2155" s="1">
        <v>136.041</v>
      </c>
      <c r="W2155">
        <v>4</v>
      </c>
    </row>
    <row r="2156" spans="1:23" x14ac:dyDescent="0.25">
      <c r="A2156" s="1" t="s">
        <v>18343</v>
      </c>
      <c r="B2156" s="1" t="s">
        <v>18344</v>
      </c>
      <c r="C2156" s="1" t="s">
        <v>6234</v>
      </c>
      <c r="D2156" s="1" t="s">
        <v>18345</v>
      </c>
      <c r="E2156" s="1" t="s">
        <v>6235</v>
      </c>
      <c r="F2156" s="1" t="s">
        <v>11391</v>
      </c>
      <c r="G2156">
        <v>221176</v>
      </c>
      <c r="H2156">
        <v>84</v>
      </c>
      <c r="I2156" s="1" t="s">
        <v>11063</v>
      </c>
      <c r="J2156" s="11">
        <v>44729.706458333334</v>
      </c>
      <c r="K2156" s="1" t="s">
        <v>6236</v>
      </c>
      <c r="L2156" s="1">
        <v>0.74199999999999999</v>
      </c>
      <c r="M2156" s="1">
        <v>0.88200000000000001</v>
      </c>
      <c r="N2156">
        <v>7</v>
      </c>
      <c r="O2156" s="1">
        <v>-2.8620000000000001</v>
      </c>
      <c r="P2156">
        <v>1</v>
      </c>
      <c r="Q2156" s="1">
        <v>0.11700000000000001</v>
      </c>
      <c r="R2156" s="1">
        <v>0.46600000000000003</v>
      </c>
      <c r="S2156" s="1">
        <v>0</v>
      </c>
      <c r="T2156" s="1">
        <v>0.20599999999999999</v>
      </c>
      <c r="U2156" s="1">
        <v>0.46300000000000002</v>
      </c>
      <c r="V2156" s="1">
        <v>102.04</v>
      </c>
      <c r="W2156">
        <v>4</v>
      </c>
    </row>
    <row r="2157" spans="1:23" x14ac:dyDescent="0.25">
      <c r="A2157" s="1" t="s">
        <v>18346</v>
      </c>
      <c r="B2157" s="1" t="s">
        <v>13634</v>
      </c>
      <c r="C2157" s="1" t="s">
        <v>6237</v>
      </c>
      <c r="D2157" s="1" t="s">
        <v>16053</v>
      </c>
      <c r="E2157" s="1" t="s">
        <v>2085</v>
      </c>
      <c r="F2157" s="1" t="s">
        <v>13922</v>
      </c>
      <c r="G2157">
        <v>257266</v>
      </c>
      <c r="H2157">
        <v>84</v>
      </c>
      <c r="I2157" s="1" t="s">
        <v>11063</v>
      </c>
      <c r="J2157" s="11">
        <v>44729.706458333334</v>
      </c>
      <c r="K2157" s="1" t="s">
        <v>2086</v>
      </c>
      <c r="L2157" s="1">
        <v>0.66400000000000003</v>
      </c>
      <c r="M2157" s="1">
        <v>0.70499999999999996</v>
      </c>
      <c r="N2157">
        <v>1</v>
      </c>
      <c r="O2157" s="1">
        <v>-4.9720000000000004</v>
      </c>
      <c r="P2157">
        <v>0</v>
      </c>
      <c r="Q2157" s="1">
        <v>0.38200000000000001</v>
      </c>
      <c r="R2157" s="1">
        <v>0.65400000000000003</v>
      </c>
      <c r="S2157" s="1">
        <v>0</v>
      </c>
      <c r="T2157" s="1">
        <v>0.11799999999999999</v>
      </c>
      <c r="U2157" s="1">
        <v>0.47699999999999998</v>
      </c>
      <c r="V2157" s="1">
        <v>122.01600000000001</v>
      </c>
      <c r="W2157">
        <v>4</v>
      </c>
    </row>
    <row r="2158" spans="1:23" x14ac:dyDescent="0.25">
      <c r="A2158" s="1" t="s">
        <v>18347</v>
      </c>
      <c r="B2158" s="1" t="s">
        <v>18348</v>
      </c>
      <c r="C2158" s="1" t="s">
        <v>6238</v>
      </c>
      <c r="D2158" s="1" t="s">
        <v>6672</v>
      </c>
      <c r="E2158" s="1" t="s">
        <v>6239</v>
      </c>
      <c r="F2158" s="1" t="s">
        <v>11597</v>
      </c>
      <c r="G2158">
        <v>190344</v>
      </c>
      <c r="H2158">
        <v>27</v>
      </c>
      <c r="I2158" s="1" t="s">
        <v>11063</v>
      </c>
      <c r="J2158" s="11">
        <v>44729.706458333334</v>
      </c>
      <c r="K2158" s="1" t="s">
        <v>6240</v>
      </c>
      <c r="L2158" s="1">
        <v>0.64500000000000002</v>
      </c>
      <c r="M2158" s="1">
        <v>0.81299999999999994</v>
      </c>
      <c r="N2158">
        <v>8</v>
      </c>
      <c r="O2158" s="1">
        <v>-5.9340000000000002</v>
      </c>
      <c r="P2158">
        <v>0</v>
      </c>
      <c r="Q2158" s="1">
        <v>0.67200000000000004</v>
      </c>
      <c r="R2158" s="1">
        <v>0.16300000000000001</v>
      </c>
      <c r="S2158" s="1">
        <v>0.19600000000000001</v>
      </c>
      <c r="T2158" s="1">
        <v>0.214</v>
      </c>
      <c r="U2158" s="1">
        <v>0.52200000000000002</v>
      </c>
      <c r="V2158" s="1">
        <v>145.035</v>
      </c>
      <c r="W2158">
        <v>4</v>
      </c>
    </row>
    <row r="2159" spans="1:23" x14ac:dyDescent="0.25">
      <c r="A2159" s="1" t="s">
        <v>18349</v>
      </c>
      <c r="B2159" s="1" t="s">
        <v>18350</v>
      </c>
      <c r="C2159" s="1" t="s">
        <v>6241</v>
      </c>
      <c r="D2159" s="1" t="s">
        <v>18351</v>
      </c>
      <c r="E2159" s="1" t="s">
        <v>6242</v>
      </c>
      <c r="F2159" s="1" t="s">
        <v>16332</v>
      </c>
      <c r="G2159">
        <v>237106</v>
      </c>
      <c r="H2159">
        <v>0</v>
      </c>
      <c r="I2159" s="1" t="s">
        <v>11063</v>
      </c>
      <c r="J2159" s="11">
        <v>44729.706458333334</v>
      </c>
      <c r="K2159" s="1" t="s">
        <v>6243</v>
      </c>
      <c r="L2159" s="1">
        <v>0.68300000000000005</v>
      </c>
      <c r="M2159" s="1">
        <v>0.80400000000000005</v>
      </c>
      <c r="N2159">
        <v>9</v>
      </c>
      <c r="O2159" s="1">
        <v>-6.5919999999999996</v>
      </c>
      <c r="P2159">
        <v>0</v>
      </c>
      <c r="Q2159" s="1">
        <v>0.84899999999999998</v>
      </c>
      <c r="R2159" s="1">
        <v>0.28899999999999998</v>
      </c>
      <c r="S2159" s="1">
        <v>0</v>
      </c>
      <c r="T2159" s="1">
        <v>0.94899999999999995</v>
      </c>
      <c r="U2159" s="1">
        <v>0.52200000000000002</v>
      </c>
      <c r="V2159" s="1">
        <v>128.006</v>
      </c>
      <c r="W2159">
        <v>4</v>
      </c>
    </row>
    <row r="2160" spans="1:23" x14ac:dyDescent="0.25">
      <c r="A2160" s="1" t="s">
        <v>18352</v>
      </c>
      <c r="B2160" s="1" t="s">
        <v>18353</v>
      </c>
      <c r="C2160" s="1" t="s">
        <v>6244</v>
      </c>
      <c r="D2160" s="1" t="s">
        <v>18354</v>
      </c>
      <c r="E2160" s="1" t="s">
        <v>6245</v>
      </c>
      <c r="F2160" s="1" t="s">
        <v>11587</v>
      </c>
      <c r="G2160">
        <v>195960</v>
      </c>
      <c r="H2160">
        <v>54</v>
      </c>
      <c r="I2160" s="1" t="s">
        <v>11063</v>
      </c>
      <c r="J2160" s="11">
        <v>44729.706458333334</v>
      </c>
      <c r="K2160" s="1" t="s">
        <v>6246</v>
      </c>
      <c r="L2160" s="1">
        <v>0.752</v>
      </c>
      <c r="M2160" s="1">
        <v>0.872</v>
      </c>
      <c r="N2160">
        <v>6</v>
      </c>
      <c r="O2160" s="1">
        <v>-4.1859999999999999</v>
      </c>
      <c r="P2160">
        <v>1</v>
      </c>
      <c r="Q2160" s="1">
        <v>0.11700000000000001</v>
      </c>
      <c r="R2160" s="1">
        <v>0.12</v>
      </c>
      <c r="S2160" s="1">
        <v>0</v>
      </c>
      <c r="T2160" s="1">
        <v>0.23400000000000001</v>
      </c>
      <c r="U2160" s="1">
        <v>0.67700000000000005</v>
      </c>
      <c r="V2160" s="1">
        <v>123.88800000000001</v>
      </c>
      <c r="W2160">
        <v>4</v>
      </c>
    </row>
    <row r="2161" spans="1:23" x14ac:dyDescent="0.25">
      <c r="A2161" s="1" t="s">
        <v>18355</v>
      </c>
      <c r="B2161" s="1" t="s">
        <v>18356</v>
      </c>
      <c r="C2161" s="1" t="s">
        <v>6247</v>
      </c>
      <c r="D2161" s="1" t="s">
        <v>18357</v>
      </c>
      <c r="E2161" s="1" t="s">
        <v>6248</v>
      </c>
      <c r="F2161" s="1" t="s">
        <v>14014</v>
      </c>
      <c r="G2161">
        <v>216893</v>
      </c>
      <c r="H2161">
        <v>74</v>
      </c>
      <c r="I2161" s="1" t="s">
        <v>11063</v>
      </c>
      <c r="J2161" s="11">
        <v>44729.706458333334</v>
      </c>
      <c r="K2161" s="1" t="s">
        <v>6249</v>
      </c>
      <c r="L2161" s="1">
        <v>0.435</v>
      </c>
      <c r="M2161" s="1">
        <v>0.83699999999999997</v>
      </c>
      <c r="N2161">
        <v>3</v>
      </c>
      <c r="O2161" s="1">
        <v>-8.1259999999999994</v>
      </c>
      <c r="P2161">
        <v>1</v>
      </c>
      <c r="Q2161" s="1">
        <v>0.44900000000000001</v>
      </c>
      <c r="R2161" s="1">
        <v>0.67600000000000005</v>
      </c>
      <c r="S2161" s="1">
        <v>0</v>
      </c>
      <c r="T2161" s="1">
        <v>0.11700000000000001</v>
      </c>
      <c r="U2161" s="1">
        <v>0.77800000000000002</v>
      </c>
      <c r="V2161" s="1">
        <v>124.913</v>
      </c>
      <c r="W2161">
        <v>4</v>
      </c>
    </row>
    <row r="2162" spans="1:23" x14ac:dyDescent="0.25">
      <c r="A2162" s="1" t="s">
        <v>18358</v>
      </c>
      <c r="B2162" s="1" t="s">
        <v>18359</v>
      </c>
      <c r="C2162" s="1" t="s">
        <v>4718</v>
      </c>
      <c r="D2162" s="1" t="s">
        <v>18360</v>
      </c>
      <c r="E2162" s="1" t="s">
        <v>6250</v>
      </c>
      <c r="F2162" s="1" t="s">
        <v>15632</v>
      </c>
      <c r="G2162">
        <v>233901</v>
      </c>
      <c r="H2162">
        <v>82</v>
      </c>
      <c r="I2162" s="1" t="s">
        <v>11063</v>
      </c>
      <c r="J2162" s="11">
        <v>44729.706458333334</v>
      </c>
      <c r="K2162" s="1" t="s">
        <v>6251</v>
      </c>
      <c r="L2162" s="1">
        <v>0.72599999999999998</v>
      </c>
      <c r="M2162" s="1">
        <v>0.76900000000000002</v>
      </c>
      <c r="N2162">
        <v>6</v>
      </c>
      <c r="O2162" s="1">
        <v>-5.0430000000000001</v>
      </c>
      <c r="P2162">
        <v>1</v>
      </c>
      <c r="Q2162" s="1">
        <v>0.123</v>
      </c>
      <c r="R2162" s="1">
        <v>0.29299999999999998</v>
      </c>
      <c r="S2162" s="1">
        <v>0.10100000000000001</v>
      </c>
      <c r="T2162" s="1">
        <v>0.104</v>
      </c>
      <c r="U2162" s="1">
        <v>0.73299999999999998</v>
      </c>
      <c r="V2162" s="1">
        <v>97.984999999999999</v>
      </c>
      <c r="W2162">
        <v>4</v>
      </c>
    </row>
    <row r="2163" spans="1:23" x14ac:dyDescent="0.25">
      <c r="A2163" s="1" t="s">
        <v>18361</v>
      </c>
      <c r="B2163" s="1" t="s">
        <v>18362</v>
      </c>
      <c r="C2163" s="1" t="s">
        <v>6252</v>
      </c>
      <c r="D2163" s="1" t="s">
        <v>6252</v>
      </c>
      <c r="E2163" s="1" t="s">
        <v>6253</v>
      </c>
      <c r="F2163" s="1" t="s">
        <v>14357</v>
      </c>
      <c r="G2163">
        <v>212424</v>
      </c>
      <c r="H2163">
        <v>68</v>
      </c>
      <c r="I2163" s="1" t="s">
        <v>11063</v>
      </c>
      <c r="J2163" s="11">
        <v>44729.706458333334</v>
      </c>
      <c r="K2163" s="1" t="s">
        <v>6254</v>
      </c>
      <c r="L2163" s="1">
        <v>0.64400000000000002</v>
      </c>
      <c r="M2163" s="1">
        <v>0.56999999999999995</v>
      </c>
      <c r="N2163">
        <v>9</v>
      </c>
      <c r="O2163" s="1">
        <v>-6.9939999999999998</v>
      </c>
      <c r="P2163">
        <v>1</v>
      </c>
      <c r="Q2163" s="1">
        <v>0.52</v>
      </c>
      <c r="R2163" s="1">
        <v>0.48399999999999999</v>
      </c>
      <c r="S2163" s="1">
        <v>0</v>
      </c>
      <c r="T2163" s="1">
        <v>0.29899999999999999</v>
      </c>
      <c r="U2163" s="1">
        <v>0.52700000000000002</v>
      </c>
      <c r="V2163" s="1">
        <v>113.94499999999999</v>
      </c>
      <c r="W2163">
        <v>4</v>
      </c>
    </row>
    <row r="2164" spans="1:23" x14ac:dyDescent="0.25">
      <c r="A2164" s="1" t="s">
        <v>18363</v>
      </c>
      <c r="B2164" s="1" t="s">
        <v>18364</v>
      </c>
      <c r="C2164" s="1" t="s">
        <v>3016</v>
      </c>
      <c r="D2164" s="1" t="s">
        <v>18365</v>
      </c>
      <c r="E2164" s="1" t="s">
        <v>6255</v>
      </c>
      <c r="F2164" s="1" t="s">
        <v>18366</v>
      </c>
      <c r="G2164">
        <v>204280</v>
      </c>
      <c r="H2164">
        <v>79</v>
      </c>
      <c r="I2164" s="1" t="s">
        <v>11063</v>
      </c>
      <c r="J2164" s="11">
        <v>44729.706458333334</v>
      </c>
      <c r="K2164" s="1" t="s">
        <v>6256</v>
      </c>
      <c r="L2164" s="1">
        <v>0.48399999999999999</v>
      </c>
      <c r="M2164" s="1">
        <v>0.73099999999999998</v>
      </c>
      <c r="N2164">
        <v>1</v>
      </c>
      <c r="O2164" s="1">
        <v>-6.694</v>
      </c>
      <c r="P2164">
        <v>1</v>
      </c>
      <c r="Q2164" s="1">
        <v>0.379</v>
      </c>
      <c r="R2164" s="1">
        <v>0.43099999999999999</v>
      </c>
      <c r="S2164" s="1">
        <v>0</v>
      </c>
      <c r="T2164" s="1">
        <v>0.151</v>
      </c>
      <c r="U2164" s="1">
        <v>0.51</v>
      </c>
      <c r="V2164" s="1">
        <v>101.654</v>
      </c>
      <c r="W2164">
        <v>4</v>
      </c>
    </row>
    <row r="2165" spans="1:23" x14ac:dyDescent="0.25">
      <c r="A2165" s="1" t="s">
        <v>18367</v>
      </c>
      <c r="B2165" s="1" t="s">
        <v>18368</v>
      </c>
      <c r="C2165" s="1" t="s">
        <v>6257</v>
      </c>
      <c r="D2165" s="1" t="s">
        <v>18369</v>
      </c>
      <c r="E2165" s="1" t="s">
        <v>6258</v>
      </c>
      <c r="F2165" s="1" t="s">
        <v>18370</v>
      </c>
      <c r="G2165">
        <v>180480</v>
      </c>
      <c r="H2165">
        <v>75</v>
      </c>
      <c r="I2165" s="1" t="s">
        <v>11063</v>
      </c>
      <c r="J2165" s="11">
        <v>44729.706458333334</v>
      </c>
      <c r="K2165" s="1" t="s">
        <v>6259</v>
      </c>
      <c r="L2165" s="1">
        <v>0.66</v>
      </c>
      <c r="M2165" s="1">
        <v>0.86699999999999999</v>
      </c>
      <c r="N2165">
        <v>6</v>
      </c>
      <c r="O2165" s="1">
        <v>-4.2850000000000001</v>
      </c>
      <c r="P2165">
        <v>0</v>
      </c>
      <c r="Q2165" s="1">
        <v>0.11600000000000001</v>
      </c>
      <c r="R2165" s="1">
        <v>0.11</v>
      </c>
      <c r="S2165" s="1">
        <v>0</v>
      </c>
      <c r="T2165" s="1">
        <v>0.36799999999999999</v>
      </c>
      <c r="U2165" s="1">
        <v>0.377</v>
      </c>
      <c r="V2165" s="1">
        <v>93.033000000000001</v>
      </c>
      <c r="W2165">
        <v>4</v>
      </c>
    </row>
    <row r="2166" spans="1:23" x14ac:dyDescent="0.25">
      <c r="A2166" s="1" t="s">
        <v>18371</v>
      </c>
      <c r="B2166" s="1" t="s">
        <v>18372</v>
      </c>
      <c r="C2166" s="1" t="s">
        <v>6260</v>
      </c>
      <c r="D2166" s="1" t="s">
        <v>6260</v>
      </c>
      <c r="E2166" s="1" t="s">
        <v>6261</v>
      </c>
      <c r="F2166" s="1" t="s">
        <v>11597</v>
      </c>
      <c r="G2166">
        <v>251088</v>
      </c>
      <c r="H2166">
        <v>76</v>
      </c>
      <c r="I2166" s="1" t="s">
        <v>11063</v>
      </c>
      <c r="J2166" s="11">
        <v>44729.706458333334</v>
      </c>
      <c r="K2166" s="1" t="s">
        <v>6262</v>
      </c>
      <c r="L2166" s="1">
        <v>0.72</v>
      </c>
      <c r="M2166" s="1">
        <v>0.76300000000000001</v>
      </c>
      <c r="N2166">
        <v>9</v>
      </c>
      <c r="O2166" s="1">
        <v>-4.0679999999999996</v>
      </c>
      <c r="P2166">
        <v>0</v>
      </c>
      <c r="Q2166" s="1">
        <v>0.52300000000000002</v>
      </c>
      <c r="R2166" s="1">
        <v>0.40600000000000003</v>
      </c>
      <c r="S2166" s="1">
        <v>0</v>
      </c>
      <c r="T2166" s="1">
        <v>0.18</v>
      </c>
      <c r="U2166" s="1">
        <v>0.74199999999999999</v>
      </c>
      <c r="V2166" s="1">
        <v>101.965</v>
      </c>
      <c r="W2166">
        <v>4</v>
      </c>
    </row>
    <row r="2167" spans="1:23" x14ac:dyDescent="0.25">
      <c r="A2167" s="1" t="s">
        <v>11652</v>
      </c>
      <c r="B2167" s="1" t="s">
        <v>11653</v>
      </c>
      <c r="C2167" s="1" t="s">
        <v>371</v>
      </c>
      <c r="D2167" s="1" t="s">
        <v>371</v>
      </c>
      <c r="E2167" s="1" t="s">
        <v>372</v>
      </c>
      <c r="F2167" s="1" t="s">
        <v>11654</v>
      </c>
      <c r="G2167">
        <v>170322</v>
      </c>
      <c r="H2167">
        <v>62</v>
      </c>
      <c r="I2167" s="1" t="s">
        <v>11063</v>
      </c>
      <c r="J2167" s="11">
        <v>44729.706458333334</v>
      </c>
      <c r="K2167" s="1" t="s">
        <v>373</v>
      </c>
      <c r="L2167" s="1">
        <v>0.77500000000000002</v>
      </c>
      <c r="M2167" s="1">
        <v>0.72299999999999998</v>
      </c>
      <c r="N2167">
        <v>10</v>
      </c>
      <c r="O2167" s="1">
        <v>-3.4790000000000001</v>
      </c>
      <c r="P2167">
        <v>0</v>
      </c>
      <c r="Q2167" s="1">
        <v>0.48599999999999999</v>
      </c>
      <c r="R2167" s="1">
        <v>0.17</v>
      </c>
      <c r="S2167" s="1">
        <v>0.67200000000000004</v>
      </c>
      <c r="T2167" s="1">
        <v>0.57899999999999996</v>
      </c>
      <c r="U2167" s="1">
        <v>0.60399999999999998</v>
      </c>
      <c r="V2167" s="1">
        <v>124.05</v>
      </c>
      <c r="W2167">
        <v>4</v>
      </c>
    </row>
    <row r="2168" spans="1:23" x14ac:dyDescent="0.25">
      <c r="A2168" s="1" t="s">
        <v>18373</v>
      </c>
      <c r="B2168" s="1" t="s">
        <v>18374</v>
      </c>
      <c r="C2168" s="1" t="s">
        <v>6263</v>
      </c>
      <c r="D2168" s="1" t="s">
        <v>11422</v>
      </c>
      <c r="E2168" s="1" t="s">
        <v>6264</v>
      </c>
      <c r="F2168" s="1" t="s">
        <v>11423</v>
      </c>
      <c r="G2168">
        <v>218146</v>
      </c>
      <c r="H2168">
        <v>84</v>
      </c>
      <c r="I2168" s="1" t="s">
        <v>11063</v>
      </c>
      <c r="J2168" s="11">
        <v>44729.706458333334</v>
      </c>
      <c r="K2168" s="1" t="s">
        <v>6265</v>
      </c>
      <c r="L2168" s="1">
        <v>0.58499999999999996</v>
      </c>
      <c r="M2168" s="1">
        <v>0.52</v>
      </c>
      <c r="N2168">
        <v>5</v>
      </c>
      <c r="O2168" s="1">
        <v>-6.1360000000000001</v>
      </c>
      <c r="P2168">
        <v>0</v>
      </c>
      <c r="Q2168" s="1">
        <v>0.71199999999999997</v>
      </c>
      <c r="R2168" s="1">
        <v>0.124</v>
      </c>
      <c r="S2168" s="1">
        <v>0.70099999999999996</v>
      </c>
      <c r="T2168" s="1">
        <v>0.13100000000000001</v>
      </c>
      <c r="U2168" s="1">
        <v>0.129</v>
      </c>
      <c r="V2168" s="1">
        <v>159.80099999999999</v>
      </c>
      <c r="W2168">
        <v>4</v>
      </c>
    </row>
    <row r="2169" spans="1:23" x14ac:dyDescent="0.25">
      <c r="A2169" s="1" t="s">
        <v>18375</v>
      </c>
      <c r="B2169" s="1" t="s">
        <v>18376</v>
      </c>
      <c r="C2169" s="1" t="s">
        <v>6266</v>
      </c>
      <c r="D2169" s="1" t="s">
        <v>18377</v>
      </c>
      <c r="E2169" s="1" t="s">
        <v>6267</v>
      </c>
      <c r="F2169" s="1" t="s">
        <v>18378</v>
      </c>
      <c r="G2169">
        <v>241052</v>
      </c>
      <c r="H2169">
        <v>22</v>
      </c>
      <c r="I2169" s="1" t="s">
        <v>11063</v>
      </c>
      <c r="J2169" s="11">
        <v>44729.706458333334</v>
      </c>
      <c r="K2169" s="1" t="s">
        <v>6268</v>
      </c>
      <c r="L2169" s="1">
        <v>0.68799999999999994</v>
      </c>
      <c r="M2169" s="1">
        <v>0.69699999999999995</v>
      </c>
      <c r="N2169">
        <v>9</v>
      </c>
      <c r="O2169" s="1">
        <v>-7.9550000000000001</v>
      </c>
      <c r="P2169">
        <v>1</v>
      </c>
      <c r="Q2169" s="1">
        <v>0.48499999999999999</v>
      </c>
      <c r="R2169" s="1">
        <v>0.753</v>
      </c>
      <c r="S2169" s="1">
        <v>0.621</v>
      </c>
      <c r="T2169" s="1">
        <v>0.109</v>
      </c>
      <c r="U2169" s="1">
        <v>0.46</v>
      </c>
      <c r="V2169" s="1">
        <v>114.03</v>
      </c>
      <c r="W2169">
        <v>4</v>
      </c>
    </row>
    <row r="2170" spans="1:23" x14ac:dyDescent="0.25">
      <c r="A2170" s="1" t="s">
        <v>18379</v>
      </c>
      <c r="B2170" s="1" t="s">
        <v>18376</v>
      </c>
      <c r="C2170" s="1" t="s">
        <v>6269</v>
      </c>
      <c r="D2170" s="1" t="s">
        <v>18377</v>
      </c>
      <c r="E2170" s="1" t="s">
        <v>6267</v>
      </c>
      <c r="F2170" s="1" t="s">
        <v>18378</v>
      </c>
      <c r="G2170">
        <v>313684</v>
      </c>
      <c r="H2170">
        <v>35</v>
      </c>
      <c r="I2170" s="1" t="s">
        <v>11063</v>
      </c>
      <c r="J2170" s="11">
        <v>44729.706458333334</v>
      </c>
      <c r="K2170" s="1" t="s">
        <v>6268</v>
      </c>
      <c r="L2170" s="1">
        <v>0.88500000000000001</v>
      </c>
      <c r="M2170" s="1">
        <v>0.58099999999999996</v>
      </c>
      <c r="N2170">
        <v>11</v>
      </c>
      <c r="O2170" s="1">
        <v>-8.8130000000000006</v>
      </c>
      <c r="P2170">
        <v>1</v>
      </c>
      <c r="Q2170" s="1">
        <v>0.378</v>
      </c>
      <c r="R2170" s="1">
        <v>0.42699999999999999</v>
      </c>
      <c r="S2170" s="1">
        <v>0.20399999999999999</v>
      </c>
      <c r="T2170" s="1">
        <v>0.75900000000000001</v>
      </c>
      <c r="U2170" s="1">
        <v>0.72799999999999998</v>
      </c>
      <c r="V2170" s="1">
        <v>114.01600000000001</v>
      </c>
      <c r="W2170">
        <v>4</v>
      </c>
    </row>
    <row r="2171" spans="1:23" x14ac:dyDescent="0.25">
      <c r="A2171" s="1" t="s">
        <v>18380</v>
      </c>
      <c r="B2171" s="1" t="s">
        <v>18381</v>
      </c>
      <c r="C2171" s="1" t="s">
        <v>6270</v>
      </c>
      <c r="D2171" s="1" t="s">
        <v>6270</v>
      </c>
      <c r="E2171" s="1" t="s">
        <v>6271</v>
      </c>
      <c r="F2171" s="1" t="s">
        <v>14835</v>
      </c>
      <c r="G2171">
        <v>175424</v>
      </c>
      <c r="H2171">
        <v>63</v>
      </c>
      <c r="I2171" s="1" t="s">
        <v>11063</v>
      </c>
      <c r="J2171" s="11">
        <v>44729.706458333334</v>
      </c>
      <c r="K2171" s="1" t="s">
        <v>6272</v>
      </c>
      <c r="L2171" s="1">
        <v>0.42099999999999999</v>
      </c>
      <c r="M2171" s="1">
        <v>0.65300000000000002</v>
      </c>
      <c r="N2171">
        <v>9</v>
      </c>
      <c r="O2171" s="1">
        <v>-4.8499999999999996</v>
      </c>
      <c r="P2171">
        <v>0</v>
      </c>
      <c r="Q2171" s="1">
        <v>0.39800000000000002</v>
      </c>
      <c r="R2171" s="1">
        <v>0.13500000000000001</v>
      </c>
      <c r="S2171" s="1">
        <v>0</v>
      </c>
      <c r="T2171" s="1">
        <v>0.114</v>
      </c>
      <c r="U2171" s="1">
        <v>0.73299999999999998</v>
      </c>
      <c r="V2171" s="1">
        <v>78.599999999999994</v>
      </c>
      <c r="W2171">
        <v>4</v>
      </c>
    </row>
    <row r="2172" spans="1:23" x14ac:dyDescent="0.25">
      <c r="A2172" s="1" t="s">
        <v>18382</v>
      </c>
      <c r="B2172" s="1" t="s">
        <v>18381</v>
      </c>
      <c r="C2172" s="1" t="s">
        <v>6273</v>
      </c>
      <c r="D2172" s="1" t="s">
        <v>6273</v>
      </c>
      <c r="E2172" s="1" t="s">
        <v>6271</v>
      </c>
      <c r="F2172" s="1" t="s">
        <v>13564</v>
      </c>
      <c r="G2172">
        <v>156600</v>
      </c>
      <c r="H2172">
        <v>75</v>
      </c>
      <c r="I2172" s="1" t="s">
        <v>11063</v>
      </c>
      <c r="J2172" s="11">
        <v>44729.706458333334</v>
      </c>
      <c r="K2172" s="1" t="s">
        <v>6272</v>
      </c>
      <c r="L2172" s="1">
        <v>0.6</v>
      </c>
      <c r="M2172" s="1">
        <v>0.68799999999999994</v>
      </c>
      <c r="N2172">
        <v>5</v>
      </c>
      <c r="O2172" s="1">
        <v>-8.3390000000000004</v>
      </c>
      <c r="P2172">
        <v>0</v>
      </c>
      <c r="Q2172" s="1">
        <v>0.20100000000000001</v>
      </c>
      <c r="R2172" s="1">
        <v>0.159</v>
      </c>
      <c r="S2172" s="1">
        <v>0.129</v>
      </c>
      <c r="T2172" s="1">
        <v>0.40899999999999997</v>
      </c>
      <c r="U2172" s="1">
        <v>0.79300000000000004</v>
      </c>
      <c r="V2172" s="1">
        <v>99.977000000000004</v>
      </c>
      <c r="W2172">
        <v>4</v>
      </c>
    </row>
    <row r="2173" spans="1:23" x14ac:dyDescent="0.25">
      <c r="A2173" s="1" t="s">
        <v>18383</v>
      </c>
      <c r="B2173" s="1" t="s">
        <v>18384</v>
      </c>
      <c r="C2173" s="1" t="s">
        <v>2800</v>
      </c>
      <c r="D2173" s="1" t="s">
        <v>18385</v>
      </c>
      <c r="E2173" s="1" t="s">
        <v>6274</v>
      </c>
      <c r="F2173" s="1" t="s">
        <v>18386</v>
      </c>
      <c r="G2173">
        <v>322760</v>
      </c>
      <c r="H2173">
        <v>50</v>
      </c>
      <c r="I2173" s="1" t="s">
        <v>11063</v>
      </c>
      <c r="J2173" s="11">
        <v>44729.706458333334</v>
      </c>
      <c r="K2173" s="1" t="s">
        <v>6275</v>
      </c>
      <c r="L2173" s="1">
        <v>0.41</v>
      </c>
      <c r="M2173" s="1">
        <v>0.76500000000000001</v>
      </c>
      <c r="N2173">
        <v>6</v>
      </c>
      <c r="O2173" s="1">
        <v>-6.7880000000000003</v>
      </c>
      <c r="P2173">
        <v>1</v>
      </c>
      <c r="Q2173" s="1">
        <v>0.31900000000000001</v>
      </c>
      <c r="R2173" s="1">
        <v>0.109</v>
      </c>
      <c r="S2173" s="1">
        <v>0.7</v>
      </c>
      <c r="T2173" s="1">
        <v>0.112</v>
      </c>
      <c r="U2173" s="1">
        <v>0.38100000000000001</v>
      </c>
      <c r="V2173" s="1">
        <v>105.01300000000001</v>
      </c>
      <c r="W2173">
        <v>4</v>
      </c>
    </row>
    <row r="2174" spans="1:23" x14ac:dyDescent="0.25">
      <c r="A2174" s="1" t="s">
        <v>18387</v>
      </c>
      <c r="B2174" s="1" t="s">
        <v>18384</v>
      </c>
      <c r="C2174" s="1" t="s">
        <v>6276</v>
      </c>
      <c r="D2174" s="1" t="s">
        <v>18385</v>
      </c>
      <c r="E2174" s="1" t="s">
        <v>6274</v>
      </c>
      <c r="F2174" s="1" t="s">
        <v>18386</v>
      </c>
      <c r="G2174">
        <v>247026</v>
      </c>
      <c r="H2174">
        <v>65</v>
      </c>
      <c r="I2174" s="1" t="s">
        <v>11063</v>
      </c>
      <c r="J2174" s="11">
        <v>44729.706458333334</v>
      </c>
      <c r="K2174" s="1" t="s">
        <v>6275</v>
      </c>
      <c r="L2174" s="1">
        <v>0.16200000000000001</v>
      </c>
      <c r="M2174" s="1">
        <v>0.25600000000000001</v>
      </c>
      <c r="N2174">
        <v>2</v>
      </c>
      <c r="O2174" s="1">
        <v>-11.295999999999999</v>
      </c>
      <c r="P2174">
        <v>1</v>
      </c>
      <c r="Q2174" s="1">
        <v>0.34599999999999997</v>
      </c>
      <c r="R2174" s="1">
        <v>0.33200000000000002</v>
      </c>
      <c r="S2174" s="1">
        <v>0.92300000000000004</v>
      </c>
      <c r="T2174" s="1">
        <v>0.621</v>
      </c>
      <c r="U2174" s="1">
        <v>0.78400000000000003</v>
      </c>
      <c r="V2174" s="1">
        <v>108.893</v>
      </c>
      <c r="W2174">
        <v>4</v>
      </c>
    </row>
    <row r="2175" spans="1:23" x14ac:dyDescent="0.25">
      <c r="A2175" s="1" t="s">
        <v>18388</v>
      </c>
      <c r="B2175" s="1" t="s">
        <v>18384</v>
      </c>
      <c r="C2175" s="1" t="s">
        <v>6277</v>
      </c>
      <c r="D2175" s="1" t="s">
        <v>18385</v>
      </c>
      <c r="E2175" s="1" t="s">
        <v>6274</v>
      </c>
      <c r="F2175" s="1" t="s">
        <v>18386</v>
      </c>
      <c r="G2175">
        <v>343253</v>
      </c>
      <c r="H2175">
        <v>71</v>
      </c>
      <c r="I2175" s="1" t="s">
        <v>11063</v>
      </c>
      <c r="J2175" s="11">
        <v>44729.706458333334</v>
      </c>
      <c r="K2175" s="1" t="s">
        <v>6275</v>
      </c>
      <c r="L2175" s="1">
        <v>0.42599999999999999</v>
      </c>
      <c r="M2175" s="1">
        <v>0.22800000000000001</v>
      </c>
      <c r="N2175">
        <v>2</v>
      </c>
      <c r="O2175" s="1">
        <v>-10.552</v>
      </c>
      <c r="P2175">
        <v>1</v>
      </c>
      <c r="Q2175" s="1">
        <v>0.32200000000000001</v>
      </c>
      <c r="R2175" s="1">
        <v>0.19800000000000001</v>
      </c>
      <c r="S2175" s="1">
        <v>0.13</v>
      </c>
      <c r="T2175" s="1">
        <v>0.83199999999999996</v>
      </c>
      <c r="U2175" s="1">
        <v>0.82199999999999995</v>
      </c>
      <c r="V2175" s="1">
        <v>147.994</v>
      </c>
      <c r="W2175">
        <v>4</v>
      </c>
    </row>
    <row r="2176" spans="1:23" x14ac:dyDescent="0.25">
      <c r="A2176" s="1" t="s">
        <v>18389</v>
      </c>
      <c r="B2176" s="1" t="s">
        <v>18384</v>
      </c>
      <c r="C2176" s="1" t="s">
        <v>5336</v>
      </c>
      <c r="D2176" s="1" t="s">
        <v>18385</v>
      </c>
      <c r="E2176" s="1" t="s">
        <v>6274</v>
      </c>
      <c r="F2176" s="1" t="s">
        <v>18386</v>
      </c>
      <c r="G2176">
        <v>243960</v>
      </c>
      <c r="H2176">
        <v>76</v>
      </c>
      <c r="I2176" s="1" t="s">
        <v>11063</v>
      </c>
      <c r="J2176" s="11">
        <v>44729.706458333334</v>
      </c>
      <c r="K2176" s="1" t="s">
        <v>6275</v>
      </c>
      <c r="L2176" s="1">
        <v>0.50700000000000001</v>
      </c>
      <c r="M2176" s="1">
        <v>0.72899999999999998</v>
      </c>
      <c r="N2176">
        <v>11</v>
      </c>
      <c r="O2176" s="1">
        <v>-5.399</v>
      </c>
      <c r="P2176">
        <v>0</v>
      </c>
      <c r="Q2176" s="1">
        <v>0.39300000000000002</v>
      </c>
      <c r="R2176" s="1">
        <v>0.182</v>
      </c>
      <c r="S2176" s="1">
        <v>0.14000000000000001</v>
      </c>
      <c r="T2176" s="1">
        <v>0.65800000000000003</v>
      </c>
      <c r="U2176" s="1">
        <v>0.27200000000000002</v>
      </c>
      <c r="V2176" s="1">
        <v>105.01300000000001</v>
      </c>
      <c r="W2176">
        <v>4</v>
      </c>
    </row>
    <row r="2177" spans="1:23" x14ac:dyDescent="0.25">
      <c r="A2177" s="1" t="s">
        <v>18390</v>
      </c>
      <c r="B2177" s="1" t="s">
        <v>18297</v>
      </c>
      <c r="C2177" s="1" t="s">
        <v>6278</v>
      </c>
      <c r="D2177" s="1" t="s">
        <v>6278</v>
      </c>
      <c r="E2177" s="1" t="s">
        <v>6194</v>
      </c>
      <c r="F2177" s="1" t="s">
        <v>15809</v>
      </c>
      <c r="G2177">
        <v>203000</v>
      </c>
      <c r="H2177">
        <v>80</v>
      </c>
      <c r="I2177" s="1" t="s">
        <v>11063</v>
      </c>
      <c r="J2177" s="11">
        <v>44729.706458333334</v>
      </c>
      <c r="K2177" s="1" t="s">
        <v>2063</v>
      </c>
      <c r="L2177" s="1">
        <v>0.64600000000000002</v>
      </c>
      <c r="M2177" s="1">
        <v>0.74099999999999999</v>
      </c>
      <c r="N2177">
        <v>5</v>
      </c>
      <c r="O2177" s="1">
        <v>-4.9729999999999999</v>
      </c>
      <c r="P2177">
        <v>0</v>
      </c>
      <c r="Q2177" s="1">
        <v>0.34</v>
      </c>
      <c r="R2177" s="1">
        <v>0.27500000000000002</v>
      </c>
      <c r="S2177" s="1">
        <v>0</v>
      </c>
      <c r="T2177" s="1">
        <v>0.312</v>
      </c>
      <c r="U2177" s="1">
        <v>0.57099999999999995</v>
      </c>
      <c r="V2177" s="1">
        <v>123.077</v>
      </c>
      <c r="W2177">
        <v>4</v>
      </c>
    </row>
    <row r="2178" spans="1:23" x14ac:dyDescent="0.25">
      <c r="A2178" s="1" t="s">
        <v>18391</v>
      </c>
      <c r="B2178" s="1" t="s">
        <v>18392</v>
      </c>
      <c r="C2178" s="1" t="s">
        <v>6279</v>
      </c>
      <c r="D2178" s="1" t="s">
        <v>6279</v>
      </c>
      <c r="E2178" s="1" t="s">
        <v>6280</v>
      </c>
      <c r="F2178" s="1" t="s">
        <v>11426</v>
      </c>
      <c r="G2178">
        <v>237792</v>
      </c>
      <c r="H2178">
        <v>71</v>
      </c>
      <c r="I2178" s="1" t="s">
        <v>11063</v>
      </c>
      <c r="J2178" s="11">
        <v>44729.706458333334</v>
      </c>
      <c r="K2178" s="1" t="s">
        <v>921</v>
      </c>
      <c r="L2178" s="1">
        <v>0.78300000000000003</v>
      </c>
      <c r="M2178" s="1">
        <v>0.46700000000000003</v>
      </c>
      <c r="N2178">
        <v>6</v>
      </c>
      <c r="O2178" s="1">
        <v>-9.4740000000000002</v>
      </c>
      <c r="P2178">
        <v>1</v>
      </c>
      <c r="Q2178" s="1">
        <v>0.503</v>
      </c>
      <c r="R2178" s="1">
        <v>0.72899999999999998</v>
      </c>
      <c r="S2178" s="1">
        <v>0.80900000000000005</v>
      </c>
      <c r="T2178" s="1">
        <v>0.109</v>
      </c>
      <c r="U2178" s="1">
        <v>0.23599999999999999</v>
      </c>
      <c r="V2178" s="1">
        <v>90.837999999999994</v>
      </c>
      <c r="W2178">
        <v>4</v>
      </c>
    </row>
    <row r="2179" spans="1:23" x14ac:dyDescent="0.25">
      <c r="A2179" s="1" t="s">
        <v>18393</v>
      </c>
      <c r="B2179" s="1" t="s">
        <v>18394</v>
      </c>
      <c r="C2179" s="1" t="s">
        <v>6281</v>
      </c>
      <c r="D2179" s="1" t="s">
        <v>18395</v>
      </c>
      <c r="E2179" s="1" t="s">
        <v>6282</v>
      </c>
      <c r="F2179" s="1" t="s">
        <v>18396</v>
      </c>
      <c r="G2179">
        <v>239835</v>
      </c>
      <c r="H2179">
        <v>84</v>
      </c>
      <c r="I2179" s="1" t="s">
        <v>11063</v>
      </c>
      <c r="J2179" s="11">
        <v>44729.706458333334</v>
      </c>
      <c r="K2179" s="1" t="s">
        <v>6283</v>
      </c>
      <c r="L2179" s="1">
        <v>0.51100000000000001</v>
      </c>
      <c r="M2179" s="1">
        <v>0.56599999999999995</v>
      </c>
      <c r="N2179">
        <v>6</v>
      </c>
      <c r="O2179" s="1">
        <v>-7.23</v>
      </c>
      <c r="P2179">
        <v>0</v>
      </c>
      <c r="Q2179" s="1">
        <v>0.2</v>
      </c>
      <c r="R2179" s="1">
        <v>0.34899999999999998</v>
      </c>
      <c r="S2179" s="1">
        <v>0</v>
      </c>
      <c r="T2179" s="1">
        <v>0.34</v>
      </c>
      <c r="U2179" s="1">
        <v>0.218</v>
      </c>
      <c r="V2179" s="1">
        <v>83.903000000000006</v>
      </c>
      <c r="W2179">
        <v>4</v>
      </c>
    </row>
    <row r="2180" spans="1:23" x14ac:dyDescent="0.25">
      <c r="A2180" s="1" t="s">
        <v>18397</v>
      </c>
      <c r="B2180" s="1" t="s">
        <v>18398</v>
      </c>
      <c r="C2180" s="1" t="s">
        <v>6284</v>
      </c>
      <c r="D2180" s="1" t="s">
        <v>18399</v>
      </c>
      <c r="E2180" s="1" t="s">
        <v>6285</v>
      </c>
      <c r="F2180" s="1" t="s">
        <v>11530</v>
      </c>
      <c r="G2180">
        <v>207280</v>
      </c>
      <c r="H2180">
        <v>59</v>
      </c>
      <c r="I2180" s="1" t="s">
        <v>11063</v>
      </c>
      <c r="J2180" s="11">
        <v>44729.706458333334</v>
      </c>
      <c r="K2180" s="1" t="s">
        <v>6286</v>
      </c>
      <c r="L2180" s="1">
        <v>0.63300000000000001</v>
      </c>
      <c r="M2180" s="1">
        <v>0.94699999999999995</v>
      </c>
      <c r="N2180">
        <v>2</v>
      </c>
      <c r="O2180" s="1">
        <v>-2.3319999999999999</v>
      </c>
      <c r="P2180">
        <v>1</v>
      </c>
      <c r="Q2180" s="1">
        <v>0.35399999999999998</v>
      </c>
      <c r="R2180" s="1">
        <v>0.45800000000000002</v>
      </c>
      <c r="S2180" s="1">
        <v>0.39600000000000002</v>
      </c>
      <c r="T2180" s="1">
        <v>0.34100000000000003</v>
      </c>
      <c r="U2180" s="1">
        <v>0.68300000000000005</v>
      </c>
      <c r="V2180" s="1">
        <v>124.973</v>
      </c>
      <c r="W2180">
        <v>4</v>
      </c>
    </row>
    <row r="2181" spans="1:23" x14ac:dyDescent="0.25">
      <c r="A2181" s="1" t="s">
        <v>18400</v>
      </c>
      <c r="B2181" s="1" t="s">
        <v>18401</v>
      </c>
      <c r="C2181" s="1" t="s">
        <v>6287</v>
      </c>
      <c r="D2181" s="1" t="s">
        <v>18402</v>
      </c>
      <c r="E2181" s="1" t="s">
        <v>6288</v>
      </c>
      <c r="F2181" s="1" t="s">
        <v>13922</v>
      </c>
      <c r="G2181">
        <v>239894</v>
      </c>
      <c r="H2181">
        <v>75</v>
      </c>
      <c r="I2181" s="1" t="s">
        <v>11063</v>
      </c>
      <c r="J2181" s="11">
        <v>44729.706458333334</v>
      </c>
      <c r="K2181" s="1" t="s">
        <v>50</v>
      </c>
      <c r="L2181" s="1">
        <v>0.495</v>
      </c>
      <c r="M2181" s="1">
        <v>0.89400000000000002</v>
      </c>
      <c r="N2181">
        <v>2</v>
      </c>
      <c r="O2181" s="1">
        <v>-4.8140000000000001</v>
      </c>
      <c r="P2181">
        <v>0</v>
      </c>
      <c r="Q2181" s="1">
        <v>0.441</v>
      </c>
      <c r="R2181" s="1">
        <v>0.45300000000000001</v>
      </c>
      <c r="S2181" s="1">
        <v>0.59599999999999997</v>
      </c>
      <c r="T2181" s="1">
        <v>0.10299999999999999</v>
      </c>
      <c r="U2181" s="1">
        <v>0.21299999999999999</v>
      </c>
      <c r="V2181" s="1">
        <v>126.03</v>
      </c>
      <c r="W2181">
        <v>4</v>
      </c>
    </row>
    <row r="2182" spans="1:23" x14ac:dyDescent="0.25">
      <c r="A2182" s="1" t="s">
        <v>18403</v>
      </c>
      <c r="B2182" s="1" t="s">
        <v>18404</v>
      </c>
      <c r="C2182" s="1" t="s">
        <v>6289</v>
      </c>
      <c r="D2182" s="1" t="s">
        <v>18405</v>
      </c>
      <c r="E2182" s="1" t="s">
        <v>6290</v>
      </c>
      <c r="F2182" s="1" t="s">
        <v>18406</v>
      </c>
      <c r="G2182">
        <v>210960</v>
      </c>
      <c r="H2182">
        <v>64</v>
      </c>
      <c r="I2182" s="1" t="s">
        <v>11063</v>
      </c>
      <c r="J2182" s="11">
        <v>44729.706458333334</v>
      </c>
      <c r="K2182" s="1" t="s">
        <v>6291</v>
      </c>
      <c r="L2182" s="1">
        <v>0.64600000000000002</v>
      </c>
      <c r="M2182" s="1">
        <v>0.79500000000000004</v>
      </c>
      <c r="N2182">
        <v>9</v>
      </c>
      <c r="O2182" s="1">
        <v>-3.2930000000000001</v>
      </c>
      <c r="P2182">
        <v>1</v>
      </c>
      <c r="Q2182" s="1">
        <v>0.97599999999999998</v>
      </c>
      <c r="R2182" s="1">
        <v>0.31900000000000001</v>
      </c>
      <c r="S2182" s="1">
        <v>0</v>
      </c>
      <c r="T2182" s="1">
        <v>0.26700000000000002</v>
      </c>
      <c r="U2182" s="1">
        <v>0.79600000000000004</v>
      </c>
      <c r="V2182" s="1">
        <v>89.99</v>
      </c>
      <c r="W2182">
        <v>4</v>
      </c>
    </row>
    <row r="2183" spans="1:23" x14ac:dyDescent="0.25">
      <c r="A2183" s="1" t="s">
        <v>18407</v>
      </c>
      <c r="B2183" s="1" t="s">
        <v>18408</v>
      </c>
      <c r="C2183" s="1" t="s">
        <v>6292</v>
      </c>
      <c r="D2183" s="1" t="s">
        <v>18409</v>
      </c>
      <c r="E2183" s="1" t="s">
        <v>6293</v>
      </c>
      <c r="F2183" s="1" t="s">
        <v>15476</v>
      </c>
      <c r="G2183">
        <v>222040</v>
      </c>
      <c r="H2183">
        <v>33</v>
      </c>
      <c r="I2183" s="1" t="s">
        <v>11063</v>
      </c>
      <c r="J2183" s="11">
        <v>44729.706458333334</v>
      </c>
      <c r="K2183" s="1" t="s">
        <v>6294</v>
      </c>
      <c r="L2183" s="1">
        <v>0.67</v>
      </c>
      <c r="M2183" s="1">
        <v>0.83799999999999997</v>
      </c>
      <c r="N2183">
        <v>0</v>
      </c>
      <c r="O2183" s="1">
        <v>-4.0309999999999997</v>
      </c>
      <c r="P2183">
        <v>1</v>
      </c>
      <c r="Q2183" s="1">
        <v>0.36199999999999999</v>
      </c>
      <c r="R2183" s="1">
        <v>0.60499999999999998</v>
      </c>
      <c r="S2183" s="1">
        <v>0.61099999999999999</v>
      </c>
      <c r="T2183" s="1">
        <v>0.159</v>
      </c>
      <c r="U2183" s="1">
        <v>0.71599999999999997</v>
      </c>
      <c r="V2183" s="1">
        <v>105</v>
      </c>
      <c r="W2183">
        <v>4</v>
      </c>
    </row>
    <row r="2184" spans="1:23" x14ac:dyDescent="0.25">
      <c r="A2184" s="1" t="s">
        <v>18410</v>
      </c>
      <c r="B2184" s="1" t="s">
        <v>18411</v>
      </c>
      <c r="C2184" s="1" t="s">
        <v>6295</v>
      </c>
      <c r="D2184" s="1" t="s">
        <v>18412</v>
      </c>
      <c r="E2184" s="1" t="s">
        <v>6296</v>
      </c>
      <c r="F2184" s="1" t="s">
        <v>14727</v>
      </c>
      <c r="G2184">
        <v>247161</v>
      </c>
      <c r="H2184">
        <v>68</v>
      </c>
      <c r="I2184" s="1" t="s">
        <v>11063</v>
      </c>
      <c r="J2184" s="11">
        <v>44729.706458333334</v>
      </c>
      <c r="K2184" s="1" t="s">
        <v>212</v>
      </c>
      <c r="L2184" s="1">
        <v>0.77700000000000002</v>
      </c>
      <c r="M2184" s="1">
        <v>0.69799999999999995</v>
      </c>
      <c r="N2184">
        <v>6</v>
      </c>
      <c r="O2184" s="1">
        <v>-7.7060000000000004</v>
      </c>
      <c r="P2184">
        <v>0</v>
      </c>
      <c r="Q2184" s="1">
        <v>0.70399999999999996</v>
      </c>
      <c r="R2184" s="1">
        <v>0.29299999999999998</v>
      </c>
      <c r="S2184" s="1">
        <v>0.23200000000000001</v>
      </c>
      <c r="T2184" s="1">
        <v>0.90800000000000003</v>
      </c>
      <c r="U2184" s="1">
        <v>0.11899999999999999</v>
      </c>
      <c r="V2184" s="1">
        <v>119.96299999999999</v>
      </c>
      <c r="W2184">
        <v>4</v>
      </c>
    </row>
    <row r="2185" spans="1:23" x14ac:dyDescent="0.25">
      <c r="A2185" s="1" t="s">
        <v>18413</v>
      </c>
      <c r="B2185" s="1" t="s">
        <v>13957</v>
      </c>
      <c r="C2185" s="1" t="s">
        <v>6297</v>
      </c>
      <c r="D2185" s="1" t="s">
        <v>6297</v>
      </c>
      <c r="E2185" s="1" t="s">
        <v>2360</v>
      </c>
      <c r="F2185" s="1" t="s">
        <v>15573</v>
      </c>
      <c r="G2185">
        <v>197436</v>
      </c>
      <c r="H2185">
        <v>3</v>
      </c>
      <c r="I2185" s="1" t="s">
        <v>11063</v>
      </c>
      <c r="J2185" s="11">
        <v>44729.706458333334</v>
      </c>
      <c r="K2185" s="1" t="s">
        <v>2361</v>
      </c>
      <c r="L2185" s="1">
        <v>0.752</v>
      </c>
      <c r="M2185" s="1">
        <v>0.505</v>
      </c>
      <c r="N2185">
        <v>9</v>
      </c>
      <c r="O2185" s="1">
        <v>-7.6210000000000004</v>
      </c>
      <c r="P2185">
        <v>1</v>
      </c>
      <c r="Q2185" s="1">
        <v>0.253</v>
      </c>
      <c r="R2185" s="1">
        <v>0.53500000000000003</v>
      </c>
      <c r="S2185" s="1">
        <v>0.255</v>
      </c>
      <c r="T2185" s="1">
        <v>0.104</v>
      </c>
      <c r="U2185" s="1">
        <v>0.41899999999999998</v>
      </c>
      <c r="V2185" s="1">
        <v>91.97</v>
      </c>
      <c r="W2185">
        <v>4</v>
      </c>
    </row>
    <row r="2186" spans="1:23" x14ac:dyDescent="0.25">
      <c r="A2186" s="1" t="s">
        <v>18414</v>
      </c>
      <c r="B2186" s="1" t="s">
        <v>18415</v>
      </c>
      <c r="C2186" s="1" t="s">
        <v>6298</v>
      </c>
      <c r="D2186" s="1" t="s">
        <v>6298</v>
      </c>
      <c r="E2186" s="1" t="s">
        <v>6299</v>
      </c>
      <c r="F2186" s="1" t="s">
        <v>15060</v>
      </c>
      <c r="G2186">
        <v>190960</v>
      </c>
      <c r="H2186">
        <v>81</v>
      </c>
      <c r="I2186" s="1" t="s">
        <v>11063</v>
      </c>
      <c r="J2186" s="11">
        <v>44729.706458333334</v>
      </c>
      <c r="K2186" s="1" t="s">
        <v>6300</v>
      </c>
      <c r="L2186" s="1">
        <v>0.75900000000000001</v>
      </c>
      <c r="M2186" s="1">
        <v>0.54</v>
      </c>
      <c r="N2186">
        <v>9</v>
      </c>
      <c r="O2186" s="1">
        <v>-6.0389999999999997</v>
      </c>
      <c r="P2186">
        <v>0</v>
      </c>
      <c r="Q2186" s="1">
        <v>0.28699999999999998</v>
      </c>
      <c r="R2186" s="1">
        <v>0.37</v>
      </c>
      <c r="S2186" s="1">
        <v>0</v>
      </c>
      <c r="T2186" s="1">
        <v>0.94499999999999995</v>
      </c>
      <c r="U2186" s="1">
        <v>0.75</v>
      </c>
      <c r="V2186" s="1">
        <v>116.947</v>
      </c>
      <c r="W2186">
        <v>4</v>
      </c>
    </row>
    <row r="2187" spans="1:23" x14ac:dyDescent="0.25">
      <c r="A2187" s="1" t="s">
        <v>11153</v>
      </c>
      <c r="B2187" s="1" t="s">
        <v>11154</v>
      </c>
      <c r="C2187" s="1" t="s">
        <v>6301</v>
      </c>
      <c r="D2187" s="1" t="s">
        <v>6301</v>
      </c>
      <c r="E2187" s="1" t="s">
        <v>6302</v>
      </c>
      <c r="F2187" s="1" t="s">
        <v>11704</v>
      </c>
      <c r="G2187">
        <v>172413</v>
      </c>
      <c r="H2187">
        <v>61</v>
      </c>
      <c r="I2187" s="1" t="s">
        <v>11063</v>
      </c>
      <c r="J2187" s="11">
        <v>44729.706458333334</v>
      </c>
      <c r="K2187" s="1" t="s">
        <v>50</v>
      </c>
      <c r="L2187" s="1">
        <v>0.47899999999999998</v>
      </c>
      <c r="M2187" s="1">
        <v>0.71399999999999997</v>
      </c>
      <c r="N2187">
        <v>7</v>
      </c>
      <c r="O2187" s="1">
        <v>-3.7759999999999998</v>
      </c>
      <c r="P2187">
        <v>0</v>
      </c>
      <c r="Q2187" s="1">
        <v>0.109</v>
      </c>
      <c r="R2187" s="1">
        <v>0.25</v>
      </c>
      <c r="S2187" s="1">
        <v>0.153</v>
      </c>
      <c r="T2187" s="1">
        <v>0.20599999999999999</v>
      </c>
      <c r="U2187" s="1">
        <v>0.49</v>
      </c>
      <c r="V2187" s="1">
        <v>98.23</v>
      </c>
      <c r="W2187">
        <v>4</v>
      </c>
    </row>
    <row r="2188" spans="1:23" x14ac:dyDescent="0.25">
      <c r="A2188" s="1" t="s">
        <v>18416</v>
      </c>
      <c r="B2188" s="1" t="s">
        <v>18417</v>
      </c>
      <c r="C2188" s="1" t="s">
        <v>6303</v>
      </c>
      <c r="D2188" s="1" t="s">
        <v>7916</v>
      </c>
      <c r="E2188" s="1" t="s">
        <v>6304</v>
      </c>
      <c r="F2188" s="1" t="s">
        <v>15619</v>
      </c>
      <c r="G2188">
        <v>211935</v>
      </c>
      <c r="H2188">
        <v>0</v>
      </c>
      <c r="I2188" s="1" t="s">
        <v>11063</v>
      </c>
      <c r="J2188" s="11">
        <v>44729.706458333334</v>
      </c>
      <c r="K2188" s="1" t="s">
        <v>6305</v>
      </c>
      <c r="L2188" s="1">
        <v>0.88700000000000001</v>
      </c>
      <c r="M2188" s="1">
        <v>0.66900000000000004</v>
      </c>
      <c r="N2188">
        <v>11</v>
      </c>
      <c r="O2188" s="1">
        <v>-6.0579999999999998</v>
      </c>
      <c r="P2188">
        <v>0</v>
      </c>
      <c r="Q2188" s="1">
        <v>0.14399999999999999</v>
      </c>
      <c r="R2188" s="1">
        <v>0.16</v>
      </c>
      <c r="S2188" s="1">
        <v>0</v>
      </c>
      <c r="T2188" s="1">
        <v>0.18099999999999999</v>
      </c>
      <c r="U2188" s="1">
        <v>0.66100000000000003</v>
      </c>
      <c r="V2188" s="1">
        <v>123.967</v>
      </c>
      <c r="W2188">
        <v>4</v>
      </c>
    </row>
    <row r="2189" spans="1:23" x14ac:dyDescent="0.25">
      <c r="A2189" s="1" t="s">
        <v>18418</v>
      </c>
      <c r="B2189" s="1" t="s">
        <v>18419</v>
      </c>
      <c r="C2189" s="1" t="s">
        <v>6306</v>
      </c>
      <c r="D2189" s="1" t="s">
        <v>6306</v>
      </c>
      <c r="E2189" s="1" t="s">
        <v>6307</v>
      </c>
      <c r="F2189" s="1" t="s">
        <v>15619</v>
      </c>
      <c r="G2189">
        <v>175466</v>
      </c>
      <c r="H2189">
        <v>74</v>
      </c>
      <c r="I2189" s="1" t="s">
        <v>11063</v>
      </c>
      <c r="J2189" s="11">
        <v>44729.706458333334</v>
      </c>
      <c r="K2189" s="1" t="s">
        <v>3500</v>
      </c>
      <c r="L2189" s="1">
        <v>0.40699999999999997</v>
      </c>
      <c r="M2189" s="1">
        <v>0.41599999999999998</v>
      </c>
      <c r="N2189">
        <v>6</v>
      </c>
      <c r="O2189" s="1">
        <v>-8.9149999999999991</v>
      </c>
      <c r="P2189">
        <v>0</v>
      </c>
      <c r="Q2189" s="1">
        <v>0.17399999999999999</v>
      </c>
      <c r="R2189" s="1">
        <v>0.65600000000000003</v>
      </c>
      <c r="S2189" s="1">
        <v>0</v>
      </c>
      <c r="T2189" s="1">
        <v>0.98099999999999998</v>
      </c>
      <c r="U2189" s="1">
        <v>0.246</v>
      </c>
      <c r="V2189" s="1">
        <v>176.947</v>
      </c>
      <c r="W2189">
        <v>4</v>
      </c>
    </row>
    <row r="2190" spans="1:23" x14ac:dyDescent="0.25">
      <c r="A2190" s="1" t="s">
        <v>11663</v>
      </c>
      <c r="B2190" s="1" t="s">
        <v>11439</v>
      </c>
      <c r="C2190" s="1" t="s">
        <v>382</v>
      </c>
      <c r="D2190" s="1" t="s">
        <v>11664</v>
      </c>
      <c r="E2190" s="1" t="s">
        <v>208</v>
      </c>
      <c r="F2190" s="1" t="s">
        <v>11665</v>
      </c>
      <c r="G2190">
        <v>206840</v>
      </c>
      <c r="H2190">
        <v>71</v>
      </c>
      <c r="I2190" s="1" t="s">
        <v>11063</v>
      </c>
      <c r="J2190" s="11">
        <v>44729.706458333334</v>
      </c>
      <c r="K2190" s="1" t="s">
        <v>209</v>
      </c>
      <c r="L2190" s="1">
        <v>0.77700000000000002</v>
      </c>
      <c r="M2190" s="1">
        <v>0.55400000000000005</v>
      </c>
      <c r="N2190">
        <v>2</v>
      </c>
      <c r="O2190" s="1">
        <v>-8.1790000000000003</v>
      </c>
      <c r="P2190">
        <v>1</v>
      </c>
      <c r="Q2190" s="1">
        <v>0.57199999999999995</v>
      </c>
      <c r="R2190" s="1">
        <v>0.182</v>
      </c>
      <c r="S2190" s="1">
        <v>0.17</v>
      </c>
      <c r="T2190" s="1">
        <v>0.47699999999999998</v>
      </c>
      <c r="U2190" s="1">
        <v>0.27</v>
      </c>
      <c r="V2190" s="1">
        <v>129.93299999999999</v>
      </c>
      <c r="W2190">
        <v>4</v>
      </c>
    </row>
    <row r="2191" spans="1:23" x14ac:dyDescent="0.25">
      <c r="A2191" s="1" t="s">
        <v>18420</v>
      </c>
      <c r="B2191" s="1" t="s">
        <v>18421</v>
      </c>
      <c r="C2191" s="1" t="s">
        <v>6308</v>
      </c>
      <c r="D2191" s="1" t="s">
        <v>18422</v>
      </c>
      <c r="E2191" s="1" t="s">
        <v>6309</v>
      </c>
      <c r="F2191" s="1" t="s">
        <v>16087</v>
      </c>
      <c r="G2191">
        <v>213706</v>
      </c>
      <c r="H2191">
        <v>77</v>
      </c>
      <c r="I2191" s="1" t="s">
        <v>11063</v>
      </c>
      <c r="J2191" s="11">
        <v>44729.706458333334</v>
      </c>
      <c r="K2191" s="1" t="s">
        <v>6310</v>
      </c>
      <c r="L2191" s="1">
        <v>0.48899999999999999</v>
      </c>
      <c r="M2191" s="1">
        <v>0.505</v>
      </c>
      <c r="N2191">
        <v>10</v>
      </c>
      <c r="O2191" s="1">
        <v>-8.0220000000000002</v>
      </c>
      <c r="P2191">
        <v>0</v>
      </c>
      <c r="Q2191" s="1">
        <v>0.11700000000000001</v>
      </c>
      <c r="R2191" s="1">
        <v>0.57899999999999996</v>
      </c>
      <c r="S2191" s="1">
        <v>0.33300000000000002</v>
      </c>
      <c r="T2191" s="1">
        <v>0.104</v>
      </c>
      <c r="U2191" s="1">
        <v>0.33700000000000002</v>
      </c>
      <c r="V2191" s="1">
        <v>163.255</v>
      </c>
      <c r="W2191">
        <v>4</v>
      </c>
    </row>
    <row r="2192" spans="1:23" x14ac:dyDescent="0.25">
      <c r="A2192" s="1" t="s">
        <v>11666</v>
      </c>
      <c r="B2192" s="1" t="s">
        <v>11667</v>
      </c>
      <c r="C2192" s="1" t="s">
        <v>383</v>
      </c>
      <c r="D2192" s="1" t="s">
        <v>11668</v>
      </c>
      <c r="E2192" s="1" t="s">
        <v>384</v>
      </c>
      <c r="F2192" s="1" t="s">
        <v>11669</v>
      </c>
      <c r="G2192">
        <v>158053</v>
      </c>
      <c r="H2192">
        <v>0</v>
      </c>
      <c r="I2192" s="1" t="s">
        <v>11063</v>
      </c>
      <c r="J2192" s="11">
        <v>44729.706458333334</v>
      </c>
      <c r="K2192" s="1" t="s">
        <v>385</v>
      </c>
      <c r="L2192" s="1">
        <v>0.753</v>
      </c>
      <c r="M2192" s="1">
        <v>0.498</v>
      </c>
      <c r="N2192">
        <v>2</v>
      </c>
      <c r="O2192" s="1">
        <v>-5.61</v>
      </c>
      <c r="P2192">
        <v>1</v>
      </c>
      <c r="Q2192" s="1">
        <v>0.504</v>
      </c>
      <c r="R2192" s="1">
        <v>0.55100000000000005</v>
      </c>
      <c r="S2192" s="1">
        <v>0</v>
      </c>
      <c r="T2192" s="1">
        <v>0.70599999999999996</v>
      </c>
      <c r="U2192" s="1">
        <v>0.92700000000000005</v>
      </c>
      <c r="V2192" s="1">
        <v>89.95</v>
      </c>
      <c r="W2192">
        <v>4</v>
      </c>
    </row>
    <row r="2193" spans="1:23" x14ac:dyDescent="0.25">
      <c r="A2193" s="1" t="s">
        <v>11670</v>
      </c>
      <c r="B2193" s="1" t="s">
        <v>11671</v>
      </c>
      <c r="C2193" s="1" t="s">
        <v>386</v>
      </c>
      <c r="D2193" s="1" t="s">
        <v>11672</v>
      </c>
      <c r="E2193" s="1" t="s">
        <v>387</v>
      </c>
      <c r="F2193" s="1" t="s">
        <v>11673</v>
      </c>
      <c r="G2193">
        <v>202333</v>
      </c>
      <c r="H2193">
        <v>84</v>
      </c>
      <c r="I2193" s="1" t="s">
        <v>11063</v>
      </c>
      <c r="J2193" s="11">
        <v>44729.706458333334</v>
      </c>
      <c r="K2193" s="1" t="s">
        <v>113</v>
      </c>
      <c r="L2193" s="1">
        <v>0.73399999999999999</v>
      </c>
      <c r="M2193" s="1">
        <v>0.63700000000000001</v>
      </c>
      <c r="N2193">
        <v>4</v>
      </c>
      <c r="O2193" s="1">
        <v>-5.6769999999999996</v>
      </c>
      <c r="P2193">
        <v>0</v>
      </c>
      <c r="Q2193" s="1">
        <v>0.14099999999999999</v>
      </c>
      <c r="R2193" s="1">
        <v>0.46200000000000002</v>
      </c>
      <c r="S2193" s="1">
        <v>0.22900000000000001</v>
      </c>
      <c r="T2193" s="1">
        <v>0.60199999999999998</v>
      </c>
      <c r="U2193" s="1">
        <v>0.64800000000000002</v>
      </c>
      <c r="V2193" s="1">
        <v>169.977</v>
      </c>
      <c r="W2193">
        <v>4</v>
      </c>
    </row>
    <row r="2194" spans="1:23" x14ac:dyDescent="0.25">
      <c r="A2194" s="1" t="s">
        <v>18423</v>
      </c>
      <c r="B2194" s="1" t="s">
        <v>17275</v>
      </c>
      <c r="C2194" s="1" t="s">
        <v>6311</v>
      </c>
      <c r="D2194" s="1" t="s">
        <v>18424</v>
      </c>
      <c r="E2194" s="1" t="s">
        <v>5238</v>
      </c>
      <c r="F2194" s="1" t="s">
        <v>18425</v>
      </c>
      <c r="G2194">
        <v>265800</v>
      </c>
      <c r="H2194">
        <v>0</v>
      </c>
      <c r="I2194" s="1" t="s">
        <v>11063</v>
      </c>
      <c r="J2194" s="11">
        <v>44729.706458333334</v>
      </c>
      <c r="K2194" s="1" t="s">
        <v>4152</v>
      </c>
      <c r="L2194" s="1">
        <v>0.55300000000000005</v>
      </c>
      <c r="M2194" s="1">
        <v>0.53100000000000003</v>
      </c>
      <c r="N2194">
        <v>8</v>
      </c>
      <c r="O2194" s="1">
        <v>-9.0489999999999995</v>
      </c>
      <c r="P2194">
        <v>0</v>
      </c>
      <c r="Q2194" s="1">
        <v>0.28000000000000003</v>
      </c>
      <c r="R2194" s="1">
        <v>0.60499999999999998</v>
      </c>
      <c r="S2194" s="1">
        <v>0.72199999999999998</v>
      </c>
      <c r="T2194" s="1">
        <v>0.89900000000000002</v>
      </c>
      <c r="U2194" s="1">
        <v>0.69899999999999995</v>
      </c>
      <c r="V2194" s="1">
        <v>100.02</v>
      </c>
      <c r="W2194">
        <v>4</v>
      </c>
    </row>
    <row r="2195" spans="1:23" x14ac:dyDescent="0.25">
      <c r="A2195" s="1" t="s">
        <v>18426</v>
      </c>
      <c r="B2195" s="1" t="s">
        <v>18427</v>
      </c>
      <c r="C2195" s="1" t="s">
        <v>6312</v>
      </c>
      <c r="D2195" s="1" t="s">
        <v>6312</v>
      </c>
      <c r="E2195" s="1" t="s">
        <v>6313</v>
      </c>
      <c r="F2195" s="1" t="s">
        <v>11471</v>
      </c>
      <c r="G2195">
        <v>204040</v>
      </c>
      <c r="H2195">
        <v>41</v>
      </c>
      <c r="I2195" s="1" t="s">
        <v>11063</v>
      </c>
      <c r="J2195" s="11">
        <v>44729.706458333334</v>
      </c>
      <c r="K2195" s="1" t="s">
        <v>390</v>
      </c>
      <c r="L2195" s="1">
        <v>0.54</v>
      </c>
      <c r="M2195" s="1">
        <v>0.8</v>
      </c>
      <c r="N2195">
        <v>8</v>
      </c>
      <c r="O2195" s="1">
        <v>-6.3390000000000004</v>
      </c>
      <c r="P2195">
        <v>0</v>
      </c>
      <c r="Q2195" s="1">
        <v>0.30399999999999999</v>
      </c>
      <c r="R2195" s="1">
        <v>0.84299999999999997</v>
      </c>
      <c r="S2195" s="1">
        <v>0.90600000000000003</v>
      </c>
      <c r="T2195" s="1">
        <v>0.55100000000000005</v>
      </c>
      <c r="U2195" s="1">
        <v>0.32</v>
      </c>
      <c r="V2195" s="1">
        <v>108.99299999999999</v>
      </c>
      <c r="W2195">
        <v>4</v>
      </c>
    </row>
    <row r="2196" spans="1:23" x14ac:dyDescent="0.25">
      <c r="A2196" s="1" t="s">
        <v>18428</v>
      </c>
      <c r="B2196" s="1" t="s">
        <v>18429</v>
      </c>
      <c r="C2196" s="1" t="s">
        <v>6314</v>
      </c>
      <c r="D2196" s="1" t="s">
        <v>18430</v>
      </c>
      <c r="E2196" s="1" t="s">
        <v>6315</v>
      </c>
      <c r="F2196" s="1" t="s">
        <v>16012</v>
      </c>
      <c r="G2196">
        <v>200853</v>
      </c>
      <c r="H2196">
        <v>26</v>
      </c>
      <c r="I2196" s="1" t="s">
        <v>11063</v>
      </c>
      <c r="J2196" s="11">
        <v>44729.706458333334</v>
      </c>
      <c r="K2196" s="1" t="s">
        <v>6316</v>
      </c>
      <c r="L2196" s="1">
        <v>0.32500000000000001</v>
      </c>
      <c r="M2196" s="1">
        <v>0.80500000000000005</v>
      </c>
      <c r="N2196">
        <v>1</v>
      </c>
      <c r="O2196" s="1">
        <v>-6.5069999999999997</v>
      </c>
      <c r="P2196">
        <v>0</v>
      </c>
      <c r="Q2196" s="1">
        <v>0.83</v>
      </c>
      <c r="R2196" s="1">
        <v>0.91</v>
      </c>
      <c r="S2196" s="1">
        <v>0.223</v>
      </c>
      <c r="T2196" s="1">
        <v>0.106</v>
      </c>
      <c r="U2196" s="1">
        <v>0.26400000000000001</v>
      </c>
      <c r="V2196" s="1">
        <v>125.012</v>
      </c>
      <c r="W2196">
        <v>4</v>
      </c>
    </row>
    <row r="2197" spans="1:23" x14ac:dyDescent="0.25">
      <c r="A2197" s="1" t="s">
        <v>18431</v>
      </c>
      <c r="B2197" s="1" t="s">
        <v>18432</v>
      </c>
      <c r="C2197" s="1" t="s">
        <v>6317</v>
      </c>
      <c r="D2197" s="1" t="s">
        <v>18430</v>
      </c>
      <c r="E2197" s="1" t="s">
        <v>6318</v>
      </c>
      <c r="F2197" s="1" t="s">
        <v>16012</v>
      </c>
      <c r="G2197">
        <v>269440</v>
      </c>
      <c r="H2197">
        <v>41</v>
      </c>
      <c r="I2197" s="1" t="s">
        <v>11063</v>
      </c>
      <c r="J2197" s="11">
        <v>44729.706458333334</v>
      </c>
      <c r="K2197" s="1" t="s">
        <v>390</v>
      </c>
      <c r="L2197" s="1">
        <v>0.56200000000000006</v>
      </c>
      <c r="M2197" s="1">
        <v>0.58299999999999996</v>
      </c>
      <c r="N2197">
        <v>4</v>
      </c>
      <c r="O2197" s="1">
        <v>-7.2210000000000001</v>
      </c>
      <c r="P2197">
        <v>0</v>
      </c>
      <c r="Q2197" s="1">
        <v>0.26400000000000001</v>
      </c>
      <c r="R2197" s="1">
        <v>0.47</v>
      </c>
      <c r="S2197" s="1">
        <v>0.56599999999999995</v>
      </c>
      <c r="T2197" s="1">
        <v>0.56899999999999995</v>
      </c>
      <c r="U2197" s="1">
        <v>0.155</v>
      </c>
      <c r="V2197" s="1">
        <v>153.94900000000001</v>
      </c>
      <c r="W2197">
        <v>4</v>
      </c>
    </row>
    <row r="2198" spans="1:23" x14ac:dyDescent="0.25">
      <c r="A2198" s="1" t="s">
        <v>18433</v>
      </c>
      <c r="B2198" s="1" t="s">
        <v>18434</v>
      </c>
      <c r="C2198" s="1" t="s">
        <v>6319</v>
      </c>
      <c r="D2198" s="1" t="s">
        <v>11676</v>
      </c>
      <c r="E2198" s="1" t="s">
        <v>6320</v>
      </c>
      <c r="F2198" s="1" t="s">
        <v>11677</v>
      </c>
      <c r="G2198">
        <v>247933</v>
      </c>
      <c r="H2198">
        <v>37</v>
      </c>
      <c r="I2198" s="1" t="s">
        <v>11063</v>
      </c>
      <c r="J2198" s="11">
        <v>44729.706458333334</v>
      </c>
      <c r="K2198" s="1" t="s">
        <v>390</v>
      </c>
      <c r="L2198" s="1">
        <v>0.73099999999999998</v>
      </c>
      <c r="M2198" s="1">
        <v>0.60099999999999998</v>
      </c>
      <c r="N2198">
        <v>6</v>
      </c>
      <c r="O2198" s="1">
        <v>-9.1820000000000004</v>
      </c>
      <c r="P2198">
        <v>0</v>
      </c>
      <c r="Q2198" s="1">
        <v>0.42299999999999999</v>
      </c>
      <c r="R2198" s="1">
        <v>0.93300000000000005</v>
      </c>
      <c r="S2198" s="1">
        <v>0.154</v>
      </c>
      <c r="T2198" s="1">
        <v>0.106</v>
      </c>
      <c r="U2198" s="1">
        <v>0.27200000000000002</v>
      </c>
      <c r="V2198" s="1">
        <v>99.027000000000001</v>
      </c>
      <c r="W2198">
        <v>4</v>
      </c>
    </row>
    <row r="2199" spans="1:23" x14ac:dyDescent="0.25">
      <c r="A2199" s="1" t="s">
        <v>11674</v>
      </c>
      <c r="B2199" s="1" t="s">
        <v>11675</v>
      </c>
      <c r="C2199" s="1" t="s">
        <v>388</v>
      </c>
      <c r="D2199" s="1" t="s">
        <v>11676</v>
      </c>
      <c r="E2199" s="1" t="s">
        <v>389</v>
      </c>
      <c r="F2199" s="1" t="s">
        <v>11677</v>
      </c>
      <c r="G2199">
        <v>241426</v>
      </c>
      <c r="H2199">
        <v>43</v>
      </c>
      <c r="I2199" s="1" t="s">
        <v>11063</v>
      </c>
      <c r="J2199" s="11">
        <v>44729.706458333334</v>
      </c>
      <c r="K2199" s="1" t="s">
        <v>390</v>
      </c>
      <c r="L2199" s="1">
        <v>0.748</v>
      </c>
      <c r="M2199" s="1">
        <v>0.49199999999999999</v>
      </c>
      <c r="N2199">
        <v>4</v>
      </c>
      <c r="O2199" s="1">
        <v>-7.9029999999999996</v>
      </c>
      <c r="P2199">
        <v>0</v>
      </c>
      <c r="Q2199" s="1">
        <v>0.35</v>
      </c>
      <c r="R2199" s="1">
        <v>0.94699999999999995</v>
      </c>
      <c r="S2199" s="1">
        <v>0.47899999999999998</v>
      </c>
      <c r="T2199" s="1">
        <v>0.73099999999999998</v>
      </c>
      <c r="U2199" s="1">
        <v>0.44</v>
      </c>
      <c r="V2199" s="1">
        <v>117.004</v>
      </c>
      <c r="W2199">
        <v>4</v>
      </c>
    </row>
    <row r="2200" spans="1:23" x14ac:dyDescent="0.25">
      <c r="A2200" s="1" t="s">
        <v>11678</v>
      </c>
      <c r="B2200" s="1" t="s">
        <v>11679</v>
      </c>
      <c r="C2200" s="1" t="s">
        <v>391</v>
      </c>
      <c r="D2200" s="1" t="s">
        <v>6312</v>
      </c>
      <c r="E2200" s="1" t="s">
        <v>392</v>
      </c>
      <c r="F2200" s="1" t="s">
        <v>11471</v>
      </c>
      <c r="G2200">
        <v>280120</v>
      </c>
      <c r="H2200">
        <v>53</v>
      </c>
      <c r="I2200" s="1" t="s">
        <v>11063</v>
      </c>
      <c r="J2200" s="11">
        <v>44729.706458333334</v>
      </c>
      <c r="K2200" s="1" t="s">
        <v>390</v>
      </c>
      <c r="L2200" s="1">
        <v>0.76200000000000001</v>
      </c>
      <c r="M2200" s="1">
        <v>0.57399999999999995</v>
      </c>
      <c r="N2200">
        <v>0</v>
      </c>
      <c r="O2200" s="1">
        <v>-11.474</v>
      </c>
      <c r="P2200">
        <v>1</v>
      </c>
      <c r="Q2200" s="1">
        <v>0.47699999999999998</v>
      </c>
      <c r="R2200" s="1">
        <v>0.65800000000000003</v>
      </c>
      <c r="S2200" s="1">
        <v>0.193</v>
      </c>
      <c r="T2200" s="1">
        <v>0.876</v>
      </c>
      <c r="U2200" s="1">
        <v>0.64500000000000002</v>
      </c>
      <c r="V2200" s="1">
        <v>100.995</v>
      </c>
      <c r="W2200">
        <v>4</v>
      </c>
    </row>
    <row r="2201" spans="1:23" x14ac:dyDescent="0.25">
      <c r="A2201" s="1" t="s">
        <v>18435</v>
      </c>
      <c r="B2201" s="1" t="s">
        <v>18436</v>
      </c>
      <c r="C2201" s="1" t="s">
        <v>6321</v>
      </c>
      <c r="D2201" s="1" t="s">
        <v>16342</v>
      </c>
      <c r="E2201" s="1" t="s">
        <v>6322</v>
      </c>
      <c r="F2201" s="1" t="s">
        <v>16343</v>
      </c>
      <c r="G2201">
        <v>189242</v>
      </c>
      <c r="H2201">
        <v>33</v>
      </c>
      <c r="I2201" s="1" t="s">
        <v>11063</v>
      </c>
      <c r="J2201" s="11">
        <v>44729.706458333334</v>
      </c>
      <c r="K2201" s="1" t="s">
        <v>684</v>
      </c>
      <c r="L2201" s="1">
        <v>0.53900000000000003</v>
      </c>
      <c r="M2201" s="1">
        <v>0.86299999999999999</v>
      </c>
      <c r="N2201">
        <v>1</v>
      </c>
      <c r="O2201" s="1">
        <v>-4.2240000000000002</v>
      </c>
      <c r="P2201">
        <v>1</v>
      </c>
      <c r="Q2201" s="1">
        <v>0.16500000000000001</v>
      </c>
      <c r="R2201" s="1">
        <v>0.105</v>
      </c>
      <c r="S2201" s="1">
        <v>0</v>
      </c>
      <c r="T2201" s="1">
        <v>0.112</v>
      </c>
      <c r="U2201" s="1">
        <v>0.56699999999999995</v>
      </c>
      <c r="V2201" s="1">
        <v>159.93100000000001</v>
      </c>
      <c r="W2201">
        <v>4</v>
      </c>
    </row>
    <row r="2202" spans="1:23" x14ac:dyDescent="0.25">
      <c r="A2202" s="1" t="s">
        <v>18437</v>
      </c>
      <c r="B2202" s="1" t="s">
        <v>12154</v>
      </c>
      <c r="C2202" s="1" t="s">
        <v>4926</v>
      </c>
      <c r="D2202" s="1" t="s">
        <v>16342</v>
      </c>
      <c r="E2202" s="1" t="s">
        <v>683</v>
      </c>
      <c r="F2202" s="1" t="s">
        <v>16343</v>
      </c>
      <c r="G2202">
        <v>185951</v>
      </c>
      <c r="H2202">
        <v>31</v>
      </c>
      <c r="I2202" s="1" t="s">
        <v>11063</v>
      </c>
      <c r="J2202" s="11">
        <v>44729.706458333334</v>
      </c>
      <c r="K2202" s="1" t="s">
        <v>684</v>
      </c>
      <c r="L2202" s="1">
        <v>0.63200000000000001</v>
      </c>
      <c r="M2202" s="1">
        <v>0.63900000000000001</v>
      </c>
      <c r="N2202">
        <v>10</v>
      </c>
      <c r="O2202" s="1">
        <v>-6.5890000000000004</v>
      </c>
      <c r="P2202">
        <v>1</v>
      </c>
      <c r="Q2202" s="1">
        <v>0.28399999999999997</v>
      </c>
      <c r="R2202" s="1">
        <v>0.56299999999999994</v>
      </c>
      <c r="S2202" s="1">
        <v>0</v>
      </c>
      <c r="T2202" s="1">
        <v>0.25700000000000001</v>
      </c>
      <c r="U2202" s="1">
        <v>0.23599999999999999</v>
      </c>
      <c r="V2202" s="1">
        <v>102.056</v>
      </c>
      <c r="W2202">
        <v>4</v>
      </c>
    </row>
    <row r="2203" spans="1:23" x14ac:dyDescent="0.25">
      <c r="A2203" s="1" t="s">
        <v>18438</v>
      </c>
      <c r="B2203" s="1" t="s">
        <v>18439</v>
      </c>
      <c r="C2203" s="1" t="s">
        <v>6323</v>
      </c>
      <c r="D2203" s="1" t="s">
        <v>3255</v>
      </c>
      <c r="E2203" s="1" t="s">
        <v>6324</v>
      </c>
      <c r="F2203" s="1" t="s">
        <v>11677</v>
      </c>
      <c r="G2203">
        <v>283537</v>
      </c>
      <c r="H2203">
        <v>61</v>
      </c>
      <c r="I2203" s="1" t="s">
        <v>11063</v>
      </c>
      <c r="J2203" s="11">
        <v>44729.706458333334</v>
      </c>
      <c r="K2203" s="1" t="s">
        <v>6325</v>
      </c>
      <c r="L2203" s="1">
        <v>0.56599999999999995</v>
      </c>
      <c r="M2203" s="1">
        <v>0.58699999999999997</v>
      </c>
      <c r="N2203">
        <v>6</v>
      </c>
      <c r="O2203" s="1">
        <v>-5.96</v>
      </c>
      <c r="P2203">
        <v>1</v>
      </c>
      <c r="Q2203" s="1">
        <v>0.308</v>
      </c>
      <c r="R2203" s="1">
        <v>0.155</v>
      </c>
      <c r="S2203" s="1">
        <v>0.20499999999999999</v>
      </c>
      <c r="T2203" s="1">
        <v>0.111</v>
      </c>
      <c r="U2203" s="1">
        <v>0.246</v>
      </c>
      <c r="V2203" s="1">
        <v>82.046000000000006</v>
      </c>
      <c r="W2203">
        <v>4</v>
      </c>
    </row>
    <row r="2204" spans="1:23" x14ac:dyDescent="0.25">
      <c r="A2204" s="1" t="s">
        <v>18440</v>
      </c>
      <c r="B2204" s="1" t="s">
        <v>18441</v>
      </c>
      <c r="C2204" s="1" t="s">
        <v>6326</v>
      </c>
      <c r="D2204" s="1" t="s">
        <v>18442</v>
      </c>
      <c r="E2204" s="1" t="s">
        <v>6327</v>
      </c>
      <c r="F2204" s="1" t="s">
        <v>18443</v>
      </c>
      <c r="G2204">
        <v>231910</v>
      </c>
      <c r="H2204">
        <v>53</v>
      </c>
      <c r="I2204" s="1" t="s">
        <v>11063</v>
      </c>
      <c r="J2204" s="11">
        <v>44729.706458333334</v>
      </c>
      <c r="K2204" s="1" t="s">
        <v>6328</v>
      </c>
      <c r="L2204" s="1">
        <v>0.38300000000000001</v>
      </c>
      <c r="M2204" s="1">
        <v>0.76500000000000001</v>
      </c>
      <c r="N2204">
        <v>6</v>
      </c>
      <c r="O2204" s="1">
        <v>-7.2949999999999999</v>
      </c>
      <c r="P2204">
        <v>1</v>
      </c>
      <c r="Q2204" s="1">
        <v>0.53900000000000003</v>
      </c>
      <c r="R2204" s="1">
        <v>0.371</v>
      </c>
      <c r="S2204" s="1">
        <v>0.60799999999999998</v>
      </c>
      <c r="T2204" s="1">
        <v>0.10100000000000001</v>
      </c>
      <c r="U2204" s="1">
        <v>0.16</v>
      </c>
      <c r="V2204" s="1">
        <v>177.89</v>
      </c>
      <c r="W2204">
        <v>4</v>
      </c>
    </row>
    <row r="2205" spans="1:23" x14ac:dyDescent="0.25">
      <c r="A2205" s="1" t="s">
        <v>18444</v>
      </c>
      <c r="B2205" s="1" t="s">
        <v>18445</v>
      </c>
      <c r="C2205" s="1" t="s">
        <v>5687</v>
      </c>
      <c r="D2205" s="1" t="s">
        <v>5687</v>
      </c>
      <c r="E2205" s="1" t="s">
        <v>6329</v>
      </c>
      <c r="F2205" s="1" t="s">
        <v>13797</v>
      </c>
      <c r="G2205">
        <v>209800</v>
      </c>
      <c r="H2205">
        <v>11</v>
      </c>
      <c r="I2205" s="1" t="s">
        <v>11063</v>
      </c>
      <c r="J2205" s="11">
        <v>44729.706458333334</v>
      </c>
      <c r="K2205" s="1" t="s">
        <v>50</v>
      </c>
      <c r="L2205" s="1">
        <v>0.502</v>
      </c>
      <c r="M2205" s="1">
        <v>0.81799999999999995</v>
      </c>
      <c r="N2205">
        <v>0</v>
      </c>
      <c r="O2205" s="1">
        <v>-4.0979999999999999</v>
      </c>
      <c r="P2205">
        <v>0</v>
      </c>
      <c r="Q2205" s="1">
        <v>0.34100000000000003</v>
      </c>
      <c r="R2205" s="1">
        <v>0.20100000000000001</v>
      </c>
      <c r="S2205" s="1">
        <v>0.308</v>
      </c>
      <c r="T2205" s="1">
        <v>0.32</v>
      </c>
      <c r="U2205" s="1">
        <v>0.40500000000000003</v>
      </c>
      <c r="V2205" s="1">
        <v>91.623999999999995</v>
      </c>
      <c r="W2205">
        <v>4</v>
      </c>
    </row>
    <row r="2206" spans="1:23" x14ac:dyDescent="0.25">
      <c r="A2206" s="1" t="s">
        <v>18446</v>
      </c>
      <c r="B2206" s="1" t="s">
        <v>18447</v>
      </c>
      <c r="C2206" s="1" t="s">
        <v>6330</v>
      </c>
      <c r="D2206" s="1" t="s">
        <v>6330</v>
      </c>
      <c r="E2206" s="1" t="s">
        <v>6331</v>
      </c>
      <c r="F2206" s="1" t="s">
        <v>13931</v>
      </c>
      <c r="G2206">
        <v>212210</v>
      </c>
      <c r="H2206">
        <v>55</v>
      </c>
      <c r="I2206" s="1" t="s">
        <v>11063</v>
      </c>
      <c r="J2206" s="11">
        <v>44729.706458333334</v>
      </c>
      <c r="K2206" s="1" t="s">
        <v>933</v>
      </c>
      <c r="L2206" s="1">
        <v>0.498</v>
      </c>
      <c r="M2206" s="1">
        <v>0.64800000000000002</v>
      </c>
      <c r="N2206">
        <v>0</v>
      </c>
      <c r="O2206" s="1">
        <v>-4.9720000000000004</v>
      </c>
      <c r="P2206">
        <v>1</v>
      </c>
      <c r="Q2206" s="1">
        <v>0.33100000000000002</v>
      </c>
      <c r="R2206" s="1">
        <v>0.112</v>
      </c>
      <c r="S2206" s="1">
        <v>0</v>
      </c>
      <c r="T2206" s="1">
        <v>0.38200000000000001</v>
      </c>
      <c r="U2206" s="1">
        <v>0.30499999999999999</v>
      </c>
      <c r="V2206" s="1">
        <v>95.05</v>
      </c>
      <c r="W2206">
        <v>4</v>
      </c>
    </row>
    <row r="2207" spans="1:23" x14ac:dyDescent="0.25">
      <c r="A2207" s="1" t="s">
        <v>18448</v>
      </c>
      <c r="B2207" s="1" t="s">
        <v>18449</v>
      </c>
      <c r="C2207" s="1" t="s">
        <v>6332</v>
      </c>
      <c r="D2207" s="1" t="s">
        <v>6332</v>
      </c>
      <c r="E2207" s="1" t="s">
        <v>6333</v>
      </c>
      <c r="F2207" s="1" t="s">
        <v>18450</v>
      </c>
      <c r="G2207">
        <v>205653</v>
      </c>
      <c r="H2207">
        <v>65</v>
      </c>
      <c r="I2207" s="1" t="s">
        <v>11063</v>
      </c>
      <c r="J2207" s="11">
        <v>44729.706458333334</v>
      </c>
      <c r="K2207" s="1" t="s">
        <v>6334</v>
      </c>
      <c r="L2207" s="1">
        <v>0.66900000000000004</v>
      </c>
      <c r="M2207" s="1">
        <v>0.89500000000000002</v>
      </c>
      <c r="N2207">
        <v>5</v>
      </c>
      <c r="O2207" s="1">
        <v>-3.7869999999999999</v>
      </c>
      <c r="P2207">
        <v>0</v>
      </c>
      <c r="Q2207" s="1">
        <v>0.57499999999999996</v>
      </c>
      <c r="R2207" s="1">
        <v>0.128</v>
      </c>
      <c r="S2207" s="1">
        <v>0</v>
      </c>
      <c r="T2207" s="1">
        <v>0.29699999999999999</v>
      </c>
      <c r="U2207" s="1">
        <v>0.57599999999999996</v>
      </c>
      <c r="V2207" s="1">
        <v>124.97499999999999</v>
      </c>
      <c r="W2207">
        <v>4</v>
      </c>
    </row>
    <row r="2208" spans="1:23" x14ac:dyDescent="0.25">
      <c r="A2208" s="1" t="s">
        <v>18451</v>
      </c>
      <c r="B2208" s="1" t="s">
        <v>18452</v>
      </c>
      <c r="C2208" s="1" t="s">
        <v>6335</v>
      </c>
      <c r="D2208" s="1" t="s">
        <v>6335</v>
      </c>
      <c r="E2208" s="1" t="s">
        <v>6336</v>
      </c>
      <c r="F2208" s="1" t="s">
        <v>18453</v>
      </c>
      <c r="G2208">
        <v>161963</v>
      </c>
      <c r="H2208">
        <v>52</v>
      </c>
      <c r="I2208" s="1" t="s">
        <v>11063</v>
      </c>
      <c r="J2208" s="11">
        <v>44729.706458333334</v>
      </c>
      <c r="K2208" s="1" t="s">
        <v>6337</v>
      </c>
      <c r="L2208" s="1">
        <v>0.68100000000000005</v>
      </c>
      <c r="M2208" s="1">
        <v>0.76800000000000002</v>
      </c>
      <c r="N2208">
        <v>6</v>
      </c>
      <c r="O2208" s="1">
        <v>-4.3559999999999999</v>
      </c>
      <c r="P2208">
        <v>0</v>
      </c>
      <c r="Q2208" s="1">
        <v>0.77400000000000002</v>
      </c>
      <c r="R2208" s="1">
        <v>0.314</v>
      </c>
      <c r="S2208" s="1">
        <v>0</v>
      </c>
      <c r="T2208" s="1">
        <v>0.83899999999999997</v>
      </c>
      <c r="U2208" s="1">
        <v>0.71799999999999997</v>
      </c>
      <c r="V2208" s="1">
        <v>162.976</v>
      </c>
      <c r="W2208">
        <v>4</v>
      </c>
    </row>
    <row r="2209" spans="1:23" x14ac:dyDescent="0.25">
      <c r="A2209" s="1" t="s">
        <v>18454</v>
      </c>
      <c r="B2209" s="1" t="s">
        <v>11717</v>
      </c>
      <c r="C2209" s="1" t="s">
        <v>6338</v>
      </c>
      <c r="D2209" s="1" t="s">
        <v>18455</v>
      </c>
      <c r="E2209" s="1" t="s">
        <v>423</v>
      </c>
      <c r="F2209" s="1" t="s">
        <v>14727</v>
      </c>
      <c r="G2209">
        <v>201313</v>
      </c>
      <c r="H2209">
        <v>55</v>
      </c>
      <c r="I2209" s="1" t="s">
        <v>11063</v>
      </c>
      <c r="J2209" s="11">
        <v>44729.706458333334</v>
      </c>
      <c r="K2209" s="1" t="s">
        <v>394</v>
      </c>
      <c r="L2209" s="1">
        <v>0.6</v>
      </c>
      <c r="M2209" s="1">
        <v>0.98199999999999998</v>
      </c>
      <c r="N2209">
        <v>11</v>
      </c>
      <c r="O2209" s="1">
        <v>-3.9209999999999998</v>
      </c>
      <c r="P2209">
        <v>1</v>
      </c>
      <c r="Q2209" s="1">
        <v>0.33700000000000002</v>
      </c>
      <c r="R2209" s="1">
        <v>0.34899999999999998</v>
      </c>
      <c r="S2209" s="1">
        <v>0.48</v>
      </c>
      <c r="T2209" s="1">
        <v>0.124</v>
      </c>
      <c r="U2209" s="1">
        <v>0.21199999999999999</v>
      </c>
      <c r="V2209" s="1">
        <v>127.994</v>
      </c>
      <c r="W2209">
        <v>4</v>
      </c>
    </row>
    <row r="2210" spans="1:23" x14ac:dyDescent="0.25">
      <c r="A2210" s="1" t="s">
        <v>18456</v>
      </c>
      <c r="B2210" s="1" t="s">
        <v>18457</v>
      </c>
      <c r="C2210" s="1" t="s">
        <v>6339</v>
      </c>
      <c r="D2210" s="1" t="s">
        <v>6339</v>
      </c>
      <c r="E2210" s="1" t="s">
        <v>6340</v>
      </c>
      <c r="F2210" s="1" t="s">
        <v>13855</v>
      </c>
      <c r="G2210">
        <v>230813</v>
      </c>
      <c r="H2210">
        <v>73</v>
      </c>
      <c r="I2210" s="1" t="s">
        <v>11063</v>
      </c>
      <c r="J2210" s="11">
        <v>44729.706458333334</v>
      </c>
      <c r="K2210" s="1" t="s">
        <v>6341</v>
      </c>
      <c r="L2210" s="1">
        <v>0.73599999999999999</v>
      </c>
      <c r="M2210" s="1">
        <v>0.79500000000000004</v>
      </c>
      <c r="N2210">
        <v>1</v>
      </c>
      <c r="O2210" s="1">
        <v>-3.2989999999999999</v>
      </c>
      <c r="P2210">
        <v>0</v>
      </c>
      <c r="Q2210" s="1">
        <v>0.54500000000000004</v>
      </c>
      <c r="R2210" s="1">
        <v>0.498</v>
      </c>
      <c r="S2210" s="1">
        <v>0.121</v>
      </c>
      <c r="T2210" s="1">
        <v>0.254</v>
      </c>
      <c r="U2210" s="1">
        <v>0.51100000000000001</v>
      </c>
      <c r="V2210" s="1">
        <v>104.066</v>
      </c>
      <c r="W2210">
        <v>4</v>
      </c>
    </row>
    <row r="2211" spans="1:23" x14ac:dyDescent="0.25">
      <c r="A2211" s="1" t="s">
        <v>11680</v>
      </c>
      <c r="B2211" s="1" t="s">
        <v>11681</v>
      </c>
      <c r="C2211" s="1" t="s">
        <v>6342</v>
      </c>
      <c r="D2211" s="1" t="s">
        <v>11474</v>
      </c>
      <c r="E2211" s="1" t="s">
        <v>393</v>
      </c>
      <c r="F2211" s="1" t="s">
        <v>11475</v>
      </c>
      <c r="G2211">
        <v>212960</v>
      </c>
      <c r="H2211">
        <v>77</v>
      </c>
      <c r="I2211" s="1" t="s">
        <v>11063</v>
      </c>
      <c r="J2211" s="11">
        <v>44729.706458333334</v>
      </c>
      <c r="K2211" s="1" t="s">
        <v>394</v>
      </c>
      <c r="L2211" s="1">
        <v>0.41399999999999998</v>
      </c>
      <c r="M2211" s="1">
        <v>0.85699999999999998</v>
      </c>
      <c r="N2211">
        <v>0</v>
      </c>
      <c r="O2211" s="1">
        <v>-4.0780000000000003</v>
      </c>
      <c r="P2211">
        <v>0</v>
      </c>
      <c r="Q2211" s="1">
        <v>0.80800000000000005</v>
      </c>
      <c r="R2211" s="1">
        <v>0.28699999999999998</v>
      </c>
      <c r="S2211" s="1">
        <v>0.57399999999999995</v>
      </c>
      <c r="T2211" s="1">
        <v>0.34300000000000003</v>
      </c>
      <c r="U2211" s="1">
        <v>0.34799999999999998</v>
      </c>
      <c r="V2211" s="1">
        <v>128.024</v>
      </c>
      <c r="W2211">
        <v>4</v>
      </c>
    </row>
    <row r="2212" spans="1:23" x14ac:dyDescent="0.25">
      <c r="A2212" s="1" t="s">
        <v>18458</v>
      </c>
      <c r="B2212" s="1" t="s">
        <v>18459</v>
      </c>
      <c r="C2212" s="1" t="s">
        <v>6343</v>
      </c>
      <c r="D2212" s="1" t="s">
        <v>6380</v>
      </c>
      <c r="E2212" s="1" t="s">
        <v>6344</v>
      </c>
      <c r="F2212" s="1" t="s">
        <v>11715</v>
      </c>
      <c r="G2212">
        <v>337966</v>
      </c>
      <c r="H2212">
        <v>0</v>
      </c>
      <c r="I2212" s="1" t="s">
        <v>11063</v>
      </c>
      <c r="J2212" s="11">
        <v>44729.706458333334</v>
      </c>
      <c r="K2212" s="1" t="s">
        <v>256</v>
      </c>
      <c r="L2212" s="1">
        <v>0.38700000000000001</v>
      </c>
      <c r="M2212" s="1">
        <v>0.92900000000000005</v>
      </c>
      <c r="N2212">
        <v>5</v>
      </c>
      <c r="O2212" s="1">
        <v>-2.4119999999999999</v>
      </c>
      <c r="P2212">
        <v>0</v>
      </c>
      <c r="Q2212" s="1">
        <v>0.18099999999999999</v>
      </c>
      <c r="R2212" s="1">
        <v>0.36899999999999999</v>
      </c>
      <c r="S2212" s="1">
        <v>0.28599999999999998</v>
      </c>
      <c r="T2212" s="1">
        <v>0.154</v>
      </c>
      <c r="U2212" s="1">
        <v>0.39300000000000002</v>
      </c>
      <c r="V2212" s="1">
        <v>176.43199999999999</v>
      </c>
      <c r="W2212">
        <v>4</v>
      </c>
    </row>
    <row r="2213" spans="1:23" x14ac:dyDescent="0.25">
      <c r="A2213" s="1" t="s">
        <v>18460</v>
      </c>
      <c r="B2213" s="1" t="s">
        <v>11351</v>
      </c>
      <c r="C2213" s="1" t="s">
        <v>3494</v>
      </c>
      <c r="D2213" s="1" t="s">
        <v>3494</v>
      </c>
      <c r="E2213" s="1" t="s">
        <v>141</v>
      </c>
      <c r="F2213" s="1" t="s">
        <v>15987</v>
      </c>
      <c r="G2213">
        <v>215172</v>
      </c>
      <c r="H2213">
        <v>33</v>
      </c>
      <c r="I2213" s="1" t="s">
        <v>11063</v>
      </c>
      <c r="J2213" s="11">
        <v>44729.706458333334</v>
      </c>
      <c r="K2213" s="1" t="s">
        <v>142</v>
      </c>
      <c r="L2213" s="1">
        <v>0.57299999999999995</v>
      </c>
      <c r="M2213" s="1">
        <v>0.57699999999999996</v>
      </c>
      <c r="N2213">
        <v>0</v>
      </c>
      <c r="O2213" s="1">
        <v>-5.86</v>
      </c>
      <c r="P2213">
        <v>0</v>
      </c>
      <c r="Q2213" s="1">
        <v>0.45100000000000001</v>
      </c>
      <c r="R2213" s="1">
        <v>0.34200000000000003</v>
      </c>
      <c r="S2213" s="1">
        <v>0</v>
      </c>
      <c r="T2213" s="1">
        <v>0.93600000000000005</v>
      </c>
      <c r="U2213" s="1">
        <v>0.28299999999999997</v>
      </c>
      <c r="V2213" s="1">
        <v>72.569999999999993</v>
      </c>
      <c r="W2213">
        <v>4</v>
      </c>
    </row>
    <row r="2214" spans="1:23" x14ac:dyDescent="0.25">
      <c r="A2214" s="1" t="s">
        <v>18461</v>
      </c>
      <c r="B2214" s="1" t="s">
        <v>18462</v>
      </c>
      <c r="C2214" s="1" t="s">
        <v>6345</v>
      </c>
      <c r="D2214" s="1" t="s">
        <v>6345</v>
      </c>
      <c r="E2214" s="1" t="s">
        <v>6346</v>
      </c>
      <c r="F2214" s="1" t="s">
        <v>17163</v>
      </c>
      <c r="G2214">
        <v>182800</v>
      </c>
      <c r="H2214">
        <v>38</v>
      </c>
      <c r="I2214" s="1" t="s">
        <v>11063</v>
      </c>
      <c r="J2214" s="11">
        <v>44729.706458333334</v>
      </c>
      <c r="K2214" s="1" t="s">
        <v>142</v>
      </c>
      <c r="L2214" s="1">
        <v>0.32500000000000001</v>
      </c>
      <c r="M2214" s="1">
        <v>0.55700000000000005</v>
      </c>
      <c r="N2214">
        <v>2</v>
      </c>
      <c r="O2214" s="1">
        <v>-6.82</v>
      </c>
      <c r="P2214">
        <v>1</v>
      </c>
      <c r="Q2214" s="1">
        <v>0.47599999999999998</v>
      </c>
      <c r="R2214" s="1">
        <v>0.112</v>
      </c>
      <c r="S2214" s="1">
        <v>0</v>
      </c>
      <c r="T2214" s="1">
        <v>0.29399999999999998</v>
      </c>
      <c r="U2214" s="1">
        <v>0.86299999999999999</v>
      </c>
      <c r="V2214" s="1">
        <v>75.725999999999999</v>
      </c>
      <c r="W2214">
        <v>4</v>
      </c>
    </row>
    <row r="2215" spans="1:23" x14ac:dyDescent="0.25">
      <c r="A2215" s="1" t="s">
        <v>18463</v>
      </c>
      <c r="B2215" s="1" t="s">
        <v>17036</v>
      </c>
      <c r="C2215" s="1" t="s">
        <v>5030</v>
      </c>
      <c r="D2215" s="1" t="s">
        <v>5030</v>
      </c>
      <c r="E2215" s="1" t="s">
        <v>5028</v>
      </c>
      <c r="F2215" s="1" t="s">
        <v>15476</v>
      </c>
      <c r="G2215">
        <v>201008</v>
      </c>
      <c r="H2215">
        <v>0</v>
      </c>
      <c r="I2215" s="1" t="s">
        <v>11063</v>
      </c>
      <c r="J2215" s="11">
        <v>44729.706458333334</v>
      </c>
      <c r="K2215" s="1" t="s">
        <v>5029</v>
      </c>
      <c r="L2215" s="1">
        <v>0.57699999999999996</v>
      </c>
      <c r="M2215" s="1">
        <v>0.78900000000000003</v>
      </c>
      <c r="N2215">
        <v>6</v>
      </c>
      <c r="O2215" s="1">
        <v>-7.5369999999999999</v>
      </c>
      <c r="P2215">
        <v>1</v>
      </c>
      <c r="Q2215" s="1">
        <v>0.114</v>
      </c>
      <c r="R2215" s="1">
        <v>0.75700000000000001</v>
      </c>
      <c r="S2215" s="1">
        <v>0.26400000000000001</v>
      </c>
      <c r="T2215" s="1">
        <v>0.17</v>
      </c>
      <c r="U2215" s="1">
        <v>0.624</v>
      </c>
      <c r="V2215" s="1">
        <v>160.1</v>
      </c>
      <c r="W2215">
        <v>4</v>
      </c>
    </row>
    <row r="2216" spans="1:23" x14ac:dyDescent="0.25">
      <c r="A2216" s="1" t="s">
        <v>18464</v>
      </c>
      <c r="B2216" s="1" t="s">
        <v>18465</v>
      </c>
      <c r="C2216" s="1" t="s">
        <v>6347</v>
      </c>
      <c r="D2216" s="1" t="s">
        <v>18466</v>
      </c>
      <c r="E2216" s="1" t="s">
        <v>6348</v>
      </c>
      <c r="F2216" s="1" t="s">
        <v>11356</v>
      </c>
      <c r="G2216">
        <v>272003</v>
      </c>
      <c r="H2216">
        <v>0</v>
      </c>
      <c r="I2216" s="1" t="s">
        <v>11063</v>
      </c>
      <c r="J2216" s="11">
        <v>44729.706458333334</v>
      </c>
      <c r="K2216" s="1" t="s">
        <v>6349</v>
      </c>
      <c r="L2216" s="1">
        <v>0.60499999999999998</v>
      </c>
      <c r="M2216" s="1">
        <v>0.875</v>
      </c>
      <c r="N2216">
        <v>11</v>
      </c>
      <c r="O2216" s="1">
        <v>-3.8079999999999998</v>
      </c>
      <c r="P2216">
        <v>0</v>
      </c>
      <c r="Q2216" s="1">
        <v>0.318</v>
      </c>
      <c r="R2216" s="1">
        <v>0.312</v>
      </c>
      <c r="S2216" s="1">
        <v>0.23200000000000001</v>
      </c>
      <c r="T2216" s="1">
        <v>0.36</v>
      </c>
      <c r="U2216" s="1">
        <v>0.254</v>
      </c>
      <c r="V2216" s="1">
        <v>120.003</v>
      </c>
      <c r="W2216">
        <v>4</v>
      </c>
    </row>
    <row r="2217" spans="1:23" x14ac:dyDescent="0.25">
      <c r="A2217" s="1" t="s">
        <v>18467</v>
      </c>
      <c r="B2217" s="1" t="s">
        <v>14450</v>
      </c>
      <c r="C2217" s="1" t="s">
        <v>6350</v>
      </c>
      <c r="D2217" s="1" t="s">
        <v>18468</v>
      </c>
      <c r="E2217" s="1" t="s">
        <v>2789</v>
      </c>
      <c r="F2217" s="1" t="s">
        <v>11620</v>
      </c>
      <c r="G2217">
        <v>274725</v>
      </c>
      <c r="H2217">
        <v>19</v>
      </c>
      <c r="I2217" s="1" t="s">
        <v>11063</v>
      </c>
      <c r="J2217" s="11">
        <v>44729.706458333334</v>
      </c>
      <c r="K2217" s="1" t="s">
        <v>2790</v>
      </c>
      <c r="L2217" s="1">
        <v>0.52500000000000002</v>
      </c>
      <c r="M2217" s="1">
        <v>0.69899999999999995</v>
      </c>
      <c r="N2217">
        <v>6</v>
      </c>
      <c r="O2217" s="1">
        <v>-6.6619999999999999</v>
      </c>
      <c r="P2217">
        <v>1</v>
      </c>
      <c r="Q2217" s="1">
        <v>0.65800000000000003</v>
      </c>
      <c r="R2217" s="1">
        <v>0.51400000000000001</v>
      </c>
      <c r="S2217" s="1">
        <v>0</v>
      </c>
      <c r="T2217" s="1">
        <v>0.104</v>
      </c>
      <c r="U2217" s="1">
        <v>0.74399999999999999</v>
      </c>
      <c r="V2217" s="1">
        <v>140.053</v>
      </c>
      <c r="W2217">
        <v>4</v>
      </c>
    </row>
    <row r="2218" spans="1:23" x14ac:dyDescent="0.25">
      <c r="A2218" s="1" t="s">
        <v>18469</v>
      </c>
      <c r="B2218" s="1" t="s">
        <v>17444</v>
      </c>
      <c r="C2218" s="1" t="s">
        <v>6351</v>
      </c>
      <c r="D2218" s="1" t="s">
        <v>18470</v>
      </c>
      <c r="E2218" s="1" t="s">
        <v>5376</v>
      </c>
      <c r="F2218" s="1" t="s">
        <v>18471</v>
      </c>
      <c r="G2218">
        <v>255483</v>
      </c>
      <c r="H2218">
        <v>34</v>
      </c>
      <c r="I2218" s="1" t="s">
        <v>11063</v>
      </c>
      <c r="J2218" s="11">
        <v>44729.706458333334</v>
      </c>
      <c r="K2218" s="1" t="s">
        <v>2639</v>
      </c>
      <c r="L2218" s="1">
        <v>0.59399999999999997</v>
      </c>
      <c r="M2218" s="1">
        <v>0.65</v>
      </c>
      <c r="N2218">
        <v>10</v>
      </c>
      <c r="O2218" s="1">
        <v>-5.0730000000000004</v>
      </c>
      <c r="P2218">
        <v>1</v>
      </c>
      <c r="Q2218" s="1">
        <v>0.40400000000000003</v>
      </c>
      <c r="R2218" s="1">
        <v>0.14000000000000001</v>
      </c>
      <c r="S2218" s="1">
        <v>0.14199999999999999</v>
      </c>
      <c r="T2218" s="1">
        <v>0.26700000000000002</v>
      </c>
      <c r="U2218" s="1">
        <v>0.106</v>
      </c>
      <c r="V2218" s="1" t="s">
        <v>6352</v>
      </c>
      <c r="W2218">
        <v>4</v>
      </c>
    </row>
    <row r="2219" spans="1:23" x14ac:dyDescent="0.25">
      <c r="A2219" s="1" t="s">
        <v>18472</v>
      </c>
      <c r="B2219" s="1" t="s">
        <v>12154</v>
      </c>
      <c r="C2219" s="1" t="s">
        <v>6353</v>
      </c>
      <c r="D2219" s="1" t="s">
        <v>6353</v>
      </c>
      <c r="E2219" s="1" t="s">
        <v>683</v>
      </c>
      <c r="F2219" s="1" t="s">
        <v>15522</v>
      </c>
      <c r="G2219">
        <v>215112</v>
      </c>
      <c r="H2219">
        <v>46</v>
      </c>
      <c r="I2219" s="1" t="s">
        <v>11063</v>
      </c>
      <c r="J2219" s="11">
        <v>44729.706458333334</v>
      </c>
      <c r="K2219" s="1" t="s">
        <v>684</v>
      </c>
      <c r="L2219" s="1">
        <v>0.67800000000000005</v>
      </c>
      <c r="M2219" s="1">
        <v>0.82599999999999996</v>
      </c>
      <c r="N2219">
        <v>7</v>
      </c>
      <c r="O2219" s="1">
        <v>-4.6630000000000003</v>
      </c>
      <c r="P2219">
        <v>0</v>
      </c>
      <c r="Q2219" s="1">
        <v>0.78600000000000003</v>
      </c>
      <c r="R2219" s="1">
        <v>0.10100000000000001</v>
      </c>
      <c r="S2219" s="1">
        <v>0</v>
      </c>
      <c r="T2219" s="1">
        <v>0.11899999999999999</v>
      </c>
      <c r="U2219" s="1">
        <v>0.42599999999999999</v>
      </c>
      <c r="V2219" s="1">
        <v>100.01600000000001</v>
      </c>
      <c r="W2219">
        <v>4</v>
      </c>
    </row>
    <row r="2220" spans="1:23" x14ac:dyDescent="0.25">
      <c r="A2220" s="1" t="s">
        <v>18473</v>
      </c>
      <c r="B2220" s="1" t="s">
        <v>15510</v>
      </c>
      <c r="C2220" s="1" t="s">
        <v>5687</v>
      </c>
      <c r="D2220" s="1" t="s">
        <v>15511</v>
      </c>
      <c r="E2220" s="1" t="s">
        <v>3735</v>
      </c>
      <c r="F2220" s="1" t="s">
        <v>15512</v>
      </c>
      <c r="G2220">
        <v>182006</v>
      </c>
      <c r="H2220">
        <v>42</v>
      </c>
      <c r="I2220" s="1" t="s">
        <v>11063</v>
      </c>
      <c r="J2220" s="11">
        <v>44729.706458333334</v>
      </c>
      <c r="K2220" s="1" t="s">
        <v>1052</v>
      </c>
      <c r="L2220" s="1">
        <v>0.51600000000000001</v>
      </c>
      <c r="M2220" s="1">
        <v>0.86</v>
      </c>
      <c r="N2220">
        <v>10</v>
      </c>
      <c r="O2220" s="1">
        <v>-3.56</v>
      </c>
      <c r="P2220">
        <v>0</v>
      </c>
      <c r="Q2220" s="1">
        <v>0.49399999999999999</v>
      </c>
      <c r="R2220" s="1">
        <v>0.52600000000000002</v>
      </c>
      <c r="S2220" s="1">
        <v>0</v>
      </c>
      <c r="T2220" s="1">
        <v>0.85799999999999998</v>
      </c>
      <c r="U2220" s="1">
        <v>0.35</v>
      </c>
      <c r="V2220" s="1">
        <v>173.874</v>
      </c>
      <c r="W2220">
        <v>4</v>
      </c>
    </row>
    <row r="2221" spans="1:23" x14ac:dyDescent="0.25">
      <c r="A2221" s="1" t="s">
        <v>18474</v>
      </c>
      <c r="B2221" s="1" t="s">
        <v>18475</v>
      </c>
      <c r="C2221" s="1" t="s">
        <v>6354</v>
      </c>
      <c r="D2221" s="1" t="s">
        <v>6354</v>
      </c>
      <c r="E2221" s="1" t="s">
        <v>6355</v>
      </c>
      <c r="F2221" s="1" t="s">
        <v>17296</v>
      </c>
      <c r="G2221">
        <v>212014</v>
      </c>
      <c r="H2221">
        <v>39</v>
      </c>
      <c r="I2221" s="1" t="s">
        <v>11063</v>
      </c>
      <c r="J2221" s="11">
        <v>44729.706458333334</v>
      </c>
      <c r="K2221" s="1" t="s">
        <v>1052</v>
      </c>
      <c r="L2221" s="1">
        <v>0.48599999999999999</v>
      </c>
      <c r="M2221" s="1">
        <v>0.86599999999999999</v>
      </c>
      <c r="N2221">
        <v>2</v>
      </c>
      <c r="O2221" s="1">
        <v>-2.625</v>
      </c>
      <c r="P2221">
        <v>1</v>
      </c>
      <c r="Q2221" s="1">
        <v>0.10100000000000001</v>
      </c>
      <c r="R2221" s="1">
        <v>0.39</v>
      </c>
      <c r="S2221" s="1">
        <v>0.38200000000000001</v>
      </c>
      <c r="T2221" s="1">
        <v>0.873</v>
      </c>
      <c r="U2221" s="1">
        <v>0.47099999999999997</v>
      </c>
      <c r="V2221" s="1">
        <v>174.09700000000001</v>
      </c>
      <c r="W2221">
        <v>4</v>
      </c>
    </row>
    <row r="2222" spans="1:23" x14ac:dyDescent="0.25">
      <c r="A2222" s="1" t="s">
        <v>18476</v>
      </c>
      <c r="B2222" s="1" t="s">
        <v>18477</v>
      </c>
      <c r="C2222" s="1" t="s">
        <v>2357</v>
      </c>
      <c r="D2222" s="1" t="s">
        <v>2357</v>
      </c>
      <c r="E2222" s="1" t="s">
        <v>6356</v>
      </c>
      <c r="F2222" s="1" t="s">
        <v>17651</v>
      </c>
      <c r="G2222">
        <v>177630</v>
      </c>
      <c r="H2222">
        <v>59</v>
      </c>
      <c r="I2222" s="1" t="s">
        <v>11063</v>
      </c>
      <c r="J2222" s="11">
        <v>44729.706458333334</v>
      </c>
      <c r="K2222" s="1" t="s">
        <v>6357</v>
      </c>
      <c r="L2222" s="1">
        <v>0.66700000000000004</v>
      </c>
      <c r="M2222" s="1">
        <v>0.503</v>
      </c>
      <c r="N2222">
        <v>0</v>
      </c>
      <c r="O2222" s="1">
        <v>-8.2170000000000005</v>
      </c>
      <c r="P2222">
        <v>0</v>
      </c>
      <c r="Q2222" s="1">
        <v>0.52600000000000002</v>
      </c>
      <c r="R2222" s="1">
        <v>0.55200000000000005</v>
      </c>
      <c r="S2222" s="1">
        <v>0</v>
      </c>
      <c r="T2222" s="1">
        <v>0.16900000000000001</v>
      </c>
      <c r="U2222" s="1">
        <v>0.58399999999999996</v>
      </c>
      <c r="V2222" s="1">
        <v>144.01499999999999</v>
      </c>
      <c r="W2222">
        <v>4</v>
      </c>
    </row>
    <row r="2223" spans="1:23" x14ac:dyDescent="0.25">
      <c r="A2223" s="1" t="s">
        <v>18478</v>
      </c>
      <c r="B2223" s="1" t="s">
        <v>18479</v>
      </c>
      <c r="C2223" s="1" t="s">
        <v>6358</v>
      </c>
      <c r="D2223" s="1" t="s">
        <v>18480</v>
      </c>
      <c r="E2223" s="1" t="s">
        <v>6359</v>
      </c>
      <c r="F2223" s="1" t="s">
        <v>15135</v>
      </c>
      <c r="G2223">
        <v>218190</v>
      </c>
      <c r="H2223">
        <v>69</v>
      </c>
      <c r="I2223" s="1" t="s">
        <v>11063</v>
      </c>
      <c r="J2223" s="11">
        <v>44729.706458333334</v>
      </c>
      <c r="K2223" s="1" t="s">
        <v>6360</v>
      </c>
      <c r="L2223" s="1">
        <v>0.57799999999999996</v>
      </c>
      <c r="M2223" s="1">
        <v>0.94599999999999995</v>
      </c>
      <c r="N2223">
        <v>11</v>
      </c>
      <c r="O2223" s="1">
        <v>-3.85</v>
      </c>
      <c r="P2223">
        <v>0</v>
      </c>
      <c r="Q2223" s="1">
        <v>0.48199999999999998</v>
      </c>
      <c r="R2223" s="1">
        <v>0.22500000000000001</v>
      </c>
      <c r="S2223" s="1">
        <v>0.41199999999999998</v>
      </c>
      <c r="T2223" s="1">
        <v>0.96599999999999997</v>
      </c>
      <c r="U2223" s="1">
        <v>0.58799999999999997</v>
      </c>
      <c r="V2223" s="1">
        <v>126.092</v>
      </c>
      <c r="W2223">
        <v>4</v>
      </c>
    </row>
    <row r="2224" spans="1:23" x14ac:dyDescent="0.25">
      <c r="A2224" s="1" t="s">
        <v>18481</v>
      </c>
      <c r="B2224" s="1" t="s">
        <v>14891</v>
      </c>
      <c r="C2224" s="1" t="s">
        <v>5188</v>
      </c>
      <c r="D2224" s="1" t="s">
        <v>4530</v>
      </c>
      <c r="E2224" s="1" t="s">
        <v>3171</v>
      </c>
      <c r="F2224" s="1" t="s">
        <v>11434</v>
      </c>
      <c r="G2224">
        <v>275285</v>
      </c>
      <c r="H2224">
        <v>26</v>
      </c>
      <c r="I2224" s="1" t="s">
        <v>11063</v>
      </c>
      <c r="J2224" s="11">
        <v>44729.706458333334</v>
      </c>
      <c r="K2224" s="1" t="s">
        <v>3172</v>
      </c>
      <c r="L2224" s="1">
        <v>0.58899999999999997</v>
      </c>
      <c r="M2224" s="1">
        <v>0.80300000000000005</v>
      </c>
      <c r="N2224">
        <v>1</v>
      </c>
      <c r="O2224" s="1">
        <v>-6.2690000000000001</v>
      </c>
      <c r="P2224">
        <v>1</v>
      </c>
      <c r="Q2224" s="1">
        <v>0.38500000000000001</v>
      </c>
      <c r="R2224" s="1">
        <v>0.106</v>
      </c>
      <c r="S2224" s="1">
        <v>0.251</v>
      </c>
      <c r="T2224" s="1">
        <v>0.71799999999999997</v>
      </c>
      <c r="U2224" s="1">
        <v>0.48499999999999999</v>
      </c>
      <c r="V2224" s="1">
        <v>105.009</v>
      </c>
      <c r="W2224">
        <v>4</v>
      </c>
    </row>
    <row r="2225" spans="1:23" x14ac:dyDescent="0.25">
      <c r="A2225" s="1" t="s">
        <v>18482</v>
      </c>
      <c r="B2225" s="1" t="s">
        <v>16433</v>
      </c>
      <c r="C2225" s="1" t="s">
        <v>6361</v>
      </c>
      <c r="D2225" s="1" t="s">
        <v>6361</v>
      </c>
      <c r="E2225" s="1" t="s">
        <v>4499</v>
      </c>
      <c r="F2225" s="1" t="s">
        <v>14552</v>
      </c>
      <c r="G2225">
        <v>232176</v>
      </c>
      <c r="H2225">
        <v>55</v>
      </c>
      <c r="I2225" s="1" t="s">
        <v>11063</v>
      </c>
      <c r="J2225" s="11">
        <v>44729.706458333334</v>
      </c>
      <c r="K2225" s="1" t="s">
        <v>4500</v>
      </c>
      <c r="L2225" s="1">
        <v>0.42199999999999999</v>
      </c>
      <c r="M2225" s="1">
        <v>0.68300000000000005</v>
      </c>
      <c r="N2225">
        <v>9</v>
      </c>
      <c r="O2225" s="1">
        <v>-5.4669999999999996</v>
      </c>
      <c r="P2225">
        <v>1</v>
      </c>
      <c r="Q2225" s="1">
        <v>0.184</v>
      </c>
      <c r="R2225" s="1">
        <v>0.65800000000000003</v>
      </c>
      <c r="S2225" s="1">
        <v>0</v>
      </c>
      <c r="T2225" s="1">
        <v>0.122</v>
      </c>
      <c r="U2225" s="1">
        <v>0.60799999999999998</v>
      </c>
      <c r="V2225" s="1">
        <v>160.024</v>
      </c>
      <c r="W2225">
        <v>4</v>
      </c>
    </row>
    <row r="2226" spans="1:23" x14ac:dyDescent="0.25">
      <c r="A2226" s="1" t="s">
        <v>18483</v>
      </c>
      <c r="B2226" s="1" t="s">
        <v>18484</v>
      </c>
      <c r="C2226" s="1" t="s">
        <v>6362</v>
      </c>
      <c r="D2226" s="1" t="s">
        <v>18485</v>
      </c>
      <c r="E2226" s="1" t="s">
        <v>6363</v>
      </c>
      <c r="F2226" s="1" t="s">
        <v>15092</v>
      </c>
      <c r="G2226">
        <v>197500</v>
      </c>
      <c r="H2226">
        <v>0</v>
      </c>
      <c r="I2226" s="1" t="s">
        <v>11063</v>
      </c>
      <c r="J2226" s="11">
        <v>44729.706458333334</v>
      </c>
      <c r="K2226" s="1" t="s">
        <v>6364</v>
      </c>
      <c r="L2226" s="1">
        <v>0.28199999999999997</v>
      </c>
      <c r="M2226" s="1">
        <v>0.81299999999999994</v>
      </c>
      <c r="N2226">
        <v>0</v>
      </c>
      <c r="O2226" s="1">
        <v>-3.4020000000000001</v>
      </c>
      <c r="P2226">
        <v>1</v>
      </c>
      <c r="Q2226" s="1">
        <v>0.76</v>
      </c>
      <c r="R2226" s="1">
        <v>0.997</v>
      </c>
      <c r="S2226" s="1">
        <v>0</v>
      </c>
      <c r="T2226" s="1">
        <v>0.10100000000000001</v>
      </c>
      <c r="U2226" s="1">
        <v>0.375</v>
      </c>
      <c r="V2226" s="1">
        <v>143.93700000000001</v>
      </c>
      <c r="W2226">
        <v>4</v>
      </c>
    </row>
    <row r="2227" spans="1:23" x14ac:dyDescent="0.25">
      <c r="A2227" s="1" t="s">
        <v>18486</v>
      </c>
      <c r="B2227" s="1" t="s">
        <v>18487</v>
      </c>
      <c r="C2227" s="1" t="s">
        <v>6365</v>
      </c>
      <c r="D2227" s="1" t="s">
        <v>6365</v>
      </c>
      <c r="E2227" s="1" t="s">
        <v>6366</v>
      </c>
      <c r="F2227" s="1" t="s">
        <v>18488</v>
      </c>
      <c r="G2227">
        <v>194000</v>
      </c>
      <c r="H2227">
        <v>36</v>
      </c>
      <c r="I2227" s="1" t="s">
        <v>11063</v>
      </c>
      <c r="J2227" s="11">
        <v>44729.706458333334</v>
      </c>
      <c r="K2227" s="1" t="s">
        <v>6367</v>
      </c>
      <c r="L2227" s="1">
        <v>0.56200000000000006</v>
      </c>
      <c r="M2227" s="1">
        <v>0.68400000000000005</v>
      </c>
      <c r="N2227">
        <v>7</v>
      </c>
      <c r="O2227" s="1">
        <v>-4.782</v>
      </c>
      <c r="P2227">
        <v>0</v>
      </c>
      <c r="Q2227" s="1">
        <v>0.47299999999999998</v>
      </c>
      <c r="R2227" s="1">
        <v>0.106</v>
      </c>
      <c r="S2227" s="1">
        <v>0</v>
      </c>
      <c r="T2227" s="1">
        <v>0.11899999999999999</v>
      </c>
      <c r="U2227" s="1">
        <v>0.443</v>
      </c>
      <c r="V2227" s="1">
        <v>90.01</v>
      </c>
      <c r="W2227">
        <v>4</v>
      </c>
    </row>
    <row r="2228" spans="1:23" x14ac:dyDescent="0.25">
      <c r="A2228" s="1" t="s">
        <v>18489</v>
      </c>
      <c r="B2228" s="1" t="s">
        <v>18490</v>
      </c>
      <c r="C2228" s="1" t="s">
        <v>6368</v>
      </c>
      <c r="D2228" s="1" t="s">
        <v>6368</v>
      </c>
      <c r="E2228" s="1" t="s">
        <v>6369</v>
      </c>
      <c r="F2228" s="1" t="s">
        <v>13564</v>
      </c>
      <c r="G2228">
        <v>237473</v>
      </c>
      <c r="H2228">
        <v>39</v>
      </c>
      <c r="I2228" s="1" t="s">
        <v>11063</v>
      </c>
      <c r="J2228" s="11">
        <v>44729.706458333334</v>
      </c>
      <c r="K2228" s="1" t="s">
        <v>6370</v>
      </c>
      <c r="L2228" s="1">
        <v>0.63</v>
      </c>
      <c r="M2228" s="1">
        <v>0.754</v>
      </c>
      <c r="N2228">
        <v>7</v>
      </c>
      <c r="O2228" s="1">
        <v>-6.8280000000000003</v>
      </c>
      <c r="P2228">
        <v>0</v>
      </c>
      <c r="Q2228" s="1">
        <v>0.46899999999999997</v>
      </c>
      <c r="R2228" s="1">
        <v>0.34399999999999997</v>
      </c>
      <c r="S2228" s="1">
        <v>0.83799999999999997</v>
      </c>
      <c r="T2228" s="1">
        <v>0.157</v>
      </c>
      <c r="U2228" s="1">
        <v>0.161</v>
      </c>
      <c r="V2228" s="1">
        <v>94.983999999999995</v>
      </c>
      <c r="W2228">
        <v>4</v>
      </c>
    </row>
    <row r="2229" spans="1:23" x14ac:dyDescent="0.25">
      <c r="A2229" s="1" t="s">
        <v>18491</v>
      </c>
      <c r="B2229" s="1" t="s">
        <v>14733</v>
      </c>
      <c r="C2229" s="1" t="s">
        <v>6371</v>
      </c>
      <c r="D2229" s="1" t="s">
        <v>6371</v>
      </c>
      <c r="E2229" s="1" t="s">
        <v>3028</v>
      </c>
      <c r="F2229" s="1" t="s">
        <v>18492</v>
      </c>
      <c r="G2229">
        <v>207162</v>
      </c>
      <c r="H2229">
        <v>41</v>
      </c>
      <c r="I2229" s="1" t="s">
        <v>11063</v>
      </c>
      <c r="J2229" s="11">
        <v>44729.706458333334</v>
      </c>
      <c r="K2229" s="1" t="s">
        <v>2939</v>
      </c>
      <c r="L2229" s="1">
        <v>0.72699999999999998</v>
      </c>
      <c r="M2229" s="1">
        <v>0.75600000000000001</v>
      </c>
      <c r="N2229">
        <v>11</v>
      </c>
      <c r="O2229" s="1">
        <v>-9.1379999999999999</v>
      </c>
      <c r="P2229">
        <v>1</v>
      </c>
      <c r="Q2229" s="1">
        <v>0.36499999999999999</v>
      </c>
      <c r="R2229" s="1">
        <v>0.17299999999999999</v>
      </c>
      <c r="S2229" s="1">
        <v>0.21099999999999999</v>
      </c>
      <c r="T2229" s="1">
        <v>0.14599999999999999</v>
      </c>
      <c r="U2229" s="1">
        <v>0.218</v>
      </c>
      <c r="V2229" s="1">
        <v>99.971999999999994</v>
      </c>
      <c r="W2229">
        <v>4</v>
      </c>
    </row>
    <row r="2230" spans="1:23" x14ac:dyDescent="0.25">
      <c r="A2230" s="1" t="s">
        <v>18493</v>
      </c>
      <c r="B2230" s="1" t="s">
        <v>18494</v>
      </c>
      <c r="C2230" s="1" t="s">
        <v>3107</v>
      </c>
      <c r="D2230" s="1" t="s">
        <v>17982</v>
      </c>
      <c r="E2230" s="1" t="s">
        <v>6372</v>
      </c>
      <c r="F2230" s="1" t="s">
        <v>17983</v>
      </c>
      <c r="G2230">
        <v>175058</v>
      </c>
      <c r="H2230">
        <v>31</v>
      </c>
      <c r="I2230" s="1" t="s">
        <v>11063</v>
      </c>
      <c r="J2230" s="11">
        <v>44729.706458333334</v>
      </c>
      <c r="K2230" s="1" t="s">
        <v>5887</v>
      </c>
      <c r="L2230" s="1">
        <v>0.375</v>
      </c>
      <c r="M2230" s="1">
        <v>0.746</v>
      </c>
      <c r="N2230">
        <v>1</v>
      </c>
      <c r="O2230" s="1">
        <v>-5.9560000000000004</v>
      </c>
      <c r="P2230">
        <v>0</v>
      </c>
      <c r="Q2230" s="1">
        <v>0.98299999999999998</v>
      </c>
      <c r="R2230" s="1">
        <v>0.38400000000000001</v>
      </c>
      <c r="S2230" s="1">
        <v>0.29199999999999998</v>
      </c>
      <c r="T2230" s="1">
        <v>0.16800000000000001</v>
      </c>
      <c r="U2230" s="1">
        <v>0.115</v>
      </c>
      <c r="V2230" s="1">
        <v>170.102</v>
      </c>
      <c r="W2230">
        <v>4</v>
      </c>
    </row>
    <row r="2231" spans="1:23" x14ac:dyDescent="0.25">
      <c r="A2231" s="1" t="s">
        <v>18495</v>
      </c>
      <c r="B2231" s="1" t="s">
        <v>18496</v>
      </c>
      <c r="C2231" s="1" t="s">
        <v>6373</v>
      </c>
      <c r="D2231" s="1" t="s">
        <v>6373</v>
      </c>
      <c r="E2231" s="1" t="s">
        <v>6374</v>
      </c>
      <c r="F2231" s="1" t="s">
        <v>15363</v>
      </c>
      <c r="G2231">
        <v>230400</v>
      </c>
      <c r="H2231">
        <v>46</v>
      </c>
      <c r="I2231" s="1" t="s">
        <v>11063</v>
      </c>
      <c r="J2231" s="11">
        <v>44729.706458333334</v>
      </c>
      <c r="K2231" s="1" t="s">
        <v>50</v>
      </c>
      <c r="L2231" s="1">
        <v>0.55400000000000005</v>
      </c>
      <c r="M2231" s="1">
        <v>0.73</v>
      </c>
      <c r="N2231">
        <v>7</v>
      </c>
      <c r="O2231" s="1">
        <v>-3.206</v>
      </c>
      <c r="P2231">
        <v>1</v>
      </c>
      <c r="Q2231" s="1">
        <v>0.55100000000000005</v>
      </c>
      <c r="R2231" s="1">
        <v>0.14599999999999999</v>
      </c>
      <c r="S2231" s="1">
        <v>0</v>
      </c>
      <c r="T2231" s="1">
        <v>0.115</v>
      </c>
      <c r="U2231" s="1">
        <v>0.19600000000000001</v>
      </c>
      <c r="V2231" s="1">
        <v>99.924000000000007</v>
      </c>
      <c r="W2231">
        <v>4</v>
      </c>
    </row>
    <row r="2232" spans="1:23" x14ac:dyDescent="0.25">
      <c r="A2232" s="1" t="s">
        <v>18497</v>
      </c>
      <c r="B2232" s="1" t="s">
        <v>18498</v>
      </c>
      <c r="C2232" s="1" t="s">
        <v>6375</v>
      </c>
      <c r="D2232" s="1" t="s">
        <v>6375</v>
      </c>
      <c r="E2232" s="1" t="s">
        <v>6376</v>
      </c>
      <c r="F2232" s="1" t="s">
        <v>18499</v>
      </c>
      <c r="G2232">
        <v>194431</v>
      </c>
      <c r="H2232">
        <v>35</v>
      </c>
      <c r="I2232" s="1" t="s">
        <v>11063</v>
      </c>
      <c r="J2232" s="11">
        <v>44729.706458333334</v>
      </c>
      <c r="K2232" s="1" t="s">
        <v>6377</v>
      </c>
      <c r="L2232" s="1">
        <v>0.67900000000000005</v>
      </c>
      <c r="M2232" s="1">
        <v>0.64500000000000002</v>
      </c>
      <c r="N2232">
        <v>7</v>
      </c>
      <c r="O2232" s="1">
        <v>-7.5679999999999996</v>
      </c>
      <c r="P2232">
        <v>1</v>
      </c>
      <c r="Q2232" s="1">
        <v>0.73499999999999999</v>
      </c>
      <c r="R2232" s="1">
        <v>0.56100000000000005</v>
      </c>
      <c r="S2232" s="1">
        <v>0.13100000000000001</v>
      </c>
      <c r="T2232" s="1">
        <v>0.122</v>
      </c>
      <c r="U2232" s="1">
        <v>0.46500000000000002</v>
      </c>
      <c r="V2232" s="1">
        <v>135.999</v>
      </c>
      <c r="W2232">
        <v>4</v>
      </c>
    </row>
    <row r="2233" spans="1:23" x14ac:dyDescent="0.25">
      <c r="A2233" s="1" t="s">
        <v>18500</v>
      </c>
      <c r="B2233" s="1" t="s">
        <v>18501</v>
      </c>
      <c r="C2233" s="1" t="s">
        <v>5732</v>
      </c>
      <c r="D2233" s="1" t="s">
        <v>5732</v>
      </c>
      <c r="E2233" s="1" t="s">
        <v>6378</v>
      </c>
      <c r="F2233" s="1" t="s">
        <v>16130</v>
      </c>
      <c r="G2233">
        <v>225515</v>
      </c>
      <c r="H2233">
        <v>62</v>
      </c>
      <c r="I2233" s="1" t="s">
        <v>11063</v>
      </c>
      <c r="J2233" s="11">
        <v>44729.706458333334</v>
      </c>
      <c r="K2233" s="1" t="s">
        <v>1000</v>
      </c>
      <c r="L2233" s="1">
        <v>0.49299999999999999</v>
      </c>
      <c r="M2233" s="1">
        <v>0.59399999999999997</v>
      </c>
      <c r="N2233">
        <v>8</v>
      </c>
      <c r="O2233" s="1">
        <v>-4.4039999999999999</v>
      </c>
      <c r="P2233">
        <v>0</v>
      </c>
      <c r="Q2233" s="1">
        <v>0.378</v>
      </c>
      <c r="R2233" s="1">
        <v>0.25600000000000001</v>
      </c>
      <c r="S2233" s="1">
        <v>0</v>
      </c>
      <c r="T2233" s="1">
        <v>0.75900000000000001</v>
      </c>
      <c r="U2233" s="1">
        <v>0.30399999999999999</v>
      </c>
      <c r="V2233" s="1">
        <v>123.751</v>
      </c>
      <c r="W2233">
        <v>4</v>
      </c>
    </row>
    <row r="2234" spans="1:23" x14ac:dyDescent="0.25">
      <c r="A2234" s="1" t="s">
        <v>18502</v>
      </c>
      <c r="B2234" s="1" t="s">
        <v>17036</v>
      </c>
      <c r="C2234" s="1" t="s">
        <v>6379</v>
      </c>
      <c r="D2234" s="1" t="s">
        <v>18503</v>
      </c>
      <c r="E2234" s="1" t="s">
        <v>5028</v>
      </c>
      <c r="F2234" s="1" t="s">
        <v>17038</v>
      </c>
      <c r="G2234">
        <v>201008</v>
      </c>
      <c r="H2234">
        <v>0</v>
      </c>
      <c r="I2234" s="1" t="s">
        <v>11063</v>
      </c>
      <c r="J2234" s="11">
        <v>44729.706458333334</v>
      </c>
      <c r="K2234" s="1" t="s">
        <v>5029</v>
      </c>
      <c r="L2234" s="1">
        <v>0.55000000000000004</v>
      </c>
      <c r="M2234" s="1">
        <v>0.82199999999999995</v>
      </c>
      <c r="N2234">
        <v>6</v>
      </c>
      <c r="O2234" s="1">
        <v>-7.7119999999999997</v>
      </c>
      <c r="P2234">
        <v>1</v>
      </c>
      <c r="Q2234" s="1">
        <v>0.65</v>
      </c>
      <c r="R2234" s="1">
        <v>0.996</v>
      </c>
      <c r="S2234" s="1">
        <v>0.185</v>
      </c>
      <c r="T2234" s="1">
        <v>0.14899999999999999</v>
      </c>
      <c r="U2234" s="1">
        <v>0.45500000000000002</v>
      </c>
      <c r="V2234" s="1">
        <v>79.959000000000003</v>
      </c>
      <c r="W2234">
        <v>4</v>
      </c>
    </row>
    <row r="2235" spans="1:23" x14ac:dyDescent="0.25">
      <c r="A2235" s="1" t="s">
        <v>18504</v>
      </c>
      <c r="B2235" s="1" t="s">
        <v>18505</v>
      </c>
      <c r="C2235" s="1" t="s">
        <v>6380</v>
      </c>
      <c r="D2235" s="1" t="s">
        <v>6380</v>
      </c>
      <c r="E2235" s="1" t="s">
        <v>6381</v>
      </c>
      <c r="F2235" s="1" t="s">
        <v>14499</v>
      </c>
      <c r="G2235">
        <v>310909</v>
      </c>
      <c r="H2235">
        <v>0</v>
      </c>
      <c r="I2235" s="1" t="s">
        <v>11063</v>
      </c>
      <c r="J2235" s="11">
        <v>44729.706458333334</v>
      </c>
      <c r="K2235" s="1" t="s">
        <v>256</v>
      </c>
      <c r="L2235" s="1">
        <v>0.432</v>
      </c>
      <c r="M2235" s="1">
        <v>0.92800000000000005</v>
      </c>
      <c r="N2235">
        <v>5</v>
      </c>
      <c r="O2235" s="1">
        <v>-3.044</v>
      </c>
      <c r="P2235">
        <v>0</v>
      </c>
      <c r="Q2235" s="1">
        <v>0.14000000000000001</v>
      </c>
      <c r="R2235" s="1">
        <v>0.85699999999999998</v>
      </c>
      <c r="S2235" s="1">
        <v>0.79800000000000004</v>
      </c>
      <c r="T2235" s="1">
        <v>0.41799999999999998</v>
      </c>
      <c r="U2235" s="1">
        <v>0.51200000000000001</v>
      </c>
      <c r="V2235" s="1">
        <v>176.09200000000001</v>
      </c>
      <c r="W2235">
        <v>4</v>
      </c>
    </row>
    <row r="2236" spans="1:23" x14ac:dyDescent="0.25">
      <c r="A2236" s="1" t="s">
        <v>18506</v>
      </c>
      <c r="B2236" s="1" t="s">
        <v>18507</v>
      </c>
      <c r="C2236" s="1" t="s">
        <v>6382</v>
      </c>
      <c r="D2236" s="1" t="s">
        <v>6382</v>
      </c>
      <c r="E2236" s="1" t="s">
        <v>6383</v>
      </c>
      <c r="F2236" s="1" t="s">
        <v>15168</v>
      </c>
      <c r="G2236">
        <v>169756</v>
      </c>
      <c r="H2236">
        <v>67</v>
      </c>
      <c r="I2236" s="1" t="s">
        <v>11063</v>
      </c>
      <c r="J2236" s="11">
        <v>44729.706458333334</v>
      </c>
      <c r="K2236" s="1" t="s">
        <v>256</v>
      </c>
      <c r="L2236" s="1">
        <v>0.61399999999999999</v>
      </c>
      <c r="M2236" s="1">
        <v>0.69399999999999995</v>
      </c>
      <c r="N2236">
        <v>10</v>
      </c>
      <c r="O2236" s="1">
        <v>-5.7130000000000001</v>
      </c>
      <c r="P2236">
        <v>0</v>
      </c>
      <c r="Q2236" s="1">
        <v>0.93200000000000005</v>
      </c>
      <c r="R2236" s="1">
        <v>0.254</v>
      </c>
      <c r="S2236" s="1">
        <v>0.26300000000000001</v>
      </c>
      <c r="T2236" s="1">
        <v>0.73299999999999998</v>
      </c>
      <c r="U2236" s="1">
        <v>0.57799999999999996</v>
      </c>
      <c r="V2236" s="1">
        <v>163.94200000000001</v>
      </c>
      <c r="W2236">
        <v>4</v>
      </c>
    </row>
    <row r="2237" spans="1:23" x14ac:dyDescent="0.25">
      <c r="A2237" s="1" t="s">
        <v>18508</v>
      </c>
      <c r="B2237" s="1" t="s">
        <v>17475</v>
      </c>
      <c r="C2237" s="1" t="s">
        <v>6384</v>
      </c>
      <c r="D2237" s="1" t="s">
        <v>6384</v>
      </c>
      <c r="E2237" s="1" t="s">
        <v>5403</v>
      </c>
      <c r="F2237" s="1" t="s">
        <v>15168</v>
      </c>
      <c r="G2237">
        <v>170823</v>
      </c>
      <c r="H2237">
        <v>34</v>
      </c>
      <c r="I2237" s="1" t="s">
        <v>11063</v>
      </c>
      <c r="J2237" s="11">
        <v>44729.706458333334</v>
      </c>
      <c r="K2237" s="1" t="s">
        <v>983</v>
      </c>
      <c r="L2237" s="1">
        <v>0.54400000000000004</v>
      </c>
      <c r="M2237" s="1">
        <v>0.48699999999999999</v>
      </c>
      <c r="N2237">
        <v>5</v>
      </c>
      <c r="O2237" s="1">
        <v>-7.41</v>
      </c>
      <c r="P2237">
        <v>1</v>
      </c>
      <c r="Q2237" s="1">
        <v>0.12</v>
      </c>
      <c r="R2237" s="1">
        <v>0.35</v>
      </c>
      <c r="S2237" s="1">
        <v>0</v>
      </c>
      <c r="T2237" s="1">
        <v>0.28100000000000003</v>
      </c>
      <c r="U2237" s="1">
        <v>0.42599999999999999</v>
      </c>
      <c r="V2237" s="1">
        <v>96.738</v>
      </c>
      <c r="W2237">
        <v>4</v>
      </c>
    </row>
    <row r="2238" spans="1:23" x14ac:dyDescent="0.25">
      <c r="A2238" s="1" t="s">
        <v>11751</v>
      </c>
      <c r="B2238" s="1" t="s">
        <v>11752</v>
      </c>
      <c r="C2238" s="1" t="s">
        <v>448</v>
      </c>
      <c r="D2238" s="1" t="s">
        <v>11753</v>
      </c>
      <c r="E2238" s="1" t="s">
        <v>449</v>
      </c>
      <c r="F2238" s="1" t="s">
        <v>11754</v>
      </c>
      <c r="G2238">
        <v>224745</v>
      </c>
      <c r="H2238">
        <v>0</v>
      </c>
      <c r="I2238" s="1" t="s">
        <v>11063</v>
      </c>
      <c r="J2238" s="11">
        <v>44729.706458333334</v>
      </c>
      <c r="K2238" s="1" t="s">
        <v>450</v>
      </c>
      <c r="L2238" s="1">
        <v>0.77900000000000003</v>
      </c>
      <c r="M2238" s="1">
        <v>0.42899999999999999</v>
      </c>
      <c r="N2238">
        <v>6</v>
      </c>
      <c r="O2238" s="1">
        <v>-11.644</v>
      </c>
      <c r="P2238">
        <v>0</v>
      </c>
      <c r="Q2238" s="1">
        <v>0.39400000000000002</v>
      </c>
      <c r="R2238" s="1">
        <v>0.24199999999999999</v>
      </c>
      <c r="S2238" s="1">
        <v>0.28499999999999998</v>
      </c>
      <c r="T2238" s="1">
        <v>0.183</v>
      </c>
      <c r="U2238" s="1">
        <v>0.57699999999999996</v>
      </c>
      <c r="V2238" s="1">
        <v>118.062</v>
      </c>
      <c r="W2238">
        <v>4</v>
      </c>
    </row>
    <row r="2239" spans="1:23" x14ac:dyDescent="0.25">
      <c r="A2239" s="1" t="s">
        <v>18509</v>
      </c>
      <c r="B2239" s="1" t="s">
        <v>11752</v>
      </c>
      <c r="C2239" s="1" t="s">
        <v>6385</v>
      </c>
      <c r="D2239" s="1" t="s">
        <v>11753</v>
      </c>
      <c r="E2239" s="1" t="s">
        <v>449</v>
      </c>
      <c r="F2239" s="1" t="s">
        <v>11754</v>
      </c>
      <c r="G2239">
        <v>260851</v>
      </c>
      <c r="H2239">
        <v>0</v>
      </c>
      <c r="I2239" s="1" t="s">
        <v>11063</v>
      </c>
      <c r="J2239" s="11">
        <v>44729.706458333334</v>
      </c>
      <c r="K2239" s="1" t="s">
        <v>450</v>
      </c>
      <c r="L2239" s="1">
        <v>0.56000000000000005</v>
      </c>
      <c r="M2239" s="1">
        <v>0.315</v>
      </c>
      <c r="N2239">
        <v>10</v>
      </c>
      <c r="O2239" s="1">
        <v>-8.532</v>
      </c>
      <c r="P2239">
        <v>0</v>
      </c>
      <c r="Q2239" s="1">
        <v>0.5</v>
      </c>
      <c r="R2239" s="1">
        <v>0.73399999999999999</v>
      </c>
      <c r="S2239" s="1">
        <v>0.126</v>
      </c>
      <c r="T2239" s="1">
        <v>0.105</v>
      </c>
      <c r="U2239" s="1">
        <v>0.13800000000000001</v>
      </c>
      <c r="V2239" s="1">
        <v>78.06</v>
      </c>
      <c r="W2239">
        <v>4</v>
      </c>
    </row>
    <row r="2240" spans="1:23" x14ac:dyDescent="0.25">
      <c r="A2240" s="1" t="s">
        <v>18510</v>
      </c>
      <c r="B2240" s="1" t="s">
        <v>18511</v>
      </c>
      <c r="C2240" s="1" t="s">
        <v>1311</v>
      </c>
      <c r="D2240" s="1" t="s">
        <v>18512</v>
      </c>
      <c r="E2240" s="1" t="s">
        <v>6386</v>
      </c>
      <c r="F2240" s="1" t="s">
        <v>11482</v>
      </c>
      <c r="G2240">
        <v>213780</v>
      </c>
      <c r="H2240">
        <v>23</v>
      </c>
      <c r="I2240" s="1" t="s">
        <v>11063</v>
      </c>
      <c r="J2240" s="11">
        <v>44729.706458333334</v>
      </c>
      <c r="K2240" s="1" t="s">
        <v>6387</v>
      </c>
      <c r="L2240" s="1">
        <v>0.66600000000000004</v>
      </c>
      <c r="M2240" s="1">
        <v>0.93200000000000005</v>
      </c>
      <c r="N2240">
        <v>9</v>
      </c>
      <c r="O2240" s="1">
        <v>-1.9259999999999999</v>
      </c>
      <c r="P2240">
        <v>1</v>
      </c>
      <c r="Q2240" s="1">
        <v>0.41199999999999998</v>
      </c>
      <c r="R2240" s="1">
        <v>0.65500000000000003</v>
      </c>
      <c r="S2240" s="1">
        <v>0.71199999999999997</v>
      </c>
      <c r="T2240" s="1">
        <v>0.19</v>
      </c>
      <c r="U2240" s="1">
        <v>0.64500000000000002</v>
      </c>
      <c r="V2240" s="1">
        <v>105.92100000000001</v>
      </c>
      <c r="W2240">
        <v>4</v>
      </c>
    </row>
    <row r="2241" spans="1:23" x14ac:dyDescent="0.25">
      <c r="A2241" s="1" t="s">
        <v>18513</v>
      </c>
      <c r="B2241" s="1" t="s">
        <v>18514</v>
      </c>
      <c r="C2241" s="1" t="s">
        <v>6388</v>
      </c>
      <c r="D2241" s="1" t="s">
        <v>6388</v>
      </c>
      <c r="E2241" s="1" t="s">
        <v>6389</v>
      </c>
      <c r="F2241" s="1" t="s">
        <v>15944</v>
      </c>
      <c r="G2241">
        <v>192846</v>
      </c>
      <c r="H2241">
        <v>0</v>
      </c>
      <c r="I2241" s="1" t="s">
        <v>11063</v>
      </c>
      <c r="J2241" s="11">
        <v>44729.706458333334</v>
      </c>
      <c r="K2241" s="1" t="s">
        <v>6390</v>
      </c>
      <c r="L2241" s="1">
        <v>0.78800000000000003</v>
      </c>
      <c r="M2241" s="1">
        <v>0.43</v>
      </c>
      <c r="N2241">
        <v>11</v>
      </c>
      <c r="O2241" s="1">
        <v>-7.7569999999999997</v>
      </c>
      <c r="P2241">
        <v>1</v>
      </c>
      <c r="Q2241" s="1">
        <v>0.41899999999999998</v>
      </c>
      <c r="R2241" s="1">
        <v>0.53700000000000003</v>
      </c>
      <c r="S2241" s="1">
        <v>0.26100000000000001</v>
      </c>
      <c r="T2241" s="1">
        <v>0.93600000000000005</v>
      </c>
      <c r="U2241" s="1">
        <v>0.46100000000000002</v>
      </c>
      <c r="V2241" s="1">
        <v>121.996</v>
      </c>
      <c r="W2241">
        <v>4</v>
      </c>
    </row>
    <row r="2242" spans="1:23" x14ac:dyDescent="0.25">
      <c r="A2242" s="1" t="s">
        <v>18515</v>
      </c>
      <c r="B2242" s="1" t="s">
        <v>15084</v>
      </c>
      <c r="C2242" s="1" t="s">
        <v>3445</v>
      </c>
      <c r="D2242" s="1" t="s">
        <v>3445</v>
      </c>
      <c r="E2242" s="1" t="s">
        <v>3346</v>
      </c>
      <c r="F2242" s="1" t="s">
        <v>18516</v>
      </c>
      <c r="G2242">
        <v>300000</v>
      </c>
      <c r="H2242">
        <v>38</v>
      </c>
      <c r="I2242" s="1" t="s">
        <v>11063</v>
      </c>
      <c r="J2242" s="11">
        <v>44729.706458333334</v>
      </c>
      <c r="K2242" s="1" t="s">
        <v>3347</v>
      </c>
      <c r="L2242" s="1">
        <v>0.25900000000000001</v>
      </c>
      <c r="M2242" s="1">
        <v>0.45400000000000001</v>
      </c>
      <c r="N2242">
        <v>7</v>
      </c>
      <c r="O2242" s="1">
        <v>-11.058</v>
      </c>
      <c r="P2242">
        <v>1</v>
      </c>
      <c r="Q2242" s="1">
        <v>0.45700000000000002</v>
      </c>
      <c r="R2242" s="1">
        <v>0.10100000000000001</v>
      </c>
      <c r="S2242" s="1">
        <v>0.26800000000000002</v>
      </c>
      <c r="T2242" s="1">
        <v>0.56499999999999995</v>
      </c>
      <c r="U2242" s="1">
        <v>0.629</v>
      </c>
      <c r="V2242" s="1">
        <v>121.557</v>
      </c>
      <c r="W2242">
        <v>4</v>
      </c>
    </row>
    <row r="2243" spans="1:23" x14ac:dyDescent="0.25">
      <c r="A2243" s="1" t="s">
        <v>18517</v>
      </c>
      <c r="B2243" s="1" t="s">
        <v>18518</v>
      </c>
      <c r="C2243" s="1" t="s">
        <v>6391</v>
      </c>
      <c r="D2243" s="1" t="s">
        <v>18519</v>
      </c>
      <c r="E2243" s="1" t="s">
        <v>6392</v>
      </c>
      <c r="F2243" s="1" t="s">
        <v>16892</v>
      </c>
      <c r="G2243">
        <v>272842</v>
      </c>
      <c r="H2243">
        <v>41</v>
      </c>
      <c r="I2243" s="1" t="s">
        <v>11063</v>
      </c>
      <c r="J2243" s="11">
        <v>44729.706458333334</v>
      </c>
      <c r="K2243" s="1" t="s">
        <v>6393</v>
      </c>
      <c r="L2243" s="1">
        <v>0.61099999999999999</v>
      </c>
      <c r="M2243" s="1">
        <v>0.66200000000000003</v>
      </c>
      <c r="N2243">
        <v>3</v>
      </c>
      <c r="O2243" s="1">
        <v>-5.91</v>
      </c>
      <c r="P2243">
        <v>0</v>
      </c>
      <c r="Q2243" s="1">
        <v>0.435</v>
      </c>
      <c r="R2243" s="1">
        <v>0.105</v>
      </c>
      <c r="S2243" s="1">
        <v>0.32500000000000001</v>
      </c>
      <c r="T2243" s="1">
        <v>0.107</v>
      </c>
      <c r="U2243" s="1">
        <v>0.27300000000000002</v>
      </c>
      <c r="V2243" s="1">
        <v>95.075999999999993</v>
      </c>
      <c r="W2243">
        <v>4</v>
      </c>
    </row>
    <row r="2244" spans="1:23" x14ac:dyDescent="0.25">
      <c r="A2244" s="1" t="s">
        <v>18520</v>
      </c>
      <c r="B2244" s="1" t="s">
        <v>15084</v>
      </c>
      <c r="C2244" s="1" t="s">
        <v>6394</v>
      </c>
      <c r="D2244" s="1" t="s">
        <v>6394</v>
      </c>
      <c r="E2244" s="1" t="s">
        <v>3346</v>
      </c>
      <c r="F2244" s="1" t="s">
        <v>14004</v>
      </c>
      <c r="G2244">
        <v>265030</v>
      </c>
      <c r="H2244">
        <v>45</v>
      </c>
      <c r="I2244" s="1" t="s">
        <v>11063</v>
      </c>
      <c r="J2244" s="11">
        <v>44729.706458333334</v>
      </c>
      <c r="K2244" s="1" t="s">
        <v>3347</v>
      </c>
      <c r="L2244" s="1">
        <v>0.53200000000000003</v>
      </c>
      <c r="M2244" s="1">
        <v>0.88600000000000001</v>
      </c>
      <c r="N2244">
        <v>0</v>
      </c>
      <c r="O2244" s="1">
        <v>-4.9210000000000003</v>
      </c>
      <c r="P2244">
        <v>1</v>
      </c>
      <c r="Q2244" s="1">
        <v>0.17599999999999999</v>
      </c>
      <c r="R2244" s="1">
        <v>0.111</v>
      </c>
      <c r="S2244" s="1">
        <v>0.51100000000000001</v>
      </c>
      <c r="T2244" s="1">
        <v>0.30299999999999999</v>
      </c>
      <c r="U2244" s="1">
        <v>0.54400000000000004</v>
      </c>
      <c r="V2244" s="1">
        <v>163.036</v>
      </c>
      <c r="W2244">
        <v>4</v>
      </c>
    </row>
    <row r="2245" spans="1:23" x14ac:dyDescent="0.25">
      <c r="A2245" s="1" t="s">
        <v>18521</v>
      </c>
      <c r="B2245" s="1" t="s">
        <v>18522</v>
      </c>
      <c r="C2245" s="1" t="s">
        <v>6395</v>
      </c>
      <c r="D2245" s="1" t="s">
        <v>6395</v>
      </c>
      <c r="E2245" s="1" t="s">
        <v>6396</v>
      </c>
      <c r="F2245" s="1" t="s">
        <v>16745</v>
      </c>
      <c r="G2245">
        <v>211914</v>
      </c>
      <c r="H2245">
        <v>38</v>
      </c>
      <c r="I2245" s="1" t="s">
        <v>11063</v>
      </c>
      <c r="J2245" s="11">
        <v>44729.706458333334</v>
      </c>
      <c r="K2245" s="1" t="s">
        <v>5221</v>
      </c>
      <c r="L2245" s="1">
        <v>0.35599999999999998</v>
      </c>
      <c r="M2245" s="1">
        <v>0.86399999999999999</v>
      </c>
      <c r="N2245">
        <v>11</v>
      </c>
      <c r="O2245" s="1">
        <v>-4.0170000000000003</v>
      </c>
      <c r="P2245">
        <v>1</v>
      </c>
      <c r="Q2245" s="1">
        <v>0.60499999999999998</v>
      </c>
      <c r="R2245" s="1">
        <v>0.69499999999999995</v>
      </c>
      <c r="S2245" s="1">
        <v>0</v>
      </c>
      <c r="T2245" s="1">
        <v>0.188</v>
      </c>
      <c r="U2245" s="1">
        <v>0.217</v>
      </c>
      <c r="V2245" s="1">
        <v>94.018000000000001</v>
      </c>
      <c r="W2245">
        <v>4</v>
      </c>
    </row>
    <row r="2246" spans="1:23" x14ac:dyDescent="0.25">
      <c r="A2246" s="1" t="s">
        <v>11682</v>
      </c>
      <c r="B2246" s="1" t="s">
        <v>11683</v>
      </c>
      <c r="C2246" s="1" t="s">
        <v>395</v>
      </c>
      <c r="D2246" s="1" t="s">
        <v>11684</v>
      </c>
      <c r="E2246" s="1" t="s">
        <v>396</v>
      </c>
      <c r="F2246" s="1" t="s">
        <v>11685</v>
      </c>
      <c r="G2246">
        <v>191518</v>
      </c>
      <c r="H2246">
        <v>48</v>
      </c>
      <c r="I2246" s="1" t="s">
        <v>11063</v>
      </c>
      <c r="J2246" s="11">
        <v>44729.706458333334</v>
      </c>
      <c r="K2246" s="1" t="s">
        <v>397</v>
      </c>
      <c r="L2246" s="1">
        <v>0.51100000000000001</v>
      </c>
      <c r="M2246" s="1">
        <v>0.66500000000000004</v>
      </c>
      <c r="N2246">
        <v>4</v>
      </c>
      <c r="O2246" s="1">
        <v>-6.9980000000000002</v>
      </c>
      <c r="P2246">
        <v>0</v>
      </c>
      <c r="Q2246" s="1">
        <v>0.32300000000000001</v>
      </c>
      <c r="R2246" s="1">
        <v>0.371</v>
      </c>
      <c r="S2246" s="1">
        <v>0</v>
      </c>
      <c r="T2246" s="1">
        <v>0.86</v>
      </c>
      <c r="U2246" s="1">
        <v>0.35899999999999999</v>
      </c>
      <c r="V2246" s="1">
        <v>140.08199999999999</v>
      </c>
      <c r="W2246">
        <v>4</v>
      </c>
    </row>
    <row r="2247" spans="1:23" x14ac:dyDescent="0.25">
      <c r="A2247" s="1" t="s">
        <v>18523</v>
      </c>
      <c r="B2247" s="1" t="s">
        <v>18524</v>
      </c>
      <c r="C2247" s="1" t="s">
        <v>6397</v>
      </c>
      <c r="D2247" s="1" t="s">
        <v>6397</v>
      </c>
      <c r="E2247" s="1" t="s">
        <v>6398</v>
      </c>
      <c r="F2247" s="1" t="s">
        <v>18525</v>
      </c>
      <c r="G2247">
        <v>197633</v>
      </c>
      <c r="H2247">
        <v>68</v>
      </c>
      <c r="I2247" s="1" t="s">
        <v>11063</v>
      </c>
      <c r="J2247" s="11">
        <v>44729.706458333334</v>
      </c>
      <c r="K2247" s="1" t="s">
        <v>6399</v>
      </c>
      <c r="L2247" s="1">
        <v>0.42</v>
      </c>
      <c r="M2247" s="1">
        <v>0.72299999999999998</v>
      </c>
      <c r="N2247">
        <v>10</v>
      </c>
      <c r="O2247" s="1">
        <v>-6.86</v>
      </c>
      <c r="P2247">
        <v>0</v>
      </c>
      <c r="Q2247" s="1">
        <v>0.17499999999999999</v>
      </c>
      <c r="R2247" s="1">
        <v>0.63800000000000001</v>
      </c>
      <c r="S2247" s="1">
        <v>0.11700000000000001</v>
      </c>
      <c r="T2247" s="1">
        <v>0.123</v>
      </c>
      <c r="U2247" s="1">
        <v>0.28799999999999998</v>
      </c>
      <c r="V2247" s="1">
        <v>167.80600000000001</v>
      </c>
      <c r="W2247">
        <v>4</v>
      </c>
    </row>
    <row r="2248" spans="1:23" x14ac:dyDescent="0.25">
      <c r="A2248" s="1" t="s">
        <v>18526</v>
      </c>
      <c r="B2248" s="1" t="s">
        <v>11741</v>
      </c>
      <c r="C2248" s="1" t="s">
        <v>6400</v>
      </c>
      <c r="D2248" s="1" t="s">
        <v>16068</v>
      </c>
      <c r="E2248" s="1" t="s">
        <v>442</v>
      </c>
      <c r="F2248" s="1" t="s">
        <v>16069</v>
      </c>
      <c r="G2248">
        <v>191600</v>
      </c>
      <c r="H2248">
        <v>81</v>
      </c>
      <c r="I2248" s="1" t="s">
        <v>11063</v>
      </c>
      <c r="J2248" s="11">
        <v>44729.706458333334</v>
      </c>
      <c r="K2248" s="1" t="s">
        <v>443</v>
      </c>
      <c r="L2248" s="1">
        <v>0.67100000000000004</v>
      </c>
      <c r="M2248" s="1">
        <v>0.314</v>
      </c>
      <c r="N2248">
        <v>5</v>
      </c>
      <c r="O2248" s="1">
        <v>-8.0909999999999993</v>
      </c>
      <c r="P2248">
        <v>0</v>
      </c>
      <c r="Q2248" s="1">
        <v>0.24399999999999999</v>
      </c>
      <c r="R2248" s="1">
        <v>0.11</v>
      </c>
      <c r="S2248" s="1">
        <v>0</v>
      </c>
      <c r="T2248" s="1">
        <v>0.82499999999999996</v>
      </c>
      <c r="U2248" s="1">
        <v>0.29599999999999999</v>
      </c>
      <c r="V2248" s="1">
        <v>110.898</v>
      </c>
      <c r="W2248">
        <v>4</v>
      </c>
    </row>
    <row r="2249" spans="1:23" x14ac:dyDescent="0.25">
      <c r="A2249" s="1" t="s">
        <v>18527</v>
      </c>
      <c r="B2249" s="1" t="s">
        <v>18528</v>
      </c>
      <c r="C2249" s="1" t="s">
        <v>3794</v>
      </c>
      <c r="D2249" s="1" t="s">
        <v>3794</v>
      </c>
      <c r="E2249" s="1" t="s">
        <v>6401</v>
      </c>
      <c r="F2249" s="1" t="s">
        <v>16056</v>
      </c>
      <c r="G2249">
        <v>197541</v>
      </c>
      <c r="H2249">
        <v>0</v>
      </c>
      <c r="I2249" s="1" t="s">
        <v>11063</v>
      </c>
      <c r="J2249" s="11">
        <v>44729.706458333334</v>
      </c>
      <c r="K2249" s="1" t="s">
        <v>960</v>
      </c>
      <c r="L2249" s="1">
        <v>0.57199999999999995</v>
      </c>
      <c r="M2249" s="1">
        <v>0.59399999999999997</v>
      </c>
      <c r="N2249">
        <v>5</v>
      </c>
      <c r="O2249" s="1">
        <v>-7.7030000000000003</v>
      </c>
      <c r="P2249">
        <v>1</v>
      </c>
      <c r="Q2249" s="1">
        <v>0.499</v>
      </c>
      <c r="R2249" s="1">
        <v>0.36199999999999999</v>
      </c>
      <c r="S2249" s="1">
        <v>0.109</v>
      </c>
      <c r="T2249" s="1">
        <v>0.49399999999999999</v>
      </c>
      <c r="U2249" s="1">
        <v>0.27900000000000003</v>
      </c>
      <c r="V2249" s="1">
        <v>125.19</v>
      </c>
      <c r="W2249">
        <v>4</v>
      </c>
    </row>
    <row r="2250" spans="1:23" x14ac:dyDescent="0.25">
      <c r="A2250" s="1" t="s">
        <v>18529</v>
      </c>
      <c r="B2250" s="1" t="s">
        <v>18530</v>
      </c>
      <c r="C2250" s="1" t="s">
        <v>6402</v>
      </c>
      <c r="D2250" s="1" t="s">
        <v>18531</v>
      </c>
      <c r="E2250" s="1" t="s">
        <v>6403</v>
      </c>
      <c r="F2250" s="1" t="s">
        <v>18532</v>
      </c>
      <c r="G2250">
        <v>151826</v>
      </c>
      <c r="H2250">
        <v>37</v>
      </c>
      <c r="I2250" s="1" t="s">
        <v>11063</v>
      </c>
      <c r="J2250" s="11">
        <v>44729.706458333334</v>
      </c>
      <c r="K2250" s="1" t="s">
        <v>6404</v>
      </c>
      <c r="L2250" s="1">
        <v>0.26700000000000002</v>
      </c>
      <c r="M2250" s="1">
        <v>0.248</v>
      </c>
      <c r="N2250">
        <v>9</v>
      </c>
      <c r="O2250" s="1">
        <v>-11.62</v>
      </c>
      <c r="P2250">
        <v>1</v>
      </c>
      <c r="Q2250" s="1">
        <v>0.48799999999999999</v>
      </c>
      <c r="R2250" s="1">
        <v>0.97099999999999997</v>
      </c>
      <c r="S2250" s="1">
        <v>0.11799999999999999</v>
      </c>
      <c r="T2250" s="1">
        <v>0.36699999999999999</v>
      </c>
      <c r="U2250" s="1">
        <v>0.17</v>
      </c>
      <c r="V2250" s="1">
        <v>70.718000000000004</v>
      </c>
      <c r="W2250">
        <v>3</v>
      </c>
    </row>
    <row r="2251" spans="1:23" x14ac:dyDescent="0.25">
      <c r="A2251" s="1" t="s">
        <v>18533</v>
      </c>
      <c r="B2251" s="1" t="s">
        <v>18528</v>
      </c>
      <c r="C2251" s="1" t="s">
        <v>4876</v>
      </c>
      <c r="D2251" s="1" t="s">
        <v>4876</v>
      </c>
      <c r="E2251" s="1" t="s">
        <v>6401</v>
      </c>
      <c r="F2251" s="1" t="s">
        <v>18534</v>
      </c>
      <c r="G2251">
        <v>152250</v>
      </c>
      <c r="H2251">
        <v>38</v>
      </c>
      <c r="I2251" s="1" t="s">
        <v>11063</v>
      </c>
      <c r="J2251" s="11">
        <v>44729.706458333334</v>
      </c>
      <c r="K2251" s="1" t="s">
        <v>960</v>
      </c>
      <c r="L2251" s="1">
        <v>0.34699999999999998</v>
      </c>
      <c r="M2251" s="1">
        <v>0.34799999999999998</v>
      </c>
      <c r="N2251">
        <v>9</v>
      </c>
      <c r="O2251" s="1">
        <v>-11.222</v>
      </c>
      <c r="P2251">
        <v>0</v>
      </c>
      <c r="Q2251" s="1">
        <v>0.29799999999999999</v>
      </c>
      <c r="R2251" s="1">
        <v>0.83699999999999997</v>
      </c>
      <c r="S2251" s="1">
        <v>0.13200000000000001</v>
      </c>
      <c r="T2251" s="1">
        <v>0.22900000000000001</v>
      </c>
      <c r="U2251" s="1">
        <v>0.14000000000000001</v>
      </c>
      <c r="V2251" s="1">
        <v>103.376</v>
      </c>
      <c r="W2251">
        <v>4</v>
      </c>
    </row>
    <row r="2252" spans="1:23" x14ac:dyDescent="0.25">
      <c r="A2252" s="1" t="s">
        <v>18535</v>
      </c>
      <c r="B2252" s="1" t="s">
        <v>18536</v>
      </c>
      <c r="C2252" s="1" t="s">
        <v>6405</v>
      </c>
      <c r="D2252" s="1" t="s">
        <v>18537</v>
      </c>
      <c r="E2252" s="1" t="s">
        <v>6406</v>
      </c>
      <c r="F2252" s="1" t="s">
        <v>15471</v>
      </c>
      <c r="G2252">
        <v>194680</v>
      </c>
      <c r="H2252">
        <v>59</v>
      </c>
      <c r="I2252" s="1" t="s">
        <v>11063</v>
      </c>
      <c r="J2252" s="11">
        <v>44729.706458333334</v>
      </c>
      <c r="K2252" s="1" t="s">
        <v>6407</v>
      </c>
      <c r="L2252" s="1">
        <v>0.63100000000000001</v>
      </c>
      <c r="M2252" s="1">
        <v>0.64900000000000002</v>
      </c>
      <c r="N2252">
        <v>5</v>
      </c>
      <c r="O2252" s="1">
        <v>-5.8920000000000003</v>
      </c>
      <c r="P2252">
        <v>0</v>
      </c>
      <c r="Q2252" s="1">
        <v>0.38500000000000001</v>
      </c>
      <c r="R2252" s="1">
        <v>0.81699999999999995</v>
      </c>
      <c r="S2252" s="1">
        <v>0.38</v>
      </c>
      <c r="T2252" s="1">
        <v>0.93400000000000005</v>
      </c>
      <c r="U2252" s="1">
        <v>0.42099999999999999</v>
      </c>
      <c r="V2252" s="1">
        <v>93.95</v>
      </c>
      <c r="W2252">
        <v>4</v>
      </c>
    </row>
    <row r="2253" spans="1:23" x14ac:dyDescent="0.25">
      <c r="A2253" s="1" t="s">
        <v>18538</v>
      </c>
      <c r="B2253" s="1" t="s">
        <v>14709</v>
      </c>
      <c r="C2253" s="1" t="s">
        <v>2885</v>
      </c>
      <c r="D2253" s="1" t="s">
        <v>17187</v>
      </c>
      <c r="E2253" s="1" t="s">
        <v>3009</v>
      </c>
      <c r="F2253" s="1" t="s">
        <v>11597</v>
      </c>
      <c r="G2253">
        <v>263520</v>
      </c>
      <c r="H2253">
        <v>63</v>
      </c>
      <c r="I2253" s="1" t="s">
        <v>11063</v>
      </c>
      <c r="J2253" s="11">
        <v>44729.706458333334</v>
      </c>
      <c r="K2253" s="1" t="s">
        <v>3010</v>
      </c>
      <c r="L2253" s="1">
        <v>0.50800000000000001</v>
      </c>
      <c r="M2253" s="1">
        <v>0.76200000000000001</v>
      </c>
      <c r="N2253">
        <v>6</v>
      </c>
      <c r="O2253" s="1">
        <v>-4.2169999999999996</v>
      </c>
      <c r="P2253">
        <v>0</v>
      </c>
      <c r="Q2253" s="1">
        <v>0.48899999999999999</v>
      </c>
      <c r="R2253" s="1">
        <v>0.254</v>
      </c>
      <c r="S2253" s="1">
        <v>0.122</v>
      </c>
      <c r="T2253" s="1">
        <v>0.108</v>
      </c>
      <c r="U2253" s="1">
        <v>0.44400000000000001</v>
      </c>
      <c r="V2253" s="1">
        <v>99.962999999999994</v>
      </c>
      <c r="W2253">
        <v>4</v>
      </c>
    </row>
    <row r="2254" spans="1:23" x14ac:dyDescent="0.25">
      <c r="A2254" s="1" t="s">
        <v>18539</v>
      </c>
      <c r="B2254" s="1" t="s">
        <v>18540</v>
      </c>
      <c r="C2254" s="1" t="s">
        <v>6408</v>
      </c>
      <c r="D2254" s="1" t="s">
        <v>17187</v>
      </c>
      <c r="E2254" s="1" t="s">
        <v>6409</v>
      </c>
      <c r="F2254" s="1" t="s">
        <v>11597</v>
      </c>
      <c r="G2254">
        <v>210226</v>
      </c>
      <c r="H2254">
        <v>69</v>
      </c>
      <c r="I2254" s="1" t="s">
        <v>11063</v>
      </c>
      <c r="J2254" s="11">
        <v>44729.706458333334</v>
      </c>
      <c r="K2254" s="1" t="s">
        <v>6410</v>
      </c>
      <c r="L2254" s="1">
        <v>0.66800000000000004</v>
      </c>
      <c r="M2254" s="1">
        <v>0.72499999999999998</v>
      </c>
      <c r="N2254">
        <v>1</v>
      </c>
      <c r="O2254" s="1">
        <v>-6.1269999999999998</v>
      </c>
      <c r="P2254">
        <v>1</v>
      </c>
      <c r="Q2254" s="1">
        <v>0.26600000000000001</v>
      </c>
      <c r="R2254" s="1">
        <v>0.10199999999999999</v>
      </c>
      <c r="S2254" s="1">
        <v>0.47899999999999998</v>
      </c>
      <c r="T2254" s="1">
        <v>0.56100000000000005</v>
      </c>
      <c r="U2254" s="1">
        <v>0.72899999999999998</v>
      </c>
      <c r="V2254" s="1">
        <v>191.94399999999999</v>
      </c>
      <c r="W2254">
        <v>4</v>
      </c>
    </row>
    <row r="2255" spans="1:23" x14ac:dyDescent="0.25">
      <c r="A2255" s="1" t="s">
        <v>18541</v>
      </c>
      <c r="B2255" s="1" t="s">
        <v>14709</v>
      </c>
      <c r="C2255" s="1" t="s">
        <v>6411</v>
      </c>
      <c r="D2255" s="1" t="s">
        <v>18542</v>
      </c>
      <c r="E2255" s="1" t="s">
        <v>3009</v>
      </c>
      <c r="F2255" s="1" t="s">
        <v>16130</v>
      </c>
      <c r="G2255">
        <v>211666</v>
      </c>
      <c r="H2255">
        <v>77</v>
      </c>
      <c r="I2255" s="1" t="s">
        <v>11063</v>
      </c>
      <c r="J2255" s="11">
        <v>44729.706458333334</v>
      </c>
      <c r="K2255" s="1" t="s">
        <v>3010</v>
      </c>
      <c r="L2255" s="1">
        <v>0.628</v>
      </c>
      <c r="M2255" s="1">
        <v>0.69799999999999995</v>
      </c>
      <c r="N2255">
        <v>6</v>
      </c>
      <c r="O2255" s="1">
        <v>-5.6079999999999997</v>
      </c>
      <c r="P2255">
        <v>0</v>
      </c>
      <c r="Q2255" s="1">
        <v>0.105</v>
      </c>
      <c r="R2255" s="1">
        <v>0.47199999999999998</v>
      </c>
      <c r="S2255" s="1">
        <v>0.14299999999999999</v>
      </c>
      <c r="T2255" s="1">
        <v>0.90700000000000003</v>
      </c>
      <c r="U2255" s="1">
        <v>0.73199999999999998</v>
      </c>
      <c r="V2255" s="1">
        <v>89.975999999999999</v>
      </c>
      <c r="W2255">
        <v>4</v>
      </c>
    </row>
    <row r="2256" spans="1:23" x14ac:dyDescent="0.25">
      <c r="A2256" s="1" t="s">
        <v>18543</v>
      </c>
      <c r="B2256" s="1" t="s">
        <v>14709</v>
      </c>
      <c r="C2256" s="1" t="s">
        <v>6412</v>
      </c>
      <c r="D2256" s="1" t="s">
        <v>18544</v>
      </c>
      <c r="E2256" s="1" t="s">
        <v>3009</v>
      </c>
      <c r="F2256" s="1" t="s">
        <v>18545</v>
      </c>
      <c r="G2256">
        <v>216120</v>
      </c>
      <c r="H2256">
        <v>78</v>
      </c>
      <c r="I2256" s="1" t="s">
        <v>11063</v>
      </c>
      <c r="J2256" s="11">
        <v>44729.706458333334</v>
      </c>
      <c r="K2256" s="1" t="s">
        <v>3010</v>
      </c>
      <c r="L2256" s="1">
        <v>0.39900000000000002</v>
      </c>
      <c r="M2256" s="1">
        <v>0.78700000000000003</v>
      </c>
      <c r="N2256">
        <v>1</v>
      </c>
      <c r="O2256" s="1">
        <v>-2.88</v>
      </c>
      <c r="P2256">
        <v>1</v>
      </c>
      <c r="Q2256" s="1">
        <v>0.499</v>
      </c>
      <c r="R2256" s="1">
        <v>0.19700000000000001</v>
      </c>
      <c r="S2256" s="1">
        <v>0.60699999999999998</v>
      </c>
      <c r="T2256" s="1">
        <v>0.68500000000000005</v>
      </c>
      <c r="U2256" s="1">
        <v>0.57199999999999995</v>
      </c>
      <c r="V2256" s="1">
        <v>117.089</v>
      </c>
      <c r="W2256">
        <v>5</v>
      </c>
    </row>
    <row r="2257" spans="1:23" x14ac:dyDescent="0.25">
      <c r="A2257" s="1" t="s">
        <v>18546</v>
      </c>
      <c r="B2257" s="1" t="s">
        <v>18547</v>
      </c>
      <c r="C2257" s="1" t="s">
        <v>6413</v>
      </c>
      <c r="D2257" s="1" t="s">
        <v>6413</v>
      </c>
      <c r="E2257" s="1" t="s">
        <v>6414</v>
      </c>
      <c r="F2257" s="1" t="s">
        <v>18548</v>
      </c>
      <c r="G2257">
        <v>233520</v>
      </c>
      <c r="H2257">
        <v>35</v>
      </c>
      <c r="I2257" s="1" t="s">
        <v>11063</v>
      </c>
      <c r="J2257" s="11">
        <v>44729.706458333334</v>
      </c>
      <c r="K2257" s="1" t="s">
        <v>6415</v>
      </c>
      <c r="L2257" s="1">
        <v>0.72799999999999998</v>
      </c>
      <c r="M2257" s="1">
        <v>0.58799999999999997</v>
      </c>
      <c r="N2257">
        <v>0</v>
      </c>
      <c r="O2257" s="1">
        <v>-9.6210000000000004</v>
      </c>
      <c r="P2257">
        <v>0</v>
      </c>
      <c r="Q2257" s="1">
        <v>0.46400000000000002</v>
      </c>
      <c r="R2257" s="1">
        <v>0.93300000000000005</v>
      </c>
      <c r="S2257" s="1">
        <v>0.37</v>
      </c>
      <c r="T2257" s="1">
        <v>0.42199999999999999</v>
      </c>
      <c r="U2257" s="1">
        <v>0.32600000000000001</v>
      </c>
      <c r="V2257" s="1">
        <v>125.01900000000001</v>
      </c>
      <c r="W2257">
        <v>4</v>
      </c>
    </row>
    <row r="2258" spans="1:23" x14ac:dyDescent="0.25">
      <c r="A2258" s="1" t="s">
        <v>18549</v>
      </c>
      <c r="B2258" s="1" t="s">
        <v>18550</v>
      </c>
      <c r="C2258" s="1" t="s">
        <v>6416</v>
      </c>
      <c r="D2258" s="1" t="s">
        <v>6416</v>
      </c>
      <c r="E2258" s="1" t="s">
        <v>6417</v>
      </c>
      <c r="F2258" s="1" t="s">
        <v>15101</v>
      </c>
      <c r="G2258">
        <v>197052</v>
      </c>
      <c r="H2258">
        <v>49</v>
      </c>
      <c r="I2258" s="1" t="s">
        <v>11063</v>
      </c>
      <c r="J2258" s="11">
        <v>44729.706458333334</v>
      </c>
      <c r="K2258" s="1" t="s">
        <v>6415</v>
      </c>
      <c r="L2258" s="1">
        <v>0.54100000000000004</v>
      </c>
      <c r="M2258" s="1">
        <v>0.65</v>
      </c>
      <c r="N2258">
        <v>8</v>
      </c>
      <c r="O2258" s="1">
        <v>-4.665</v>
      </c>
      <c r="P2258">
        <v>0</v>
      </c>
      <c r="Q2258" s="1">
        <v>0.41399999999999998</v>
      </c>
      <c r="R2258" s="1">
        <v>0.21099999999999999</v>
      </c>
      <c r="S2258" s="1">
        <v>0.128</v>
      </c>
      <c r="T2258" s="1">
        <v>0.1</v>
      </c>
      <c r="U2258" s="1">
        <v>0.35599999999999998</v>
      </c>
      <c r="V2258" s="1">
        <v>95.019000000000005</v>
      </c>
      <c r="W2258">
        <v>4</v>
      </c>
    </row>
    <row r="2259" spans="1:23" x14ac:dyDescent="0.25">
      <c r="A2259" s="1" t="s">
        <v>18551</v>
      </c>
      <c r="B2259" s="1" t="s">
        <v>18552</v>
      </c>
      <c r="C2259" s="1" t="s">
        <v>6418</v>
      </c>
      <c r="D2259" s="1" t="s">
        <v>18553</v>
      </c>
      <c r="E2259" s="1" t="s">
        <v>6419</v>
      </c>
      <c r="F2259" s="1" t="s">
        <v>15082</v>
      </c>
      <c r="G2259">
        <v>218893</v>
      </c>
      <c r="H2259">
        <v>37</v>
      </c>
      <c r="I2259" s="1" t="s">
        <v>11063</v>
      </c>
      <c r="J2259" s="11">
        <v>44729.706458333334</v>
      </c>
      <c r="K2259" s="1" t="s">
        <v>947</v>
      </c>
      <c r="L2259" s="1">
        <v>0.57399999999999995</v>
      </c>
      <c r="M2259" s="1">
        <v>0.72499999999999998</v>
      </c>
      <c r="N2259">
        <v>5</v>
      </c>
      <c r="O2259" s="1">
        <v>-7.1950000000000003</v>
      </c>
      <c r="P2259">
        <v>1</v>
      </c>
      <c r="Q2259" s="1">
        <v>0.38400000000000001</v>
      </c>
      <c r="R2259" s="1">
        <v>0.124</v>
      </c>
      <c r="S2259" s="1">
        <v>0.11899999999999999</v>
      </c>
      <c r="T2259" s="1">
        <v>0.53</v>
      </c>
      <c r="U2259" s="1">
        <v>0.53300000000000003</v>
      </c>
      <c r="V2259" s="1">
        <v>148.03</v>
      </c>
      <c r="W2259">
        <v>4</v>
      </c>
    </row>
    <row r="2260" spans="1:23" x14ac:dyDescent="0.25">
      <c r="A2260" s="1" t="s">
        <v>11086</v>
      </c>
      <c r="B2260" s="1" t="s">
        <v>11087</v>
      </c>
      <c r="C2260" s="1" t="s">
        <v>2345</v>
      </c>
      <c r="D2260" s="1" t="s">
        <v>2345</v>
      </c>
      <c r="E2260" s="1" t="s">
        <v>6420</v>
      </c>
      <c r="F2260" s="1" t="s">
        <v>18554</v>
      </c>
      <c r="G2260">
        <v>173156</v>
      </c>
      <c r="H2260">
        <v>17</v>
      </c>
      <c r="I2260" s="1" t="s">
        <v>11063</v>
      </c>
      <c r="J2260" s="11">
        <v>44729.706458333334</v>
      </c>
      <c r="K2260" s="1" t="s">
        <v>6421</v>
      </c>
      <c r="L2260" s="1">
        <v>0.47899999999999998</v>
      </c>
      <c r="M2260" s="1">
        <v>0.63800000000000001</v>
      </c>
      <c r="N2260">
        <v>11</v>
      </c>
      <c r="O2260" s="1">
        <v>-7.867</v>
      </c>
      <c r="P2260">
        <v>0</v>
      </c>
      <c r="Q2260" s="1">
        <v>0.38200000000000001</v>
      </c>
      <c r="R2260" s="1">
        <v>0.33500000000000002</v>
      </c>
      <c r="S2260" s="1">
        <v>0.152</v>
      </c>
      <c r="T2260" s="1">
        <v>0.109</v>
      </c>
      <c r="U2260" s="1">
        <v>0.16700000000000001</v>
      </c>
      <c r="V2260" s="1">
        <v>140.04900000000001</v>
      </c>
      <c r="W2260">
        <v>4</v>
      </c>
    </row>
    <row r="2261" spans="1:23" x14ac:dyDescent="0.25">
      <c r="A2261" s="1" t="s">
        <v>18555</v>
      </c>
      <c r="B2261" s="1" t="s">
        <v>18556</v>
      </c>
      <c r="C2261" s="1" t="s">
        <v>4528</v>
      </c>
      <c r="D2261" s="1" t="s">
        <v>4528</v>
      </c>
      <c r="E2261" s="1" t="s">
        <v>6422</v>
      </c>
      <c r="F2261" s="1" t="s">
        <v>11722</v>
      </c>
      <c r="G2261">
        <v>293333</v>
      </c>
      <c r="H2261">
        <v>36</v>
      </c>
      <c r="I2261" s="1" t="s">
        <v>11063</v>
      </c>
      <c r="J2261" s="11">
        <v>44729.706458333334</v>
      </c>
      <c r="K2261" s="1" t="s">
        <v>50</v>
      </c>
      <c r="L2261" s="1">
        <v>0.19900000000000001</v>
      </c>
      <c r="M2261" s="1">
        <v>0.66800000000000004</v>
      </c>
      <c r="N2261">
        <v>3</v>
      </c>
      <c r="O2261" s="1">
        <v>-7.3369999999999997</v>
      </c>
      <c r="P2261">
        <v>1</v>
      </c>
      <c r="Q2261" s="1">
        <v>0.71299999999999997</v>
      </c>
      <c r="R2261" s="1">
        <v>0.52300000000000002</v>
      </c>
      <c r="S2261" s="1">
        <v>0</v>
      </c>
      <c r="T2261" s="1">
        <v>0.218</v>
      </c>
      <c r="U2261" s="1">
        <v>0.218</v>
      </c>
      <c r="V2261" s="1">
        <v>179.60499999999999</v>
      </c>
      <c r="W2261">
        <v>4</v>
      </c>
    </row>
    <row r="2262" spans="1:23" x14ac:dyDescent="0.25">
      <c r="A2262" s="1" t="s">
        <v>18557</v>
      </c>
      <c r="B2262" s="1" t="s">
        <v>18558</v>
      </c>
      <c r="C2262" s="1" t="s">
        <v>6423</v>
      </c>
      <c r="D2262" s="1" t="s">
        <v>6423</v>
      </c>
      <c r="E2262" s="1" t="s">
        <v>6424</v>
      </c>
      <c r="F2262" s="1" t="s">
        <v>18559</v>
      </c>
      <c r="G2262">
        <v>200072</v>
      </c>
      <c r="H2262">
        <v>25</v>
      </c>
      <c r="I2262" s="1" t="s">
        <v>11063</v>
      </c>
      <c r="J2262" s="11">
        <v>44729.706458333334</v>
      </c>
      <c r="K2262" s="1" t="s">
        <v>50</v>
      </c>
      <c r="L2262" s="1">
        <v>0.58899999999999997</v>
      </c>
      <c r="M2262" s="1">
        <v>0.80700000000000005</v>
      </c>
      <c r="N2262">
        <v>6</v>
      </c>
      <c r="O2262" s="1">
        <v>-6.6260000000000003</v>
      </c>
      <c r="P2262">
        <v>0</v>
      </c>
      <c r="Q2262" s="1">
        <v>0.91700000000000004</v>
      </c>
      <c r="R2262" s="1">
        <v>0.16400000000000001</v>
      </c>
      <c r="S2262" s="1">
        <v>0</v>
      </c>
      <c r="T2262" s="1">
        <v>0.183</v>
      </c>
      <c r="U2262" s="1">
        <v>0.499</v>
      </c>
      <c r="V2262" s="1">
        <v>149.904</v>
      </c>
      <c r="W2262">
        <v>4</v>
      </c>
    </row>
    <row r="2263" spans="1:23" x14ac:dyDescent="0.25">
      <c r="A2263" s="1" t="s">
        <v>11088</v>
      </c>
      <c r="B2263" s="1" t="s">
        <v>11089</v>
      </c>
      <c r="C2263" s="1" t="s">
        <v>6425</v>
      </c>
      <c r="D2263" s="1" t="s">
        <v>11090</v>
      </c>
      <c r="E2263" s="1" t="s">
        <v>6426</v>
      </c>
      <c r="F2263" s="1" t="s">
        <v>11563</v>
      </c>
      <c r="G2263">
        <v>237000</v>
      </c>
      <c r="H2263">
        <v>0</v>
      </c>
      <c r="I2263" s="1" t="s">
        <v>11063</v>
      </c>
      <c r="J2263" s="11">
        <v>44729.706458333334</v>
      </c>
      <c r="K2263" s="1" t="s">
        <v>6427</v>
      </c>
      <c r="L2263" s="1">
        <v>0.57699999999999996</v>
      </c>
      <c r="M2263" s="1">
        <v>0.92400000000000004</v>
      </c>
      <c r="N2263">
        <v>4</v>
      </c>
      <c r="O2263" s="1">
        <v>-2.298</v>
      </c>
      <c r="P2263">
        <v>0</v>
      </c>
      <c r="Q2263" s="1">
        <v>0.95399999999999996</v>
      </c>
      <c r="R2263" s="1">
        <v>0.152</v>
      </c>
      <c r="S2263" s="1">
        <v>0.54</v>
      </c>
      <c r="T2263" s="1">
        <v>0.14399999999999999</v>
      </c>
      <c r="U2263" s="1">
        <v>0.29899999999999999</v>
      </c>
      <c r="V2263" s="1">
        <v>140.083</v>
      </c>
      <c r="W2263">
        <v>4</v>
      </c>
    </row>
    <row r="2264" spans="1:23" x14ac:dyDescent="0.25">
      <c r="A2264" s="1" t="s">
        <v>18560</v>
      </c>
      <c r="B2264" s="1" t="s">
        <v>14725</v>
      </c>
      <c r="C2264" s="1" t="s">
        <v>6428</v>
      </c>
      <c r="D2264" s="1" t="s">
        <v>18561</v>
      </c>
      <c r="E2264" s="1" t="s">
        <v>3024</v>
      </c>
      <c r="F2264" s="1" t="s">
        <v>16150</v>
      </c>
      <c r="G2264">
        <v>212571</v>
      </c>
      <c r="H2264">
        <v>46</v>
      </c>
      <c r="I2264" s="1" t="s">
        <v>11063</v>
      </c>
      <c r="J2264" s="11">
        <v>44729.706458333334</v>
      </c>
      <c r="K2264" s="1" t="s">
        <v>2939</v>
      </c>
      <c r="L2264" s="1">
        <v>0.65700000000000003</v>
      </c>
      <c r="M2264" s="1">
        <v>0.48399999999999999</v>
      </c>
      <c r="N2264">
        <v>1</v>
      </c>
      <c r="O2264" s="1">
        <v>-5.0890000000000004</v>
      </c>
      <c r="P2264">
        <v>0</v>
      </c>
      <c r="Q2264" s="1">
        <v>0.254</v>
      </c>
      <c r="R2264" s="1">
        <v>0.51600000000000001</v>
      </c>
      <c r="S2264" s="1">
        <v>0</v>
      </c>
      <c r="T2264" s="1">
        <v>0.11799999999999999</v>
      </c>
      <c r="U2264" s="1">
        <v>0.23699999999999999</v>
      </c>
      <c r="V2264" s="1">
        <v>139.80600000000001</v>
      </c>
      <c r="W2264">
        <v>4</v>
      </c>
    </row>
    <row r="2265" spans="1:23" x14ac:dyDescent="0.25">
      <c r="A2265" s="1" t="s">
        <v>18562</v>
      </c>
      <c r="B2265" s="1" t="s">
        <v>18563</v>
      </c>
      <c r="C2265" s="1" t="s">
        <v>6429</v>
      </c>
      <c r="D2265" s="1" t="s">
        <v>6429</v>
      </c>
      <c r="E2265" s="1" t="s">
        <v>6430</v>
      </c>
      <c r="F2265" s="1" t="s">
        <v>18564</v>
      </c>
      <c r="G2265">
        <v>165530</v>
      </c>
      <c r="H2265">
        <v>12</v>
      </c>
      <c r="I2265" s="1" t="s">
        <v>11063</v>
      </c>
      <c r="J2265" s="11">
        <v>44729.706458333334</v>
      </c>
      <c r="K2265" s="1" t="s">
        <v>50</v>
      </c>
      <c r="L2265" s="1">
        <v>0.53</v>
      </c>
      <c r="M2265" s="1">
        <v>0.79200000000000004</v>
      </c>
      <c r="N2265">
        <v>5</v>
      </c>
      <c r="O2265" s="1">
        <v>-5.32</v>
      </c>
      <c r="P2265">
        <v>0</v>
      </c>
      <c r="Q2265" s="1">
        <v>0.23499999999999999</v>
      </c>
      <c r="R2265" s="1">
        <v>0.53100000000000003</v>
      </c>
      <c r="S2265" s="1">
        <v>0.28899999999999998</v>
      </c>
      <c r="T2265" s="1">
        <v>0.13500000000000001</v>
      </c>
      <c r="U2265" s="1">
        <v>0.31900000000000001</v>
      </c>
      <c r="V2265" s="1">
        <v>144.709</v>
      </c>
      <c r="W2265">
        <v>4</v>
      </c>
    </row>
    <row r="2266" spans="1:23" x14ac:dyDescent="0.25">
      <c r="A2266" s="1" t="s">
        <v>18565</v>
      </c>
      <c r="B2266" s="1" t="s">
        <v>12017</v>
      </c>
      <c r="C2266" s="1" t="s">
        <v>556</v>
      </c>
      <c r="D2266" s="1" t="s">
        <v>12018</v>
      </c>
      <c r="E2266" s="1" t="s">
        <v>557</v>
      </c>
      <c r="F2266" s="1" t="s">
        <v>15619</v>
      </c>
      <c r="G2266">
        <v>243900</v>
      </c>
      <c r="H2266">
        <v>0</v>
      </c>
      <c r="I2266" s="1" t="s">
        <v>11063</v>
      </c>
      <c r="J2266" s="11">
        <v>44729.706458333334</v>
      </c>
      <c r="K2266" s="1" t="s">
        <v>537</v>
      </c>
      <c r="L2266" s="1">
        <v>0.753</v>
      </c>
      <c r="M2266" s="1">
        <v>0.99099999999999999</v>
      </c>
      <c r="N2266">
        <v>9</v>
      </c>
      <c r="O2266" s="1">
        <v>-1.599</v>
      </c>
      <c r="P2266">
        <v>1</v>
      </c>
      <c r="Q2266" s="1">
        <v>0.107</v>
      </c>
      <c r="R2266" s="1">
        <v>0.19800000000000001</v>
      </c>
      <c r="S2266" s="1">
        <v>0.76100000000000001</v>
      </c>
      <c r="T2266" s="1">
        <v>0.115</v>
      </c>
      <c r="U2266" s="1">
        <v>0.44800000000000001</v>
      </c>
      <c r="V2266" s="1">
        <v>99.998999999999995</v>
      </c>
      <c r="W2266">
        <v>4</v>
      </c>
    </row>
    <row r="2267" spans="1:23" x14ac:dyDescent="0.25">
      <c r="A2267" s="1" t="s">
        <v>18566</v>
      </c>
      <c r="B2267" s="1" t="s">
        <v>18567</v>
      </c>
      <c r="C2267" s="1" t="s">
        <v>6431</v>
      </c>
      <c r="D2267" s="1" t="s">
        <v>6431</v>
      </c>
      <c r="E2267" s="1" t="s">
        <v>6432</v>
      </c>
      <c r="F2267" s="1" t="s">
        <v>17442</v>
      </c>
      <c r="G2267">
        <v>265659</v>
      </c>
      <c r="H2267">
        <v>50</v>
      </c>
      <c r="I2267" s="1" t="s">
        <v>11063</v>
      </c>
      <c r="J2267" s="11">
        <v>44729.706458333334</v>
      </c>
      <c r="K2267" s="1" t="s">
        <v>6433</v>
      </c>
      <c r="L2267" s="1">
        <v>0.49</v>
      </c>
      <c r="M2267" s="1">
        <v>0.72</v>
      </c>
      <c r="N2267">
        <v>9</v>
      </c>
      <c r="O2267" s="1">
        <v>-3.7970000000000002</v>
      </c>
      <c r="P2267">
        <v>0</v>
      </c>
      <c r="Q2267" s="1">
        <v>0.35099999999999998</v>
      </c>
      <c r="R2267" s="1">
        <v>0.69099999999999995</v>
      </c>
      <c r="S2267" s="1">
        <v>0</v>
      </c>
      <c r="T2267" s="1">
        <v>0.121</v>
      </c>
      <c r="U2267" s="1">
        <v>0.42799999999999999</v>
      </c>
      <c r="V2267" s="1">
        <v>125.99299999999999</v>
      </c>
      <c r="W2267">
        <v>4</v>
      </c>
    </row>
    <row r="2268" spans="1:23" x14ac:dyDescent="0.25">
      <c r="A2268" s="1" t="s">
        <v>18568</v>
      </c>
      <c r="B2268" s="1" t="s">
        <v>18569</v>
      </c>
      <c r="C2268" s="1" t="s">
        <v>6434</v>
      </c>
      <c r="D2268" s="1" t="s">
        <v>6434</v>
      </c>
      <c r="E2268" s="1" t="s">
        <v>6435</v>
      </c>
      <c r="F2268" s="1" t="s">
        <v>18570</v>
      </c>
      <c r="G2268">
        <v>275646</v>
      </c>
      <c r="H2268">
        <v>48</v>
      </c>
      <c r="I2268" s="1" t="s">
        <v>11063</v>
      </c>
      <c r="J2268" s="11">
        <v>44729.706458333334</v>
      </c>
      <c r="K2268" s="1" t="s">
        <v>6436</v>
      </c>
      <c r="L2268" s="1">
        <v>0.46600000000000003</v>
      </c>
      <c r="M2268" s="1">
        <v>0.93</v>
      </c>
      <c r="N2268">
        <v>4</v>
      </c>
      <c r="O2268" s="1">
        <v>-2.5550000000000002</v>
      </c>
      <c r="P2268">
        <v>0</v>
      </c>
      <c r="Q2268" s="1">
        <v>0.627</v>
      </c>
      <c r="R2268" s="1">
        <v>0.70699999999999996</v>
      </c>
      <c r="S2268" s="1">
        <v>0.9</v>
      </c>
      <c r="T2268" s="1">
        <v>0.33</v>
      </c>
      <c r="U2268" s="1">
        <v>0.13400000000000001</v>
      </c>
      <c r="V2268" s="1">
        <v>129.99</v>
      </c>
      <c r="W2268">
        <v>4</v>
      </c>
    </row>
    <row r="2269" spans="1:23" x14ac:dyDescent="0.25">
      <c r="A2269" s="1" t="s">
        <v>18571</v>
      </c>
      <c r="B2269" s="1" t="s">
        <v>13969</v>
      </c>
      <c r="C2269" s="1" t="s">
        <v>6437</v>
      </c>
      <c r="D2269" s="1" t="s">
        <v>6437</v>
      </c>
      <c r="E2269" s="1" t="s">
        <v>2375</v>
      </c>
      <c r="F2269" s="1" t="s">
        <v>18572</v>
      </c>
      <c r="G2269">
        <v>144182</v>
      </c>
      <c r="H2269">
        <v>30</v>
      </c>
      <c r="I2269" s="1" t="s">
        <v>11063</v>
      </c>
      <c r="J2269" s="11">
        <v>44729.706458333334</v>
      </c>
      <c r="K2269" s="1" t="s">
        <v>2376</v>
      </c>
      <c r="L2269" s="1">
        <v>0.76200000000000001</v>
      </c>
      <c r="M2269" s="1">
        <v>0.86099999999999999</v>
      </c>
      <c r="N2269">
        <v>4</v>
      </c>
      <c r="O2269" s="1">
        <v>-3.4609999999999999</v>
      </c>
      <c r="P2269">
        <v>0</v>
      </c>
      <c r="Q2269" s="1">
        <v>0.52500000000000002</v>
      </c>
      <c r="R2269" s="1">
        <v>0.122</v>
      </c>
      <c r="S2269" s="1">
        <v>0.77500000000000002</v>
      </c>
      <c r="T2269" s="1">
        <v>0.16300000000000001</v>
      </c>
      <c r="U2269" s="1">
        <v>0.63700000000000001</v>
      </c>
      <c r="V2269" s="1">
        <v>120.004</v>
      </c>
      <c r="W2269">
        <v>4</v>
      </c>
    </row>
    <row r="2270" spans="1:23" x14ac:dyDescent="0.25">
      <c r="A2270" s="1" t="s">
        <v>18573</v>
      </c>
      <c r="B2270" s="1" t="s">
        <v>18574</v>
      </c>
      <c r="C2270" s="1" t="s">
        <v>6438</v>
      </c>
      <c r="D2270" s="1" t="s">
        <v>6438</v>
      </c>
      <c r="E2270" s="1" t="s">
        <v>6439</v>
      </c>
      <c r="F2270" s="1" t="s">
        <v>11605</v>
      </c>
      <c r="G2270">
        <v>160000</v>
      </c>
      <c r="H2270">
        <v>40</v>
      </c>
      <c r="I2270" s="1" t="s">
        <v>11063</v>
      </c>
      <c r="J2270" s="11">
        <v>44729.706458333334</v>
      </c>
      <c r="K2270" s="1" t="s">
        <v>1001</v>
      </c>
      <c r="L2270" s="1">
        <v>0.68200000000000005</v>
      </c>
      <c r="M2270" s="1">
        <v>0.56000000000000005</v>
      </c>
      <c r="N2270">
        <v>0</v>
      </c>
      <c r="O2270" s="1">
        <v>-6.66</v>
      </c>
      <c r="P2270">
        <v>0</v>
      </c>
      <c r="Q2270" s="1">
        <v>0.41599999999999998</v>
      </c>
      <c r="R2270" s="1">
        <v>0.46400000000000002</v>
      </c>
      <c r="S2270" s="1">
        <v>0.32</v>
      </c>
      <c r="T2270" s="1">
        <v>0.111</v>
      </c>
      <c r="U2270" s="1">
        <v>0.439</v>
      </c>
      <c r="V2270" s="1">
        <v>90.036000000000001</v>
      </c>
      <c r="W2270">
        <v>4</v>
      </c>
    </row>
    <row r="2271" spans="1:23" x14ac:dyDescent="0.25">
      <c r="A2271" s="1" t="s">
        <v>18575</v>
      </c>
      <c r="B2271" s="1" t="s">
        <v>18576</v>
      </c>
      <c r="C2271" s="1" t="s">
        <v>2184</v>
      </c>
      <c r="D2271" s="1" t="s">
        <v>2184</v>
      </c>
      <c r="E2271" s="1" t="s">
        <v>6440</v>
      </c>
      <c r="F2271" s="1" t="s">
        <v>14101</v>
      </c>
      <c r="G2271">
        <v>193600</v>
      </c>
      <c r="H2271">
        <v>41</v>
      </c>
      <c r="I2271" s="1" t="s">
        <v>11063</v>
      </c>
      <c r="J2271" s="11">
        <v>44729.706458333334</v>
      </c>
      <c r="K2271" s="1" t="s">
        <v>1053</v>
      </c>
      <c r="L2271" s="1">
        <v>0.499</v>
      </c>
      <c r="M2271" s="1">
        <v>0.86399999999999999</v>
      </c>
      <c r="N2271">
        <v>0</v>
      </c>
      <c r="O2271" s="1">
        <v>-4.9290000000000003</v>
      </c>
      <c r="P2271">
        <v>1</v>
      </c>
      <c r="Q2271" s="1">
        <v>0.111</v>
      </c>
      <c r="R2271" s="1">
        <v>0.21299999999999999</v>
      </c>
      <c r="S2271" s="1">
        <v>0.74</v>
      </c>
      <c r="T2271" s="1">
        <v>0.90800000000000003</v>
      </c>
      <c r="U2271" s="1">
        <v>0.221</v>
      </c>
      <c r="V2271" s="1">
        <v>150.01400000000001</v>
      </c>
      <c r="W2271">
        <v>4</v>
      </c>
    </row>
    <row r="2272" spans="1:23" x14ac:dyDescent="0.25">
      <c r="A2272" s="1" t="s">
        <v>18577</v>
      </c>
      <c r="B2272" s="1" t="s">
        <v>18578</v>
      </c>
      <c r="C2272" s="1" t="s">
        <v>6441</v>
      </c>
      <c r="D2272" s="1" t="s">
        <v>6441</v>
      </c>
      <c r="E2272" s="1" t="s">
        <v>6442</v>
      </c>
      <c r="F2272" s="1" t="s">
        <v>14835</v>
      </c>
      <c r="G2272">
        <v>151312</v>
      </c>
      <c r="H2272">
        <v>29</v>
      </c>
      <c r="I2272" s="1" t="s">
        <v>11063</v>
      </c>
      <c r="J2272" s="11">
        <v>44729.706458333334</v>
      </c>
      <c r="K2272" s="1" t="s">
        <v>50</v>
      </c>
      <c r="L2272" s="1">
        <v>0.62</v>
      </c>
      <c r="M2272" s="1">
        <v>0.42399999999999999</v>
      </c>
      <c r="N2272">
        <v>2</v>
      </c>
      <c r="O2272" s="1">
        <v>-8.4489999999999998</v>
      </c>
      <c r="P2272">
        <v>0</v>
      </c>
      <c r="Q2272" s="1">
        <v>0.61399999999999999</v>
      </c>
      <c r="R2272" s="1">
        <v>0.28199999999999997</v>
      </c>
      <c r="S2272" s="1">
        <v>0.1</v>
      </c>
      <c r="T2272" s="1">
        <v>0.255</v>
      </c>
      <c r="U2272" s="1">
        <v>0.31</v>
      </c>
      <c r="V2272" s="1">
        <v>139.97499999999999</v>
      </c>
      <c r="W2272">
        <v>4</v>
      </c>
    </row>
    <row r="2273" spans="1:23" x14ac:dyDescent="0.25">
      <c r="A2273" s="1" t="s">
        <v>11091</v>
      </c>
      <c r="B2273" s="1" t="s">
        <v>11092</v>
      </c>
      <c r="C2273" s="1" t="s">
        <v>6443</v>
      </c>
      <c r="D2273" s="1" t="s">
        <v>6443</v>
      </c>
      <c r="E2273" s="1" t="s">
        <v>6444</v>
      </c>
      <c r="F2273" s="1" t="s">
        <v>16234</v>
      </c>
      <c r="G2273">
        <v>193500</v>
      </c>
      <c r="H2273">
        <v>36</v>
      </c>
      <c r="I2273" s="1" t="s">
        <v>11063</v>
      </c>
      <c r="J2273" s="11">
        <v>44729.706458333334</v>
      </c>
      <c r="K2273" s="1" t="s">
        <v>1439</v>
      </c>
      <c r="L2273" s="1">
        <v>0.66400000000000003</v>
      </c>
      <c r="M2273" s="1">
        <v>0.73099999999999998</v>
      </c>
      <c r="N2273">
        <v>1</v>
      </c>
      <c r="O2273" s="1">
        <v>-7.2649999999999997</v>
      </c>
      <c r="P2273">
        <v>0</v>
      </c>
      <c r="Q2273" s="1">
        <v>0.74</v>
      </c>
      <c r="R2273" s="1">
        <v>0.53700000000000003</v>
      </c>
      <c r="S2273" s="1">
        <v>0.253</v>
      </c>
      <c r="T2273" s="1">
        <v>0.41199999999999998</v>
      </c>
      <c r="U2273" s="1">
        <v>0.60699999999999998</v>
      </c>
      <c r="V2273" s="1">
        <v>115.002</v>
      </c>
      <c r="W2273">
        <v>4</v>
      </c>
    </row>
    <row r="2274" spans="1:23" x14ac:dyDescent="0.25">
      <c r="A2274" s="1" t="s">
        <v>18579</v>
      </c>
      <c r="B2274" s="1" t="s">
        <v>18580</v>
      </c>
      <c r="C2274" s="1" t="s">
        <v>6445</v>
      </c>
      <c r="D2274" s="1" t="s">
        <v>6445</v>
      </c>
      <c r="E2274" s="1" t="s">
        <v>6446</v>
      </c>
      <c r="F2274" s="1" t="s">
        <v>18581</v>
      </c>
      <c r="G2274">
        <v>199697</v>
      </c>
      <c r="H2274">
        <v>42</v>
      </c>
      <c r="I2274" s="1" t="s">
        <v>11063</v>
      </c>
      <c r="J2274" s="11">
        <v>44729.706458333334</v>
      </c>
      <c r="K2274" s="1" t="s">
        <v>6447</v>
      </c>
      <c r="L2274" s="1">
        <v>0.53800000000000003</v>
      </c>
      <c r="M2274" s="1">
        <v>0.47</v>
      </c>
      <c r="N2274">
        <v>5</v>
      </c>
      <c r="O2274" s="1">
        <v>-8.9350000000000005</v>
      </c>
      <c r="P2274">
        <v>0</v>
      </c>
      <c r="Q2274" s="1">
        <v>0.57999999999999996</v>
      </c>
      <c r="R2274" s="1">
        <v>0.69099999999999995</v>
      </c>
      <c r="S2274" s="1">
        <v>0</v>
      </c>
      <c r="T2274" s="1">
        <v>0.122</v>
      </c>
      <c r="U2274" s="1">
        <v>0.17399999999999999</v>
      </c>
      <c r="V2274" s="1">
        <v>102.59099999999999</v>
      </c>
      <c r="W2274">
        <v>4</v>
      </c>
    </row>
    <row r="2275" spans="1:23" x14ac:dyDescent="0.25">
      <c r="A2275" s="1" t="s">
        <v>18582</v>
      </c>
      <c r="B2275" s="1" t="s">
        <v>18583</v>
      </c>
      <c r="C2275" s="1" t="s">
        <v>6448</v>
      </c>
      <c r="D2275" s="1" t="s">
        <v>6448</v>
      </c>
      <c r="E2275" s="1" t="s">
        <v>6449</v>
      </c>
      <c r="F2275" s="1" t="s">
        <v>14717</v>
      </c>
      <c r="G2275">
        <v>195462</v>
      </c>
      <c r="H2275">
        <v>37</v>
      </c>
      <c r="I2275" s="1" t="s">
        <v>11063</v>
      </c>
      <c r="J2275" s="11">
        <v>44729.706458333334</v>
      </c>
      <c r="K2275" s="1" t="s">
        <v>50</v>
      </c>
      <c r="L2275" s="1">
        <v>0.64200000000000002</v>
      </c>
      <c r="M2275" s="1">
        <v>0.72799999999999998</v>
      </c>
      <c r="N2275">
        <v>4</v>
      </c>
      <c r="O2275" s="1">
        <v>-4.8470000000000004</v>
      </c>
      <c r="P2275">
        <v>1</v>
      </c>
      <c r="Q2275" s="1">
        <v>0.42199999999999999</v>
      </c>
      <c r="R2275" s="1">
        <v>0.108</v>
      </c>
      <c r="S2275" s="1">
        <v>0</v>
      </c>
      <c r="T2275" s="1">
        <v>0.217</v>
      </c>
      <c r="U2275" s="1">
        <v>0.53300000000000003</v>
      </c>
      <c r="V2275" s="1">
        <v>150.024</v>
      </c>
      <c r="W2275">
        <v>4</v>
      </c>
    </row>
    <row r="2276" spans="1:23" x14ac:dyDescent="0.25">
      <c r="A2276" s="1" t="s">
        <v>18584</v>
      </c>
      <c r="B2276" s="1" t="s">
        <v>18585</v>
      </c>
      <c r="C2276" s="1" t="s">
        <v>6450</v>
      </c>
      <c r="D2276" s="1" t="s">
        <v>6450</v>
      </c>
      <c r="E2276" s="1" t="s">
        <v>6451</v>
      </c>
      <c r="F2276" s="1" t="s">
        <v>16214</v>
      </c>
      <c r="G2276">
        <v>257594</v>
      </c>
      <c r="H2276">
        <v>0</v>
      </c>
      <c r="I2276" s="1" t="s">
        <v>11063</v>
      </c>
      <c r="J2276" s="11">
        <v>44729.706458333334</v>
      </c>
      <c r="K2276" s="1" t="s">
        <v>50</v>
      </c>
      <c r="L2276" s="1">
        <v>0.40300000000000002</v>
      </c>
      <c r="M2276" s="1">
        <v>0.82299999999999995</v>
      </c>
      <c r="N2276">
        <v>2</v>
      </c>
      <c r="O2276" s="1">
        <v>-2.5569999999999999</v>
      </c>
      <c r="P2276">
        <v>0</v>
      </c>
      <c r="Q2276" s="1">
        <v>0.56100000000000005</v>
      </c>
      <c r="R2276" s="1">
        <v>0.36299999999999999</v>
      </c>
      <c r="S2276" s="1">
        <v>0</v>
      </c>
      <c r="T2276" s="1">
        <v>0.999</v>
      </c>
      <c r="U2276" s="1">
        <v>0.26800000000000002</v>
      </c>
      <c r="V2276" s="1">
        <v>160.05500000000001</v>
      </c>
      <c r="W2276">
        <v>4</v>
      </c>
    </row>
    <row r="2277" spans="1:23" x14ac:dyDescent="0.25">
      <c r="A2277" s="1" t="s">
        <v>18586</v>
      </c>
      <c r="B2277" s="1" t="s">
        <v>18587</v>
      </c>
      <c r="C2277" s="1" t="s">
        <v>422</v>
      </c>
      <c r="D2277" s="1" t="s">
        <v>422</v>
      </c>
      <c r="E2277" s="1" t="s">
        <v>6452</v>
      </c>
      <c r="F2277" s="1" t="s">
        <v>18588</v>
      </c>
      <c r="G2277">
        <v>185859</v>
      </c>
      <c r="H2277">
        <v>7</v>
      </c>
      <c r="I2277" s="1" t="s">
        <v>11063</v>
      </c>
      <c r="J2277" s="11">
        <v>44729.706458333334</v>
      </c>
      <c r="K2277" s="1" t="s">
        <v>50</v>
      </c>
      <c r="L2277" s="1">
        <v>0.58299999999999996</v>
      </c>
      <c r="M2277" s="1">
        <v>0.48799999999999999</v>
      </c>
      <c r="N2277">
        <v>0</v>
      </c>
      <c r="O2277" s="1">
        <v>-9.5839999999999996</v>
      </c>
      <c r="P2277">
        <v>1</v>
      </c>
      <c r="Q2277" s="1">
        <v>0.52100000000000002</v>
      </c>
      <c r="R2277" s="1">
        <v>0.42899999999999999</v>
      </c>
      <c r="S2277" s="1">
        <v>0</v>
      </c>
      <c r="T2277" s="1">
        <v>0.154</v>
      </c>
      <c r="U2277" s="1">
        <v>0.38300000000000001</v>
      </c>
      <c r="V2277" s="1">
        <v>127.962</v>
      </c>
      <c r="W2277">
        <v>4</v>
      </c>
    </row>
    <row r="2278" spans="1:23" x14ac:dyDescent="0.25">
      <c r="A2278" s="1" t="s">
        <v>18589</v>
      </c>
      <c r="B2278" s="1" t="s">
        <v>18590</v>
      </c>
      <c r="C2278" s="1" t="s">
        <v>6453</v>
      </c>
      <c r="D2278" s="1" t="s">
        <v>6453</v>
      </c>
      <c r="E2278" s="1" t="s">
        <v>6454</v>
      </c>
      <c r="F2278" s="1" t="s">
        <v>13465</v>
      </c>
      <c r="G2278">
        <v>230649</v>
      </c>
      <c r="H2278">
        <v>40</v>
      </c>
      <c r="I2278" s="1" t="s">
        <v>11063</v>
      </c>
      <c r="J2278" s="11">
        <v>44729.706458333334</v>
      </c>
      <c r="K2278" s="1" t="s">
        <v>1940</v>
      </c>
      <c r="L2278" s="1">
        <v>0.48499999999999999</v>
      </c>
      <c r="M2278" s="1">
        <v>0.55600000000000005</v>
      </c>
      <c r="N2278">
        <v>2</v>
      </c>
      <c r="O2278" s="1">
        <v>-8.0530000000000008</v>
      </c>
      <c r="P2278">
        <v>1</v>
      </c>
      <c r="Q2278" s="1">
        <v>0.33900000000000002</v>
      </c>
      <c r="R2278" s="1">
        <v>0.68899999999999995</v>
      </c>
      <c r="S2278" s="1">
        <v>0</v>
      </c>
      <c r="T2278" s="1">
        <v>0.87</v>
      </c>
      <c r="U2278" s="1">
        <v>0.30599999999999999</v>
      </c>
      <c r="V2278" s="1">
        <v>76.971999999999994</v>
      </c>
      <c r="W2278">
        <v>4</v>
      </c>
    </row>
    <row r="2279" spans="1:23" x14ac:dyDescent="0.25">
      <c r="A2279" s="1" t="s">
        <v>18591</v>
      </c>
      <c r="B2279" s="1" t="s">
        <v>18592</v>
      </c>
      <c r="C2279" s="1" t="s">
        <v>6455</v>
      </c>
      <c r="D2279" s="1" t="s">
        <v>6455</v>
      </c>
      <c r="E2279" s="1" t="s">
        <v>6456</v>
      </c>
      <c r="F2279" s="1" t="s">
        <v>18593</v>
      </c>
      <c r="G2279">
        <v>225906</v>
      </c>
      <c r="H2279">
        <v>0</v>
      </c>
      <c r="I2279" s="1" t="s">
        <v>11063</v>
      </c>
      <c r="J2279" s="11">
        <v>44729.706458333334</v>
      </c>
      <c r="K2279" s="1" t="s">
        <v>6457</v>
      </c>
      <c r="L2279" s="1">
        <v>0.36299999999999999</v>
      </c>
      <c r="M2279" s="1">
        <v>0.69</v>
      </c>
      <c r="N2279">
        <v>3</v>
      </c>
      <c r="O2279" s="1">
        <v>-6.9329999999999998</v>
      </c>
      <c r="P2279">
        <v>1</v>
      </c>
      <c r="Q2279" s="1">
        <v>0.65900000000000003</v>
      </c>
      <c r="R2279" s="1">
        <v>0.36899999999999999</v>
      </c>
      <c r="S2279" s="1">
        <v>0.30399999999999999</v>
      </c>
      <c r="T2279" s="1">
        <v>0.122</v>
      </c>
      <c r="U2279" s="1">
        <v>0.28000000000000003</v>
      </c>
      <c r="V2279" s="1">
        <v>169.94</v>
      </c>
      <c r="W2279">
        <v>4</v>
      </c>
    </row>
    <row r="2280" spans="1:23" x14ac:dyDescent="0.25">
      <c r="A2280" s="1" t="s">
        <v>18594</v>
      </c>
      <c r="B2280" s="1" t="s">
        <v>18595</v>
      </c>
      <c r="C2280" s="1" t="s">
        <v>6458</v>
      </c>
      <c r="D2280" s="1" t="s">
        <v>18596</v>
      </c>
      <c r="E2280" s="1" t="s">
        <v>6459</v>
      </c>
      <c r="F2280" s="1" t="s">
        <v>18597</v>
      </c>
      <c r="G2280">
        <v>173308</v>
      </c>
      <c r="H2280">
        <v>37</v>
      </c>
      <c r="I2280" s="1" t="s">
        <v>11063</v>
      </c>
      <c r="J2280" s="11">
        <v>44729.706458333334</v>
      </c>
      <c r="K2280" s="1" t="s">
        <v>6460</v>
      </c>
      <c r="L2280" s="1">
        <v>0.81699999999999995</v>
      </c>
      <c r="M2280" s="1">
        <v>0.78300000000000003</v>
      </c>
      <c r="N2280">
        <v>10</v>
      </c>
      <c r="O2280" s="1">
        <v>-4.37</v>
      </c>
      <c r="P2280">
        <v>0</v>
      </c>
      <c r="Q2280" s="1">
        <v>0.23400000000000001</v>
      </c>
      <c r="R2280" s="1">
        <v>0.41899999999999998</v>
      </c>
      <c r="S2280" s="1">
        <v>0.16900000000000001</v>
      </c>
      <c r="T2280" s="1">
        <v>0.81599999999999995</v>
      </c>
      <c r="U2280" s="1">
        <v>0.17599999999999999</v>
      </c>
      <c r="V2280" s="1">
        <v>160.00200000000001</v>
      </c>
      <c r="W2280">
        <v>3</v>
      </c>
    </row>
    <row r="2281" spans="1:23" x14ac:dyDescent="0.25">
      <c r="A2281" s="1" t="s">
        <v>18598</v>
      </c>
      <c r="B2281" s="1" t="s">
        <v>18599</v>
      </c>
      <c r="C2281" s="1" t="s">
        <v>6461</v>
      </c>
      <c r="D2281" s="1" t="s">
        <v>18600</v>
      </c>
      <c r="E2281" s="1" t="s">
        <v>6462</v>
      </c>
      <c r="F2281" s="1" t="s">
        <v>17607</v>
      </c>
      <c r="G2281">
        <v>224671</v>
      </c>
      <c r="H2281">
        <v>34</v>
      </c>
      <c r="I2281" s="1" t="s">
        <v>11063</v>
      </c>
      <c r="J2281" s="11">
        <v>44729.706458333334</v>
      </c>
      <c r="K2281" s="1" t="s">
        <v>6463</v>
      </c>
      <c r="L2281" s="1">
        <v>0.33700000000000002</v>
      </c>
      <c r="M2281" s="1">
        <v>0.55200000000000005</v>
      </c>
      <c r="N2281">
        <v>0</v>
      </c>
      <c r="O2281" s="1">
        <v>-5.508</v>
      </c>
      <c r="P2281">
        <v>0</v>
      </c>
      <c r="Q2281" s="1">
        <v>0.38700000000000001</v>
      </c>
      <c r="R2281" s="1">
        <v>0.61299999999999999</v>
      </c>
      <c r="S2281" s="1">
        <v>0</v>
      </c>
      <c r="T2281" s="1">
        <v>0.183</v>
      </c>
      <c r="U2281" s="1">
        <v>0.20300000000000001</v>
      </c>
      <c r="V2281" s="1">
        <v>137.03100000000001</v>
      </c>
      <c r="W2281">
        <v>4</v>
      </c>
    </row>
    <row r="2282" spans="1:23" x14ac:dyDescent="0.25">
      <c r="A2282" s="1" t="s">
        <v>18601</v>
      </c>
      <c r="B2282" s="1" t="s">
        <v>18602</v>
      </c>
      <c r="C2282" s="1" t="s">
        <v>6464</v>
      </c>
      <c r="D2282" s="1" t="s">
        <v>6464</v>
      </c>
      <c r="E2282" s="1" t="s">
        <v>6465</v>
      </c>
      <c r="F2282" s="1" t="s">
        <v>11722</v>
      </c>
      <c r="G2282">
        <v>239207</v>
      </c>
      <c r="H2282">
        <v>15</v>
      </c>
      <c r="I2282" s="1" t="s">
        <v>11063</v>
      </c>
      <c r="J2282" s="11">
        <v>44729.706458333334</v>
      </c>
      <c r="K2282" s="1" t="s">
        <v>1086</v>
      </c>
      <c r="L2282" s="1">
        <v>0.46</v>
      </c>
      <c r="M2282" s="1">
        <v>0.66900000000000004</v>
      </c>
      <c r="N2282">
        <v>9</v>
      </c>
      <c r="O2282" s="1">
        <v>-10.930999999999999</v>
      </c>
      <c r="P2282">
        <v>0</v>
      </c>
      <c r="Q2282" s="1">
        <v>0.56599999999999995</v>
      </c>
      <c r="R2282" s="1">
        <v>0.86599999999999999</v>
      </c>
      <c r="S2282" s="1">
        <v>0.86799999999999999</v>
      </c>
      <c r="T2282" s="1">
        <v>0.26400000000000001</v>
      </c>
      <c r="U2282" s="1">
        <v>0.47699999999999998</v>
      </c>
      <c r="V2282" s="1">
        <v>139.95400000000001</v>
      </c>
      <c r="W2282">
        <v>4</v>
      </c>
    </row>
    <row r="2283" spans="1:23" x14ac:dyDescent="0.25">
      <c r="A2283" s="1" t="s">
        <v>18603</v>
      </c>
      <c r="B2283" s="1" t="s">
        <v>18604</v>
      </c>
      <c r="C2283" s="1" t="s">
        <v>6466</v>
      </c>
      <c r="D2283" s="1" t="s">
        <v>18605</v>
      </c>
      <c r="E2283" s="1" t="s">
        <v>6467</v>
      </c>
      <c r="F2283" s="1" t="s">
        <v>13677</v>
      </c>
      <c r="G2283">
        <v>299105</v>
      </c>
      <c r="H2283">
        <v>29</v>
      </c>
      <c r="I2283" s="1" t="s">
        <v>11063</v>
      </c>
      <c r="J2283" s="11">
        <v>44729.706458333334</v>
      </c>
      <c r="K2283" s="1" t="s">
        <v>6468</v>
      </c>
      <c r="L2283" s="1">
        <v>0.52300000000000002</v>
      </c>
      <c r="M2283" s="1">
        <v>0.79700000000000004</v>
      </c>
      <c r="N2283">
        <v>4</v>
      </c>
      <c r="O2283" s="1">
        <v>-4.7770000000000001</v>
      </c>
      <c r="P2283">
        <v>0</v>
      </c>
      <c r="Q2283" s="1">
        <v>0.54900000000000004</v>
      </c>
      <c r="R2283" s="1">
        <v>0.29799999999999999</v>
      </c>
      <c r="S2283" s="1">
        <v>0.60399999999999998</v>
      </c>
      <c r="T2283" s="1">
        <v>0.127</v>
      </c>
      <c r="U2283" s="1">
        <v>0.11700000000000001</v>
      </c>
      <c r="V2283" s="1">
        <v>130.00700000000001</v>
      </c>
      <c r="W2283">
        <v>4</v>
      </c>
    </row>
    <row r="2284" spans="1:23" x14ac:dyDescent="0.25">
      <c r="A2284" s="1" t="s">
        <v>18606</v>
      </c>
      <c r="B2284" s="1" t="s">
        <v>18607</v>
      </c>
      <c r="C2284" s="1" t="s">
        <v>6469</v>
      </c>
      <c r="D2284" s="1" t="s">
        <v>6469</v>
      </c>
      <c r="E2284" s="1" t="s">
        <v>6470</v>
      </c>
      <c r="F2284" s="1" t="s">
        <v>17067</v>
      </c>
      <c r="G2284">
        <v>195992</v>
      </c>
      <c r="H2284">
        <v>20</v>
      </c>
      <c r="I2284" s="1" t="s">
        <v>11063</v>
      </c>
      <c r="J2284" s="11">
        <v>44729.706458333334</v>
      </c>
      <c r="K2284" s="1" t="s">
        <v>6471</v>
      </c>
      <c r="L2284" s="1">
        <v>0.60499999999999998</v>
      </c>
      <c r="M2284" s="1">
        <v>0.80700000000000005</v>
      </c>
      <c r="N2284">
        <v>10</v>
      </c>
      <c r="O2284" s="1">
        <v>-5.7480000000000002</v>
      </c>
      <c r="P2284">
        <v>0</v>
      </c>
      <c r="Q2284" s="1">
        <v>0.33100000000000002</v>
      </c>
      <c r="R2284" s="1">
        <v>0.68899999999999995</v>
      </c>
      <c r="S2284" s="1">
        <v>0.29699999999999999</v>
      </c>
      <c r="T2284" s="1">
        <v>0.60499999999999998</v>
      </c>
      <c r="U2284" s="1">
        <v>0.11799999999999999</v>
      </c>
      <c r="V2284" s="1">
        <v>121.976</v>
      </c>
      <c r="W2284">
        <v>4</v>
      </c>
    </row>
    <row r="2285" spans="1:23" x14ac:dyDescent="0.25">
      <c r="A2285" s="1" t="s">
        <v>18608</v>
      </c>
      <c r="B2285" s="1" t="s">
        <v>18609</v>
      </c>
      <c r="C2285" s="1" t="s">
        <v>6472</v>
      </c>
      <c r="D2285" s="1" t="s">
        <v>6472</v>
      </c>
      <c r="E2285" s="1" t="s">
        <v>6473</v>
      </c>
      <c r="F2285" s="1" t="s">
        <v>18610</v>
      </c>
      <c r="G2285">
        <v>202285</v>
      </c>
      <c r="H2285">
        <v>49</v>
      </c>
      <c r="I2285" s="1" t="s">
        <v>11063</v>
      </c>
      <c r="J2285" s="11">
        <v>44729.706458333334</v>
      </c>
      <c r="K2285" s="1" t="s">
        <v>6474</v>
      </c>
      <c r="L2285" s="1">
        <v>0.61299999999999999</v>
      </c>
      <c r="M2285" s="1">
        <v>0.875</v>
      </c>
      <c r="N2285">
        <v>7</v>
      </c>
      <c r="O2285" s="1">
        <v>-4.71</v>
      </c>
      <c r="P2285">
        <v>0</v>
      </c>
      <c r="Q2285" s="1">
        <v>0.67100000000000004</v>
      </c>
      <c r="R2285" s="1">
        <v>0.32900000000000001</v>
      </c>
      <c r="S2285" s="1">
        <v>0.10299999999999999</v>
      </c>
      <c r="T2285" s="1">
        <v>0.12</v>
      </c>
      <c r="U2285" s="1">
        <v>0.106</v>
      </c>
      <c r="V2285" s="1">
        <v>139.935</v>
      </c>
      <c r="W2285">
        <v>4</v>
      </c>
    </row>
    <row r="2286" spans="1:23" x14ac:dyDescent="0.25">
      <c r="A2286" s="1" t="s">
        <v>18611</v>
      </c>
      <c r="B2286" s="1" t="s">
        <v>18612</v>
      </c>
      <c r="C2286" s="1" t="s">
        <v>6475</v>
      </c>
      <c r="D2286" s="1" t="s">
        <v>6475</v>
      </c>
      <c r="E2286" s="1" t="s">
        <v>6476</v>
      </c>
      <c r="F2286" s="1" t="s">
        <v>13465</v>
      </c>
      <c r="G2286">
        <v>198352</v>
      </c>
      <c r="H2286">
        <v>6</v>
      </c>
      <c r="I2286" s="1" t="s">
        <v>11063</v>
      </c>
      <c r="J2286" s="11">
        <v>44729.706458333334</v>
      </c>
      <c r="K2286" s="1" t="s">
        <v>50</v>
      </c>
      <c r="L2286" s="1">
        <v>0.46500000000000002</v>
      </c>
      <c r="M2286" s="1">
        <v>0.77</v>
      </c>
      <c r="N2286">
        <v>0</v>
      </c>
      <c r="O2286" s="1">
        <v>-4.4480000000000004</v>
      </c>
      <c r="P2286">
        <v>0</v>
      </c>
      <c r="Q2286" s="1">
        <v>0.621</v>
      </c>
      <c r="R2286" s="1">
        <v>0.34899999999999998</v>
      </c>
      <c r="S2286" s="1">
        <v>0.10199999999999999</v>
      </c>
      <c r="T2286" s="1">
        <v>0.111</v>
      </c>
      <c r="U2286" s="1">
        <v>0.38200000000000001</v>
      </c>
      <c r="V2286" s="1">
        <v>169.93199999999999</v>
      </c>
      <c r="W2286">
        <v>4</v>
      </c>
    </row>
    <row r="2287" spans="1:23" x14ac:dyDescent="0.25">
      <c r="A2287" s="1" t="s">
        <v>18613</v>
      </c>
      <c r="B2287" s="1" t="s">
        <v>18614</v>
      </c>
      <c r="C2287" s="1" t="s">
        <v>6477</v>
      </c>
      <c r="D2287" s="1" t="s">
        <v>10433</v>
      </c>
      <c r="E2287" s="1" t="s">
        <v>6478</v>
      </c>
      <c r="F2287" s="1" t="s">
        <v>15956</v>
      </c>
      <c r="G2287">
        <v>202132</v>
      </c>
      <c r="H2287">
        <v>19</v>
      </c>
      <c r="I2287" s="1" t="s">
        <v>11063</v>
      </c>
      <c r="J2287" s="11">
        <v>44729.706458333334</v>
      </c>
      <c r="K2287" s="1" t="s">
        <v>50</v>
      </c>
      <c r="L2287" s="1">
        <v>0.63800000000000001</v>
      </c>
      <c r="M2287" s="1">
        <v>0.85199999999999998</v>
      </c>
      <c r="N2287">
        <v>1</v>
      </c>
      <c r="O2287" s="1">
        <v>-5.5190000000000001</v>
      </c>
      <c r="P2287">
        <v>0</v>
      </c>
      <c r="Q2287" s="1">
        <v>0.3</v>
      </c>
      <c r="R2287" s="1">
        <v>0.19600000000000001</v>
      </c>
      <c r="S2287" s="1">
        <v>0.68300000000000005</v>
      </c>
      <c r="T2287" s="1">
        <v>0.108</v>
      </c>
      <c r="U2287" s="1">
        <v>0.47699999999999998</v>
      </c>
      <c r="V2287" s="1">
        <v>130.03200000000001</v>
      </c>
      <c r="W2287">
        <v>4</v>
      </c>
    </row>
    <row r="2288" spans="1:23" x14ac:dyDescent="0.25">
      <c r="A2288" s="1" t="s">
        <v>11093</v>
      </c>
      <c r="B2288" s="1" t="s">
        <v>11094</v>
      </c>
      <c r="C2288" s="1" t="s">
        <v>6479</v>
      </c>
      <c r="D2288" s="1" t="s">
        <v>6479</v>
      </c>
      <c r="E2288" s="1" t="s">
        <v>6480</v>
      </c>
      <c r="F2288" s="1" t="s">
        <v>18615</v>
      </c>
      <c r="G2288">
        <v>217443</v>
      </c>
      <c r="H2288">
        <v>34</v>
      </c>
      <c r="I2288" s="1" t="s">
        <v>11063</v>
      </c>
      <c r="J2288" s="11">
        <v>44729.706458333334</v>
      </c>
      <c r="K2288" s="1" t="s">
        <v>50</v>
      </c>
      <c r="L2288" s="1">
        <v>0.41899999999999998</v>
      </c>
      <c r="M2288" s="1">
        <v>0.39900000000000002</v>
      </c>
      <c r="N2288">
        <v>4</v>
      </c>
      <c r="O2288" s="1">
        <v>-8.9819999999999993</v>
      </c>
      <c r="P2288">
        <v>0</v>
      </c>
      <c r="Q2288" s="1">
        <v>0.28499999999999998</v>
      </c>
      <c r="R2288" s="1">
        <v>0.33500000000000002</v>
      </c>
      <c r="S2288" s="1">
        <v>0.69299999999999995</v>
      </c>
      <c r="T2288" s="1">
        <v>0.85299999999999998</v>
      </c>
      <c r="U2288" s="1">
        <v>0.29199999999999998</v>
      </c>
      <c r="V2288" s="1">
        <v>170.113</v>
      </c>
      <c r="W2288">
        <v>4</v>
      </c>
    </row>
    <row r="2289" spans="1:23" x14ac:dyDescent="0.25">
      <c r="A2289" s="1" t="s">
        <v>18616</v>
      </c>
      <c r="B2289" s="1" t="s">
        <v>16501</v>
      </c>
      <c r="C2289" s="1" t="s">
        <v>6481</v>
      </c>
      <c r="D2289" s="1" t="s">
        <v>6481</v>
      </c>
      <c r="E2289" s="1" t="s">
        <v>4561</v>
      </c>
      <c r="F2289" s="1" t="s">
        <v>18617</v>
      </c>
      <c r="G2289">
        <v>249576</v>
      </c>
      <c r="H2289">
        <v>33</v>
      </c>
      <c r="I2289" s="1" t="s">
        <v>11063</v>
      </c>
      <c r="J2289" s="11">
        <v>44729.706458333334</v>
      </c>
      <c r="K2289" s="1" t="s">
        <v>4562</v>
      </c>
      <c r="L2289" s="1">
        <v>0.40799999999999997</v>
      </c>
      <c r="M2289" s="1">
        <v>0.93300000000000005</v>
      </c>
      <c r="N2289">
        <v>0</v>
      </c>
      <c r="O2289" s="1">
        <v>-4.6550000000000002</v>
      </c>
      <c r="P2289">
        <v>0</v>
      </c>
      <c r="Q2289" s="1">
        <v>0.10100000000000001</v>
      </c>
      <c r="R2289" s="1">
        <v>0.34799999999999998</v>
      </c>
      <c r="S2289" s="1">
        <v>0.18099999999999999</v>
      </c>
      <c r="T2289" s="1">
        <v>0.39300000000000002</v>
      </c>
      <c r="U2289" s="1">
        <v>0.435</v>
      </c>
      <c r="V2289" s="1">
        <v>173.976</v>
      </c>
      <c r="W2289">
        <v>4</v>
      </c>
    </row>
    <row r="2290" spans="1:23" x14ac:dyDescent="0.25">
      <c r="A2290" s="1" t="s">
        <v>18618</v>
      </c>
      <c r="B2290" s="1" t="s">
        <v>18619</v>
      </c>
      <c r="C2290" s="1" t="s">
        <v>5687</v>
      </c>
      <c r="D2290" s="1" t="s">
        <v>5687</v>
      </c>
      <c r="E2290" s="1" t="s">
        <v>6482</v>
      </c>
      <c r="F2290" s="1" t="s">
        <v>18620</v>
      </c>
      <c r="G2290">
        <v>204624</v>
      </c>
      <c r="H2290">
        <v>19</v>
      </c>
      <c r="I2290" s="1" t="s">
        <v>11063</v>
      </c>
      <c r="J2290" s="11">
        <v>44729.706458333334</v>
      </c>
      <c r="K2290" s="1" t="s">
        <v>1053</v>
      </c>
      <c r="L2290" s="1">
        <v>0.47599999999999998</v>
      </c>
      <c r="M2290" s="1">
        <v>0.88600000000000001</v>
      </c>
      <c r="N2290">
        <v>7</v>
      </c>
      <c r="O2290" s="1">
        <v>-2.234</v>
      </c>
      <c r="P2290">
        <v>0</v>
      </c>
      <c r="Q2290" s="1">
        <v>0.104</v>
      </c>
      <c r="R2290" s="1">
        <v>0.58699999999999997</v>
      </c>
      <c r="S2290" s="1">
        <v>0.94499999999999995</v>
      </c>
      <c r="T2290" s="1">
        <v>0.83699999999999997</v>
      </c>
      <c r="U2290" s="1">
        <v>0.76400000000000001</v>
      </c>
      <c r="V2290" s="1">
        <v>156.006</v>
      </c>
      <c r="W2290">
        <v>4</v>
      </c>
    </row>
    <row r="2291" spans="1:23" x14ac:dyDescent="0.25">
      <c r="A2291" s="1" t="s">
        <v>18621</v>
      </c>
      <c r="B2291" s="1" t="s">
        <v>18622</v>
      </c>
      <c r="C2291" s="1" t="s">
        <v>6483</v>
      </c>
      <c r="D2291" s="1" t="s">
        <v>6483</v>
      </c>
      <c r="E2291" s="1" t="s">
        <v>6484</v>
      </c>
      <c r="F2291" s="1" t="s">
        <v>17500</v>
      </c>
      <c r="G2291">
        <v>187741</v>
      </c>
      <c r="H2291">
        <v>39</v>
      </c>
      <c r="I2291" s="1" t="s">
        <v>11063</v>
      </c>
      <c r="J2291" s="11">
        <v>44729.706458333334</v>
      </c>
      <c r="K2291" s="1" t="s">
        <v>6485</v>
      </c>
      <c r="L2291" s="1">
        <v>0.44500000000000001</v>
      </c>
      <c r="M2291" s="1">
        <v>0.80300000000000005</v>
      </c>
      <c r="N2291">
        <v>11</v>
      </c>
      <c r="O2291" s="1">
        <v>-4.0549999999999997</v>
      </c>
      <c r="P2291">
        <v>0</v>
      </c>
      <c r="Q2291" s="1">
        <v>0.96399999999999997</v>
      </c>
      <c r="R2291" s="1">
        <v>0.20399999999999999</v>
      </c>
      <c r="S2291" s="1">
        <v>0.14699999999999999</v>
      </c>
      <c r="T2291" s="1">
        <v>0.66</v>
      </c>
      <c r="U2291" s="1">
        <v>0.4</v>
      </c>
      <c r="V2291" s="1">
        <v>123.502</v>
      </c>
      <c r="W2291">
        <v>3</v>
      </c>
    </row>
    <row r="2292" spans="1:23" x14ac:dyDescent="0.25">
      <c r="A2292" s="1" t="s">
        <v>18623</v>
      </c>
      <c r="B2292" s="1" t="s">
        <v>18624</v>
      </c>
      <c r="C2292" s="1" t="s">
        <v>6486</v>
      </c>
      <c r="D2292" s="1" t="s">
        <v>6486</v>
      </c>
      <c r="E2292" s="1" t="s">
        <v>6487</v>
      </c>
      <c r="F2292" s="1" t="s">
        <v>18625</v>
      </c>
      <c r="G2292">
        <v>224142</v>
      </c>
      <c r="H2292">
        <v>40</v>
      </c>
      <c r="I2292" s="1" t="s">
        <v>11063</v>
      </c>
      <c r="J2292" s="11">
        <v>44729.706458333334</v>
      </c>
      <c r="K2292" s="1" t="s">
        <v>50</v>
      </c>
      <c r="L2292" s="1">
        <v>0.57399999999999995</v>
      </c>
      <c r="M2292" s="1">
        <v>0.751</v>
      </c>
      <c r="N2292">
        <v>2</v>
      </c>
      <c r="O2292" s="1">
        <v>-5.1950000000000003</v>
      </c>
      <c r="P2292">
        <v>1</v>
      </c>
      <c r="Q2292" s="1">
        <v>0.46500000000000002</v>
      </c>
      <c r="R2292" s="1">
        <v>0.64900000000000002</v>
      </c>
      <c r="S2292" s="1">
        <v>0.68200000000000005</v>
      </c>
      <c r="T2292" s="1">
        <v>0.13300000000000001</v>
      </c>
      <c r="U2292" s="1">
        <v>0.28599999999999998</v>
      </c>
      <c r="V2292" s="1">
        <v>140.02199999999999</v>
      </c>
      <c r="W2292">
        <v>4</v>
      </c>
    </row>
    <row r="2293" spans="1:23" x14ac:dyDescent="0.25">
      <c r="A2293" s="1" t="s">
        <v>11151</v>
      </c>
      <c r="B2293" s="1" t="s">
        <v>11152</v>
      </c>
      <c r="C2293" s="1" t="s">
        <v>6488</v>
      </c>
      <c r="D2293" s="1" t="s">
        <v>6488</v>
      </c>
      <c r="E2293" s="1" t="s">
        <v>6489</v>
      </c>
      <c r="F2293" s="1" t="s">
        <v>18626</v>
      </c>
      <c r="G2293">
        <v>214400</v>
      </c>
      <c r="H2293">
        <v>0</v>
      </c>
      <c r="I2293" s="1" t="s">
        <v>11063</v>
      </c>
      <c r="J2293" s="11">
        <v>44729.706458333334</v>
      </c>
      <c r="K2293" s="1" t="s">
        <v>50</v>
      </c>
      <c r="L2293" s="1">
        <v>0.55000000000000004</v>
      </c>
      <c r="M2293" s="1">
        <v>0.69</v>
      </c>
      <c r="N2293">
        <v>0</v>
      </c>
      <c r="O2293" s="1">
        <v>-4.59</v>
      </c>
      <c r="P2293">
        <v>1</v>
      </c>
      <c r="Q2293" s="1">
        <v>0.72</v>
      </c>
      <c r="R2293" s="1">
        <v>0.13200000000000001</v>
      </c>
      <c r="S2293" s="1">
        <v>0.93899999999999995</v>
      </c>
      <c r="T2293" s="1">
        <v>0.10199999999999999</v>
      </c>
      <c r="U2293" s="1">
        <v>0.255</v>
      </c>
      <c r="V2293" s="1">
        <v>149.94999999999999</v>
      </c>
      <c r="W2293">
        <v>4</v>
      </c>
    </row>
    <row r="2294" spans="1:23" x14ac:dyDescent="0.25">
      <c r="A2294" s="1" t="s">
        <v>18627</v>
      </c>
      <c r="B2294" s="1" t="s">
        <v>18628</v>
      </c>
      <c r="C2294" s="1" t="s">
        <v>6490</v>
      </c>
      <c r="D2294" s="1" t="s">
        <v>6490</v>
      </c>
      <c r="E2294" s="1" t="s">
        <v>6491</v>
      </c>
      <c r="F2294" s="1" t="s">
        <v>16234</v>
      </c>
      <c r="G2294">
        <v>171818</v>
      </c>
      <c r="H2294">
        <v>15</v>
      </c>
      <c r="I2294" s="1" t="s">
        <v>11063</v>
      </c>
      <c r="J2294" s="11">
        <v>44729.706458333334</v>
      </c>
      <c r="K2294" s="1" t="s">
        <v>6492</v>
      </c>
      <c r="L2294" s="1">
        <v>0.63300000000000001</v>
      </c>
      <c r="M2294" s="1">
        <v>0.82199999999999995</v>
      </c>
      <c r="N2294">
        <v>11</v>
      </c>
      <c r="O2294" s="1">
        <v>-4.1379999999999999</v>
      </c>
      <c r="P2294">
        <v>0</v>
      </c>
      <c r="Q2294" s="1">
        <v>0.57499999999999996</v>
      </c>
      <c r="R2294" s="1">
        <v>0.74399999999999999</v>
      </c>
      <c r="S2294" s="1">
        <v>0</v>
      </c>
      <c r="T2294" s="1">
        <v>0.41</v>
      </c>
      <c r="U2294" s="1">
        <v>0.36499999999999999</v>
      </c>
      <c r="V2294" s="1">
        <v>109.96599999999999</v>
      </c>
      <c r="W2294">
        <v>4</v>
      </c>
    </row>
    <row r="2295" spans="1:23" x14ac:dyDescent="0.25">
      <c r="A2295" s="1" t="s">
        <v>18629</v>
      </c>
      <c r="B2295" s="1" t="s">
        <v>18630</v>
      </c>
      <c r="C2295" s="1" t="s">
        <v>2556</v>
      </c>
      <c r="D2295" s="1" t="s">
        <v>2556</v>
      </c>
      <c r="E2295" s="1" t="s">
        <v>6493</v>
      </c>
      <c r="F2295" s="1" t="s">
        <v>18631</v>
      </c>
      <c r="G2295">
        <v>159930</v>
      </c>
      <c r="H2295">
        <v>50</v>
      </c>
      <c r="I2295" s="1" t="s">
        <v>11063</v>
      </c>
      <c r="J2295" s="11">
        <v>44729.706458333334</v>
      </c>
      <c r="K2295" s="1" t="s">
        <v>3540</v>
      </c>
      <c r="L2295" s="1">
        <v>0.67</v>
      </c>
      <c r="M2295" s="1">
        <v>0.84499999999999997</v>
      </c>
      <c r="N2295">
        <v>5</v>
      </c>
      <c r="O2295" s="1">
        <v>-5.9320000000000004</v>
      </c>
      <c r="P2295">
        <v>0</v>
      </c>
      <c r="Q2295" s="1">
        <v>0.51</v>
      </c>
      <c r="R2295" s="1">
        <v>0.13400000000000001</v>
      </c>
      <c r="S2295" s="1">
        <v>0.10100000000000001</v>
      </c>
      <c r="T2295" s="1">
        <v>0.121</v>
      </c>
      <c r="U2295" s="1">
        <v>0.307</v>
      </c>
      <c r="V2295" s="1">
        <v>95.004000000000005</v>
      </c>
      <c r="W2295">
        <v>4</v>
      </c>
    </row>
    <row r="2296" spans="1:23" x14ac:dyDescent="0.25">
      <c r="A2296" s="1" t="s">
        <v>18632</v>
      </c>
      <c r="B2296" s="1" t="s">
        <v>18633</v>
      </c>
      <c r="C2296" s="1" t="s">
        <v>6494</v>
      </c>
      <c r="D2296" s="1" t="s">
        <v>6494</v>
      </c>
      <c r="E2296" s="1" t="s">
        <v>6495</v>
      </c>
      <c r="F2296" s="1" t="s">
        <v>18634</v>
      </c>
      <c r="G2296">
        <v>158883</v>
      </c>
      <c r="H2296">
        <v>0</v>
      </c>
      <c r="I2296" s="1" t="s">
        <v>11063</v>
      </c>
      <c r="J2296" s="11">
        <v>44729.706458333334</v>
      </c>
      <c r="K2296" s="1" t="s">
        <v>1086</v>
      </c>
      <c r="L2296" s="1">
        <v>0.316</v>
      </c>
      <c r="M2296" s="1">
        <v>0.78500000000000003</v>
      </c>
      <c r="N2296">
        <v>6</v>
      </c>
      <c r="O2296" s="1">
        <v>-8.1720000000000006</v>
      </c>
      <c r="P2296">
        <v>1</v>
      </c>
      <c r="Q2296" s="1">
        <v>0.56699999999999995</v>
      </c>
      <c r="R2296" s="1">
        <v>0.17699999999999999</v>
      </c>
      <c r="S2296" s="1">
        <v>0.74</v>
      </c>
      <c r="T2296" s="1">
        <v>0.54400000000000004</v>
      </c>
      <c r="U2296" s="1">
        <v>0.16700000000000001</v>
      </c>
      <c r="V2296" s="1">
        <v>139.923</v>
      </c>
      <c r="W2296">
        <v>4</v>
      </c>
    </row>
    <row r="2297" spans="1:23" x14ac:dyDescent="0.25">
      <c r="A2297" s="1" t="s">
        <v>18635</v>
      </c>
      <c r="B2297" s="1" t="s">
        <v>18633</v>
      </c>
      <c r="C2297" s="1" t="s">
        <v>6496</v>
      </c>
      <c r="D2297" s="1" t="s">
        <v>6496</v>
      </c>
      <c r="E2297" s="1" t="s">
        <v>6495</v>
      </c>
      <c r="F2297" s="1" t="s">
        <v>18636</v>
      </c>
      <c r="G2297">
        <v>193137</v>
      </c>
      <c r="H2297">
        <v>28</v>
      </c>
      <c r="I2297" s="1" t="s">
        <v>11063</v>
      </c>
      <c r="J2297" s="11">
        <v>44729.706458333334</v>
      </c>
      <c r="K2297" s="1" t="s">
        <v>1086</v>
      </c>
      <c r="L2297" s="1">
        <v>0.28599999999999998</v>
      </c>
      <c r="M2297" s="1">
        <v>0.63500000000000001</v>
      </c>
      <c r="N2297">
        <v>0</v>
      </c>
      <c r="O2297" s="1">
        <v>-9.8330000000000002</v>
      </c>
      <c r="P2297">
        <v>0</v>
      </c>
      <c r="Q2297" s="1">
        <v>0.39300000000000002</v>
      </c>
      <c r="R2297" s="1">
        <v>0.14299999999999999</v>
      </c>
      <c r="S2297" s="1">
        <v>0.80400000000000005</v>
      </c>
      <c r="T2297" s="1">
        <v>0.27100000000000002</v>
      </c>
      <c r="U2297" s="1">
        <v>0.255</v>
      </c>
      <c r="V2297" s="1">
        <v>139.99600000000001</v>
      </c>
      <c r="W2297">
        <v>4</v>
      </c>
    </row>
    <row r="2298" spans="1:23" x14ac:dyDescent="0.25">
      <c r="A2298" s="1" t="s">
        <v>18637</v>
      </c>
      <c r="B2298" s="1" t="s">
        <v>18633</v>
      </c>
      <c r="C2298" s="1" t="s">
        <v>6497</v>
      </c>
      <c r="D2298" s="1" t="s">
        <v>6497</v>
      </c>
      <c r="E2298" s="1" t="s">
        <v>6495</v>
      </c>
      <c r="F2298" s="1" t="s">
        <v>18636</v>
      </c>
      <c r="G2298">
        <v>188618</v>
      </c>
      <c r="H2298">
        <v>36</v>
      </c>
      <c r="I2298" s="1" t="s">
        <v>11063</v>
      </c>
      <c r="J2298" s="11">
        <v>44729.706458333334</v>
      </c>
      <c r="K2298" s="1" t="s">
        <v>1086</v>
      </c>
      <c r="L2298" s="1">
        <v>0.311</v>
      </c>
      <c r="M2298" s="1">
        <v>0.82</v>
      </c>
      <c r="N2298">
        <v>0</v>
      </c>
      <c r="O2298" s="1">
        <v>-8.7509999999999994</v>
      </c>
      <c r="P2298">
        <v>0</v>
      </c>
      <c r="Q2298" s="1">
        <v>0.68300000000000005</v>
      </c>
      <c r="R2298" s="1">
        <v>0.13100000000000001</v>
      </c>
      <c r="S2298" s="1">
        <v>0.32300000000000001</v>
      </c>
      <c r="T2298" s="1">
        <v>0.433</v>
      </c>
      <c r="U2298" s="1">
        <v>0.13</v>
      </c>
      <c r="V2298" s="1">
        <v>150.44200000000001</v>
      </c>
      <c r="W2298">
        <v>4</v>
      </c>
    </row>
    <row r="2299" spans="1:23" x14ac:dyDescent="0.25">
      <c r="A2299" s="1" t="s">
        <v>18638</v>
      </c>
      <c r="B2299" s="1" t="s">
        <v>18639</v>
      </c>
      <c r="C2299" s="1" t="s">
        <v>6498</v>
      </c>
      <c r="D2299" s="1" t="s">
        <v>18640</v>
      </c>
      <c r="E2299" s="1" t="s">
        <v>6499</v>
      </c>
      <c r="F2299" s="1" t="s">
        <v>16090</v>
      </c>
      <c r="G2299">
        <v>267200</v>
      </c>
      <c r="H2299">
        <v>43</v>
      </c>
      <c r="I2299" s="1" t="s">
        <v>11063</v>
      </c>
      <c r="J2299" s="11">
        <v>44729.706458333334</v>
      </c>
      <c r="K2299" s="1" t="s">
        <v>6500</v>
      </c>
      <c r="L2299" s="1">
        <v>0.628</v>
      </c>
      <c r="M2299" s="1">
        <v>0.89300000000000002</v>
      </c>
      <c r="N2299">
        <v>9</v>
      </c>
      <c r="O2299" s="1">
        <v>-4.2060000000000004</v>
      </c>
      <c r="P2299">
        <v>1</v>
      </c>
      <c r="Q2299" s="1">
        <v>0.14599999999999999</v>
      </c>
      <c r="R2299" s="1">
        <v>0.27900000000000003</v>
      </c>
      <c r="S2299" s="1">
        <v>0.17299999999999999</v>
      </c>
      <c r="T2299" s="1">
        <v>0.79100000000000004</v>
      </c>
      <c r="U2299" s="1">
        <v>0.18099999999999999</v>
      </c>
      <c r="V2299" s="1">
        <v>150.154</v>
      </c>
      <c r="W2299">
        <v>4</v>
      </c>
    </row>
    <row r="2300" spans="1:23" x14ac:dyDescent="0.25">
      <c r="A2300" s="1" t="s">
        <v>18641</v>
      </c>
      <c r="B2300" s="1" t="s">
        <v>18642</v>
      </c>
      <c r="C2300" s="1" t="s">
        <v>6501</v>
      </c>
      <c r="D2300" s="1" t="s">
        <v>6501</v>
      </c>
      <c r="E2300" s="1" t="s">
        <v>6502</v>
      </c>
      <c r="F2300" s="1" t="s">
        <v>14969</v>
      </c>
      <c r="G2300">
        <v>224887</v>
      </c>
      <c r="H2300">
        <v>34</v>
      </c>
      <c r="I2300" s="1" t="s">
        <v>11063</v>
      </c>
      <c r="J2300" s="11">
        <v>44729.706458333334</v>
      </c>
      <c r="K2300" s="1" t="s">
        <v>6503</v>
      </c>
      <c r="L2300" s="1">
        <v>0.752</v>
      </c>
      <c r="M2300" s="1">
        <v>0.69199999999999995</v>
      </c>
      <c r="N2300">
        <v>11</v>
      </c>
      <c r="O2300" s="1">
        <v>-6.4359999999999999</v>
      </c>
      <c r="P2300">
        <v>0</v>
      </c>
      <c r="Q2300" s="1">
        <v>0.24199999999999999</v>
      </c>
      <c r="R2300" s="1">
        <v>0.35899999999999999</v>
      </c>
      <c r="S2300" s="1">
        <v>0.34300000000000003</v>
      </c>
      <c r="T2300" s="1">
        <v>0.10299999999999999</v>
      </c>
      <c r="U2300" s="1">
        <v>0.74299999999999999</v>
      </c>
      <c r="V2300" s="1">
        <v>114.98699999999999</v>
      </c>
      <c r="W2300">
        <v>4</v>
      </c>
    </row>
    <row r="2301" spans="1:23" x14ac:dyDescent="0.25">
      <c r="A2301" s="1" t="s">
        <v>18643</v>
      </c>
      <c r="B2301" s="1" t="s">
        <v>18644</v>
      </c>
      <c r="C2301" s="1" t="s">
        <v>6504</v>
      </c>
      <c r="D2301" s="1" t="s">
        <v>6504</v>
      </c>
      <c r="E2301" s="1" t="s">
        <v>6505</v>
      </c>
      <c r="F2301" s="1" t="s">
        <v>15035</v>
      </c>
      <c r="G2301">
        <v>193787</v>
      </c>
      <c r="H2301">
        <v>72</v>
      </c>
      <c r="I2301" s="1" t="s">
        <v>11063</v>
      </c>
      <c r="J2301" s="11">
        <v>44729.706458333334</v>
      </c>
      <c r="K2301" s="1" t="s">
        <v>923</v>
      </c>
      <c r="L2301" s="1">
        <v>0.65400000000000003</v>
      </c>
      <c r="M2301" s="1">
        <v>0.71099999999999997</v>
      </c>
      <c r="N2301">
        <v>1</v>
      </c>
      <c r="O2301" s="1">
        <v>-7.4370000000000003</v>
      </c>
      <c r="P2301">
        <v>0</v>
      </c>
      <c r="Q2301" s="1">
        <v>0.38300000000000001</v>
      </c>
      <c r="R2301" s="1">
        <v>0.214</v>
      </c>
      <c r="S2301" s="1">
        <v>0.191</v>
      </c>
      <c r="T2301" s="1">
        <v>0.90300000000000002</v>
      </c>
      <c r="U2301" s="1">
        <v>0.19800000000000001</v>
      </c>
      <c r="V2301" s="1">
        <v>127.95699999999999</v>
      </c>
      <c r="W2301">
        <v>4</v>
      </c>
    </row>
    <row r="2302" spans="1:23" x14ac:dyDescent="0.25">
      <c r="A2302" s="1" t="s">
        <v>18645</v>
      </c>
      <c r="B2302" s="1" t="s">
        <v>18646</v>
      </c>
      <c r="C2302" s="1" t="s">
        <v>6506</v>
      </c>
      <c r="D2302" s="1" t="s">
        <v>18647</v>
      </c>
      <c r="E2302" s="1" t="s">
        <v>6507</v>
      </c>
      <c r="F2302" s="1" t="s">
        <v>14228</v>
      </c>
      <c r="G2302">
        <v>182760</v>
      </c>
      <c r="H2302">
        <v>42</v>
      </c>
      <c r="I2302" s="1" t="s">
        <v>11063</v>
      </c>
      <c r="J2302" s="11">
        <v>44729.706458333334</v>
      </c>
      <c r="K2302" s="1" t="s">
        <v>6508</v>
      </c>
      <c r="L2302" s="1">
        <v>0.55900000000000005</v>
      </c>
      <c r="M2302" s="1">
        <v>0.75900000000000001</v>
      </c>
      <c r="N2302">
        <v>0</v>
      </c>
      <c r="O2302" s="1">
        <v>-4.8140000000000001</v>
      </c>
      <c r="P2302">
        <v>1</v>
      </c>
      <c r="Q2302" s="1">
        <v>0.35</v>
      </c>
      <c r="R2302" s="1">
        <v>0.26</v>
      </c>
      <c r="S2302" s="1">
        <v>0</v>
      </c>
      <c r="T2302" s="1">
        <v>0.64600000000000002</v>
      </c>
      <c r="U2302" s="1">
        <v>0.16800000000000001</v>
      </c>
      <c r="V2302" s="1">
        <v>79.965000000000003</v>
      </c>
      <c r="W2302">
        <v>4</v>
      </c>
    </row>
    <row r="2303" spans="1:23" x14ac:dyDescent="0.25">
      <c r="A2303" s="1" t="s">
        <v>18648</v>
      </c>
      <c r="B2303" s="1" t="s">
        <v>18649</v>
      </c>
      <c r="C2303" s="1" t="s">
        <v>6509</v>
      </c>
      <c r="D2303" s="1" t="s">
        <v>6509</v>
      </c>
      <c r="E2303" s="1" t="s">
        <v>6510</v>
      </c>
      <c r="F2303" s="1" t="s">
        <v>18650</v>
      </c>
      <c r="G2303">
        <v>266493</v>
      </c>
      <c r="H2303">
        <v>29</v>
      </c>
      <c r="I2303" s="1" t="s">
        <v>11063</v>
      </c>
      <c r="J2303" s="11">
        <v>44729.706458333334</v>
      </c>
      <c r="K2303" s="1" t="s">
        <v>6511</v>
      </c>
      <c r="L2303" s="1">
        <v>0.57599999999999996</v>
      </c>
      <c r="M2303" s="1">
        <v>0.9</v>
      </c>
      <c r="N2303">
        <v>8</v>
      </c>
      <c r="O2303" s="1">
        <v>-3.847</v>
      </c>
      <c r="P2303">
        <v>1</v>
      </c>
      <c r="Q2303" s="1">
        <v>0.85</v>
      </c>
      <c r="R2303" s="1">
        <v>0.66900000000000004</v>
      </c>
      <c r="S2303" s="1">
        <v>0.66600000000000004</v>
      </c>
      <c r="T2303" s="1">
        <v>0.94399999999999995</v>
      </c>
      <c r="U2303" s="1">
        <v>0.16300000000000001</v>
      </c>
      <c r="V2303" s="1">
        <v>153.97499999999999</v>
      </c>
      <c r="W2303">
        <v>4</v>
      </c>
    </row>
    <row r="2304" spans="1:23" x14ac:dyDescent="0.25">
      <c r="A2304" s="1" t="s">
        <v>18651</v>
      </c>
      <c r="B2304" s="1" t="s">
        <v>18652</v>
      </c>
      <c r="C2304" s="1" t="s">
        <v>6512</v>
      </c>
      <c r="D2304" s="1" t="s">
        <v>18653</v>
      </c>
      <c r="E2304" s="1" t="s">
        <v>6513</v>
      </c>
      <c r="F2304" s="1" t="s">
        <v>13457</v>
      </c>
      <c r="G2304">
        <v>243813</v>
      </c>
      <c r="H2304">
        <v>47</v>
      </c>
      <c r="I2304" s="1" t="s">
        <v>11063</v>
      </c>
      <c r="J2304" s="11">
        <v>44729.706458333334</v>
      </c>
      <c r="K2304" s="1" t="s">
        <v>6514</v>
      </c>
      <c r="L2304" s="1">
        <v>0.69799999999999995</v>
      </c>
      <c r="M2304" s="1">
        <v>0.58599999999999997</v>
      </c>
      <c r="N2304">
        <v>1</v>
      </c>
      <c r="O2304" s="1">
        <v>-9.0380000000000003</v>
      </c>
      <c r="P2304">
        <v>1</v>
      </c>
      <c r="Q2304" s="1">
        <v>0.75800000000000001</v>
      </c>
      <c r="R2304" s="1">
        <v>0.17899999999999999</v>
      </c>
      <c r="S2304" s="1">
        <v>0.45</v>
      </c>
      <c r="T2304" s="1">
        <v>0.41399999999999998</v>
      </c>
      <c r="U2304" s="1">
        <v>0.70399999999999996</v>
      </c>
      <c r="V2304" s="1">
        <v>90.007999999999996</v>
      </c>
      <c r="W2304">
        <v>4</v>
      </c>
    </row>
    <row r="2305" spans="1:23" x14ac:dyDescent="0.25">
      <c r="A2305" s="1" t="s">
        <v>18654</v>
      </c>
      <c r="B2305" s="1" t="s">
        <v>18655</v>
      </c>
      <c r="C2305" s="1" t="s">
        <v>6515</v>
      </c>
      <c r="D2305" s="1" t="s">
        <v>18656</v>
      </c>
      <c r="E2305" s="1" t="s">
        <v>6516</v>
      </c>
      <c r="F2305" s="1" t="s">
        <v>17693</v>
      </c>
      <c r="G2305">
        <v>180853</v>
      </c>
      <c r="H2305">
        <v>41</v>
      </c>
      <c r="I2305" s="1" t="s">
        <v>11063</v>
      </c>
      <c r="J2305" s="11">
        <v>44729.706458333334</v>
      </c>
      <c r="K2305" s="1" t="s">
        <v>6517</v>
      </c>
      <c r="L2305" s="1">
        <v>0.61699999999999999</v>
      </c>
      <c r="M2305" s="1">
        <v>0.73899999999999999</v>
      </c>
      <c r="N2305">
        <v>2</v>
      </c>
      <c r="O2305" s="1">
        <v>-5.7679999999999998</v>
      </c>
      <c r="P2305">
        <v>0</v>
      </c>
      <c r="Q2305" s="1">
        <v>0.60099999999999998</v>
      </c>
      <c r="R2305" s="1">
        <v>0.115</v>
      </c>
      <c r="S2305" s="1">
        <v>0.29899999999999999</v>
      </c>
      <c r="T2305" s="1">
        <v>0.84899999999999998</v>
      </c>
      <c r="U2305" s="1">
        <v>0.53600000000000003</v>
      </c>
      <c r="V2305" s="1">
        <v>123.89400000000001</v>
      </c>
      <c r="W2305">
        <v>4</v>
      </c>
    </row>
    <row r="2306" spans="1:23" x14ac:dyDescent="0.25">
      <c r="A2306" s="1" t="s">
        <v>18657</v>
      </c>
      <c r="B2306" s="1" t="s">
        <v>11184</v>
      </c>
      <c r="C2306" s="1" t="s">
        <v>6518</v>
      </c>
      <c r="D2306" s="1" t="s">
        <v>18658</v>
      </c>
      <c r="E2306" s="1" t="s">
        <v>2057</v>
      </c>
      <c r="F2306" s="1" t="s">
        <v>16156</v>
      </c>
      <c r="G2306">
        <v>153923</v>
      </c>
      <c r="H2306">
        <v>49</v>
      </c>
      <c r="I2306" s="1" t="s">
        <v>11063</v>
      </c>
      <c r="J2306" s="11">
        <v>44729.706458333334</v>
      </c>
      <c r="K2306" s="1" t="s">
        <v>50</v>
      </c>
      <c r="L2306" s="1">
        <v>0.76100000000000001</v>
      </c>
      <c r="M2306" s="1">
        <v>0.59699999999999998</v>
      </c>
      <c r="N2306">
        <v>7</v>
      </c>
      <c r="O2306" s="1">
        <v>-8.4290000000000003</v>
      </c>
      <c r="P2306">
        <v>1</v>
      </c>
      <c r="Q2306" s="1">
        <v>0.39300000000000002</v>
      </c>
      <c r="R2306" s="1">
        <v>0.20200000000000001</v>
      </c>
      <c r="S2306" s="1">
        <v>0</v>
      </c>
      <c r="T2306" s="1">
        <v>0.48199999999999998</v>
      </c>
      <c r="U2306" s="1">
        <v>0.97899999999999998</v>
      </c>
      <c r="V2306" s="1">
        <v>130.06800000000001</v>
      </c>
      <c r="W2306">
        <v>4</v>
      </c>
    </row>
    <row r="2307" spans="1:23" x14ac:dyDescent="0.25">
      <c r="A2307" s="1" t="s">
        <v>18659</v>
      </c>
      <c r="B2307" s="1" t="s">
        <v>11184</v>
      </c>
      <c r="C2307" s="1" t="s">
        <v>6519</v>
      </c>
      <c r="D2307" s="1" t="s">
        <v>11185</v>
      </c>
      <c r="E2307" s="1" t="s">
        <v>2057</v>
      </c>
      <c r="F2307" s="1" t="s">
        <v>17861</v>
      </c>
      <c r="G2307">
        <v>185600</v>
      </c>
      <c r="H2307">
        <v>39</v>
      </c>
      <c r="I2307" s="1" t="s">
        <v>11063</v>
      </c>
      <c r="J2307" s="11">
        <v>44729.706458333334</v>
      </c>
      <c r="K2307" s="1" t="s">
        <v>50</v>
      </c>
      <c r="L2307" s="1">
        <v>0.78400000000000003</v>
      </c>
      <c r="M2307" s="1">
        <v>0.78400000000000003</v>
      </c>
      <c r="N2307">
        <v>3</v>
      </c>
      <c r="O2307" s="1">
        <v>-6.8209999999999997</v>
      </c>
      <c r="P2307">
        <v>1</v>
      </c>
      <c r="Q2307" s="1">
        <v>0.76</v>
      </c>
      <c r="R2307" s="1">
        <v>0.57299999999999995</v>
      </c>
      <c r="S2307" s="1">
        <v>0</v>
      </c>
      <c r="T2307" s="1">
        <v>0.11600000000000001</v>
      </c>
      <c r="U2307" s="1">
        <v>0.54700000000000004</v>
      </c>
      <c r="V2307" s="1">
        <v>74.977999999999994</v>
      </c>
      <c r="W2307">
        <v>4</v>
      </c>
    </row>
    <row r="2308" spans="1:23" x14ac:dyDescent="0.25">
      <c r="A2308" s="1" t="s">
        <v>18660</v>
      </c>
      <c r="B2308" s="1" t="s">
        <v>11184</v>
      </c>
      <c r="C2308" s="1" t="s">
        <v>6520</v>
      </c>
      <c r="D2308" s="1" t="s">
        <v>11185</v>
      </c>
      <c r="E2308" s="1" t="s">
        <v>2057</v>
      </c>
      <c r="F2308" s="1" t="s">
        <v>17861</v>
      </c>
      <c r="G2308">
        <v>126857</v>
      </c>
      <c r="H2308">
        <v>38</v>
      </c>
      <c r="I2308" s="1" t="s">
        <v>11063</v>
      </c>
      <c r="J2308" s="11">
        <v>44729.706458333334</v>
      </c>
      <c r="K2308" s="1" t="s">
        <v>50</v>
      </c>
      <c r="L2308" s="1">
        <v>0.745</v>
      </c>
      <c r="M2308" s="1">
        <v>0.48399999999999999</v>
      </c>
      <c r="N2308">
        <v>8</v>
      </c>
      <c r="O2308" s="1">
        <v>-7.6630000000000003</v>
      </c>
      <c r="P2308">
        <v>1</v>
      </c>
      <c r="Q2308" s="1">
        <v>0.105</v>
      </c>
      <c r="R2308" s="1">
        <v>0.223</v>
      </c>
      <c r="S2308" s="1">
        <v>0</v>
      </c>
      <c r="T2308" s="1">
        <v>0.11</v>
      </c>
      <c r="U2308" s="1">
        <v>0.38300000000000001</v>
      </c>
      <c r="V2308" s="1">
        <v>140.08799999999999</v>
      </c>
      <c r="W2308">
        <v>4</v>
      </c>
    </row>
    <row r="2309" spans="1:23" x14ac:dyDescent="0.25">
      <c r="A2309" s="1" t="s">
        <v>18661</v>
      </c>
      <c r="B2309" s="1" t="s">
        <v>11184</v>
      </c>
      <c r="C2309" s="1" t="s">
        <v>6521</v>
      </c>
      <c r="D2309" s="1" t="s">
        <v>11185</v>
      </c>
      <c r="E2309" s="1" t="s">
        <v>2057</v>
      </c>
      <c r="F2309" s="1" t="s">
        <v>17861</v>
      </c>
      <c r="G2309">
        <v>164210</v>
      </c>
      <c r="H2309">
        <v>40</v>
      </c>
      <c r="I2309" s="1" t="s">
        <v>11063</v>
      </c>
      <c r="J2309" s="11">
        <v>44729.706458333334</v>
      </c>
      <c r="K2309" s="1" t="s">
        <v>50</v>
      </c>
      <c r="L2309" s="1">
        <v>0.72099999999999997</v>
      </c>
      <c r="M2309" s="1">
        <v>0.621</v>
      </c>
      <c r="N2309">
        <v>7</v>
      </c>
      <c r="O2309" s="1">
        <v>-10.571999999999999</v>
      </c>
      <c r="P2309">
        <v>0</v>
      </c>
      <c r="Q2309" s="1">
        <v>0.86499999999999999</v>
      </c>
      <c r="R2309" s="1">
        <v>0.495</v>
      </c>
      <c r="S2309" s="1">
        <v>0</v>
      </c>
      <c r="T2309" s="1">
        <v>0.14000000000000001</v>
      </c>
      <c r="U2309" s="1">
        <v>0.436</v>
      </c>
      <c r="V2309" s="1">
        <v>94.989000000000004</v>
      </c>
      <c r="W2309">
        <v>4</v>
      </c>
    </row>
    <row r="2310" spans="1:23" x14ac:dyDescent="0.25">
      <c r="A2310" s="1" t="s">
        <v>18662</v>
      </c>
      <c r="B2310" s="1" t="s">
        <v>11184</v>
      </c>
      <c r="C2310" s="1" t="s">
        <v>6054</v>
      </c>
      <c r="D2310" s="1" t="s">
        <v>17863</v>
      </c>
      <c r="E2310" s="1" t="s">
        <v>2057</v>
      </c>
      <c r="F2310" s="1" t="s">
        <v>17793</v>
      </c>
      <c r="G2310">
        <v>217411</v>
      </c>
      <c r="H2310">
        <v>32</v>
      </c>
      <c r="I2310" s="1" t="s">
        <v>11063</v>
      </c>
      <c r="J2310" s="11">
        <v>44729.706458333334</v>
      </c>
      <c r="K2310" s="1" t="s">
        <v>50</v>
      </c>
      <c r="L2310" s="1">
        <v>0.66200000000000003</v>
      </c>
      <c r="M2310" s="1">
        <v>0.86599999999999999</v>
      </c>
      <c r="N2310">
        <v>11</v>
      </c>
      <c r="O2310" s="1">
        <v>-7.42</v>
      </c>
      <c r="P2310">
        <v>1</v>
      </c>
      <c r="Q2310" s="1">
        <v>0.502</v>
      </c>
      <c r="R2310" s="1">
        <v>0.83199999999999996</v>
      </c>
      <c r="S2310" s="1">
        <v>0.221</v>
      </c>
      <c r="T2310" s="1">
        <v>0.222</v>
      </c>
      <c r="U2310" s="1">
        <v>0.39700000000000002</v>
      </c>
      <c r="V2310" s="1">
        <v>170.12700000000001</v>
      </c>
      <c r="W2310">
        <v>4</v>
      </c>
    </row>
    <row r="2311" spans="1:23" x14ac:dyDescent="0.25">
      <c r="A2311" s="1" t="s">
        <v>18663</v>
      </c>
      <c r="B2311" s="1" t="s">
        <v>11184</v>
      </c>
      <c r="C2311" s="1" t="s">
        <v>6522</v>
      </c>
      <c r="D2311" s="1" t="s">
        <v>17863</v>
      </c>
      <c r="E2311" s="1" t="s">
        <v>2057</v>
      </c>
      <c r="F2311" s="1" t="s">
        <v>17793</v>
      </c>
      <c r="G2311">
        <v>159375</v>
      </c>
      <c r="H2311">
        <v>33</v>
      </c>
      <c r="I2311" s="1" t="s">
        <v>11063</v>
      </c>
      <c r="J2311" s="11">
        <v>44729.706458333334</v>
      </c>
      <c r="K2311" s="1" t="s">
        <v>50</v>
      </c>
      <c r="L2311" s="1">
        <v>0.68500000000000005</v>
      </c>
      <c r="M2311" s="1">
        <v>0.74099999999999999</v>
      </c>
      <c r="N2311">
        <v>10</v>
      </c>
      <c r="O2311" s="1">
        <v>-5.22</v>
      </c>
      <c r="P2311">
        <v>1</v>
      </c>
      <c r="Q2311" s="1">
        <v>0.32</v>
      </c>
      <c r="R2311" s="1">
        <v>0.26300000000000001</v>
      </c>
      <c r="S2311" s="1">
        <v>0</v>
      </c>
      <c r="T2311" s="1">
        <v>0.13</v>
      </c>
      <c r="U2311" s="1">
        <v>0.68100000000000005</v>
      </c>
      <c r="V2311" s="1">
        <v>145.00800000000001</v>
      </c>
      <c r="W2311">
        <v>4</v>
      </c>
    </row>
    <row r="2312" spans="1:23" x14ac:dyDescent="0.25">
      <c r="A2312" s="1" t="s">
        <v>18664</v>
      </c>
      <c r="B2312" s="1" t="s">
        <v>11184</v>
      </c>
      <c r="C2312" s="1" t="s">
        <v>6523</v>
      </c>
      <c r="D2312" s="1" t="s">
        <v>17863</v>
      </c>
      <c r="E2312" s="1" t="s">
        <v>2057</v>
      </c>
      <c r="F2312" s="1" t="s">
        <v>17793</v>
      </c>
      <c r="G2312">
        <v>135272</v>
      </c>
      <c r="H2312">
        <v>37</v>
      </c>
      <c r="I2312" s="1" t="s">
        <v>11063</v>
      </c>
      <c r="J2312" s="11">
        <v>44729.706458333334</v>
      </c>
      <c r="K2312" s="1" t="s">
        <v>50</v>
      </c>
      <c r="L2312" s="1">
        <v>0.80400000000000005</v>
      </c>
      <c r="M2312" s="1">
        <v>0.77600000000000002</v>
      </c>
      <c r="N2312">
        <v>7</v>
      </c>
      <c r="O2312" s="1">
        <v>-7.55</v>
      </c>
      <c r="P2312">
        <v>0</v>
      </c>
      <c r="Q2312" s="1">
        <v>0.89400000000000002</v>
      </c>
      <c r="R2312" s="1">
        <v>0.746</v>
      </c>
      <c r="S2312" s="1">
        <v>0.76700000000000002</v>
      </c>
      <c r="T2312" s="1">
        <v>0.13</v>
      </c>
      <c r="U2312" s="1">
        <v>0.85099999999999998</v>
      </c>
      <c r="V2312" s="1">
        <v>110.001</v>
      </c>
      <c r="W2312">
        <v>4</v>
      </c>
    </row>
    <row r="2313" spans="1:23" x14ac:dyDescent="0.25">
      <c r="A2313" s="1" t="s">
        <v>18665</v>
      </c>
      <c r="B2313" s="1" t="s">
        <v>11184</v>
      </c>
      <c r="C2313" s="1" t="s">
        <v>488</v>
      </c>
      <c r="D2313" s="1" t="s">
        <v>17863</v>
      </c>
      <c r="E2313" s="1" t="s">
        <v>2057</v>
      </c>
      <c r="F2313" s="1" t="s">
        <v>17793</v>
      </c>
      <c r="G2313">
        <v>144000</v>
      </c>
      <c r="H2313">
        <v>36</v>
      </c>
      <c r="I2313" s="1" t="s">
        <v>11063</v>
      </c>
      <c r="J2313" s="11">
        <v>44729.706458333334</v>
      </c>
      <c r="K2313" s="1" t="s">
        <v>50</v>
      </c>
      <c r="L2313" s="1">
        <v>0.752</v>
      </c>
      <c r="M2313" s="1">
        <v>0.53900000000000003</v>
      </c>
      <c r="N2313">
        <v>10</v>
      </c>
      <c r="O2313" s="1">
        <v>-9.1679999999999993</v>
      </c>
      <c r="P2313">
        <v>1</v>
      </c>
      <c r="Q2313" s="1">
        <v>0.219</v>
      </c>
      <c r="R2313" s="1">
        <v>0.41699999999999998</v>
      </c>
      <c r="S2313" s="1">
        <v>0</v>
      </c>
      <c r="T2313" s="1">
        <v>0.97599999999999998</v>
      </c>
      <c r="U2313" s="1">
        <v>0.63800000000000001</v>
      </c>
      <c r="V2313" s="1">
        <v>140.089</v>
      </c>
      <c r="W2313">
        <v>4</v>
      </c>
    </row>
    <row r="2314" spans="1:23" x14ac:dyDescent="0.25">
      <c r="A2314" s="1" t="s">
        <v>18666</v>
      </c>
      <c r="B2314" s="1" t="s">
        <v>11184</v>
      </c>
      <c r="C2314" s="1" t="s">
        <v>2867</v>
      </c>
      <c r="D2314" s="1" t="s">
        <v>18658</v>
      </c>
      <c r="E2314" s="1" t="s">
        <v>2057</v>
      </c>
      <c r="F2314" s="1" t="s">
        <v>16156</v>
      </c>
      <c r="G2314">
        <v>251294</v>
      </c>
      <c r="H2314">
        <v>62</v>
      </c>
      <c r="I2314" s="1" t="s">
        <v>11063</v>
      </c>
      <c r="J2314" s="11">
        <v>44729.706458333334</v>
      </c>
      <c r="K2314" s="1" t="s">
        <v>50</v>
      </c>
      <c r="L2314" s="1">
        <v>0.68</v>
      </c>
      <c r="M2314" s="1">
        <v>0.76600000000000001</v>
      </c>
      <c r="N2314">
        <v>4</v>
      </c>
      <c r="O2314" s="1">
        <v>-4.1029999999999998</v>
      </c>
      <c r="P2314">
        <v>0</v>
      </c>
      <c r="Q2314" s="1">
        <v>0.35499999999999998</v>
      </c>
      <c r="R2314" s="1">
        <v>0.26200000000000001</v>
      </c>
      <c r="S2314" s="1">
        <v>0</v>
      </c>
      <c r="T2314" s="1">
        <v>0.125</v>
      </c>
      <c r="U2314" s="1">
        <v>0.67500000000000004</v>
      </c>
      <c r="V2314" s="1">
        <v>169.96600000000001</v>
      </c>
      <c r="W2314">
        <v>4</v>
      </c>
    </row>
    <row r="2315" spans="1:23" x14ac:dyDescent="0.25">
      <c r="A2315" s="1" t="s">
        <v>18667</v>
      </c>
      <c r="B2315" s="1" t="s">
        <v>11184</v>
      </c>
      <c r="C2315" s="1" t="s">
        <v>6524</v>
      </c>
      <c r="D2315" s="1" t="s">
        <v>17857</v>
      </c>
      <c r="E2315" s="1" t="s">
        <v>2057</v>
      </c>
      <c r="F2315" s="1" t="s">
        <v>17858</v>
      </c>
      <c r="G2315">
        <v>296800</v>
      </c>
      <c r="H2315">
        <v>54</v>
      </c>
      <c r="I2315" s="1" t="s">
        <v>11063</v>
      </c>
      <c r="J2315" s="11">
        <v>44729.706458333334</v>
      </c>
      <c r="K2315" s="1" t="s">
        <v>50</v>
      </c>
      <c r="L2315" s="1">
        <v>0.71199999999999997</v>
      </c>
      <c r="M2315" s="1">
        <v>0.54500000000000004</v>
      </c>
      <c r="N2315">
        <v>10</v>
      </c>
      <c r="O2315" s="1">
        <v>-8.4009999999999998</v>
      </c>
      <c r="P2315">
        <v>1</v>
      </c>
      <c r="Q2315" s="1">
        <v>0.11</v>
      </c>
      <c r="R2315" s="1">
        <v>0.84899999999999998</v>
      </c>
      <c r="S2315" s="1">
        <v>0</v>
      </c>
      <c r="T2315" s="1">
        <v>0.95</v>
      </c>
      <c r="U2315" s="1">
        <v>0.44</v>
      </c>
      <c r="V2315" s="1">
        <v>74.995999999999995</v>
      </c>
      <c r="W2315">
        <v>4</v>
      </c>
    </row>
    <row r="2316" spans="1:23" x14ac:dyDescent="0.25">
      <c r="A2316" s="1" t="s">
        <v>18668</v>
      </c>
      <c r="B2316" s="1" t="s">
        <v>11184</v>
      </c>
      <c r="C2316" s="1" t="s">
        <v>6525</v>
      </c>
      <c r="D2316" s="1" t="s">
        <v>11185</v>
      </c>
      <c r="E2316" s="1" t="s">
        <v>2057</v>
      </c>
      <c r="F2316" s="1" t="s">
        <v>17861</v>
      </c>
      <c r="G2316">
        <v>128460</v>
      </c>
      <c r="H2316">
        <v>54</v>
      </c>
      <c r="I2316" s="1" t="s">
        <v>11063</v>
      </c>
      <c r="J2316" s="11">
        <v>44729.706458333334</v>
      </c>
      <c r="K2316" s="1" t="s">
        <v>50</v>
      </c>
      <c r="L2316" s="1">
        <v>0.38300000000000001</v>
      </c>
      <c r="M2316" s="1">
        <v>0.78800000000000003</v>
      </c>
      <c r="N2316">
        <v>4</v>
      </c>
      <c r="O2316" s="1">
        <v>-5.6029999999999998</v>
      </c>
      <c r="P2316">
        <v>1</v>
      </c>
      <c r="Q2316" s="1">
        <v>0.28000000000000003</v>
      </c>
      <c r="R2316" s="1">
        <v>0.99299999999999999</v>
      </c>
      <c r="S2316" s="1">
        <v>0</v>
      </c>
      <c r="T2316" s="1">
        <v>0.34</v>
      </c>
      <c r="U2316" s="1">
        <v>0.70799999999999996</v>
      </c>
      <c r="V2316" s="1">
        <v>99.742000000000004</v>
      </c>
      <c r="W2316">
        <v>4</v>
      </c>
    </row>
    <row r="2317" spans="1:23" x14ac:dyDescent="0.25">
      <c r="A2317" s="1" t="s">
        <v>18669</v>
      </c>
      <c r="B2317" s="1" t="s">
        <v>11184</v>
      </c>
      <c r="C2317" s="1" t="s">
        <v>6526</v>
      </c>
      <c r="D2317" s="1" t="s">
        <v>11185</v>
      </c>
      <c r="E2317" s="1" t="s">
        <v>2057</v>
      </c>
      <c r="F2317" s="1" t="s">
        <v>17861</v>
      </c>
      <c r="G2317">
        <v>186240</v>
      </c>
      <c r="H2317">
        <v>58</v>
      </c>
      <c r="I2317" s="1" t="s">
        <v>11063</v>
      </c>
      <c r="J2317" s="11">
        <v>44729.706458333334</v>
      </c>
      <c r="K2317" s="1" t="s">
        <v>50</v>
      </c>
      <c r="L2317" s="1">
        <v>0.78600000000000003</v>
      </c>
      <c r="M2317" s="1">
        <v>0.64300000000000002</v>
      </c>
      <c r="N2317">
        <v>8</v>
      </c>
      <c r="O2317" s="1">
        <v>-8.8510000000000009</v>
      </c>
      <c r="P2317">
        <v>1</v>
      </c>
      <c r="Q2317" s="1">
        <v>0.877</v>
      </c>
      <c r="R2317" s="1">
        <v>0.66400000000000003</v>
      </c>
      <c r="S2317" s="1">
        <v>0.126</v>
      </c>
      <c r="T2317" s="1">
        <v>0.98499999999999999</v>
      </c>
      <c r="U2317" s="1">
        <v>0.70199999999999996</v>
      </c>
      <c r="V2317" s="1">
        <v>125.06</v>
      </c>
      <c r="W2317">
        <v>4</v>
      </c>
    </row>
    <row r="2318" spans="1:23" x14ac:dyDescent="0.25">
      <c r="A2318" s="1" t="s">
        <v>18670</v>
      </c>
      <c r="B2318" s="1" t="s">
        <v>11184</v>
      </c>
      <c r="C2318" s="1" t="s">
        <v>4882</v>
      </c>
      <c r="D2318" s="1" t="s">
        <v>18658</v>
      </c>
      <c r="E2318" s="1" t="s">
        <v>2057</v>
      </c>
      <c r="F2318" s="1" t="s">
        <v>16156</v>
      </c>
      <c r="G2318">
        <v>216000</v>
      </c>
      <c r="H2318">
        <v>64</v>
      </c>
      <c r="I2318" s="1" t="s">
        <v>11063</v>
      </c>
      <c r="J2318" s="11">
        <v>44729.706458333334</v>
      </c>
      <c r="K2318" s="1" t="s">
        <v>50</v>
      </c>
      <c r="L2318" s="1">
        <v>0.69799999999999995</v>
      </c>
      <c r="M2318" s="1">
        <v>0.76500000000000001</v>
      </c>
      <c r="N2318">
        <v>5</v>
      </c>
      <c r="O2318" s="1">
        <v>-4.5620000000000003</v>
      </c>
      <c r="P2318">
        <v>1</v>
      </c>
      <c r="Q2318" s="1">
        <v>0.29099999999999998</v>
      </c>
      <c r="R2318" s="1">
        <v>0.16900000000000001</v>
      </c>
      <c r="S2318" s="1">
        <v>0</v>
      </c>
      <c r="T2318" s="1">
        <v>0.39</v>
      </c>
      <c r="U2318" s="1">
        <v>0.58899999999999997</v>
      </c>
      <c r="V2318" s="1">
        <v>84.94</v>
      </c>
      <c r="W2318">
        <v>4</v>
      </c>
    </row>
    <row r="2319" spans="1:23" x14ac:dyDescent="0.25">
      <c r="A2319" s="1" t="s">
        <v>18671</v>
      </c>
      <c r="B2319" s="1" t="s">
        <v>11184</v>
      </c>
      <c r="C2319" s="1" t="s">
        <v>6527</v>
      </c>
      <c r="D2319" s="1" t="s">
        <v>11185</v>
      </c>
      <c r="E2319" s="1" t="s">
        <v>2057</v>
      </c>
      <c r="F2319" s="1" t="s">
        <v>17861</v>
      </c>
      <c r="G2319">
        <v>206769</v>
      </c>
      <c r="H2319">
        <v>64</v>
      </c>
      <c r="I2319" s="1" t="s">
        <v>11063</v>
      </c>
      <c r="J2319" s="11">
        <v>44729.706458333334</v>
      </c>
      <c r="K2319" s="1" t="s">
        <v>50</v>
      </c>
      <c r="L2319" s="1">
        <v>0.86099999999999999</v>
      </c>
      <c r="M2319" s="1">
        <v>0.57999999999999996</v>
      </c>
      <c r="N2319">
        <v>9</v>
      </c>
      <c r="O2319" s="1">
        <v>-7.5709999999999997</v>
      </c>
      <c r="P2319">
        <v>1</v>
      </c>
      <c r="Q2319" s="1">
        <v>0.505</v>
      </c>
      <c r="R2319" s="1">
        <v>0.17199999999999999</v>
      </c>
      <c r="S2319" s="1">
        <v>0.106</v>
      </c>
      <c r="T2319" s="1">
        <v>0.54500000000000004</v>
      </c>
      <c r="U2319" s="1">
        <v>0.874</v>
      </c>
      <c r="V2319" s="1">
        <v>130.006</v>
      </c>
      <c r="W2319">
        <v>4</v>
      </c>
    </row>
    <row r="2320" spans="1:23" x14ac:dyDescent="0.25">
      <c r="A2320" s="1" t="s">
        <v>18672</v>
      </c>
      <c r="B2320" s="1" t="s">
        <v>11184</v>
      </c>
      <c r="C2320" s="1" t="s">
        <v>3114</v>
      </c>
      <c r="D2320" s="1" t="s">
        <v>17863</v>
      </c>
      <c r="E2320" s="1" t="s">
        <v>2057</v>
      </c>
      <c r="F2320" s="1" t="s">
        <v>17793</v>
      </c>
      <c r="G2320">
        <v>182400</v>
      </c>
      <c r="H2320">
        <v>49</v>
      </c>
      <c r="I2320" s="1" t="s">
        <v>11063</v>
      </c>
      <c r="J2320" s="11">
        <v>44729.706458333334</v>
      </c>
      <c r="K2320" s="1" t="s">
        <v>50</v>
      </c>
      <c r="L2320" s="1">
        <v>0.78200000000000003</v>
      </c>
      <c r="M2320" s="1">
        <v>0.75700000000000001</v>
      </c>
      <c r="N2320">
        <v>6</v>
      </c>
      <c r="O2320" s="1">
        <v>-6.5039999999999996</v>
      </c>
      <c r="P2320">
        <v>1</v>
      </c>
      <c r="Q2320" s="1">
        <v>0.89800000000000002</v>
      </c>
      <c r="R2320" s="1">
        <v>0.107</v>
      </c>
      <c r="S2320" s="1">
        <v>0</v>
      </c>
      <c r="T2320" s="1">
        <v>0.77900000000000003</v>
      </c>
      <c r="U2320" s="1">
        <v>0.94299999999999995</v>
      </c>
      <c r="V2320" s="1">
        <v>75.001999999999995</v>
      </c>
      <c r="W2320">
        <v>4</v>
      </c>
    </row>
    <row r="2321" spans="1:23" x14ac:dyDescent="0.25">
      <c r="A2321" s="1" t="s">
        <v>18673</v>
      </c>
      <c r="B2321" s="1" t="s">
        <v>11184</v>
      </c>
      <c r="C2321" s="1" t="s">
        <v>6528</v>
      </c>
      <c r="D2321" s="1" t="s">
        <v>18658</v>
      </c>
      <c r="E2321" s="1" t="s">
        <v>2057</v>
      </c>
      <c r="F2321" s="1" t="s">
        <v>16156</v>
      </c>
      <c r="G2321">
        <v>200571</v>
      </c>
      <c r="H2321">
        <v>75</v>
      </c>
      <c r="I2321" s="1" t="s">
        <v>11063</v>
      </c>
      <c r="J2321" s="11">
        <v>44729.706458333334</v>
      </c>
      <c r="K2321" s="1" t="s">
        <v>50</v>
      </c>
      <c r="L2321" s="1">
        <v>0.71599999999999997</v>
      </c>
      <c r="M2321" s="1">
        <v>0.94599999999999995</v>
      </c>
      <c r="N2321">
        <v>1</v>
      </c>
      <c r="O2321" s="1">
        <v>-3.4119999999999999</v>
      </c>
      <c r="P2321">
        <v>1</v>
      </c>
      <c r="Q2321" s="1">
        <v>0.26100000000000001</v>
      </c>
      <c r="R2321" s="1">
        <v>0.94</v>
      </c>
      <c r="S2321" s="1">
        <v>0.66300000000000003</v>
      </c>
      <c r="T2321" s="1">
        <v>0.82499999999999996</v>
      </c>
      <c r="U2321" s="1">
        <v>0.58699999999999997</v>
      </c>
      <c r="V2321" s="1">
        <v>139.94300000000001</v>
      </c>
      <c r="W2321">
        <v>4</v>
      </c>
    </row>
    <row r="2322" spans="1:23" x14ac:dyDescent="0.25">
      <c r="A2322" s="1" t="s">
        <v>18674</v>
      </c>
      <c r="B2322" s="1" t="s">
        <v>11184</v>
      </c>
      <c r="C2322" s="1" t="s">
        <v>6529</v>
      </c>
      <c r="D2322" s="1" t="s">
        <v>6529</v>
      </c>
      <c r="E2322" s="1" t="s">
        <v>2057</v>
      </c>
      <c r="F2322" s="1" t="s">
        <v>18675</v>
      </c>
      <c r="G2322">
        <v>247607</v>
      </c>
      <c r="H2322">
        <v>70</v>
      </c>
      <c r="I2322" s="1" t="s">
        <v>11063</v>
      </c>
      <c r="J2322" s="11">
        <v>44729.706458333334</v>
      </c>
      <c r="K2322" s="1" t="s">
        <v>50</v>
      </c>
      <c r="L2322" s="1">
        <v>0.67300000000000004</v>
      </c>
      <c r="M2322" s="1">
        <v>0.70599999999999996</v>
      </c>
      <c r="N2322">
        <v>8</v>
      </c>
      <c r="O2322" s="1">
        <v>-8.4</v>
      </c>
      <c r="P2322">
        <v>1</v>
      </c>
      <c r="Q2322" s="1">
        <v>0.115</v>
      </c>
      <c r="R2322" s="1">
        <v>0.60299999999999998</v>
      </c>
      <c r="S2322" s="1">
        <v>0.27500000000000002</v>
      </c>
      <c r="T2322" s="1">
        <v>0.42599999999999999</v>
      </c>
      <c r="U2322" s="1">
        <v>0.51600000000000001</v>
      </c>
      <c r="V2322" s="1">
        <v>74.971999999999994</v>
      </c>
      <c r="W2322">
        <v>4</v>
      </c>
    </row>
    <row r="2323" spans="1:23" x14ac:dyDescent="0.25">
      <c r="A2323" s="1" t="s">
        <v>18676</v>
      </c>
      <c r="B2323" s="1" t="s">
        <v>18677</v>
      </c>
      <c r="C2323" s="1" t="s">
        <v>3460</v>
      </c>
      <c r="D2323" s="1" t="s">
        <v>3460</v>
      </c>
      <c r="E2323" s="1" t="s">
        <v>6530</v>
      </c>
      <c r="F2323" s="1" t="s">
        <v>18678</v>
      </c>
      <c r="G2323">
        <v>202941</v>
      </c>
      <c r="H2323">
        <v>28</v>
      </c>
      <c r="I2323" s="1" t="s">
        <v>11063</v>
      </c>
      <c r="J2323" s="11">
        <v>44729.706458333334</v>
      </c>
      <c r="K2323" s="1" t="s">
        <v>50</v>
      </c>
      <c r="L2323" s="1">
        <v>0.64100000000000001</v>
      </c>
      <c r="M2323" s="1">
        <v>0.69</v>
      </c>
      <c r="N2323">
        <v>9</v>
      </c>
      <c r="O2323" s="1">
        <v>-4.8710000000000004</v>
      </c>
      <c r="P2323">
        <v>0</v>
      </c>
      <c r="Q2323" s="1">
        <v>0.41599999999999998</v>
      </c>
      <c r="R2323" s="1">
        <v>0.86799999999999999</v>
      </c>
      <c r="S2323" s="1">
        <v>0</v>
      </c>
      <c r="T2323" s="1">
        <v>0.14399999999999999</v>
      </c>
      <c r="U2323" s="1">
        <v>0.42899999999999999</v>
      </c>
      <c r="V2323" s="1">
        <v>136.02000000000001</v>
      </c>
      <c r="W2323">
        <v>4</v>
      </c>
    </row>
    <row r="2324" spans="1:23" x14ac:dyDescent="0.25">
      <c r="A2324" s="1" t="s">
        <v>18679</v>
      </c>
      <c r="B2324" s="1" t="s">
        <v>15137</v>
      </c>
      <c r="C2324" s="1" t="s">
        <v>6531</v>
      </c>
      <c r="D2324" s="1" t="s">
        <v>18680</v>
      </c>
      <c r="E2324" s="1" t="s">
        <v>3396</v>
      </c>
      <c r="F2324" s="1" t="s">
        <v>18681</v>
      </c>
      <c r="G2324">
        <v>162000</v>
      </c>
      <c r="H2324">
        <v>0</v>
      </c>
      <c r="I2324" s="1" t="s">
        <v>11063</v>
      </c>
      <c r="J2324" s="11">
        <v>44729.706458333334</v>
      </c>
      <c r="K2324" s="1" t="s">
        <v>3397</v>
      </c>
      <c r="L2324" s="1">
        <v>0.64200000000000002</v>
      </c>
      <c r="M2324" s="1">
        <v>0.78400000000000003</v>
      </c>
      <c r="N2324">
        <v>11</v>
      </c>
      <c r="O2324" s="1">
        <v>-5.2859999999999996</v>
      </c>
      <c r="P2324">
        <v>0</v>
      </c>
      <c r="Q2324" s="1">
        <v>0.32</v>
      </c>
      <c r="R2324" s="1">
        <v>0.27100000000000002</v>
      </c>
      <c r="S2324" s="1">
        <v>0.30299999999999999</v>
      </c>
      <c r="T2324" s="1">
        <v>0.308</v>
      </c>
      <c r="U2324" s="1">
        <v>0.877</v>
      </c>
      <c r="V2324" s="1">
        <v>128.00399999999999</v>
      </c>
      <c r="W2324">
        <v>4</v>
      </c>
    </row>
    <row r="2325" spans="1:23" x14ac:dyDescent="0.25">
      <c r="A2325" s="1" t="s">
        <v>18682</v>
      </c>
      <c r="B2325" s="1" t="s">
        <v>18683</v>
      </c>
      <c r="C2325" s="1" t="s">
        <v>6532</v>
      </c>
      <c r="D2325" s="1" t="s">
        <v>3494</v>
      </c>
      <c r="E2325" s="1" t="s">
        <v>6533</v>
      </c>
      <c r="F2325" s="1" t="s">
        <v>16056</v>
      </c>
      <c r="G2325">
        <v>210013</v>
      </c>
      <c r="H2325">
        <v>71</v>
      </c>
      <c r="I2325" s="1" t="s">
        <v>11063</v>
      </c>
      <c r="J2325" s="11">
        <v>44729.706458333334</v>
      </c>
      <c r="K2325" s="1" t="s">
        <v>6534</v>
      </c>
      <c r="L2325" s="1">
        <v>0.503</v>
      </c>
      <c r="M2325" s="1">
        <v>0.748</v>
      </c>
      <c r="N2325">
        <v>5</v>
      </c>
      <c r="O2325" s="1">
        <v>-4.1239999999999997</v>
      </c>
      <c r="P2325">
        <v>1</v>
      </c>
      <c r="Q2325" s="1">
        <v>0.61899999999999999</v>
      </c>
      <c r="R2325" s="1">
        <v>0.30499999999999999</v>
      </c>
      <c r="S2325" s="1">
        <v>0</v>
      </c>
      <c r="T2325" s="1">
        <v>0.34300000000000003</v>
      </c>
      <c r="U2325" s="1">
        <v>0.35599999999999998</v>
      </c>
      <c r="V2325" s="1">
        <v>125.896</v>
      </c>
      <c r="W2325">
        <v>4</v>
      </c>
    </row>
    <row r="2326" spans="1:23" x14ac:dyDescent="0.25">
      <c r="A2326" s="1" t="s">
        <v>18684</v>
      </c>
      <c r="B2326" s="1" t="s">
        <v>11432</v>
      </c>
      <c r="C2326" s="1" t="s">
        <v>6535</v>
      </c>
      <c r="D2326" s="1" t="s">
        <v>11688</v>
      </c>
      <c r="E2326" s="1" t="s">
        <v>202</v>
      </c>
      <c r="F2326" s="1" t="s">
        <v>11689</v>
      </c>
      <c r="G2326">
        <v>209253</v>
      </c>
      <c r="H2326">
        <v>37</v>
      </c>
      <c r="I2326" s="1" t="s">
        <v>11063</v>
      </c>
      <c r="J2326" s="11">
        <v>44729.706458333334</v>
      </c>
      <c r="K2326" s="1" t="s">
        <v>203</v>
      </c>
      <c r="L2326" s="1">
        <v>0.52600000000000002</v>
      </c>
      <c r="M2326" s="1">
        <v>0.81899999999999995</v>
      </c>
      <c r="N2326">
        <v>0</v>
      </c>
      <c r="O2326" s="1">
        <v>-8.4060000000000006</v>
      </c>
      <c r="P2326">
        <v>1</v>
      </c>
      <c r="Q2326" s="1">
        <v>0.91100000000000003</v>
      </c>
      <c r="R2326" s="1">
        <v>0.73599999999999999</v>
      </c>
      <c r="S2326" s="1">
        <v>0.20899999999999999</v>
      </c>
      <c r="T2326" s="1">
        <v>0.64600000000000002</v>
      </c>
      <c r="U2326" s="1">
        <v>0.224</v>
      </c>
      <c r="V2326" s="1">
        <v>175.994</v>
      </c>
      <c r="W2326">
        <v>4</v>
      </c>
    </row>
    <row r="2327" spans="1:23" x14ac:dyDescent="0.25">
      <c r="A2327" s="1" t="s">
        <v>18685</v>
      </c>
      <c r="B2327" s="1" t="s">
        <v>14774</v>
      </c>
      <c r="C2327" s="1" t="s">
        <v>3061</v>
      </c>
      <c r="D2327" s="1" t="s">
        <v>18686</v>
      </c>
      <c r="E2327" s="1" t="s">
        <v>3062</v>
      </c>
      <c r="F2327" s="1" t="s">
        <v>18687</v>
      </c>
      <c r="G2327">
        <v>251813</v>
      </c>
      <c r="H2327">
        <v>44</v>
      </c>
      <c r="I2327" s="1" t="s">
        <v>11063</v>
      </c>
      <c r="J2327" s="11">
        <v>44729.706458333334</v>
      </c>
      <c r="K2327" s="1" t="s">
        <v>3063</v>
      </c>
      <c r="L2327" s="1">
        <v>0.84499999999999997</v>
      </c>
      <c r="M2327" s="1">
        <v>0.70899999999999996</v>
      </c>
      <c r="N2327">
        <v>11</v>
      </c>
      <c r="O2327" s="1">
        <v>-5.9660000000000002</v>
      </c>
      <c r="P2327">
        <v>1</v>
      </c>
      <c r="Q2327" s="1">
        <v>0.317</v>
      </c>
      <c r="R2327" s="1">
        <v>0.40699999999999997</v>
      </c>
      <c r="S2327" s="1">
        <v>0.24099999999999999</v>
      </c>
      <c r="T2327" s="1">
        <v>0.111</v>
      </c>
      <c r="U2327" s="1">
        <v>0.47199999999999998</v>
      </c>
      <c r="V2327" s="1">
        <v>124.169</v>
      </c>
      <c r="W2327">
        <v>4</v>
      </c>
    </row>
    <row r="2328" spans="1:23" x14ac:dyDescent="0.25">
      <c r="A2328" s="1" t="s">
        <v>11686</v>
      </c>
      <c r="B2328" s="1" t="s">
        <v>11687</v>
      </c>
      <c r="C2328" s="1" t="s">
        <v>6536</v>
      </c>
      <c r="D2328" s="1" t="s">
        <v>11688</v>
      </c>
      <c r="E2328" s="1" t="s">
        <v>398</v>
      </c>
      <c r="F2328" s="1" t="s">
        <v>11689</v>
      </c>
      <c r="G2328">
        <v>184400</v>
      </c>
      <c r="H2328">
        <v>64</v>
      </c>
      <c r="I2328" s="1" t="s">
        <v>11063</v>
      </c>
      <c r="J2328" s="11">
        <v>44729.706458333334</v>
      </c>
      <c r="K2328" s="1" t="s">
        <v>399</v>
      </c>
      <c r="L2328" s="1">
        <v>0.57299999999999995</v>
      </c>
      <c r="M2328" s="1">
        <v>0.78400000000000003</v>
      </c>
      <c r="N2328">
        <v>9</v>
      </c>
      <c r="O2328" s="1">
        <v>-5.2240000000000002</v>
      </c>
      <c r="P2328">
        <v>1</v>
      </c>
      <c r="Q2328" s="1">
        <v>0.59099999999999997</v>
      </c>
      <c r="R2328" s="1">
        <v>0.14099999999999999</v>
      </c>
      <c r="S2328" s="1">
        <v>0</v>
      </c>
      <c r="T2328" s="1">
        <v>0.84399999999999997</v>
      </c>
      <c r="U2328" s="1">
        <v>0.69</v>
      </c>
      <c r="V2328" s="1">
        <v>82.009</v>
      </c>
      <c r="W2328">
        <v>4</v>
      </c>
    </row>
    <row r="2329" spans="1:23" x14ac:dyDescent="0.25">
      <c r="A2329" s="1" t="s">
        <v>18688</v>
      </c>
      <c r="B2329" s="1" t="s">
        <v>18689</v>
      </c>
      <c r="C2329" s="1" t="s">
        <v>6537</v>
      </c>
      <c r="D2329" s="1" t="s">
        <v>6537</v>
      </c>
      <c r="E2329" s="1" t="s">
        <v>6538</v>
      </c>
      <c r="F2329" s="1" t="s">
        <v>18690</v>
      </c>
      <c r="G2329">
        <v>179200</v>
      </c>
      <c r="H2329">
        <v>0</v>
      </c>
      <c r="I2329" s="1" t="s">
        <v>11063</v>
      </c>
      <c r="J2329" s="11">
        <v>44729.706458333334</v>
      </c>
      <c r="K2329" s="1" t="s">
        <v>6539</v>
      </c>
      <c r="L2329" s="1">
        <v>0.52900000000000003</v>
      </c>
      <c r="M2329" s="1">
        <v>0.73899999999999999</v>
      </c>
      <c r="N2329">
        <v>9</v>
      </c>
      <c r="O2329" s="1">
        <v>-5.3559999999999999</v>
      </c>
      <c r="P2329">
        <v>0</v>
      </c>
      <c r="Q2329" s="1">
        <v>0.54300000000000004</v>
      </c>
      <c r="R2329" s="1">
        <v>0.14399999999999999</v>
      </c>
      <c r="S2329" s="1">
        <v>0.255</v>
      </c>
      <c r="T2329" s="1">
        <v>0.39</v>
      </c>
      <c r="U2329" s="1">
        <v>0.39500000000000002</v>
      </c>
      <c r="V2329" s="1">
        <v>149.91499999999999</v>
      </c>
      <c r="W2329">
        <v>4</v>
      </c>
    </row>
    <row r="2330" spans="1:23" x14ac:dyDescent="0.25">
      <c r="A2330" s="1" t="s">
        <v>18691</v>
      </c>
      <c r="B2330" s="1" t="s">
        <v>18692</v>
      </c>
      <c r="C2330" s="1" t="s">
        <v>6540</v>
      </c>
      <c r="D2330" s="1" t="s">
        <v>7628</v>
      </c>
      <c r="E2330" s="1" t="s">
        <v>6541</v>
      </c>
      <c r="F2330" s="1" t="s">
        <v>15749</v>
      </c>
      <c r="G2330">
        <v>225440</v>
      </c>
      <c r="H2330">
        <v>64</v>
      </c>
      <c r="I2330" s="1" t="s">
        <v>11063</v>
      </c>
      <c r="J2330" s="11">
        <v>44729.706458333334</v>
      </c>
      <c r="K2330" s="1" t="s">
        <v>6542</v>
      </c>
      <c r="L2330" s="1">
        <v>0.86799999999999999</v>
      </c>
      <c r="M2330" s="1">
        <v>0.65400000000000003</v>
      </c>
      <c r="N2330">
        <v>9</v>
      </c>
      <c r="O2330" s="1">
        <v>-4.8319999999999999</v>
      </c>
      <c r="P2330">
        <v>0</v>
      </c>
      <c r="Q2330" s="1">
        <v>0.76600000000000001</v>
      </c>
      <c r="R2330" s="1">
        <v>0.20799999999999999</v>
      </c>
      <c r="S2330" s="1">
        <v>0</v>
      </c>
      <c r="T2330" s="1">
        <v>0.187</v>
      </c>
      <c r="U2330" s="1">
        <v>0.29899999999999999</v>
      </c>
      <c r="V2330" s="1">
        <v>138.02000000000001</v>
      </c>
      <c r="W2330">
        <v>4</v>
      </c>
    </row>
    <row r="2331" spans="1:23" x14ac:dyDescent="0.25">
      <c r="A2331" s="1" t="s">
        <v>18693</v>
      </c>
      <c r="B2331" s="1" t="s">
        <v>18694</v>
      </c>
      <c r="C2331" s="1" t="s">
        <v>6543</v>
      </c>
      <c r="D2331" s="1" t="s">
        <v>18695</v>
      </c>
      <c r="E2331" s="1" t="s">
        <v>6544</v>
      </c>
      <c r="F2331" s="1" t="s">
        <v>18696</v>
      </c>
      <c r="G2331">
        <v>295680</v>
      </c>
      <c r="H2331">
        <v>34</v>
      </c>
      <c r="I2331" s="1" t="s">
        <v>11063</v>
      </c>
      <c r="J2331" s="11">
        <v>44729.706458333334</v>
      </c>
      <c r="K2331" s="1" t="s">
        <v>6545</v>
      </c>
      <c r="L2331" s="1">
        <v>0.68500000000000005</v>
      </c>
      <c r="M2331" s="1">
        <v>0.80300000000000005</v>
      </c>
      <c r="N2331">
        <v>4</v>
      </c>
      <c r="O2331" s="1">
        <v>-4.84</v>
      </c>
      <c r="P2331">
        <v>0</v>
      </c>
      <c r="Q2331" s="1">
        <v>0.51900000000000002</v>
      </c>
      <c r="R2331" s="1">
        <v>0.57799999999999996</v>
      </c>
      <c r="S2331" s="1">
        <v>0.84199999999999997</v>
      </c>
      <c r="T2331" s="1">
        <v>0.186</v>
      </c>
      <c r="U2331" s="1">
        <v>0.35899999999999999</v>
      </c>
      <c r="V2331" s="1">
        <v>125.011</v>
      </c>
      <c r="W2331">
        <v>4</v>
      </c>
    </row>
    <row r="2332" spans="1:23" x14ac:dyDescent="0.25">
      <c r="A2332" s="1" t="s">
        <v>18697</v>
      </c>
      <c r="B2332" s="1" t="s">
        <v>17904</v>
      </c>
      <c r="C2332" s="1" t="s">
        <v>2505</v>
      </c>
      <c r="D2332" s="1" t="s">
        <v>2505</v>
      </c>
      <c r="E2332" s="1" t="s">
        <v>5802</v>
      </c>
      <c r="F2332" s="1" t="s">
        <v>18698</v>
      </c>
      <c r="G2332">
        <v>236741</v>
      </c>
      <c r="H2332">
        <v>0</v>
      </c>
      <c r="I2332" s="1" t="s">
        <v>11063</v>
      </c>
      <c r="J2332" s="11">
        <v>44729.706458333334</v>
      </c>
      <c r="K2332" s="1" t="s">
        <v>2137</v>
      </c>
      <c r="L2332" s="1">
        <v>0.55500000000000005</v>
      </c>
      <c r="M2332" s="1">
        <v>0.64100000000000001</v>
      </c>
      <c r="N2332">
        <v>6</v>
      </c>
      <c r="O2332" s="1">
        <v>-9.4</v>
      </c>
      <c r="P2332">
        <v>0</v>
      </c>
      <c r="Q2332" s="1">
        <v>0.307</v>
      </c>
      <c r="R2332" s="1">
        <v>0.59499999999999997</v>
      </c>
      <c r="S2332" s="1">
        <v>0.50700000000000001</v>
      </c>
      <c r="T2332" s="1">
        <v>0.51900000000000002</v>
      </c>
      <c r="U2332" s="1">
        <v>0.376</v>
      </c>
      <c r="V2332" s="1">
        <v>109.97799999999999</v>
      </c>
      <c r="W2332">
        <v>4</v>
      </c>
    </row>
    <row r="2333" spans="1:23" x14ac:dyDescent="0.25">
      <c r="A2333" s="1" t="s">
        <v>18699</v>
      </c>
      <c r="B2333" s="1" t="s">
        <v>18700</v>
      </c>
      <c r="C2333" s="1" t="s">
        <v>6546</v>
      </c>
      <c r="D2333" s="1" t="s">
        <v>18701</v>
      </c>
      <c r="E2333" s="1" t="s">
        <v>6547</v>
      </c>
      <c r="F2333" s="1" t="s">
        <v>18702</v>
      </c>
      <c r="G2333">
        <v>219748</v>
      </c>
      <c r="H2333">
        <v>35</v>
      </c>
      <c r="I2333" s="1" t="s">
        <v>11063</v>
      </c>
      <c r="J2333" s="11">
        <v>44729.706458333334</v>
      </c>
      <c r="K2333" s="1" t="s">
        <v>1053</v>
      </c>
      <c r="L2333" s="1">
        <v>0.2</v>
      </c>
      <c r="M2333" s="1">
        <v>0.72099999999999997</v>
      </c>
      <c r="N2333">
        <v>3</v>
      </c>
      <c r="O2333" s="1">
        <v>-6.0090000000000003</v>
      </c>
      <c r="P2333">
        <v>0</v>
      </c>
      <c r="Q2333" s="1">
        <v>0.79800000000000004</v>
      </c>
      <c r="R2333" s="1">
        <v>0.312</v>
      </c>
      <c r="S2333" s="1">
        <v>0.47</v>
      </c>
      <c r="T2333" s="1">
        <v>0.26100000000000001</v>
      </c>
      <c r="U2333" s="1">
        <v>0.33</v>
      </c>
      <c r="V2333" s="1">
        <v>164.94200000000001</v>
      </c>
      <c r="W2333">
        <v>3</v>
      </c>
    </row>
    <row r="2334" spans="1:23" x14ac:dyDescent="0.25">
      <c r="A2334" s="1" t="s">
        <v>18703</v>
      </c>
      <c r="B2334" s="1" t="s">
        <v>18704</v>
      </c>
      <c r="C2334" s="1" t="s">
        <v>6548</v>
      </c>
      <c r="D2334" s="1" t="s">
        <v>6548</v>
      </c>
      <c r="E2334" s="1" t="s">
        <v>6549</v>
      </c>
      <c r="F2334" s="1" t="s">
        <v>18705</v>
      </c>
      <c r="G2334">
        <v>281454</v>
      </c>
      <c r="H2334">
        <v>50</v>
      </c>
      <c r="I2334" s="1" t="s">
        <v>11063</v>
      </c>
      <c r="J2334" s="11">
        <v>44729.706458333334</v>
      </c>
      <c r="K2334" s="1" t="s">
        <v>6550</v>
      </c>
      <c r="L2334" s="1">
        <v>0.68100000000000005</v>
      </c>
      <c r="M2334" s="1">
        <v>0.90900000000000003</v>
      </c>
      <c r="N2334">
        <v>9</v>
      </c>
      <c r="O2334" s="1">
        <v>-4.8470000000000004</v>
      </c>
      <c r="P2334">
        <v>1</v>
      </c>
      <c r="Q2334" s="1">
        <v>0.35299999999999998</v>
      </c>
      <c r="R2334" s="1">
        <v>0.13500000000000001</v>
      </c>
      <c r="S2334" s="1">
        <v>0.23300000000000001</v>
      </c>
      <c r="T2334" s="1">
        <v>0.754</v>
      </c>
      <c r="U2334" s="1">
        <v>0.378</v>
      </c>
      <c r="V2334" s="1">
        <v>110.00700000000001</v>
      </c>
      <c r="W2334">
        <v>4</v>
      </c>
    </row>
    <row r="2335" spans="1:23" x14ac:dyDescent="0.25">
      <c r="A2335" s="1" t="s">
        <v>18706</v>
      </c>
      <c r="B2335" s="1" t="s">
        <v>17904</v>
      </c>
      <c r="C2335" s="1" t="s">
        <v>6551</v>
      </c>
      <c r="D2335" s="1" t="s">
        <v>6551</v>
      </c>
      <c r="E2335" s="1" t="s">
        <v>5802</v>
      </c>
      <c r="F2335" s="1" t="s">
        <v>18707</v>
      </c>
      <c r="G2335">
        <v>270545</v>
      </c>
      <c r="H2335">
        <v>0</v>
      </c>
      <c r="I2335" s="1" t="s">
        <v>11063</v>
      </c>
      <c r="J2335" s="11">
        <v>44729.706458333334</v>
      </c>
      <c r="K2335" s="1" t="s">
        <v>2137</v>
      </c>
      <c r="L2335" s="1">
        <v>0.61099999999999999</v>
      </c>
      <c r="M2335" s="1">
        <v>0.83599999999999997</v>
      </c>
      <c r="N2335">
        <v>7</v>
      </c>
      <c r="O2335" s="1">
        <v>-6.4290000000000003</v>
      </c>
      <c r="P2335">
        <v>0</v>
      </c>
      <c r="Q2335" s="1">
        <v>0.89100000000000001</v>
      </c>
      <c r="R2335" s="1">
        <v>0.123</v>
      </c>
      <c r="S2335" s="1">
        <v>0</v>
      </c>
      <c r="T2335" s="1">
        <v>0.16400000000000001</v>
      </c>
      <c r="U2335" s="1">
        <v>0.32900000000000001</v>
      </c>
      <c r="V2335" s="1">
        <v>110.03400000000001</v>
      </c>
      <c r="W2335">
        <v>4</v>
      </c>
    </row>
    <row r="2336" spans="1:23" x14ac:dyDescent="0.25">
      <c r="A2336" s="1" t="s">
        <v>18708</v>
      </c>
      <c r="B2336" s="1" t="s">
        <v>13679</v>
      </c>
      <c r="C2336" s="1" t="s">
        <v>2135</v>
      </c>
      <c r="D2336" s="1" t="s">
        <v>2135</v>
      </c>
      <c r="E2336" s="1" t="s">
        <v>2136</v>
      </c>
      <c r="F2336" s="1" t="s">
        <v>13680</v>
      </c>
      <c r="G2336">
        <v>274285</v>
      </c>
      <c r="H2336">
        <v>0</v>
      </c>
      <c r="I2336" s="1" t="s">
        <v>11063</v>
      </c>
      <c r="J2336" s="11">
        <v>44729.706458333334</v>
      </c>
      <c r="K2336" s="1" t="s">
        <v>2137</v>
      </c>
      <c r="L2336" s="1">
        <v>0.435</v>
      </c>
      <c r="M2336" s="1">
        <v>0.72699999999999998</v>
      </c>
      <c r="N2336">
        <v>1</v>
      </c>
      <c r="O2336" s="1">
        <v>-6.9690000000000003</v>
      </c>
      <c r="P2336">
        <v>1</v>
      </c>
      <c r="Q2336" s="1">
        <v>0.61099999999999999</v>
      </c>
      <c r="R2336" s="1">
        <v>0.42399999999999999</v>
      </c>
      <c r="S2336" s="1">
        <v>0.46</v>
      </c>
      <c r="T2336" s="1">
        <v>0.105</v>
      </c>
      <c r="U2336" s="1">
        <v>0.39900000000000002</v>
      </c>
      <c r="V2336" s="1">
        <v>174.99199999999999</v>
      </c>
      <c r="W2336">
        <v>4</v>
      </c>
    </row>
    <row r="2337" spans="1:23" x14ac:dyDescent="0.25">
      <c r="A2337" s="1" t="s">
        <v>18709</v>
      </c>
      <c r="B2337" s="1" t="s">
        <v>13679</v>
      </c>
      <c r="C2337" s="1" t="s">
        <v>4787</v>
      </c>
      <c r="D2337" s="1" t="s">
        <v>4787</v>
      </c>
      <c r="E2337" s="1" t="s">
        <v>2136</v>
      </c>
      <c r="F2337" s="1" t="s">
        <v>16762</v>
      </c>
      <c r="G2337">
        <v>219428</v>
      </c>
      <c r="H2337">
        <v>0</v>
      </c>
      <c r="I2337" s="1" t="s">
        <v>11063</v>
      </c>
      <c r="J2337" s="11">
        <v>44729.706458333334</v>
      </c>
      <c r="K2337" s="1" t="s">
        <v>2137</v>
      </c>
      <c r="L2337" s="1">
        <v>0.495</v>
      </c>
      <c r="M2337" s="1">
        <v>0.75600000000000001</v>
      </c>
      <c r="N2337">
        <v>4</v>
      </c>
      <c r="O2337" s="1">
        <v>-5.734</v>
      </c>
      <c r="P2337">
        <v>0</v>
      </c>
      <c r="Q2337" s="1">
        <v>0.65500000000000003</v>
      </c>
      <c r="R2337" s="1">
        <v>0.40899999999999997</v>
      </c>
      <c r="S2337" s="1">
        <v>0.26700000000000002</v>
      </c>
      <c r="T2337" s="1">
        <v>0.10199999999999999</v>
      </c>
      <c r="U2337" s="1">
        <v>0.217</v>
      </c>
      <c r="V2337" s="1">
        <v>87.396000000000001</v>
      </c>
      <c r="W2337">
        <v>4</v>
      </c>
    </row>
    <row r="2338" spans="1:23" x14ac:dyDescent="0.25">
      <c r="A2338" s="1" t="s">
        <v>18710</v>
      </c>
      <c r="B2338" s="1" t="s">
        <v>18711</v>
      </c>
      <c r="C2338" s="1" t="s">
        <v>6552</v>
      </c>
      <c r="D2338" s="1" t="s">
        <v>18712</v>
      </c>
      <c r="E2338" s="1" t="s">
        <v>6553</v>
      </c>
      <c r="F2338" s="1" t="s">
        <v>18713</v>
      </c>
      <c r="G2338">
        <v>223111</v>
      </c>
      <c r="H2338">
        <v>75</v>
      </c>
      <c r="I2338" s="1" t="s">
        <v>11063</v>
      </c>
      <c r="J2338" s="11">
        <v>44729.706458333334</v>
      </c>
      <c r="K2338" s="1" t="s">
        <v>6554</v>
      </c>
      <c r="L2338" s="1">
        <v>0.627</v>
      </c>
      <c r="M2338" s="1">
        <v>0.95399999999999996</v>
      </c>
      <c r="N2338">
        <v>2</v>
      </c>
      <c r="O2338" s="1">
        <v>-4.8040000000000003</v>
      </c>
      <c r="P2338">
        <v>1</v>
      </c>
      <c r="Q2338" s="1">
        <v>0.42499999999999999</v>
      </c>
      <c r="R2338" s="1">
        <v>0.15</v>
      </c>
      <c r="S2338" s="1">
        <v>0.81399999999999995</v>
      </c>
      <c r="T2338" s="1">
        <v>0.29199999999999998</v>
      </c>
      <c r="U2338" s="1">
        <v>0.312</v>
      </c>
      <c r="V2338" s="1">
        <v>128.01599999999999</v>
      </c>
      <c r="W2338">
        <v>4</v>
      </c>
    </row>
    <row r="2339" spans="1:23" x14ac:dyDescent="0.25">
      <c r="A2339" s="1" t="s">
        <v>18714</v>
      </c>
      <c r="B2339" s="1" t="s">
        <v>18715</v>
      </c>
      <c r="C2339" s="1" t="s">
        <v>6555</v>
      </c>
      <c r="D2339" s="1" t="s">
        <v>18716</v>
      </c>
      <c r="E2339" s="1" t="s">
        <v>6556</v>
      </c>
      <c r="F2339" s="1" t="s">
        <v>15194</v>
      </c>
      <c r="G2339">
        <v>197482</v>
      </c>
      <c r="H2339">
        <v>44</v>
      </c>
      <c r="I2339" s="1" t="s">
        <v>11063</v>
      </c>
      <c r="J2339" s="11">
        <v>44729.706458333334</v>
      </c>
      <c r="K2339" s="1" t="s">
        <v>6557</v>
      </c>
      <c r="L2339" s="1">
        <v>0.66700000000000004</v>
      </c>
      <c r="M2339" s="1">
        <v>0.79500000000000004</v>
      </c>
      <c r="N2339">
        <v>7</v>
      </c>
      <c r="O2339" s="1">
        <v>-7.5430000000000001</v>
      </c>
      <c r="P2339">
        <v>1</v>
      </c>
      <c r="Q2339" s="1">
        <v>0.35399999999999998</v>
      </c>
      <c r="R2339" s="1">
        <v>0.80200000000000005</v>
      </c>
      <c r="S2339" s="1">
        <v>0.92700000000000005</v>
      </c>
      <c r="T2339" s="1">
        <v>0.34899999999999998</v>
      </c>
      <c r="U2339" s="1">
        <v>0.38800000000000001</v>
      </c>
      <c r="V2339" s="1">
        <v>121.986</v>
      </c>
      <c r="W2339">
        <v>4</v>
      </c>
    </row>
    <row r="2340" spans="1:23" x14ac:dyDescent="0.25">
      <c r="A2340" s="1" t="s">
        <v>18717</v>
      </c>
      <c r="B2340" s="1" t="s">
        <v>18718</v>
      </c>
      <c r="C2340" s="1" t="s">
        <v>6558</v>
      </c>
      <c r="D2340" s="1" t="s">
        <v>18695</v>
      </c>
      <c r="E2340" s="1" t="s">
        <v>6559</v>
      </c>
      <c r="F2340" s="1" t="s">
        <v>18696</v>
      </c>
      <c r="G2340">
        <v>284000</v>
      </c>
      <c r="H2340">
        <v>46</v>
      </c>
      <c r="I2340" s="1" t="s">
        <v>11063</v>
      </c>
      <c r="J2340" s="11">
        <v>44729.706458333334</v>
      </c>
      <c r="K2340" s="1" t="s">
        <v>6560</v>
      </c>
      <c r="L2340" s="1">
        <v>0.46200000000000002</v>
      </c>
      <c r="M2340" s="1">
        <v>0.79</v>
      </c>
      <c r="N2340">
        <v>4</v>
      </c>
      <c r="O2340" s="1">
        <v>-5.0720000000000001</v>
      </c>
      <c r="P2340">
        <v>0</v>
      </c>
      <c r="Q2340" s="1">
        <v>0.69199999999999995</v>
      </c>
      <c r="R2340" s="1">
        <v>0.78100000000000003</v>
      </c>
      <c r="S2340" s="1">
        <v>0.72499999999999998</v>
      </c>
      <c r="T2340" s="1">
        <v>0.75900000000000001</v>
      </c>
      <c r="U2340" s="1">
        <v>0.57299999999999995</v>
      </c>
      <c r="V2340" s="1">
        <v>120.03100000000001</v>
      </c>
      <c r="W2340">
        <v>4</v>
      </c>
    </row>
    <row r="2341" spans="1:23" x14ac:dyDescent="0.25">
      <c r="A2341" s="1" t="s">
        <v>18719</v>
      </c>
      <c r="B2341" s="1" t="s">
        <v>18720</v>
      </c>
      <c r="C2341" s="1" t="s">
        <v>6561</v>
      </c>
      <c r="D2341" s="1" t="s">
        <v>18721</v>
      </c>
      <c r="E2341" s="1" t="s">
        <v>6562</v>
      </c>
      <c r="F2341" s="1" t="s">
        <v>15135</v>
      </c>
      <c r="G2341">
        <v>307893</v>
      </c>
      <c r="H2341">
        <v>0</v>
      </c>
      <c r="I2341" s="1" t="s">
        <v>11063</v>
      </c>
      <c r="J2341" s="11">
        <v>44729.706458333334</v>
      </c>
      <c r="K2341" s="1" t="s">
        <v>6563</v>
      </c>
      <c r="L2341" s="1">
        <v>0.63600000000000001</v>
      </c>
      <c r="M2341" s="1">
        <v>0.98699999999999999</v>
      </c>
      <c r="N2341">
        <v>6</v>
      </c>
      <c r="O2341" s="1">
        <v>-3.8029999999999999</v>
      </c>
      <c r="P2341">
        <v>0</v>
      </c>
      <c r="Q2341" s="1">
        <v>0.188</v>
      </c>
      <c r="R2341" s="1">
        <v>0.98699999999999999</v>
      </c>
      <c r="S2341" s="1">
        <v>0.99199999999999999</v>
      </c>
      <c r="T2341" s="1">
        <v>0.69099999999999995</v>
      </c>
      <c r="U2341" s="1">
        <v>0.41399999999999998</v>
      </c>
      <c r="V2341" s="1">
        <v>145.06100000000001</v>
      </c>
      <c r="W2341">
        <v>4</v>
      </c>
    </row>
    <row r="2342" spans="1:23" x14ac:dyDescent="0.25">
      <c r="A2342" s="1" t="s">
        <v>18722</v>
      </c>
      <c r="B2342" s="1" t="s">
        <v>12167</v>
      </c>
      <c r="C2342" s="1" t="s">
        <v>6564</v>
      </c>
      <c r="D2342" s="1" t="s">
        <v>12168</v>
      </c>
      <c r="E2342" s="1" t="s">
        <v>692</v>
      </c>
      <c r="F2342" s="1" t="s">
        <v>18723</v>
      </c>
      <c r="G2342">
        <v>200786</v>
      </c>
      <c r="H2342">
        <v>59</v>
      </c>
      <c r="I2342" s="1" t="s">
        <v>11063</v>
      </c>
      <c r="J2342" s="11">
        <v>44729.706458333334</v>
      </c>
      <c r="K2342" s="1" t="s">
        <v>690</v>
      </c>
      <c r="L2342" s="1">
        <v>0.60499999999999998</v>
      </c>
      <c r="M2342" s="1">
        <v>0.92</v>
      </c>
      <c r="N2342">
        <v>4</v>
      </c>
      <c r="O2342" s="1">
        <v>-2.298</v>
      </c>
      <c r="P2342">
        <v>0</v>
      </c>
      <c r="Q2342" s="1">
        <v>0.71299999999999997</v>
      </c>
      <c r="R2342" s="1">
        <v>0.12</v>
      </c>
      <c r="S2342" s="1">
        <v>0.59599999999999997</v>
      </c>
      <c r="T2342" s="1">
        <v>0.48299999999999998</v>
      </c>
      <c r="U2342" s="1">
        <v>0.219</v>
      </c>
      <c r="V2342" s="1">
        <v>174.97399999999999</v>
      </c>
      <c r="W2342">
        <v>4</v>
      </c>
    </row>
    <row r="2343" spans="1:23" x14ac:dyDescent="0.25">
      <c r="A2343" s="1" t="s">
        <v>18724</v>
      </c>
      <c r="B2343" s="1" t="s">
        <v>12164</v>
      </c>
      <c r="C2343" s="1" t="s">
        <v>6565</v>
      </c>
      <c r="D2343" s="1" t="s">
        <v>18725</v>
      </c>
      <c r="E2343" s="1" t="s">
        <v>689</v>
      </c>
      <c r="F2343" s="1" t="s">
        <v>18726</v>
      </c>
      <c r="G2343">
        <v>261517</v>
      </c>
      <c r="H2343">
        <v>65</v>
      </c>
      <c r="I2343" s="1" t="s">
        <v>11063</v>
      </c>
      <c r="J2343" s="11">
        <v>44729.706458333334</v>
      </c>
      <c r="K2343" s="1" t="s">
        <v>690</v>
      </c>
      <c r="L2343" s="1">
        <v>0.42899999999999999</v>
      </c>
      <c r="M2343" s="1">
        <v>0.94799999999999995</v>
      </c>
      <c r="N2343">
        <v>5</v>
      </c>
      <c r="O2343" s="1">
        <v>-3.657</v>
      </c>
      <c r="P2343">
        <v>0</v>
      </c>
      <c r="Q2343" s="1">
        <v>0.22700000000000001</v>
      </c>
      <c r="R2343" s="1">
        <v>0.71099999999999997</v>
      </c>
      <c r="S2343" s="1">
        <v>0.14799999999999999</v>
      </c>
      <c r="T2343" s="1">
        <v>0.81200000000000006</v>
      </c>
      <c r="U2343" s="1">
        <v>0.55000000000000004</v>
      </c>
      <c r="V2343" s="1">
        <v>115.785</v>
      </c>
      <c r="W2343">
        <v>3</v>
      </c>
    </row>
    <row r="2344" spans="1:23" x14ac:dyDescent="0.25">
      <c r="A2344" s="1" t="s">
        <v>18727</v>
      </c>
      <c r="B2344" s="1" t="s">
        <v>12167</v>
      </c>
      <c r="C2344" s="1" t="s">
        <v>6566</v>
      </c>
      <c r="D2344" s="1" t="s">
        <v>6566</v>
      </c>
      <c r="E2344" s="1" t="s">
        <v>692</v>
      </c>
      <c r="F2344" s="1" t="s">
        <v>18728</v>
      </c>
      <c r="G2344">
        <v>285407</v>
      </c>
      <c r="H2344">
        <v>38</v>
      </c>
      <c r="I2344" s="1" t="s">
        <v>11063</v>
      </c>
      <c r="J2344" s="11">
        <v>44729.706458333334</v>
      </c>
      <c r="K2344" s="1" t="s">
        <v>690</v>
      </c>
      <c r="L2344" s="1">
        <v>0.81299999999999994</v>
      </c>
      <c r="M2344" s="1">
        <v>0.90200000000000002</v>
      </c>
      <c r="N2344">
        <v>9</v>
      </c>
      <c r="O2344" s="1">
        <v>-4.6349999999999998</v>
      </c>
      <c r="P2344">
        <v>1</v>
      </c>
      <c r="Q2344" s="1">
        <v>0.502</v>
      </c>
      <c r="R2344" s="1">
        <v>0.16700000000000001</v>
      </c>
      <c r="S2344" s="1">
        <v>0.10100000000000001</v>
      </c>
      <c r="T2344" s="1">
        <v>0.33700000000000002</v>
      </c>
      <c r="U2344" s="1">
        <v>0.74299999999999999</v>
      </c>
      <c r="V2344" s="1">
        <v>120.006</v>
      </c>
      <c r="W2344">
        <v>4</v>
      </c>
    </row>
    <row r="2345" spans="1:23" x14ac:dyDescent="0.25">
      <c r="A2345" s="1" t="s">
        <v>18729</v>
      </c>
      <c r="B2345" s="1" t="s">
        <v>12164</v>
      </c>
      <c r="C2345" s="1" t="s">
        <v>688</v>
      </c>
      <c r="D2345" s="1" t="s">
        <v>18730</v>
      </c>
      <c r="E2345" s="1" t="s">
        <v>689</v>
      </c>
      <c r="F2345" s="1" t="s">
        <v>18731</v>
      </c>
      <c r="G2345">
        <v>243852</v>
      </c>
      <c r="H2345">
        <v>56</v>
      </c>
      <c r="I2345" s="1" t="s">
        <v>11063</v>
      </c>
      <c r="J2345" s="11">
        <v>44729.706458333334</v>
      </c>
      <c r="K2345" s="1" t="s">
        <v>690</v>
      </c>
      <c r="L2345" s="1">
        <v>0.52800000000000002</v>
      </c>
      <c r="M2345" s="1">
        <v>0.94499999999999995</v>
      </c>
      <c r="N2345">
        <v>7</v>
      </c>
      <c r="O2345" s="1">
        <v>-3.3860000000000001</v>
      </c>
      <c r="P2345">
        <v>0</v>
      </c>
      <c r="Q2345" s="1">
        <v>0.92800000000000005</v>
      </c>
      <c r="R2345" s="1">
        <v>0.34</v>
      </c>
      <c r="S2345" s="1">
        <v>0.505</v>
      </c>
      <c r="T2345" s="1">
        <v>0.115</v>
      </c>
      <c r="U2345" s="1">
        <v>0.308</v>
      </c>
      <c r="V2345" s="1">
        <v>139.98699999999999</v>
      </c>
      <c r="W2345">
        <v>4</v>
      </c>
    </row>
    <row r="2346" spans="1:23" x14ac:dyDescent="0.25">
      <c r="A2346" s="1" t="s">
        <v>12166</v>
      </c>
      <c r="B2346" s="1" t="s">
        <v>12167</v>
      </c>
      <c r="C2346" s="1" t="s">
        <v>691</v>
      </c>
      <c r="D2346" s="1" t="s">
        <v>12168</v>
      </c>
      <c r="E2346" s="1" t="s">
        <v>692</v>
      </c>
      <c r="F2346" s="1" t="s">
        <v>18723</v>
      </c>
      <c r="G2346">
        <v>215253</v>
      </c>
      <c r="H2346">
        <v>71</v>
      </c>
      <c r="I2346" s="1" t="s">
        <v>11063</v>
      </c>
      <c r="J2346" s="11">
        <v>44729.706458333334</v>
      </c>
      <c r="K2346" s="1" t="s">
        <v>690</v>
      </c>
      <c r="L2346" s="1">
        <v>0.71599999999999997</v>
      </c>
      <c r="M2346" s="1">
        <v>0.97199999999999998</v>
      </c>
      <c r="N2346">
        <v>7</v>
      </c>
      <c r="O2346" s="1">
        <v>-2.302</v>
      </c>
      <c r="P2346">
        <v>1</v>
      </c>
      <c r="Q2346" s="1">
        <v>0.19600000000000001</v>
      </c>
      <c r="R2346" s="1">
        <v>0.14499999999999999</v>
      </c>
      <c r="S2346" s="1">
        <v>0.32200000000000001</v>
      </c>
      <c r="T2346" s="1">
        <v>0.317</v>
      </c>
      <c r="U2346" s="1">
        <v>0.57599999999999996</v>
      </c>
      <c r="V2346" s="1">
        <v>110.026</v>
      </c>
      <c r="W2346">
        <v>4</v>
      </c>
    </row>
    <row r="2347" spans="1:23" x14ac:dyDescent="0.25">
      <c r="A2347" s="1" t="s">
        <v>18732</v>
      </c>
      <c r="B2347" s="1" t="s">
        <v>18733</v>
      </c>
      <c r="C2347" s="1" t="s">
        <v>6567</v>
      </c>
      <c r="D2347" s="1" t="s">
        <v>18734</v>
      </c>
      <c r="E2347" s="1" t="s">
        <v>6568</v>
      </c>
      <c r="F2347" s="1" t="s">
        <v>14014</v>
      </c>
      <c r="G2347">
        <v>214186</v>
      </c>
      <c r="H2347">
        <v>52</v>
      </c>
      <c r="I2347" s="1" t="s">
        <v>11063</v>
      </c>
      <c r="J2347" s="11">
        <v>44729.706458333334</v>
      </c>
      <c r="K2347" s="1" t="s">
        <v>6569</v>
      </c>
      <c r="L2347" s="1">
        <v>0.64900000000000002</v>
      </c>
      <c r="M2347" s="1">
        <v>0.70599999999999996</v>
      </c>
      <c r="N2347">
        <v>8</v>
      </c>
      <c r="O2347" s="1">
        <v>-7.2089999999999996</v>
      </c>
      <c r="P2347">
        <v>0</v>
      </c>
      <c r="Q2347" s="1">
        <v>0.31</v>
      </c>
      <c r="R2347" s="1">
        <v>0.84499999999999997</v>
      </c>
      <c r="S2347" s="1">
        <v>0.83099999999999996</v>
      </c>
      <c r="T2347" s="1">
        <v>0.16300000000000001</v>
      </c>
      <c r="U2347" s="1">
        <v>0.73599999999999999</v>
      </c>
      <c r="V2347" s="1">
        <v>128.03200000000001</v>
      </c>
      <c r="W2347">
        <v>4</v>
      </c>
    </row>
    <row r="2348" spans="1:23" x14ac:dyDescent="0.25">
      <c r="A2348" s="1" t="s">
        <v>11098</v>
      </c>
      <c r="B2348" s="1" t="s">
        <v>11099</v>
      </c>
      <c r="C2348" s="1" t="s">
        <v>6570</v>
      </c>
      <c r="D2348" s="1" t="s">
        <v>11100</v>
      </c>
      <c r="E2348" s="1" t="s">
        <v>6571</v>
      </c>
      <c r="F2348" s="1" t="s">
        <v>11387</v>
      </c>
      <c r="G2348">
        <v>328253</v>
      </c>
      <c r="H2348">
        <v>57</v>
      </c>
      <c r="I2348" s="1" t="s">
        <v>11063</v>
      </c>
      <c r="J2348" s="11">
        <v>44729.706458333334</v>
      </c>
      <c r="K2348" s="1" t="s">
        <v>6569</v>
      </c>
      <c r="L2348" s="1">
        <v>0.61699999999999999</v>
      </c>
      <c r="M2348" s="1">
        <v>0.61699999999999999</v>
      </c>
      <c r="N2348">
        <v>8</v>
      </c>
      <c r="O2348" s="1">
        <v>-6.9409999999999998</v>
      </c>
      <c r="P2348">
        <v>1</v>
      </c>
      <c r="Q2348" s="1">
        <v>0.122</v>
      </c>
      <c r="R2348" s="1">
        <v>0.39700000000000002</v>
      </c>
      <c r="S2348" s="1">
        <v>0.59799999999999998</v>
      </c>
      <c r="T2348" s="1">
        <v>0.253</v>
      </c>
      <c r="U2348" s="1">
        <v>0.51700000000000002</v>
      </c>
      <c r="V2348" s="1">
        <v>127.996</v>
      </c>
      <c r="W2348">
        <v>4</v>
      </c>
    </row>
    <row r="2349" spans="1:23" x14ac:dyDescent="0.25">
      <c r="A2349" s="1" t="s">
        <v>18735</v>
      </c>
      <c r="B2349" s="1" t="s">
        <v>11691</v>
      </c>
      <c r="C2349" s="1" t="s">
        <v>6572</v>
      </c>
      <c r="D2349" s="1" t="s">
        <v>6572</v>
      </c>
      <c r="E2349" s="1" t="s">
        <v>401</v>
      </c>
      <c r="F2349" s="1" t="s">
        <v>14748</v>
      </c>
      <c r="G2349">
        <v>543453</v>
      </c>
      <c r="H2349">
        <v>63</v>
      </c>
      <c r="I2349" s="1" t="s">
        <v>11063</v>
      </c>
      <c r="J2349" s="11">
        <v>44729.706458333334</v>
      </c>
      <c r="K2349" s="1" t="s">
        <v>402</v>
      </c>
      <c r="L2349" s="1">
        <v>0.27500000000000002</v>
      </c>
      <c r="M2349" s="1">
        <v>0.72099999999999997</v>
      </c>
      <c r="N2349">
        <v>6</v>
      </c>
      <c r="O2349" s="1">
        <v>-6.2220000000000004</v>
      </c>
      <c r="P2349">
        <v>0</v>
      </c>
      <c r="Q2349" s="1">
        <v>0.35899999999999999</v>
      </c>
      <c r="R2349" s="1">
        <v>0.70199999999999996</v>
      </c>
      <c r="S2349" s="1">
        <v>0.82099999999999995</v>
      </c>
      <c r="T2349" s="1">
        <v>0.79200000000000004</v>
      </c>
      <c r="U2349" s="1">
        <v>0.184</v>
      </c>
      <c r="V2349" s="1">
        <v>125.15600000000001</v>
      </c>
      <c r="W2349">
        <v>4</v>
      </c>
    </row>
    <row r="2350" spans="1:23" x14ac:dyDescent="0.25">
      <c r="A2350" s="1" t="s">
        <v>11690</v>
      </c>
      <c r="B2350" s="1" t="s">
        <v>11691</v>
      </c>
      <c r="C2350" s="1" t="s">
        <v>400</v>
      </c>
      <c r="D2350" s="1" t="s">
        <v>11692</v>
      </c>
      <c r="E2350" s="1" t="s">
        <v>401</v>
      </c>
      <c r="F2350" s="1" t="s">
        <v>11693</v>
      </c>
      <c r="G2350">
        <v>157432</v>
      </c>
      <c r="H2350">
        <v>67</v>
      </c>
      <c r="I2350" s="1" t="s">
        <v>11063</v>
      </c>
      <c r="J2350" s="11">
        <v>44729.706458333334</v>
      </c>
      <c r="K2350" s="1" t="s">
        <v>402</v>
      </c>
      <c r="L2350" s="1">
        <v>0.60499999999999998</v>
      </c>
      <c r="M2350" s="1">
        <v>0.874</v>
      </c>
      <c r="N2350">
        <v>7</v>
      </c>
      <c r="O2350" s="1">
        <v>-4.9489999999999998</v>
      </c>
      <c r="P2350">
        <v>0</v>
      </c>
      <c r="Q2350" s="1">
        <v>0.29499999999999998</v>
      </c>
      <c r="R2350" s="1">
        <v>0.56299999999999994</v>
      </c>
      <c r="S2350" s="1">
        <v>0.81200000000000006</v>
      </c>
      <c r="T2350" s="1">
        <v>0.112</v>
      </c>
      <c r="U2350" s="1">
        <v>0.83599999999999997</v>
      </c>
      <c r="V2350" s="1">
        <v>125.99</v>
      </c>
      <c r="W2350">
        <v>4</v>
      </c>
    </row>
    <row r="2351" spans="1:23" x14ac:dyDescent="0.25">
      <c r="A2351" s="1" t="s">
        <v>18736</v>
      </c>
      <c r="B2351" s="1" t="s">
        <v>11691</v>
      </c>
      <c r="C2351" s="1" t="s">
        <v>6573</v>
      </c>
      <c r="D2351" s="1" t="s">
        <v>18737</v>
      </c>
      <c r="E2351" s="1" t="s">
        <v>401</v>
      </c>
      <c r="F2351" s="1" t="s">
        <v>18738</v>
      </c>
      <c r="G2351">
        <v>171360</v>
      </c>
      <c r="H2351">
        <v>74</v>
      </c>
      <c r="I2351" s="1" t="s">
        <v>11063</v>
      </c>
      <c r="J2351" s="11">
        <v>44729.706458333334</v>
      </c>
      <c r="K2351" s="1" t="s">
        <v>402</v>
      </c>
      <c r="L2351" s="1">
        <v>0.59699999999999998</v>
      </c>
      <c r="M2351" s="1">
        <v>0.83699999999999997</v>
      </c>
      <c r="N2351">
        <v>10</v>
      </c>
      <c r="O2351" s="1">
        <v>-6.5179999999999998</v>
      </c>
      <c r="P2351">
        <v>1</v>
      </c>
      <c r="Q2351" s="1">
        <v>0.375</v>
      </c>
      <c r="R2351" s="1">
        <v>0.42699999999999999</v>
      </c>
      <c r="S2351" s="1">
        <v>0.115</v>
      </c>
      <c r="T2351" s="1">
        <v>0.83899999999999997</v>
      </c>
      <c r="U2351" s="1">
        <v>0.44700000000000001</v>
      </c>
      <c r="V2351" s="1">
        <v>126.342</v>
      </c>
      <c r="W2351">
        <v>4</v>
      </c>
    </row>
    <row r="2352" spans="1:23" x14ac:dyDescent="0.25">
      <c r="A2352" s="1" t="s">
        <v>18739</v>
      </c>
      <c r="B2352" s="1" t="s">
        <v>18740</v>
      </c>
      <c r="C2352" s="1" t="s">
        <v>6574</v>
      </c>
      <c r="D2352" s="1" t="s">
        <v>18741</v>
      </c>
      <c r="E2352" s="1" t="s">
        <v>6575</v>
      </c>
      <c r="F2352" s="1" t="s">
        <v>11423</v>
      </c>
      <c r="G2352">
        <v>189000</v>
      </c>
      <c r="H2352">
        <v>20</v>
      </c>
      <c r="I2352" s="1" t="s">
        <v>11063</v>
      </c>
      <c r="J2352" s="11">
        <v>44729.706458333334</v>
      </c>
      <c r="K2352" s="1" t="s">
        <v>298</v>
      </c>
      <c r="L2352" s="1">
        <v>0.53</v>
      </c>
      <c r="M2352" s="1">
        <v>0.66100000000000003</v>
      </c>
      <c r="N2352">
        <v>9</v>
      </c>
      <c r="O2352" s="1">
        <v>-7.4020000000000001</v>
      </c>
      <c r="P2352">
        <v>1</v>
      </c>
      <c r="Q2352" s="1">
        <v>0.46</v>
      </c>
      <c r="R2352" s="1">
        <v>0.33300000000000002</v>
      </c>
      <c r="S2352" s="1">
        <v>0.28599999999999998</v>
      </c>
      <c r="T2352" s="1">
        <v>0.73199999999999998</v>
      </c>
      <c r="U2352" s="1">
        <v>0.192</v>
      </c>
      <c r="V2352" s="1">
        <v>159.977</v>
      </c>
      <c r="W2352">
        <v>4</v>
      </c>
    </row>
    <row r="2353" spans="1:23" x14ac:dyDescent="0.25">
      <c r="A2353" s="1" t="s">
        <v>18742</v>
      </c>
      <c r="B2353" s="1" t="s">
        <v>18743</v>
      </c>
      <c r="C2353" s="1" t="s">
        <v>6576</v>
      </c>
      <c r="D2353" s="1" t="s">
        <v>6576</v>
      </c>
      <c r="E2353" s="1" t="s">
        <v>6577</v>
      </c>
      <c r="F2353" s="1" t="s">
        <v>11647</v>
      </c>
      <c r="G2353">
        <v>163214</v>
      </c>
      <c r="H2353">
        <v>43</v>
      </c>
      <c r="I2353" s="1" t="s">
        <v>11063</v>
      </c>
      <c r="J2353" s="11">
        <v>44729.706458333334</v>
      </c>
      <c r="K2353" s="1" t="s">
        <v>298</v>
      </c>
      <c r="L2353" s="1">
        <v>0.60499999999999998</v>
      </c>
      <c r="M2353" s="1">
        <v>0.86399999999999999</v>
      </c>
      <c r="N2353">
        <v>1</v>
      </c>
      <c r="O2353" s="1">
        <v>-1.7729999999999999</v>
      </c>
      <c r="P2353">
        <v>1</v>
      </c>
      <c r="Q2353" s="1">
        <v>0.379</v>
      </c>
      <c r="R2353" s="1">
        <v>0.44400000000000001</v>
      </c>
      <c r="S2353" s="1">
        <v>0.158</v>
      </c>
      <c r="T2353" s="1">
        <v>0.91200000000000003</v>
      </c>
      <c r="U2353" s="1">
        <v>0.33800000000000002</v>
      </c>
      <c r="V2353" s="1">
        <v>84.010999999999996</v>
      </c>
      <c r="W2353">
        <v>4</v>
      </c>
    </row>
    <row r="2354" spans="1:23" x14ac:dyDescent="0.25">
      <c r="A2354" s="1" t="s">
        <v>18744</v>
      </c>
      <c r="B2354" s="1" t="s">
        <v>18745</v>
      </c>
      <c r="C2354" s="1" t="s">
        <v>6578</v>
      </c>
      <c r="D2354" s="1" t="s">
        <v>6578</v>
      </c>
      <c r="E2354" s="1" t="s">
        <v>6579</v>
      </c>
      <c r="F2354" s="1" t="s">
        <v>14717</v>
      </c>
      <c r="G2354">
        <v>140952</v>
      </c>
      <c r="H2354">
        <v>19</v>
      </c>
      <c r="I2354" s="1" t="s">
        <v>11063</v>
      </c>
      <c r="J2354" s="11">
        <v>44729.706458333334</v>
      </c>
      <c r="K2354" s="1" t="s">
        <v>6580</v>
      </c>
      <c r="L2354" s="1">
        <v>0.66500000000000004</v>
      </c>
      <c r="M2354" s="1">
        <v>0.69099999999999995</v>
      </c>
      <c r="N2354">
        <v>3</v>
      </c>
      <c r="O2354" s="1">
        <v>-6.6829999999999998</v>
      </c>
      <c r="P2354">
        <v>0</v>
      </c>
      <c r="Q2354" s="1">
        <v>0.69799999999999995</v>
      </c>
      <c r="R2354" s="1">
        <v>0.48599999999999999</v>
      </c>
      <c r="S2354" s="1">
        <v>0</v>
      </c>
      <c r="T2354" s="1">
        <v>0.50700000000000001</v>
      </c>
      <c r="U2354" s="1">
        <v>0.66</v>
      </c>
      <c r="V2354" s="1">
        <v>126.09</v>
      </c>
      <c r="W2354">
        <v>4</v>
      </c>
    </row>
    <row r="2355" spans="1:23" x14ac:dyDescent="0.25">
      <c r="A2355" s="1" t="s">
        <v>18746</v>
      </c>
      <c r="B2355" s="1" t="s">
        <v>18747</v>
      </c>
      <c r="C2355" s="1" t="s">
        <v>6581</v>
      </c>
      <c r="D2355" s="1" t="s">
        <v>6135</v>
      </c>
      <c r="E2355" s="1" t="s">
        <v>6582</v>
      </c>
      <c r="F2355" s="1" t="s">
        <v>15363</v>
      </c>
      <c r="G2355">
        <v>198640</v>
      </c>
      <c r="H2355">
        <v>59</v>
      </c>
      <c r="I2355" s="1" t="s">
        <v>11063</v>
      </c>
      <c r="J2355" s="11">
        <v>44729.706458333334</v>
      </c>
      <c r="K2355" s="1" t="s">
        <v>6583</v>
      </c>
      <c r="L2355" s="1">
        <v>0.60899999999999999</v>
      </c>
      <c r="M2355" s="1">
        <v>0.72599999999999998</v>
      </c>
      <c r="N2355">
        <v>1</v>
      </c>
      <c r="O2355" s="1">
        <v>-3.9470000000000001</v>
      </c>
      <c r="P2355">
        <v>0</v>
      </c>
      <c r="Q2355" s="1">
        <v>0.108</v>
      </c>
      <c r="R2355" s="1">
        <v>0.252</v>
      </c>
      <c r="S2355" s="1">
        <v>0</v>
      </c>
      <c r="T2355" s="1">
        <v>0.745</v>
      </c>
      <c r="U2355" s="1">
        <v>0.61599999999999999</v>
      </c>
      <c r="V2355" s="1">
        <v>79.966999999999999</v>
      </c>
      <c r="W2355">
        <v>4</v>
      </c>
    </row>
    <row r="2356" spans="1:23" x14ac:dyDescent="0.25">
      <c r="A2356" s="1" t="s">
        <v>18748</v>
      </c>
      <c r="B2356" s="1" t="s">
        <v>18749</v>
      </c>
      <c r="C2356" s="1" t="s">
        <v>6584</v>
      </c>
      <c r="D2356" s="1" t="s">
        <v>18750</v>
      </c>
      <c r="E2356" s="1" t="s">
        <v>6585</v>
      </c>
      <c r="F2356" s="1" t="s">
        <v>18751</v>
      </c>
      <c r="G2356">
        <v>204360</v>
      </c>
      <c r="H2356">
        <v>67</v>
      </c>
      <c r="I2356" s="1" t="s">
        <v>11063</v>
      </c>
      <c r="J2356" s="11">
        <v>44729.706458333334</v>
      </c>
      <c r="K2356" s="1" t="s">
        <v>6586</v>
      </c>
      <c r="L2356" s="1">
        <v>0.55100000000000005</v>
      </c>
      <c r="M2356" s="1">
        <v>0.83299999999999996</v>
      </c>
      <c r="N2356">
        <v>8</v>
      </c>
      <c r="O2356" s="1">
        <v>-5.2169999999999996</v>
      </c>
      <c r="P2356">
        <v>1</v>
      </c>
      <c r="Q2356" s="1">
        <v>0.3</v>
      </c>
      <c r="R2356" s="1">
        <v>0.39100000000000001</v>
      </c>
      <c r="S2356" s="1">
        <v>0.27700000000000002</v>
      </c>
      <c r="T2356" s="1">
        <v>0.63200000000000001</v>
      </c>
      <c r="U2356" s="1">
        <v>0.14499999999999999</v>
      </c>
      <c r="V2356" s="1">
        <v>129.88499999999999</v>
      </c>
      <c r="W2356">
        <v>5</v>
      </c>
    </row>
    <row r="2357" spans="1:23" x14ac:dyDescent="0.25">
      <c r="A2357" s="1" t="s">
        <v>18752</v>
      </c>
      <c r="B2357" s="1" t="s">
        <v>11432</v>
      </c>
      <c r="C2357" s="1" t="s">
        <v>6587</v>
      </c>
      <c r="D2357" s="1" t="s">
        <v>11688</v>
      </c>
      <c r="E2357" s="1" t="s">
        <v>202</v>
      </c>
      <c r="F2357" s="1" t="s">
        <v>11689</v>
      </c>
      <c r="G2357">
        <v>236640</v>
      </c>
      <c r="H2357">
        <v>57</v>
      </c>
      <c r="I2357" s="1" t="s">
        <v>11063</v>
      </c>
      <c r="J2357" s="11">
        <v>44729.706458333334</v>
      </c>
      <c r="K2357" s="1" t="s">
        <v>203</v>
      </c>
      <c r="L2357" s="1">
        <v>0.52500000000000002</v>
      </c>
      <c r="M2357" s="1">
        <v>0.83699999999999997</v>
      </c>
      <c r="N2357">
        <v>0</v>
      </c>
      <c r="O2357" s="1">
        <v>-4.399</v>
      </c>
      <c r="P2357">
        <v>0</v>
      </c>
      <c r="Q2357" s="1">
        <v>0.72699999999999998</v>
      </c>
      <c r="R2357" s="1">
        <v>0.63400000000000001</v>
      </c>
      <c r="S2357" s="1">
        <v>0</v>
      </c>
      <c r="T2357" s="1">
        <v>0.28100000000000003</v>
      </c>
      <c r="U2357" s="1">
        <v>0.66700000000000004</v>
      </c>
      <c r="V2357" s="1">
        <v>92.926000000000002</v>
      </c>
      <c r="W2357">
        <v>4</v>
      </c>
    </row>
    <row r="2358" spans="1:23" x14ac:dyDescent="0.25">
      <c r="A2358" s="1" t="s">
        <v>18753</v>
      </c>
      <c r="B2358" s="1" t="s">
        <v>18754</v>
      </c>
      <c r="C2358" s="1" t="s">
        <v>6588</v>
      </c>
      <c r="D2358" s="1" t="s">
        <v>18755</v>
      </c>
      <c r="E2358" s="1" t="s">
        <v>6589</v>
      </c>
      <c r="F2358" s="1" t="s">
        <v>11563</v>
      </c>
      <c r="G2358">
        <v>237560</v>
      </c>
      <c r="H2358">
        <v>30</v>
      </c>
      <c r="I2358" s="1" t="s">
        <v>11063</v>
      </c>
      <c r="J2358" s="11">
        <v>44729.706458333334</v>
      </c>
      <c r="K2358" s="1" t="s">
        <v>6590</v>
      </c>
      <c r="L2358" s="1">
        <v>0.58599999999999997</v>
      </c>
      <c r="M2358" s="1">
        <v>0.66900000000000004</v>
      </c>
      <c r="N2358">
        <v>1</v>
      </c>
      <c r="O2358" s="1">
        <v>-4.7409999999999997</v>
      </c>
      <c r="P2358">
        <v>0</v>
      </c>
      <c r="Q2358" s="1">
        <v>0.39100000000000001</v>
      </c>
      <c r="R2358" s="1">
        <v>0.123</v>
      </c>
      <c r="S2358" s="1">
        <v>0</v>
      </c>
      <c r="T2358" s="1">
        <v>0.114</v>
      </c>
      <c r="U2358" s="1">
        <v>0.35499999999999998</v>
      </c>
      <c r="V2358" s="1">
        <v>123.051</v>
      </c>
      <c r="W2358">
        <v>4</v>
      </c>
    </row>
    <row r="2359" spans="1:23" x14ac:dyDescent="0.25">
      <c r="A2359" s="1" t="s">
        <v>18756</v>
      </c>
      <c r="B2359" s="1" t="s">
        <v>18757</v>
      </c>
      <c r="C2359" s="1" t="s">
        <v>6591</v>
      </c>
      <c r="D2359" s="1" t="s">
        <v>6591</v>
      </c>
      <c r="E2359" s="1" t="s">
        <v>6592</v>
      </c>
      <c r="F2359" s="1" t="s">
        <v>14343</v>
      </c>
      <c r="G2359">
        <v>189579</v>
      </c>
      <c r="H2359">
        <v>50</v>
      </c>
      <c r="I2359" s="1" t="s">
        <v>11063</v>
      </c>
      <c r="J2359" s="11">
        <v>44729.706458333334</v>
      </c>
      <c r="K2359" s="1" t="s">
        <v>6593</v>
      </c>
      <c r="L2359" s="1">
        <v>0.628</v>
      </c>
      <c r="M2359" s="1">
        <v>0.81699999999999995</v>
      </c>
      <c r="N2359">
        <v>4</v>
      </c>
      <c r="O2359" s="1">
        <v>-4.2229999999999999</v>
      </c>
      <c r="P2359">
        <v>1</v>
      </c>
      <c r="Q2359" s="1">
        <v>0.28699999999999998</v>
      </c>
      <c r="R2359" s="1">
        <v>0.24199999999999999</v>
      </c>
      <c r="S2359" s="1">
        <v>0.13100000000000001</v>
      </c>
      <c r="T2359" s="1">
        <v>0.26200000000000001</v>
      </c>
      <c r="U2359" s="1">
        <v>0.53900000000000003</v>
      </c>
      <c r="V2359" s="1">
        <v>119.041</v>
      </c>
      <c r="W2359">
        <v>4</v>
      </c>
    </row>
    <row r="2360" spans="1:23" x14ac:dyDescent="0.25">
      <c r="A2360" s="1" t="s">
        <v>18758</v>
      </c>
      <c r="B2360" s="1" t="s">
        <v>14288</v>
      </c>
      <c r="C2360" s="1" t="s">
        <v>6594</v>
      </c>
      <c r="D2360" s="1" t="s">
        <v>6594</v>
      </c>
      <c r="E2360" s="1" t="s">
        <v>2638</v>
      </c>
      <c r="F2360" s="1" t="s">
        <v>18759</v>
      </c>
      <c r="G2360">
        <v>223225</v>
      </c>
      <c r="H2360">
        <v>0</v>
      </c>
      <c r="I2360" s="1" t="s">
        <v>11063</v>
      </c>
      <c r="J2360" s="11">
        <v>44729.706458333334</v>
      </c>
      <c r="K2360" s="1" t="s">
        <v>2639</v>
      </c>
      <c r="L2360" s="1">
        <v>0.60099999999999998</v>
      </c>
      <c r="M2360" s="1">
        <v>0.80100000000000005</v>
      </c>
      <c r="N2360">
        <v>5</v>
      </c>
      <c r="O2360" s="1">
        <v>-2.4249999999999998</v>
      </c>
      <c r="P2360">
        <v>1</v>
      </c>
      <c r="Q2360" s="1">
        <v>0.47299999999999998</v>
      </c>
      <c r="R2360" s="1">
        <v>0.13900000000000001</v>
      </c>
      <c r="S2360" s="1">
        <v>0</v>
      </c>
      <c r="T2360" s="1">
        <v>0.10299999999999999</v>
      </c>
      <c r="U2360" s="1">
        <v>0.377</v>
      </c>
      <c r="V2360" s="1">
        <v>126.955</v>
      </c>
      <c r="W2360">
        <v>4</v>
      </c>
    </row>
    <row r="2361" spans="1:23" x14ac:dyDescent="0.25">
      <c r="A2361" s="1" t="s">
        <v>18760</v>
      </c>
      <c r="B2361" s="1" t="s">
        <v>17444</v>
      </c>
      <c r="C2361" s="1" t="s">
        <v>6595</v>
      </c>
      <c r="D2361" s="1" t="s">
        <v>6595</v>
      </c>
      <c r="E2361" s="1" t="s">
        <v>5376</v>
      </c>
      <c r="F2361" s="1" t="s">
        <v>11492</v>
      </c>
      <c r="G2361">
        <v>194482</v>
      </c>
      <c r="H2361">
        <v>64</v>
      </c>
      <c r="I2361" s="1" t="s">
        <v>11063</v>
      </c>
      <c r="J2361" s="11">
        <v>44729.706458333334</v>
      </c>
      <c r="K2361" s="1" t="s">
        <v>2639</v>
      </c>
      <c r="L2361" s="1">
        <v>0.63900000000000001</v>
      </c>
      <c r="M2361" s="1">
        <v>0.66400000000000003</v>
      </c>
      <c r="N2361">
        <v>5</v>
      </c>
      <c r="O2361" s="1">
        <v>-4.9260000000000002</v>
      </c>
      <c r="P2361">
        <v>1</v>
      </c>
      <c r="Q2361" s="1">
        <v>0.35699999999999998</v>
      </c>
      <c r="R2361" s="1">
        <v>0.32900000000000001</v>
      </c>
      <c r="S2361" s="1">
        <v>0.153</v>
      </c>
      <c r="T2361" s="1">
        <v>0.38200000000000001</v>
      </c>
      <c r="U2361" s="1">
        <v>0.35099999999999998</v>
      </c>
      <c r="V2361" s="1">
        <v>116.02800000000001</v>
      </c>
      <c r="W2361">
        <v>4</v>
      </c>
    </row>
    <row r="2362" spans="1:23" x14ac:dyDescent="0.25">
      <c r="A2362" s="1" t="s">
        <v>18761</v>
      </c>
      <c r="B2362" s="1" t="s">
        <v>18762</v>
      </c>
      <c r="C2362" s="1" t="s">
        <v>6596</v>
      </c>
      <c r="D2362" s="1" t="s">
        <v>6596</v>
      </c>
      <c r="E2362" s="1" t="s">
        <v>6597</v>
      </c>
      <c r="F2362" s="1" t="s">
        <v>11718</v>
      </c>
      <c r="G2362">
        <v>198095</v>
      </c>
      <c r="H2362">
        <v>69</v>
      </c>
      <c r="I2362" s="1" t="s">
        <v>11063</v>
      </c>
      <c r="J2362" s="11">
        <v>44729.706458333334</v>
      </c>
      <c r="K2362" s="1" t="s">
        <v>6598</v>
      </c>
      <c r="L2362" s="1">
        <v>0.65300000000000002</v>
      </c>
      <c r="M2362" s="1">
        <v>0.94499999999999995</v>
      </c>
      <c r="N2362">
        <v>5</v>
      </c>
      <c r="O2362" s="1">
        <v>-2.6339999999999999</v>
      </c>
      <c r="P2362">
        <v>1</v>
      </c>
      <c r="Q2362" s="1">
        <v>0.96</v>
      </c>
      <c r="R2362" s="1">
        <v>0.56100000000000005</v>
      </c>
      <c r="S2362" s="1">
        <v>0.91500000000000004</v>
      </c>
      <c r="T2362" s="1">
        <v>0.439</v>
      </c>
      <c r="U2362" s="1">
        <v>0.32600000000000001</v>
      </c>
      <c r="V2362" s="1">
        <v>126.093</v>
      </c>
      <c r="W2362">
        <v>4</v>
      </c>
    </row>
    <row r="2363" spans="1:23" x14ac:dyDescent="0.25">
      <c r="A2363" s="1" t="s">
        <v>18763</v>
      </c>
      <c r="B2363" s="1" t="s">
        <v>14632</v>
      </c>
      <c r="C2363" s="1" t="s">
        <v>6599</v>
      </c>
      <c r="D2363" s="1" t="s">
        <v>6599</v>
      </c>
      <c r="E2363" s="1" t="s">
        <v>2941</v>
      </c>
      <c r="F2363" s="1" t="s">
        <v>15585</v>
      </c>
      <c r="G2363">
        <v>208561</v>
      </c>
      <c r="H2363">
        <v>70</v>
      </c>
      <c r="I2363" s="1" t="s">
        <v>11063</v>
      </c>
      <c r="J2363" s="11">
        <v>44729.706458333334</v>
      </c>
      <c r="K2363" s="1" t="s">
        <v>2639</v>
      </c>
      <c r="L2363" s="1">
        <v>0.60499999999999998</v>
      </c>
      <c r="M2363" s="1">
        <v>0.78300000000000003</v>
      </c>
      <c r="N2363">
        <v>3</v>
      </c>
      <c r="O2363" s="1">
        <v>-4.2709999999999999</v>
      </c>
      <c r="P2363">
        <v>1</v>
      </c>
      <c r="Q2363" s="1">
        <v>0.32400000000000001</v>
      </c>
      <c r="R2363" s="1">
        <v>0.29899999999999999</v>
      </c>
      <c r="S2363" s="1">
        <v>0.17499999999999999</v>
      </c>
      <c r="T2363" s="1">
        <v>0.13300000000000001</v>
      </c>
      <c r="U2363" s="1">
        <v>0.105</v>
      </c>
      <c r="V2363" s="1">
        <v>124.015</v>
      </c>
      <c r="W2363">
        <v>4</v>
      </c>
    </row>
    <row r="2364" spans="1:23" x14ac:dyDescent="0.25">
      <c r="A2364" s="1" t="s">
        <v>18764</v>
      </c>
      <c r="B2364" s="1" t="s">
        <v>11529</v>
      </c>
      <c r="C2364" s="1" t="s">
        <v>1594</v>
      </c>
      <c r="D2364" s="1" t="s">
        <v>6600</v>
      </c>
      <c r="E2364" s="1" t="s">
        <v>272</v>
      </c>
      <c r="F2364" s="1" t="s">
        <v>11530</v>
      </c>
      <c r="G2364">
        <v>168600</v>
      </c>
      <c r="H2364">
        <v>54</v>
      </c>
      <c r="I2364" s="1" t="s">
        <v>11063</v>
      </c>
      <c r="J2364" s="11">
        <v>44729.706458333334</v>
      </c>
      <c r="K2364" s="1" t="s">
        <v>270</v>
      </c>
      <c r="L2364" s="1">
        <v>0.70899999999999996</v>
      </c>
      <c r="M2364" s="1">
        <v>0.747</v>
      </c>
      <c r="N2364">
        <v>5</v>
      </c>
      <c r="O2364" s="1">
        <v>-6.2489999999999997</v>
      </c>
      <c r="P2364">
        <v>0</v>
      </c>
      <c r="Q2364" s="1">
        <v>0.72199999999999998</v>
      </c>
      <c r="R2364" s="1">
        <v>0.27</v>
      </c>
      <c r="S2364" s="1">
        <v>0</v>
      </c>
      <c r="T2364" s="1">
        <v>0.90600000000000003</v>
      </c>
      <c r="U2364" s="1">
        <v>0.44800000000000001</v>
      </c>
      <c r="V2364" s="1">
        <v>138.137</v>
      </c>
      <c r="W2364">
        <v>4</v>
      </c>
    </row>
    <row r="2365" spans="1:23" x14ac:dyDescent="0.25">
      <c r="A2365" s="1" t="s">
        <v>18765</v>
      </c>
      <c r="B2365" s="1" t="s">
        <v>11529</v>
      </c>
      <c r="C2365" s="1" t="s">
        <v>6600</v>
      </c>
      <c r="D2365" s="1" t="s">
        <v>6600</v>
      </c>
      <c r="E2365" s="1" t="s">
        <v>272</v>
      </c>
      <c r="F2365" s="1" t="s">
        <v>11530</v>
      </c>
      <c r="G2365">
        <v>211306</v>
      </c>
      <c r="H2365">
        <v>55</v>
      </c>
      <c r="I2365" s="1" t="s">
        <v>11063</v>
      </c>
      <c r="J2365" s="11">
        <v>44729.706458333334</v>
      </c>
      <c r="K2365" s="1" t="s">
        <v>270</v>
      </c>
      <c r="L2365" s="1">
        <v>0.79300000000000004</v>
      </c>
      <c r="M2365" s="1">
        <v>0.64800000000000002</v>
      </c>
      <c r="N2365">
        <v>8</v>
      </c>
      <c r="O2365" s="1">
        <v>-7.6120000000000001</v>
      </c>
      <c r="P2365">
        <v>0</v>
      </c>
      <c r="Q2365" s="1">
        <v>0.17</v>
      </c>
      <c r="R2365" s="1">
        <v>0.39100000000000001</v>
      </c>
      <c r="S2365" s="1">
        <v>0</v>
      </c>
      <c r="T2365" s="1">
        <v>0.10100000000000001</v>
      </c>
      <c r="U2365" s="1">
        <v>0.249</v>
      </c>
      <c r="V2365" s="1">
        <v>140.03399999999999</v>
      </c>
      <c r="W2365">
        <v>4</v>
      </c>
    </row>
    <row r="2366" spans="1:23" x14ac:dyDescent="0.25">
      <c r="A2366" s="1" t="s">
        <v>18766</v>
      </c>
      <c r="B2366" s="1" t="s">
        <v>11529</v>
      </c>
      <c r="C2366" s="1" t="s">
        <v>6601</v>
      </c>
      <c r="D2366" s="1" t="s">
        <v>18767</v>
      </c>
      <c r="E2366" s="1" t="s">
        <v>272</v>
      </c>
      <c r="F2366" s="1" t="s">
        <v>18597</v>
      </c>
      <c r="G2366">
        <v>161360</v>
      </c>
      <c r="H2366">
        <v>58</v>
      </c>
      <c r="I2366" s="1" t="s">
        <v>11063</v>
      </c>
      <c r="J2366" s="11">
        <v>44729.706458333334</v>
      </c>
      <c r="K2366" s="1" t="s">
        <v>270</v>
      </c>
      <c r="L2366" s="1">
        <v>0.747</v>
      </c>
      <c r="M2366" s="1">
        <v>0.60499999999999998</v>
      </c>
      <c r="N2366">
        <v>0</v>
      </c>
      <c r="O2366" s="1">
        <v>-6.2569999999999997</v>
      </c>
      <c r="P2366">
        <v>1</v>
      </c>
      <c r="Q2366" s="1">
        <v>0.73299999999999998</v>
      </c>
      <c r="R2366" s="1">
        <v>0.188</v>
      </c>
      <c r="S2366" s="1">
        <v>0.58499999999999996</v>
      </c>
      <c r="T2366" s="1">
        <v>0.1</v>
      </c>
      <c r="U2366" s="1">
        <v>0.47299999999999998</v>
      </c>
      <c r="V2366" s="1">
        <v>99.954999999999998</v>
      </c>
      <c r="W2366">
        <v>4</v>
      </c>
    </row>
    <row r="2367" spans="1:23" x14ac:dyDescent="0.25">
      <c r="A2367" s="1" t="s">
        <v>18768</v>
      </c>
      <c r="B2367" s="1" t="s">
        <v>18769</v>
      </c>
      <c r="C2367" s="1" t="s">
        <v>6602</v>
      </c>
      <c r="D2367" s="1" t="s">
        <v>18770</v>
      </c>
      <c r="E2367" s="1" t="s">
        <v>6603</v>
      </c>
      <c r="F2367" s="1" t="s">
        <v>18771</v>
      </c>
      <c r="G2367">
        <v>299599</v>
      </c>
      <c r="H2367">
        <v>0</v>
      </c>
      <c r="I2367" s="1" t="s">
        <v>11063</v>
      </c>
      <c r="J2367" s="11">
        <v>44729.706458333334</v>
      </c>
      <c r="K2367" s="1" t="s">
        <v>6604</v>
      </c>
      <c r="L2367" s="1">
        <v>0.39900000000000002</v>
      </c>
      <c r="M2367" s="1">
        <v>0.59899999999999998</v>
      </c>
      <c r="N2367">
        <v>3</v>
      </c>
      <c r="O2367" s="1">
        <v>-6.9870000000000001</v>
      </c>
      <c r="P2367">
        <v>1</v>
      </c>
      <c r="Q2367" s="1">
        <v>0.20399999999999999</v>
      </c>
      <c r="R2367" s="1">
        <v>0.36199999999999999</v>
      </c>
      <c r="S2367" s="1">
        <v>0</v>
      </c>
      <c r="T2367" s="1">
        <v>0.188</v>
      </c>
      <c r="U2367" s="1">
        <v>0.91100000000000003</v>
      </c>
      <c r="V2367" s="1">
        <v>73.051000000000002</v>
      </c>
      <c r="W2367">
        <v>4</v>
      </c>
    </row>
    <row r="2368" spans="1:23" x14ac:dyDescent="0.25">
      <c r="A2368" s="1" t="s">
        <v>18772</v>
      </c>
      <c r="B2368" s="1" t="s">
        <v>18773</v>
      </c>
      <c r="C2368" s="1" t="s">
        <v>6605</v>
      </c>
      <c r="D2368" s="1" t="s">
        <v>18770</v>
      </c>
      <c r="E2368" s="1" t="s">
        <v>6606</v>
      </c>
      <c r="F2368" s="1" t="s">
        <v>18771</v>
      </c>
      <c r="G2368">
        <v>235613</v>
      </c>
      <c r="H2368">
        <v>1</v>
      </c>
      <c r="I2368" s="1" t="s">
        <v>11063</v>
      </c>
      <c r="J2368" s="11">
        <v>44729.706458333334</v>
      </c>
      <c r="K2368" s="1" t="s">
        <v>6604</v>
      </c>
      <c r="L2368" s="1">
        <v>0.78100000000000003</v>
      </c>
      <c r="M2368" s="1">
        <v>0.52600000000000002</v>
      </c>
      <c r="N2368">
        <v>6</v>
      </c>
      <c r="O2368" s="1">
        <v>-6.9850000000000003</v>
      </c>
      <c r="P2368">
        <v>0</v>
      </c>
      <c r="Q2368" s="1">
        <v>0.29299999999999998</v>
      </c>
      <c r="R2368" s="1">
        <v>0.61899999999999999</v>
      </c>
      <c r="S2368" s="1">
        <v>0</v>
      </c>
      <c r="T2368" s="1">
        <v>0.45700000000000002</v>
      </c>
      <c r="U2368" s="1">
        <v>0.66200000000000003</v>
      </c>
      <c r="V2368" s="1">
        <v>94.992000000000004</v>
      </c>
      <c r="W2368">
        <v>4</v>
      </c>
    </row>
    <row r="2369" spans="1:23" x14ac:dyDescent="0.25">
      <c r="A2369" s="1" t="s">
        <v>18774</v>
      </c>
      <c r="B2369" s="1" t="s">
        <v>18775</v>
      </c>
      <c r="C2369" s="1" t="s">
        <v>6607</v>
      </c>
      <c r="D2369" s="1" t="s">
        <v>18770</v>
      </c>
      <c r="E2369" s="1" t="s">
        <v>6608</v>
      </c>
      <c r="F2369" s="1" t="s">
        <v>18771</v>
      </c>
      <c r="G2369">
        <v>258431</v>
      </c>
      <c r="H2369">
        <v>0</v>
      </c>
      <c r="I2369" s="1" t="s">
        <v>11063</v>
      </c>
      <c r="J2369" s="11">
        <v>44729.706458333334</v>
      </c>
      <c r="K2369" s="1" t="s">
        <v>6604</v>
      </c>
      <c r="L2369" s="1">
        <v>0.63400000000000001</v>
      </c>
      <c r="M2369" s="1">
        <v>0.92700000000000005</v>
      </c>
      <c r="N2369">
        <v>2</v>
      </c>
      <c r="O2369" s="1">
        <v>-4.468</v>
      </c>
      <c r="P2369">
        <v>1</v>
      </c>
      <c r="Q2369" s="1">
        <v>0.83799999999999997</v>
      </c>
      <c r="R2369" s="1">
        <v>0.27</v>
      </c>
      <c r="S2369" s="1">
        <v>0</v>
      </c>
      <c r="T2369" s="1">
        <v>0.98599999999999999</v>
      </c>
      <c r="U2369" s="1">
        <v>0.88</v>
      </c>
      <c r="V2369" s="1">
        <v>146.09399999999999</v>
      </c>
      <c r="W2369">
        <v>4</v>
      </c>
    </row>
    <row r="2370" spans="1:23" x14ac:dyDescent="0.25">
      <c r="A2370" s="1" t="s">
        <v>18776</v>
      </c>
      <c r="B2370" s="1" t="s">
        <v>18777</v>
      </c>
      <c r="C2370" s="1" t="s">
        <v>6609</v>
      </c>
      <c r="D2370" s="1" t="s">
        <v>18778</v>
      </c>
      <c r="E2370" s="1" t="s">
        <v>6610</v>
      </c>
      <c r="F2370" s="1" t="s">
        <v>11343</v>
      </c>
      <c r="G2370">
        <v>220454</v>
      </c>
      <c r="H2370">
        <v>75</v>
      </c>
      <c r="I2370" s="1" t="s">
        <v>11063</v>
      </c>
      <c r="J2370" s="11">
        <v>44729.706458333334</v>
      </c>
      <c r="K2370" s="1" t="s">
        <v>6611</v>
      </c>
      <c r="L2370" s="1">
        <v>0.73099999999999998</v>
      </c>
      <c r="M2370" s="1">
        <v>0.79400000000000004</v>
      </c>
      <c r="N2370">
        <v>0</v>
      </c>
      <c r="O2370" s="1">
        <v>-5.1260000000000003</v>
      </c>
      <c r="P2370">
        <v>0</v>
      </c>
      <c r="Q2370" s="1">
        <v>0.52200000000000002</v>
      </c>
      <c r="R2370" s="1">
        <v>0.32300000000000001</v>
      </c>
      <c r="S2370" s="1">
        <v>0.25900000000000001</v>
      </c>
      <c r="T2370" s="1">
        <v>0.112</v>
      </c>
      <c r="U2370" s="1">
        <v>0.35599999999999998</v>
      </c>
      <c r="V2370" s="1">
        <v>139.994</v>
      </c>
      <c r="W2370">
        <v>4</v>
      </c>
    </row>
    <row r="2371" spans="1:23" x14ac:dyDescent="0.25">
      <c r="A2371" s="1" t="s">
        <v>18779</v>
      </c>
      <c r="B2371" s="1" t="s">
        <v>18780</v>
      </c>
      <c r="C2371" s="1" t="s">
        <v>6612</v>
      </c>
      <c r="D2371" s="1" t="s">
        <v>18781</v>
      </c>
      <c r="E2371" s="1" t="s">
        <v>6613</v>
      </c>
      <c r="F2371" s="1" t="s">
        <v>13520</v>
      </c>
      <c r="G2371">
        <v>211760</v>
      </c>
      <c r="H2371">
        <v>69</v>
      </c>
      <c r="I2371" s="1" t="s">
        <v>11063</v>
      </c>
      <c r="J2371" s="11">
        <v>44729.706458333334</v>
      </c>
      <c r="K2371" s="1" t="s">
        <v>6614</v>
      </c>
      <c r="L2371" s="1">
        <v>0.65400000000000003</v>
      </c>
      <c r="M2371" s="1">
        <v>0.79800000000000004</v>
      </c>
      <c r="N2371">
        <v>0</v>
      </c>
      <c r="O2371" s="1">
        <v>-4.0839999999999996</v>
      </c>
      <c r="P2371">
        <v>1</v>
      </c>
      <c r="Q2371" s="1">
        <v>0.45100000000000001</v>
      </c>
      <c r="R2371" s="1">
        <v>0.188</v>
      </c>
      <c r="S2371" s="1">
        <v>0</v>
      </c>
      <c r="T2371" s="1">
        <v>0.15</v>
      </c>
      <c r="U2371" s="1">
        <v>0.57399999999999995</v>
      </c>
      <c r="V2371" s="1">
        <v>92.206999999999994</v>
      </c>
      <c r="W2371">
        <v>4</v>
      </c>
    </row>
    <row r="2372" spans="1:23" x14ac:dyDescent="0.25">
      <c r="A2372" s="1" t="s">
        <v>18782</v>
      </c>
      <c r="B2372" s="1" t="s">
        <v>18783</v>
      </c>
      <c r="C2372" s="1" t="s">
        <v>2440</v>
      </c>
      <c r="D2372" s="1" t="s">
        <v>2440</v>
      </c>
      <c r="E2372" s="1" t="s">
        <v>6615</v>
      </c>
      <c r="F2372" s="1" t="s">
        <v>16604</v>
      </c>
      <c r="G2372">
        <v>241655</v>
      </c>
      <c r="H2372">
        <v>56</v>
      </c>
      <c r="I2372" s="1" t="s">
        <v>11063</v>
      </c>
      <c r="J2372" s="11">
        <v>44729.706458333334</v>
      </c>
      <c r="K2372" s="1" t="s">
        <v>6616</v>
      </c>
      <c r="L2372" s="1">
        <v>0.68600000000000005</v>
      </c>
      <c r="M2372" s="1">
        <v>0.66500000000000004</v>
      </c>
      <c r="N2372">
        <v>1</v>
      </c>
      <c r="O2372" s="1">
        <v>-10.214</v>
      </c>
      <c r="P2372">
        <v>1</v>
      </c>
      <c r="Q2372" s="1">
        <v>0.44900000000000001</v>
      </c>
      <c r="R2372" s="1">
        <v>0.72499999999999998</v>
      </c>
      <c r="S2372" s="1">
        <v>0.68700000000000006</v>
      </c>
      <c r="T2372" s="1">
        <v>0.26800000000000002</v>
      </c>
      <c r="U2372" s="1">
        <v>0.67200000000000004</v>
      </c>
      <c r="V2372" s="1">
        <v>137.91999999999999</v>
      </c>
      <c r="W2372">
        <v>4</v>
      </c>
    </row>
    <row r="2373" spans="1:23" x14ac:dyDescent="0.25">
      <c r="A2373" s="1" t="s">
        <v>18784</v>
      </c>
      <c r="B2373" s="1" t="s">
        <v>18783</v>
      </c>
      <c r="C2373" s="1" t="s">
        <v>6617</v>
      </c>
      <c r="D2373" s="1" t="s">
        <v>18785</v>
      </c>
      <c r="E2373" s="1" t="s">
        <v>6615</v>
      </c>
      <c r="F2373" s="1" t="s">
        <v>18786</v>
      </c>
      <c r="G2373">
        <v>259093</v>
      </c>
      <c r="H2373">
        <v>0</v>
      </c>
      <c r="I2373" s="1" t="s">
        <v>11063</v>
      </c>
      <c r="J2373" s="11">
        <v>44729.706458333334</v>
      </c>
      <c r="K2373" s="1" t="s">
        <v>6616</v>
      </c>
      <c r="L2373" s="1">
        <v>0.83199999999999996</v>
      </c>
      <c r="M2373" s="1">
        <v>0.435</v>
      </c>
      <c r="N2373">
        <v>1</v>
      </c>
      <c r="O2373" s="1">
        <v>-9.5980000000000008</v>
      </c>
      <c r="P2373">
        <v>1</v>
      </c>
      <c r="Q2373" s="1">
        <v>0.60399999999999998</v>
      </c>
      <c r="R2373" s="1">
        <v>0.47899999999999998</v>
      </c>
      <c r="S2373" s="1">
        <v>0.55300000000000005</v>
      </c>
      <c r="T2373" s="1">
        <v>0.95199999999999996</v>
      </c>
      <c r="U2373" s="1">
        <v>0.27900000000000003</v>
      </c>
      <c r="V2373" s="1">
        <v>119.057</v>
      </c>
      <c r="W2373">
        <v>4</v>
      </c>
    </row>
    <row r="2374" spans="1:23" x14ac:dyDescent="0.25">
      <c r="A2374" s="1" t="s">
        <v>18787</v>
      </c>
      <c r="B2374" s="1" t="s">
        <v>17010</v>
      </c>
      <c r="C2374" s="1" t="s">
        <v>6618</v>
      </c>
      <c r="D2374" s="1" t="s">
        <v>6618</v>
      </c>
      <c r="E2374" s="1" t="s">
        <v>5003</v>
      </c>
      <c r="F2374" s="1" t="s">
        <v>18690</v>
      </c>
      <c r="G2374">
        <v>207724</v>
      </c>
      <c r="H2374">
        <v>50</v>
      </c>
      <c r="I2374" s="1" t="s">
        <v>11063</v>
      </c>
      <c r="J2374" s="11">
        <v>44729.706458333334</v>
      </c>
      <c r="K2374" s="1" t="s">
        <v>5004</v>
      </c>
      <c r="L2374" s="1">
        <v>0.53400000000000003</v>
      </c>
      <c r="M2374" s="1">
        <v>0.63300000000000001</v>
      </c>
      <c r="N2374">
        <v>4</v>
      </c>
      <c r="O2374" s="1">
        <v>-9.2100000000000009</v>
      </c>
      <c r="P2374">
        <v>0</v>
      </c>
      <c r="Q2374" s="1">
        <v>0.13400000000000001</v>
      </c>
      <c r="R2374" s="1">
        <v>0.45600000000000002</v>
      </c>
      <c r="S2374" s="1">
        <v>0.311</v>
      </c>
      <c r="T2374" s="1">
        <v>0.129</v>
      </c>
      <c r="U2374" s="1">
        <v>0.34100000000000003</v>
      </c>
      <c r="V2374" s="1">
        <v>94.921000000000006</v>
      </c>
      <c r="W2374">
        <v>4</v>
      </c>
    </row>
    <row r="2375" spans="1:23" x14ac:dyDescent="0.25">
      <c r="A2375" s="1" t="s">
        <v>18788</v>
      </c>
      <c r="B2375" s="1" t="s">
        <v>17010</v>
      </c>
      <c r="C2375" s="1" t="s">
        <v>6619</v>
      </c>
      <c r="D2375" s="1" t="s">
        <v>18789</v>
      </c>
      <c r="E2375" s="1" t="s">
        <v>5003</v>
      </c>
      <c r="F2375" s="1" t="s">
        <v>17296</v>
      </c>
      <c r="G2375">
        <v>246373</v>
      </c>
      <c r="H2375">
        <v>0</v>
      </c>
      <c r="I2375" s="1" t="s">
        <v>11063</v>
      </c>
      <c r="J2375" s="11">
        <v>44729.706458333334</v>
      </c>
      <c r="K2375" s="1" t="s">
        <v>5004</v>
      </c>
      <c r="L2375" s="1">
        <v>0.58299999999999996</v>
      </c>
      <c r="M2375" s="1">
        <v>0.64</v>
      </c>
      <c r="N2375">
        <v>2</v>
      </c>
      <c r="O2375" s="1">
        <v>-7.8049999999999997</v>
      </c>
      <c r="P2375">
        <v>1</v>
      </c>
      <c r="Q2375" s="1">
        <v>0.20100000000000001</v>
      </c>
      <c r="R2375" s="1">
        <v>0.22800000000000001</v>
      </c>
      <c r="S2375" s="1">
        <v>0</v>
      </c>
      <c r="T2375" s="1">
        <v>0.246</v>
      </c>
      <c r="U2375" s="1">
        <v>0.23499999999999999</v>
      </c>
      <c r="V2375" s="1">
        <v>80.012</v>
      </c>
      <c r="W2375">
        <v>4</v>
      </c>
    </row>
    <row r="2376" spans="1:23" x14ac:dyDescent="0.25">
      <c r="A2376" s="1" t="s">
        <v>18790</v>
      </c>
      <c r="B2376" s="1" t="s">
        <v>17010</v>
      </c>
      <c r="C2376" s="1" t="s">
        <v>4329</v>
      </c>
      <c r="D2376" s="1" t="s">
        <v>18791</v>
      </c>
      <c r="E2376" s="1" t="s">
        <v>5003</v>
      </c>
      <c r="F2376" s="1" t="s">
        <v>15851</v>
      </c>
      <c r="G2376">
        <v>231600</v>
      </c>
      <c r="H2376">
        <v>70</v>
      </c>
      <c r="I2376" s="1" t="s">
        <v>11063</v>
      </c>
      <c r="J2376" s="11">
        <v>44729.706458333334</v>
      </c>
      <c r="K2376" s="1" t="s">
        <v>5004</v>
      </c>
      <c r="L2376" s="1">
        <v>0.36799999999999999</v>
      </c>
      <c r="M2376" s="1">
        <v>0.61899999999999999</v>
      </c>
      <c r="N2376">
        <v>0</v>
      </c>
      <c r="O2376" s="1">
        <v>-4.9889999999999999</v>
      </c>
      <c r="P2376">
        <v>1</v>
      </c>
      <c r="Q2376" s="1">
        <v>0.41099999999999998</v>
      </c>
      <c r="R2376" s="1">
        <v>0.30399999999999999</v>
      </c>
      <c r="S2376" s="1">
        <v>0.96899999999999997</v>
      </c>
      <c r="T2376" s="1">
        <v>0.16700000000000001</v>
      </c>
      <c r="U2376" s="1">
        <v>0.51</v>
      </c>
      <c r="V2376" s="1">
        <v>89.013000000000005</v>
      </c>
      <c r="W2376">
        <v>4</v>
      </c>
    </row>
    <row r="2377" spans="1:23" x14ac:dyDescent="0.25">
      <c r="A2377" s="1" t="s">
        <v>18792</v>
      </c>
      <c r="B2377" s="1" t="s">
        <v>18793</v>
      </c>
      <c r="C2377" s="1" t="s">
        <v>6620</v>
      </c>
      <c r="D2377" s="1" t="s">
        <v>18794</v>
      </c>
      <c r="E2377" s="1" t="s">
        <v>6621</v>
      </c>
      <c r="F2377" s="1" t="s">
        <v>16754</v>
      </c>
      <c r="G2377">
        <v>198120</v>
      </c>
      <c r="H2377">
        <v>33</v>
      </c>
      <c r="I2377" s="1" t="s">
        <v>11063</v>
      </c>
      <c r="J2377" s="11">
        <v>44729.706458333334</v>
      </c>
      <c r="K2377" s="1" t="s">
        <v>332</v>
      </c>
      <c r="L2377" s="1">
        <v>0.79900000000000004</v>
      </c>
      <c r="M2377" s="1">
        <v>0.62</v>
      </c>
      <c r="N2377">
        <v>3</v>
      </c>
      <c r="O2377" s="1">
        <v>-5.4050000000000002</v>
      </c>
      <c r="P2377">
        <v>0</v>
      </c>
      <c r="Q2377" s="1">
        <v>0.441</v>
      </c>
      <c r="R2377" s="1">
        <v>0.53100000000000003</v>
      </c>
      <c r="S2377" s="1">
        <v>0.11700000000000001</v>
      </c>
      <c r="T2377" s="1">
        <v>0.10100000000000001</v>
      </c>
      <c r="U2377" s="1">
        <v>0.69899999999999995</v>
      </c>
      <c r="V2377" s="1">
        <v>109.054</v>
      </c>
      <c r="W2377">
        <v>4</v>
      </c>
    </row>
    <row r="2378" spans="1:23" x14ac:dyDescent="0.25">
      <c r="A2378" s="1" t="s">
        <v>18795</v>
      </c>
      <c r="B2378" s="1" t="s">
        <v>13702</v>
      </c>
      <c r="C2378" s="1" t="s">
        <v>2262</v>
      </c>
      <c r="D2378" s="1" t="s">
        <v>2262</v>
      </c>
      <c r="E2378" s="1" t="s">
        <v>2155</v>
      </c>
      <c r="F2378" s="1" t="s">
        <v>13677</v>
      </c>
      <c r="G2378">
        <v>201081</v>
      </c>
      <c r="H2378">
        <v>40</v>
      </c>
      <c r="I2378" s="1" t="s">
        <v>11063</v>
      </c>
      <c r="J2378" s="11">
        <v>44729.706458333334</v>
      </c>
      <c r="K2378" s="1" t="s">
        <v>332</v>
      </c>
      <c r="L2378" s="1">
        <v>0.69799999999999995</v>
      </c>
      <c r="M2378" s="1">
        <v>0.747</v>
      </c>
      <c r="N2378">
        <v>6</v>
      </c>
      <c r="O2378" s="1">
        <v>-9.1679999999999993</v>
      </c>
      <c r="P2378">
        <v>1</v>
      </c>
      <c r="Q2378" s="1">
        <v>0.157</v>
      </c>
      <c r="R2378" s="1">
        <v>0.56399999999999995</v>
      </c>
      <c r="S2378" s="1">
        <v>0.51</v>
      </c>
      <c r="T2378" s="1">
        <v>0.80400000000000005</v>
      </c>
      <c r="U2378" s="1">
        <v>0.43</v>
      </c>
      <c r="V2378" s="1">
        <v>110.961</v>
      </c>
      <c r="W2378">
        <v>4</v>
      </c>
    </row>
    <row r="2379" spans="1:23" x14ac:dyDescent="0.25">
      <c r="A2379" s="1" t="s">
        <v>18796</v>
      </c>
      <c r="B2379" s="1" t="s">
        <v>13702</v>
      </c>
      <c r="C2379" s="1" t="s">
        <v>4573</v>
      </c>
      <c r="D2379" s="1" t="s">
        <v>4573</v>
      </c>
      <c r="E2379" s="1" t="s">
        <v>2155</v>
      </c>
      <c r="F2379" s="1" t="s">
        <v>11383</v>
      </c>
      <c r="G2379">
        <v>182400</v>
      </c>
      <c r="H2379">
        <v>0</v>
      </c>
      <c r="I2379" s="1" t="s">
        <v>11063</v>
      </c>
      <c r="J2379" s="11">
        <v>44729.706458333334</v>
      </c>
      <c r="K2379" s="1" t="s">
        <v>332</v>
      </c>
      <c r="L2379" s="1">
        <v>0.74099999999999999</v>
      </c>
      <c r="M2379" s="1">
        <v>0.59699999999999998</v>
      </c>
      <c r="N2379">
        <v>1</v>
      </c>
      <c r="O2379" s="1">
        <v>-9.4049999999999994</v>
      </c>
      <c r="P2379">
        <v>0</v>
      </c>
      <c r="Q2379" s="1">
        <v>0.307</v>
      </c>
      <c r="R2379" s="1">
        <v>0.30199999999999999</v>
      </c>
      <c r="S2379" s="1">
        <v>0.85899999999999999</v>
      </c>
      <c r="T2379" s="1">
        <v>0.114</v>
      </c>
      <c r="U2379" s="1">
        <v>0.121</v>
      </c>
      <c r="V2379" s="1">
        <v>100.059</v>
      </c>
      <c r="W2379">
        <v>4</v>
      </c>
    </row>
    <row r="2380" spans="1:23" x14ac:dyDescent="0.25">
      <c r="A2380" s="1" t="s">
        <v>18797</v>
      </c>
      <c r="B2380" s="1" t="s">
        <v>18798</v>
      </c>
      <c r="C2380" s="1" t="s">
        <v>6622</v>
      </c>
      <c r="D2380" s="1" t="s">
        <v>6622</v>
      </c>
      <c r="E2380" s="1" t="s">
        <v>6623</v>
      </c>
      <c r="F2380" s="1" t="s">
        <v>14492</v>
      </c>
      <c r="G2380">
        <v>228500</v>
      </c>
      <c r="H2380">
        <v>0</v>
      </c>
      <c r="I2380" s="1" t="s">
        <v>11063</v>
      </c>
      <c r="J2380" s="11">
        <v>44729.706458333334</v>
      </c>
      <c r="K2380" s="1" t="s">
        <v>50</v>
      </c>
      <c r="L2380" s="1">
        <v>0.63200000000000001</v>
      </c>
      <c r="M2380" s="1">
        <v>0.47499999999999998</v>
      </c>
      <c r="N2380">
        <v>1</v>
      </c>
      <c r="O2380" s="1">
        <v>-10.974</v>
      </c>
      <c r="P2380">
        <v>1</v>
      </c>
      <c r="Q2380" s="1">
        <v>0.35399999999999998</v>
      </c>
      <c r="R2380" s="1">
        <v>0.25700000000000001</v>
      </c>
      <c r="S2380" s="1">
        <v>0.14000000000000001</v>
      </c>
      <c r="T2380" s="1">
        <v>0.108</v>
      </c>
      <c r="U2380" s="1">
        <v>0.183</v>
      </c>
      <c r="V2380" s="1">
        <v>114.967</v>
      </c>
      <c r="W2380">
        <v>4</v>
      </c>
    </row>
    <row r="2381" spans="1:23" x14ac:dyDescent="0.25">
      <c r="A2381" s="1" t="s">
        <v>18799</v>
      </c>
      <c r="B2381" s="1" t="s">
        <v>18800</v>
      </c>
      <c r="C2381" s="1" t="s">
        <v>6624</v>
      </c>
      <c r="D2381" s="1" t="s">
        <v>6624</v>
      </c>
      <c r="E2381" s="1" t="s">
        <v>6625</v>
      </c>
      <c r="F2381" s="1" t="s">
        <v>18801</v>
      </c>
      <c r="G2381">
        <v>237600</v>
      </c>
      <c r="H2381">
        <v>48</v>
      </c>
      <c r="I2381" s="1" t="s">
        <v>11063</v>
      </c>
      <c r="J2381" s="11">
        <v>44729.706458333334</v>
      </c>
      <c r="K2381" s="1" t="s">
        <v>50</v>
      </c>
      <c r="L2381" s="1">
        <v>0.47299999999999998</v>
      </c>
      <c r="M2381" s="1">
        <v>0.84</v>
      </c>
      <c r="N2381">
        <v>1</v>
      </c>
      <c r="O2381" s="1">
        <v>-3.4769999999999999</v>
      </c>
      <c r="P2381">
        <v>1</v>
      </c>
      <c r="Q2381" s="1">
        <v>0.505</v>
      </c>
      <c r="R2381" s="1">
        <v>0.70099999999999996</v>
      </c>
      <c r="S2381" s="1">
        <v>0</v>
      </c>
      <c r="T2381" s="1">
        <v>0.10100000000000001</v>
      </c>
      <c r="U2381" s="1">
        <v>0.13300000000000001</v>
      </c>
      <c r="V2381" s="1">
        <v>149.93100000000001</v>
      </c>
      <c r="W2381">
        <v>4</v>
      </c>
    </row>
    <row r="2382" spans="1:23" x14ac:dyDescent="0.25">
      <c r="A2382" s="1" t="s">
        <v>18802</v>
      </c>
      <c r="B2382" s="1" t="s">
        <v>18803</v>
      </c>
      <c r="C2382" s="1" t="s">
        <v>6626</v>
      </c>
      <c r="D2382" s="1" t="s">
        <v>6626</v>
      </c>
      <c r="E2382" s="1" t="s">
        <v>6627</v>
      </c>
      <c r="F2382" s="1" t="s">
        <v>17979</v>
      </c>
      <c r="G2382">
        <v>217616</v>
      </c>
      <c r="H2382">
        <v>0</v>
      </c>
      <c r="I2382" s="1" t="s">
        <v>11063</v>
      </c>
      <c r="J2382" s="11">
        <v>44729.706458333334</v>
      </c>
      <c r="K2382" s="1" t="s">
        <v>2541</v>
      </c>
      <c r="L2382" s="1">
        <v>0.28799999999999998</v>
      </c>
      <c r="M2382" s="1">
        <v>0.71899999999999997</v>
      </c>
      <c r="N2382">
        <v>11</v>
      </c>
      <c r="O2382" s="1">
        <v>-10.565</v>
      </c>
      <c r="P2382">
        <v>1</v>
      </c>
      <c r="Q2382" s="1">
        <v>0.14699999999999999</v>
      </c>
      <c r="R2382" s="1">
        <v>0.24399999999999999</v>
      </c>
      <c r="S2382" s="1">
        <v>0.73699999999999999</v>
      </c>
      <c r="T2382" s="1">
        <v>0.27</v>
      </c>
      <c r="U2382" s="1">
        <v>0.108</v>
      </c>
      <c r="V2382" s="1">
        <v>99.802999999999997</v>
      </c>
      <c r="W2382">
        <v>4</v>
      </c>
    </row>
    <row r="2383" spans="1:23" x14ac:dyDescent="0.25">
      <c r="A2383" s="1" t="s">
        <v>18804</v>
      </c>
      <c r="B2383" s="1" t="s">
        <v>18805</v>
      </c>
      <c r="C2383" s="1" t="s">
        <v>6628</v>
      </c>
      <c r="D2383" s="1" t="s">
        <v>18806</v>
      </c>
      <c r="E2383" s="1" t="s">
        <v>6629</v>
      </c>
      <c r="F2383" s="1" t="s">
        <v>17314</v>
      </c>
      <c r="G2383">
        <v>236812</v>
      </c>
      <c r="H2383">
        <v>46</v>
      </c>
      <c r="I2383" s="1" t="s">
        <v>11063</v>
      </c>
      <c r="J2383" s="11">
        <v>44729.706458333334</v>
      </c>
      <c r="K2383" s="1" t="s">
        <v>6630</v>
      </c>
      <c r="L2383" s="1">
        <v>0.68700000000000006</v>
      </c>
      <c r="M2383" s="1">
        <v>0.82399999999999995</v>
      </c>
      <c r="N2383">
        <v>2</v>
      </c>
      <c r="O2383" s="1">
        <v>-3.1720000000000002</v>
      </c>
      <c r="P2383">
        <v>0</v>
      </c>
      <c r="Q2383" s="1">
        <v>0.16800000000000001</v>
      </c>
      <c r="R2383" s="1">
        <v>0.34499999999999997</v>
      </c>
      <c r="S2383" s="1">
        <v>0.26400000000000001</v>
      </c>
      <c r="T2383" s="1">
        <v>0.59299999999999997</v>
      </c>
      <c r="U2383" s="1">
        <v>0.25800000000000001</v>
      </c>
      <c r="V2383" s="1">
        <v>75.040000000000006</v>
      </c>
      <c r="W2383">
        <v>4</v>
      </c>
    </row>
    <row r="2384" spans="1:23" x14ac:dyDescent="0.25">
      <c r="A2384" s="1" t="s">
        <v>11694</v>
      </c>
      <c r="B2384" s="1" t="s">
        <v>11695</v>
      </c>
      <c r="C2384" s="1" t="s">
        <v>403</v>
      </c>
      <c r="D2384" s="1" t="s">
        <v>403</v>
      </c>
      <c r="E2384" s="1" t="s">
        <v>404</v>
      </c>
      <c r="F2384" s="1" t="s">
        <v>11696</v>
      </c>
      <c r="G2384">
        <v>183518</v>
      </c>
      <c r="H2384">
        <v>45</v>
      </c>
      <c r="I2384" s="1" t="s">
        <v>11063</v>
      </c>
      <c r="J2384" s="11">
        <v>44729.706458333334</v>
      </c>
      <c r="K2384" s="1" t="s">
        <v>405</v>
      </c>
      <c r="L2384" s="1">
        <v>0.61199999999999999</v>
      </c>
      <c r="M2384" s="1">
        <v>0.96299999999999997</v>
      </c>
      <c r="N2384">
        <v>5</v>
      </c>
      <c r="O2384" s="1">
        <v>-3.9119999999999999</v>
      </c>
      <c r="P2384">
        <v>0</v>
      </c>
      <c r="Q2384" s="1">
        <v>0.53100000000000003</v>
      </c>
      <c r="R2384" s="1">
        <v>0.89700000000000002</v>
      </c>
      <c r="S2384" s="1">
        <v>0.378</v>
      </c>
      <c r="T2384" s="1">
        <v>0.29399999999999998</v>
      </c>
      <c r="U2384" s="1">
        <v>0.17899999999999999</v>
      </c>
      <c r="V2384" s="1">
        <v>138.00899999999999</v>
      </c>
      <c r="W2384">
        <v>4</v>
      </c>
    </row>
    <row r="2385" spans="1:23" x14ac:dyDescent="0.25">
      <c r="A2385" s="1" t="s">
        <v>18807</v>
      </c>
      <c r="B2385" s="1" t="s">
        <v>11756</v>
      </c>
      <c r="C2385" s="1" t="s">
        <v>6631</v>
      </c>
      <c r="D2385" s="1" t="s">
        <v>18808</v>
      </c>
      <c r="E2385" s="1" t="s">
        <v>452</v>
      </c>
      <c r="F2385" s="1" t="s">
        <v>18809</v>
      </c>
      <c r="G2385">
        <v>357496</v>
      </c>
      <c r="H2385">
        <v>0</v>
      </c>
      <c r="I2385" s="1" t="s">
        <v>11063</v>
      </c>
      <c r="J2385" s="11">
        <v>44729.706458333334</v>
      </c>
      <c r="K2385" s="1" t="s">
        <v>453</v>
      </c>
      <c r="L2385" s="1">
        <v>0.59599999999999997</v>
      </c>
      <c r="M2385" s="1">
        <v>0.72699999999999998</v>
      </c>
      <c r="N2385">
        <v>3</v>
      </c>
      <c r="O2385" s="1">
        <v>-7.0709999999999997</v>
      </c>
      <c r="P2385">
        <v>1</v>
      </c>
      <c r="Q2385" s="1">
        <v>0.59699999999999998</v>
      </c>
      <c r="R2385" s="1">
        <v>0.50600000000000001</v>
      </c>
      <c r="S2385" s="1">
        <v>0.16</v>
      </c>
      <c r="T2385" s="1">
        <v>0.84699999999999998</v>
      </c>
      <c r="U2385" s="1">
        <v>0.23499999999999999</v>
      </c>
      <c r="V2385" s="1">
        <v>125.968</v>
      </c>
      <c r="W2385">
        <v>4</v>
      </c>
    </row>
    <row r="2386" spans="1:23" x14ac:dyDescent="0.25">
      <c r="A2386" s="1" t="s">
        <v>11124</v>
      </c>
      <c r="B2386" s="1" t="s">
        <v>11125</v>
      </c>
      <c r="C2386" s="1" t="s">
        <v>6632</v>
      </c>
      <c r="D2386" s="1" t="s">
        <v>6632</v>
      </c>
      <c r="E2386" s="1" t="s">
        <v>6633</v>
      </c>
      <c r="F2386" s="1" t="s">
        <v>11434</v>
      </c>
      <c r="G2386">
        <v>214941</v>
      </c>
      <c r="H2386">
        <v>63</v>
      </c>
      <c r="I2386" s="1" t="s">
        <v>11063</v>
      </c>
      <c r="J2386" s="11">
        <v>44729.706458333334</v>
      </c>
      <c r="K2386" s="1" t="s">
        <v>6634</v>
      </c>
      <c r="L2386" s="1">
        <v>0.57399999999999995</v>
      </c>
      <c r="M2386" s="1">
        <v>0.72799999999999998</v>
      </c>
      <c r="N2386">
        <v>1</v>
      </c>
      <c r="O2386" s="1">
        <v>-4.7770000000000001</v>
      </c>
      <c r="P2386">
        <v>1</v>
      </c>
      <c r="Q2386" s="1">
        <v>0.62</v>
      </c>
      <c r="R2386" s="1">
        <v>0.161</v>
      </c>
      <c r="S2386" s="1">
        <v>0.14199999999999999</v>
      </c>
      <c r="T2386" s="1">
        <v>0.85099999999999998</v>
      </c>
      <c r="U2386" s="1">
        <v>0.26600000000000001</v>
      </c>
      <c r="V2386" s="1">
        <v>125.047</v>
      </c>
      <c r="W2386">
        <v>4</v>
      </c>
    </row>
    <row r="2387" spans="1:23" x14ac:dyDescent="0.25">
      <c r="A2387" s="1" t="s">
        <v>11196</v>
      </c>
      <c r="B2387" s="1" t="s">
        <v>11197</v>
      </c>
      <c r="C2387" s="1" t="s">
        <v>6635</v>
      </c>
      <c r="D2387" s="1" t="s">
        <v>11198</v>
      </c>
      <c r="E2387" s="1" t="s">
        <v>5164</v>
      </c>
      <c r="F2387" s="1" t="s">
        <v>16736</v>
      </c>
      <c r="G2387">
        <v>217653</v>
      </c>
      <c r="H2387">
        <v>1</v>
      </c>
      <c r="I2387" s="1" t="s">
        <v>11063</v>
      </c>
      <c r="J2387" s="11">
        <v>44729.706458333334</v>
      </c>
      <c r="K2387" s="1" t="s">
        <v>5165</v>
      </c>
      <c r="L2387" s="1">
        <v>0.59099999999999997</v>
      </c>
      <c r="M2387" s="1">
        <v>0.70199999999999996</v>
      </c>
      <c r="N2387">
        <v>7</v>
      </c>
      <c r="O2387" s="1">
        <v>-5.59</v>
      </c>
      <c r="P2387">
        <v>1</v>
      </c>
      <c r="Q2387" s="1">
        <v>0.28899999999999998</v>
      </c>
      <c r="R2387" s="1">
        <v>0.22500000000000001</v>
      </c>
      <c r="S2387" s="1">
        <v>0</v>
      </c>
      <c r="T2387" s="1">
        <v>0.41399999999999998</v>
      </c>
      <c r="U2387" s="1">
        <v>0.501</v>
      </c>
      <c r="V2387" s="1">
        <v>104.003</v>
      </c>
      <c r="W2387">
        <v>4</v>
      </c>
    </row>
    <row r="2388" spans="1:23" x14ac:dyDescent="0.25">
      <c r="A2388" s="1" t="s">
        <v>18810</v>
      </c>
      <c r="B2388" s="1" t="s">
        <v>18811</v>
      </c>
      <c r="C2388" s="1" t="s">
        <v>3519</v>
      </c>
      <c r="D2388" s="1" t="s">
        <v>3519</v>
      </c>
      <c r="E2388" s="1" t="s">
        <v>6636</v>
      </c>
      <c r="F2388" s="1" t="s">
        <v>16505</v>
      </c>
      <c r="G2388">
        <v>221904</v>
      </c>
      <c r="H2388">
        <v>69</v>
      </c>
      <c r="I2388" s="1" t="s">
        <v>11063</v>
      </c>
      <c r="J2388" s="11">
        <v>44729.706458333334</v>
      </c>
      <c r="K2388" s="1" t="s">
        <v>6637</v>
      </c>
      <c r="L2388" s="1">
        <v>0.61099999999999999</v>
      </c>
      <c r="M2388" s="1">
        <v>0.64400000000000002</v>
      </c>
      <c r="N2388">
        <v>6</v>
      </c>
      <c r="O2388" s="1">
        <v>-7.6070000000000002</v>
      </c>
      <c r="P2388">
        <v>0</v>
      </c>
      <c r="Q2388" s="1">
        <v>0.55300000000000005</v>
      </c>
      <c r="R2388" s="1">
        <v>0.124</v>
      </c>
      <c r="S2388" s="1">
        <v>0</v>
      </c>
      <c r="T2388" s="1">
        <v>0.124</v>
      </c>
      <c r="U2388" s="1">
        <v>0.13</v>
      </c>
      <c r="V2388" s="1">
        <v>105.96899999999999</v>
      </c>
      <c r="W2388">
        <v>4</v>
      </c>
    </row>
    <row r="2389" spans="1:23" x14ac:dyDescent="0.25">
      <c r="A2389" s="1" t="s">
        <v>18812</v>
      </c>
      <c r="B2389" s="1" t="s">
        <v>18813</v>
      </c>
      <c r="C2389" s="1" t="s">
        <v>4082</v>
      </c>
      <c r="D2389" s="1" t="s">
        <v>4082</v>
      </c>
      <c r="E2389" s="1" t="s">
        <v>6638</v>
      </c>
      <c r="F2389" s="1" t="s">
        <v>14780</v>
      </c>
      <c r="G2389">
        <v>180840</v>
      </c>
      <c r="H2389">
        <v>58</v>
      </c>
      <c r="I2389" s="1" t="s">
        <v>11063</v>
      </c>
      <c r="J2389" s="11">
        <v>44729.706458333334</v>
      </c>
      <c r="K2389" s="1" t="s">
        <v>6639</v>
      </c>
      <c r="L2389" s="1">
        <v>0.36199999999999999</v>
      </c>
      <c r="M2389" s="1">
        <v>0.92100000000000004</v>
      </c>
      <c r="N2389">
        <v>1</v>
      </c>
      <c r="O2389" s="1">
        <v>-3.8149999999999999</v>
      </c>
      <c r="P2389">
        <v>0</v>
      </c>
      <c r="Q2389" s="1">
        <v>0.48599999999999999</v>
      </c>
      <c r="R2389" s="1">
        <v>0.123</v>
      </c>
      <c r="S2389" s="1">
        <v>0</v>
      </c>
      <c r="T2389" s="1">
        <v>0.19</v>
      </c>
      <c r="U2389" s="1">
        <v>0.52900000000000003</v>
      </c>
      <c r="V2389" s="1">
        <v>172.191</v>
      </c>
      <c r="W2389">
        <v>3</v>
      </c>
    </row>
    <row r="2390" spans="1:23" x14ac:dyDescent="0.25">
      <c r="A2390" s="1" t="s">
        <v>18814</v>
      </c>
      <c r="B2390" s="1" t="s">
        <v>14955</v>
      </c>
      <c r="C2390" s="1" t="s">
        <v>6640</v>
      </c>
      <c r="D2390" s="1" t="s">
        <v>6640</v>
      </c>
      <c r="E2390" s="1" t="s">
        <v>3232</v>
      </c>
      <c r="F2390" s="1" t="s">
        <v>13547</v>
      </c>
      <c r="G2390">
        <v>178147</v>
      </c>
      <c r="H2390">
        <v>25</v>
      </c>
      <c r="I2390" s="1" t="s">
        <v>11063</v>
      </c>
      <c r="J2390" s="11">
        <v>44729.706458333334</v>
      </c>
      <c r="K2390" s="1" t="s">
        <v>3233</v>
      </c>
      <c r="L2390" s="1">
        <v>0.60699999999999998</v>
      </c>
      <c r="M2390" s="1">
        <v>0.58599999999999997</v>
      </c>
      <c r="N2390">
        <v>6</v>
      </c>
      <c r="O2390" s="1">
        <v>-8.6579999999999995</v>
      </c>
      <c r="P2390">
        <v>0</v>
      </c>
      <c r="Q2390" s="1">
        <v>0.40600000000000003</v>
      </c>
      <c r="R2390" s="1">
        <v>0.51600000000000001</v>
      </c>
      <c r="S2390" s="1">
        <v>0.43099999999999999</v>
      </c>
      <c r="T2390" s="1">
        <v>0.33600000000000002</v>
      </c>
      <c r="U2390" s="1">
        <v>0.39400000000000002</v>
      </c>
      <c r="V2390" s="1">
        <v>145.82400000000001</v>
      </c>
      <c r="W2390">
        <v>4</v>
      </c>
    </row>
    <row r="2391" spans="1:23" x14ac:dyDescent="0.25">
      <c r="A2391" s="1" t="s">
        <v>18815</v>
      </c>
      <c r="B2391" s="1" t="s">
        <v>18816</v>
      </c>
      <c r="C2391" s="1" t="s">
        <v>6641</v>
      </c>
      <c r="D2391" s="1" t="s">
        <v>6641</v>
      </c>
      <c r="E2391" s="1" t="s">
        <v>6642</v>
      </c>
      <c r="F2391" s="1" t="s">
        <v>14097</v>
      </c>
      <c r="G2391">
        <v>245581</v>
      </c>
      <c r="H2391">
        <v>43</v>
      </c>
      <c r="I2391" s="1" t="s">
        <v>11063</v>
      </c>
      <c r="J2391" s="11">
        <v>44729.706458333334</v>
      </c>
      <c r="K2391" s="1" t="s">
        <v>6643</v>
      </c>
      <c r="L2391" s="1">
        <v>0.83699999999999997</v>
      </c>
      <c r="M2391" s="1">
        <v>0.49199999999999999</v>
      </c>
      <c r="N2391">
        <v>0</v>
      </c>
      <c r="O2391" s="1">
        <v>-7.7919999999999998</v>
      </c>
      <c r="P2391">
        <v>1</v>
      </c>
      <c r="Q2391" s="1">
        <v>0.35399999999999998</v>
      </c>
      <c r="R2391" s="1">
        <v>0.371</v>
      </c>
      <c r="S2391" s="1">
        <v>0.40100000000000002</v>
      </c>
      <c r="T2391" s="1">
        <v>0.10199999999999999</v>
      </c>
      <c r="U2391" s="1">
        <v>0.41699999999999998</v>
      </c>
      <c r="V2391" s="1">
        <v>85.950999999999993</v>
      </c>
      <c r="W2391">
        <v>4</v>
      </c>
    </row>
    <row r="2392" spans="1:23" x14ac:dyDescent="0.25">
      <c r="A2392" s="1" t="s">
        <v>18817</v>
      </c>
      <c r="B2392" s="1" t="s">
        <v>18818</v>
      </c>
      <c r="C2392" s="1" t="s">
        <v>146</v>
      </c>
      <c r="D2392" s="1" t="s">
        <v>146</v>
      </c>
      <c r="E2392" s="1" t="s">
        <v>6644</v>
      </c>
      <c r="F2392" s="1" t="s">
        <v>18819</v>
      </c>
      <c r="G2392">
        <v>162691</v>
      </c>
      <c r="H2392">
        <v>0</v>
      </c>
      <c r="I2392" s="1" t="s">
        <v>11063</v>
      </c>
      <c r="J2392" s="11">
        <v>44729.706458333334</v>
      </c>
      <c r="K2392" s="1" t="s">
        <v>6645</v>
      </c>
      <c r="L2392" s="1">
        <v>0.53100000000000003</v>
      </c>
      <c r="M2392" s="1">
        <v>0.77</v>
      </c>
      <c r="N2392">
        <v>1</v>
      </c>
      <c r="O2392" s="1">
        <v>-6.4690000000000003</v>
      </c>
      <c r="P2392">
        <v>1</v>
      </c>
      <c r="Q2392" s="1">
        <v>0.10100000000000001</v>
      </c>
      <c r="R2392" s="1">
        <v>0.245</v>
      </c>
      <c r="S2392" s="1">
        <v>0.99099999999999999</v>
      </c>
      <c r="T2392" s="1">
        <v>0.47</v>
      </c>
      <c r="U2392" s="1">
        <v>0.28000000000000003</v>
      </c>
      <c r="V2392" s="1">
        <v>89.956000000000003</v>
      </c>
      <c r="W2392">
        <v>4</v>
      </c>
    </row>
    <row r="2393" spans="1:23" x14ac:dyDescent="0.25">
      <c r="A2393" s="1" t="s">
        <v>18820</v>
      </c>
      <c r="B2393" s="1" t="s">
        <v>18821</v>
      </c>
      <c r="C2393" s="1" t="s">
        <v>6646</v>
      </c>
      <c r="D2393" s="1" t="s">
        <v>6646</v>
      </c>
      <c r="E2393" s="1" t="s">
        <v>6647</v>
      </c>
      <c r="F2393" s="1" t="s">
        <v>18822</v>
      </c>
      <c r="G2393">
        <v>200790</v>
      </c>
      <c r="H2393">
        <v>42</v>
      </c>
      <c r="I2393" s="1" t="s">
        <v>11063</v>
      </c>
      <c r="J2393" s="11">
        <v>44729.706458333334</v>
      </c>
      <c r="K2393" s="1" t="s">
        <v>6648</v>
      </c>
      <c r="L2393" s="1">
        <v>0.747</v>
      </c>
      <c r="M2393" s="1">
        <v>0.56000000000000005</v>
      </c>
      <c r="N2393">
        <v>5</v>
      </c>
      <c r="O2393" s="1">
        <v>-7.0860000000000003</v>
      </c>
      <c r="P2393">
        <v>1</v>
      </c>
      <c r="Q2393" s="1">
        <v>0.49399999999999999</v>
      </c>
      <c r="R2393" s="1">
        <v>0.16900000000000001</v>
      </c>
      <c r="S2393" s="1">
        <v>0</v>
      </c>
      <c r="T2393" s="1">
        <v>0.55000000000000004</v>
      </c>
      <c r="U2393" s="1">
        <v>0.35099999999999998</v>
      </c>
      <c r="V2393" s="1">
        <v>129.01900000000001</v>
      </c>
      <c r="W2393">
        <v>4</v>
      </c>
    </row>
    <row r="2394" spans="1:23" x14ac:dyDescent="0.25">
      <c r="A2394" s="1" t="s">
        <v>18823</v>
      </c>
      <c r="B2394" s="1" t="s">
        <v>14033</v>
      </c>
      <c r="C2394" s="1" t="s">
        <v>6649</v>
      </c>
      <c r="D2394" s="1" t="s">
        <v>6649</v>
      </c>
      <c r="E2394" s="1" t="s">
        <v>2427</v>
      </c>
      <c r="F2394" s="1" t="s">
        <v>11750</v>
      </c>
      <c r="G2394">
        <v>258413</v>
      </c>
      <c r="H2394">
        <v>71</v>
      </c>
      <c r="I2394" s="1" t="s">
        <v>11063</v>
      </c>
      <c r="J2394" s="11">
        <v>44729.706458333334</v>
      </c>
      <c r="K2394" s="1" t="s">
        <v>103</v>
      </c>
      <c r="L2394" s="1">
        <v>0.53200000000000003</v>
      </c>
      <c r="M2394" s="1">
        <v>0.874</v>
      </c>
      <c r="N2394">
        <v>9</v>
      </c>
      <c r="O2394" s="1">
        <v>-5.1829999999999998</v>
      </c>
      <c r="P2394">
        <v>0</v>
      </c>
      <c r="Q2394" s="1">
        <v>0.48199999999999998</v>
      </c>
      <c r="R2394" s="1">
        <v>0.84199999999999997</v>
      </c>
      <c r="S2394" s="1">
        <v>0.12</v>
      </c>
      <c r="T2394" s="1">
        <v>0.45200000000000001</v>
      </c>
      <c r="U2394" s="1">
        <v>0.36099999999999999</v>
      </c>
      <c r="V2394" s="1">
        <v>91.037999999999997</v>
      </c>
      <c r="W2394">
        <v>4</v>
      </c>
    </row>
    <row r="2395" spans="1:23" x14ac:dyDescent="0.25">
      <c r="A2395" s="1" t="s">
        <v>11126</v>
      </c>
      <c r="B2395" s="1" t="s">
        <v>11127</v>
      </c>
      <c r="C2395" s="1" t="s">
        <v>6650</v>
      </c>
      <c r="D2395" s="1" t="s">
        <v>11128</v>
      </c>
      <c r="E2395" s="1" t="s">
        <v>6651</v>
      </c>
      <c r="F2395" s="1" t="s">
        <v>18824</v>
      </c>
      <c r="G2395">
        <v>261818</v>
      </c>
      <c r="H2395">
        <v>47</v>
      </c>
      <c r="I2395" s="1" t="s">
        <v>11063</v>
      </c>
      <c r="J2395" s="11">
        <v>44729.706458333334</v>
      </c>
      <c r="K2395" s="1" t="s">
        <v>6349</v>
      </c>
      <c r="L2395" s="1">
        <v>0.66</v>
      </c>
      <c r="M2395" s="1">
        <v>0.98399999999999999</v>
      </c>
      <c r="N2395">
        <v>7</v>
      </c>
      <c r="O2395" s="1">
        <v>-3.282</v>
      </c>
      <c r="P2395">
        <v>1</v>
      </c>
      <c r="Q2395" s="1">
        <v>0.14299999999999999</v>
      </c>
      <c r="R2395" s="1">
        <v>0.11799999999999999</v>
      </c>
      <c r="S2395" s="1">
        <v>0.69599999999999995</v>
      </c>
      <c r="T2395" s="1">
        <v>0.78</v>
      </c>
      <c r="U2395" s="1">
        <v>0.35</v>
      </c>
      <c r="V2395" s="1">
        <v>132.06200000000001</v>
      </c>
      <c r="W2395">
        <v>4</v>
      </c>
    </row>
    <row r="2396" spans="1:23" x14ac:dyDescent="0.25">
      <c r="A2396" s="1" t="s">
        <v>18825</v>
      </c>
      <c r="B2396" s="1" t="s">
        <v>11127</v>
      </c>
      <c r="C2396" s="1" t="s">
        <v>6652</v>
      </c>
      <c r="D2396" s="1" t="s">
        <v>18826</v>
      </c>
      <c r="E2396" s="1" t="s">
        <v>6651</v>
      </c>
      <c r="F2396" s="1" t="s">
        <v>18827</v>
      </c>
      <c r="G2396">
        <v>271946</v>
      </c>
      <c r="H2396">
        <v>0</v>
      </c>
      <c r="I2396" s="1" t="s">
        <v>11063</v>
      </c>
      <c r="J2396" s="11">
        <v>44729.706458333334</v>
      </c>
      <c r="K2396" s="1" t="s">
        <v>6349</v>
      </c>
      <c r="L2396" s="1">
        <v>0.72099999999999997</v>
      </c>
      <c r="M2396" s="1">
        <v>0.93400000000000005</v>
      </c>
      <c r="N2396">
        <v>8</v>
      </c>
      <c r="O2396" s="1">
        <v>-4.8319999999999999</v>
      </c>
      <c r="P2396">
        <v>1</v>
      </c>
      <c r="Q2396" s="1">
        <v>0.46700000000000003</v>
      </c>
      <c r="R2396" s="1">
        <v>0.13300000000000001</v>
      </c>
      <c r="S2396" s="1">
        <v>0.46800000000000003</v>
      </c>
      <c r="T2396" s="1">
        <v>0.91500000000000004</v>
      </c>
      <c r="U2396" s="1">
        <v>0.16300000000000001</v>
      </c>
      <c r="V2396" s="1">
        <v>128.999</v>
      </c>
      <c r="W2396">
        <v>4</v>
      </c>
    </row>
    <row r="2397" spans="1:23" x14ac:dyDescent="0.25">
      <c r="A2397" s="1" t="s">
        <v>18828</v>
      </c>
      <c r="B2397" s="1" t="s">
        <v>11127</v>
      </c>
      <c r="C2397" s="1" t="s">
        <v>6653</v>
      </c>
      <c r="D2397" s="1" t="s">
        <v>18466</v>
      </c>
      <c r="E2397" s="1" t="s">
        <v>6651</v>
      </c>
      <c r="F2397" s="1" t="s">
        <v>11356</v>
      </c>
      <c r="G2397">
        <v>254545</v>
      </c>
      <c r="H2397">
        <v>0</v>
      </c>
      <c r="I2397" s="1" t="s">
        <v>11063</v>
      </c>
      <c r="J2397" s="11">
        <v>44729.706458333334</v>
      </c>
      <c r="K2397" s="1" t="s">
        <v>6349</v>
      </c>
      <c r="L2397" s="1">
        <v>0.872</v>
      </c>
      <c r="M2397" s="1">
        <v>0.38400000000000001</v>
      </c>
      <c r="N2397">
        <v>10</v>
      </c>
      <c r="O2397" s="1">
        <v>-7.5170000000000003</v>
      </c>
      <c r="P2397">
        <v>0</v>
      </c>
      <c r="Q2397" s="1">
        <v>0.623</v>
      </c>
      <c r="R2397" s="1">
        <v>0.34200000000000003</v>
      </c>
      <c r="S2397" s="1">
        <v>0.85199999999999998</v>
      </c>
      <c r="T2397" s="1">
        <v>0.112</v>
      </c>
      <c r="U2397" s="1">
        <v>0.45500000000000002</v>
      </c>
      <c r="V2397" s="1">
        <v>132.02699999999999</v>
      </c>
      <c r="W2397">
        <v>4</v>
      </c>
    </row>
    <row r="2398" spans="1:23" x14ac:dyDescent="0.25">
      <c r="A2398" s="1" t="s">
        <v>18829</v>
      </c>
      <c r="B2398" s="1" t="s">
        <v>14248</v>
      </c>
      <c r="C2398" s="1" t="s">
        <v>111</v>
      </c>
      <c r="D2398" s="1" t="s">
        <v>111</v>
      </c>
      <c r="E2398" s="1" t="s">
        <v>2602</v>
      </c>
      <c r="F2398" s="1" t="s">
        <v>11310</v>
      </c>
      <c r="G2398">
        <v>181352</v>
      </c>
      <c r="H2398">
        <v>0</v>
      </c>
      <c r="I2398" s="1" t="s">
        <v>11063</v>
      </c>
      <c r="J2398" s="11">
        <v>44729.706458333334</v>
      </c>
      <c r="K2398" s="1" t="s">
        <v>2603</v>
      </c>
      <c r="L2398" s="1">
        <v>0.58099999999999996</v>
      </c>
      <c r="M2398" s="1">
        <v>0.872</v>
      </c>
      <c r="N2398">
        <v>1</v>
      </c>
      <c r="O2398" s="1">
        <v>-5.7</v>
      </c>
      <c r="P2398">
        <v>1</v>
      </c>
      <c r="Q2398" s="1">
        <v>0.502</v>
      </c>
      <c r="R2398" s="1">
        <v>0.33500000000000002</v>
      </c>
      <c r="S2398" s="1">
        <v>0.90200000000000002</v>
      </c>
      <c r="T2398" s="1">
        <v>0.371</v>
      </c>
      <c r="U2398" s="1">
        <v>0.60099999999999998</v>
      </c>
      <c r="V2398" s="1">
        <v>82.498999999999995</v>
      </c>
      <c r="W2398">
        <v>4</v>
      </c>
    </row>
    <row r="2399" spans="1:23" x14ac:dyDescent="0.25">
      <c r="A2399" s="1" t="s">
        <v>18830</v>
      </c>
      <c r="B2399" s="1" t="s">
        <v>15287</v>
      </c>
      <c r="C2399" s="1" t="s">
        <v>6654</v>
      </c>
      <c r="D2399" s="1" t="s">
        <v>18831</v>
      </c>
      <c r="E2399" s="1" t="s">
        <v>3530</v>
      </c>
      <c r="F2399" s="1" t="s">
        <v>14780</v>
      </c>
      <c r="G2399">
        <v>195862</v>
      </c>
      <c r="H2399">
        <v>44</v>
      </c>
      <c r="I2399" s="1" t="s">
        <v>11063</v>
      </c>
      <c r="J2399" s="11">
        <v>44729.706458333334</v>
      </c>
      <c r="K2399" s="1" t="s">
        <v>994</v>
      </c>
      <c r="L2399" s="1">
        <v>0.57799999999999996</v>
      </c>
      <c r="M2399" s="1">
        <v>0.67100000000000004</v>
      </c>
      <c r="N2399">
        <v>1</v>
      </c>
      <c r="O2399" s="1">
        <v>-6.3680000000000003</v>
      </c>
      <c r="P2399">
        <v>0</v>
      </c>
      <c r="Q2399" s="1">
        <v>0.42299999999999999</v>
      </c>
      <c r="R2399" s="1">
        <v>0.315</v>
      </c>
      <c r="S2399" s="1">
        <v>0.55700000000000005</v>
      </c>
      <c r="T2399" s="1">
        <v>0.97699999999999998</v>
      </c>
      <c r="U2399" s="1">
        <v>0.46100000000000002</v>
      </c>
      <c r="V2399" s="1">
        <v>86.984999999999999</v>
      </c>
      <c r="W2399">
        <v>4</v>
      </c>
    </row>
    <row r="2400" spans="1:23" x14ac:dyDescent="0.25">
      <c r="A2400" s="1" t="s">
        <v>18832</v>
      </c>
      <c r="B2400" s="1" t="s">
        <v>18833</v>
      </c>
      <c r="C2400" s="1" t="s">
        <v>6655</v>
      </c>
      <c r="D2400" s="1" t="s">
        <v>6655</v>
      </c>
      <c r="E2400" s="1" t="s">
        <v>6656</v>
      </c>
      <c r="F2400" s="1" t="s">
        <v>13696</v>
      </c>
      <c r="G2400">
        <v>217846</v>
      </c>
      <c r="H2400">
        <v>31</v>
      </c>
      <c r="I2400" s="1" t="s">
        <v>11063</v>
      </c>
      <c r="J2400" s="11">
        <v>44729.706458333334</v>
      </c>
      <c r="K2400" s="1" t="s">
        <v>933</v>
      </c>
      <c r="L2400" s="1">
        <v>0.71199999999999997</v>
      </c>
      <c r="M2400" s="1">
        <v>0.80300000000000005</v>
      </c>
      <c r="N2400">
        <v>7</v>
      </c>
      <c r="O2400" s="1">
        <v>-4.0949999999999998</v>
      </c>
      <c r="P2400">
        <v>1</v>
      </c>
      <c r="Q2400" s="1">
        <v>0.47099999999999997</v>
      </c>
      <c r="R2400" s="1">
        <v>0.42599999999999999</v>
      </c>
      <c r="S2400" s="1">
        <v>0.505</v>
      </c>
      <c r="T2400" s="1">
        <v>0.85099999999999998</v>
      </c>
      <c r="U2400" s="1">
        <v>0.159</v>
      </c>
      <c r="V2400" s="1">
        <v>129.99199999999999</v>
      </c>
      <c r="W2400">
        <v>4</v>
      </c>
    </row>
    <row r="2401" spans="1:23" x14ac:dyDescent="0.25">
      <c r="A2401" s="1" t="s">
        <v>18834</v>
      </c>
      <c r="B2401" s="1" t="s">
        <v>18835</v>
      </c>
      <c r="C2401" s="1" t="s">
        <v>6657</v>
      </c>
      <c r="D2401" s="1" t="s">
        <v>6657</v>
      </c>
      <c r="E2401" s="1" t="s">
        <v>6658</v>
      </c>
      <c r="F2401" s="1" t="s">
        <v>17998</v>
      </c>
      <c r="G2401">
        <v>295200</v>
      </c>
      <c r="H2401">
        <v>13</v>
      </c>
      <c r="I2401" s="1" t="s">
        <v>11063</v>
      </c>
      <c r="J2401" s="11">
        <v>44729.706458333334</v>
      </c>
      <c r="K2401" s="1" t="s">
        <v>50</v>
      </c>
      <c r="L2401" s="1">
        <v>0.69599999999999995</v>
      </c>
      <c r="M2401" s="1">
        <v>0.65700000000000003</v>
      </c>
      <c r="N2401">
        <v>2</v>
      </c>
      <c r="O2401" s="1">
        <v>-7.5519999999999996</v>
      </c>
      <c r="P2401">
        <v>1</v>
      </c>
      <c r="Q2401" s="1">
        <v>0.21</v>
      </c>
      <c r="R2401" s="1">
        <v>0.48899999999999999</v>
      </c>
      <c r="S2401" s="1">
        <v>0.34799999999999998</v>
      </c>
      <c r="T2401" s="1">
        <v>0.11600000000000001</v>
      </c>
      <c r="U2401" s="1">
        <v>0.46</v>
      </c>
      <c r="V2401" s="1">
        <v>100.02500000000001</v>
      </c>
      <c r="W2401">
        <v>4</v>
      </c>
    </row>
    <row r="2402" spans="1:23" x14ac:dyDescent="0.25">
      <c r="A2402" s="1" t="s">
        <v>18836</v>
      </c>
      <c r="B2402" s="1" t="s">
        <v>18837</v>
      </c>
      <c r="C2402" s="1" t="s">
        <v>6659</v>
      </c>
      <c r="D2402" s="1" t="s">
        <v>18838</v>
      </c>
      <c r="E2402" s="1" t="s">
        <v>6660</v>
      </c>
      <c r="F2402" s="1" t="s">
        <v>18839</v>
      </c>
      <c r="G2402">
        <v>211906</v>
      </c>
      <c r="H2402">
        <v>16</v>
      </c>
      <c r="I2402" s="1" t="s">
        <v>11063</v>
      </c>
      <c r="J2402" s="11">
        <v>44729.706458333334</v>
      </c>
      <c r="K2402" s="1" t="s">
        <v>2577</v>
      </c>
      <c r="L2402" s="1">
        <v>0.77500000000000002</v>
      </c>
      <c r="M2402" s="1">
        <v>0.82799999999999996</v>
      </c>
      <c r="N2402">
        <v>1</v>
      </c>
      <c r="O2402" s="1">
        <v>-2.738</v>
      </c>
      <c r="P2402">
        <v>1</v>
      </c>
      <c r="Q2402" s="1">
        <v>0.152</v>
      </c>
      <c r="R2402" s="1">
        <v>0.224</v>
      </c>
      <c r="S2402" s="1">
        <v>0.112</v>
      </c>
      <c r="T2402" s="1">
        <v>0.128</v>
      </c>
      <c r="U2402" s="1">
        <v>0.48499999999999999</v>
      </c>
      <c r="V2402" s="1">
        <v>134.99199999999999</v>
      </c>
      <c r="W2402">
        <v>4</v>
      </c>
    </row>
    <row r="2403" spans="1:23" x14ac:dyDescent="0.25">
      <c r="A2403" s="1" t="s">
        <v>18840</v>
      </c>
      <c r="B2403" s="1" t="s">
        <v>18841</v>
      </c>
      <c r="C2403" s="1" t="s">
        <v>6661</v>
      </c>
      <c r="D2403" s="1" t="s">
        <v>6661</v>
      </c>
      <c r="E2403" s="1" t="s">
        <v>6662</v>
      </c>
      <c r="F2403" s="1" t="s">
        <v>18842</v>
      </c>
      <c r="G2403">
        <v>212617</v>
      </c>
      <c r="H2403">
        <v>39</v>
      </c>
      <c r="I2403" s="1" t="s">
        <v>11063</v>
      </c>
      <c r="J2403" s="11">
        <v>44729.706458333334</v>
      </c>
      <c r="K2403" s="1" t="s">
        <v>996</v>
      </c>
      <c r="L2403" s="1">
        <v>0.51700000000000002</v>
      </c>
      <c r="M2403" s="1">
        <v>0.83499999999999996</v>
      </c>
      <c r="N2403">
        <v>0</v>
      </c>
      <c r="O2403" s="1">
        <v>-4.6189999999999998</v>
      </c>
      <c r="P2403">
        <v>1</v>
      </c>
      <c r="Q2403" s="1">
        <v>0.41</v>
      </c>
      <c r="R2403" s="1">
        <v>0.14899999999999999</v>
      </c>
      <c r="S2403" s="1">
        <v>0.441</v>
      </c>
      <c r="T2403" s="1">
        <v>0.186</v>
      </c>
      <c r="U2403" s="1">
        <v>0.435</v>
      </c>
      <c r="V2403" s="1">
        <v>149.07300000000001</v>
      </c>
      <c r="W2403">
        <v>4</v>
      </c>
    </row>
    <row r="2404" spans="1:23" x14ac:dyDescent="0.25">
      <c r="A2404" s="1" t="s">
        <v>18843</v>
      </c>
      <c r="B2404" s="1" t="s">
        <v>18844</v>
      </c>
      <c r="C2404" s="1" t="s">
        <v>6663</v>
      </c>
      <c r="D2404" s="1" t="s">
        <v>6663</v>
      </c>
      <c r="E2404" s="1" t="s">
        <v>6664</v>
      </c>
      <c r="F2404" s="1" t="s">
        <v>18845</v>
      </c>
      <c r="G2404">
        <v>216999</v>
      </c>
      <c r="H2404">
        <v>39</v>
      </c>
      <c r="I2404" s="1" t="s">
        <v>11063</v>
      </c>
      <c r="J2404" s="11">
        <v>44729.706458333334</v>
      </c>
      <c r="K2404" s="1" t="s">
        <v>957</v>
      </c>
      <c r="L2404" s="1">
        <v>0.65100000000000002</v>
      </c>
      <c r="M2404" s="1">
        <v>0.81499999999999995</v>
      </c>
      <c r="N2404">
        <v>1</v>
      </c>
      <c r="O2404" s="1">
        <v>-6.3840000000000003</v>
      </c>
      <c r="P2404">
        <v>0</v>
      </c>
      <c r="Q2404" s="1">
        <v>0.23</v>
      </c>
      <c r="R2404" s="1">
        <v>0.60599999999999998</v>
      </c>
      <c r="S2404" s="1">
        <v>0</v>
      </c>
      <c r="T2404" s="1">
        <v>0.80200000000000005</v>
      </c>
      <c r="U2404" s="1">
        <v>0.432</v>
      </c>
      <c r="V2404" s="1">
        <v>145.97</v>
      </c>
      <c r="W2404">
        <v>3</v>
      </c>
    </row>
    <row r="2405" spans="1:23" x14ac:dyDescent="0.25">
      <c r="A2405" s="1" t="s">
        <v>18846</v>
      </c>
      <c r="B2405" s="1" t="s">
        <v>18847</v>
      </c>
      <c r="C2405" s="1" t="s">
        <v>6665</v>
      </c>
      <c r="D2405" s="1" t="s">
        <v>18848</v>
      </c>
      <c r="E2405" s="1" t="s">
        <v>6666</v>
      </c>
      <c r="F2405" s="1" t="s">
        <v>18849</v>
      </c>
      <c r="G2405">
        <v>208551</v>
      </c>
      <c r="H2405">
        <v>36</v>
      </c>
      <c r="I2405" s="1" t="s">
        <v>11063</v>
      </c>
      <c r="J2405" s="11">
        <v>44729.706458333334</v>
      </c>
      <c r="K2405" s="1" t="s">
        <v>6667</v>
      </c>
      <c r="L2405" s="1">
        <v>0.623</v>
      </c>
      <c r="M2405" s="1">
        <v>0.86799999999999999</v>
      </c>
      <c r="N2405">
        <v>5</v>
      </c>
      <c r="O2405" s="1">
        <v>-4.1959999999999997</v>
      </c>
      <c r="P2405">
        <v>0</v>
      </c>
      <c r="Q2405" s="1">
        <v>0.29599999999999999</v>
      </c>
      <c r="R2405" s="1">
        <v>0.26600000000000001</v>
      </c>
      <c r="S2405" s="1">
        <v>0.13300000000000001</v>
      </c>
      <c r="T2405" s="1">
        <v>0.159</v>
      </c>
      <c r="U2405" s="1">
        <v>0.55500000000000005</v>
      </c>
      <c r="V2405" s="1">
        <v>145.01900000000001</v>
      </c>
      <c r="W2405">
        <v>4</v>
      </c>
    </row>
    <row r="2406" spans="1:23" x14ac:dyDescent="0.25">
      <c r="A2406" s="1" t="s">
        <v>18850</v>
      </c>
      <c r="B2406" s="1" t="s">
        <v>18652</v>
      </c>
      <c r="C2406" s="1" t="s">
        <v>6668</v>
      </c>
      <c r="D2406" s="1" t="s">
        <v>6513</v>
      </c>
      <c r="E2406" s="1" t="s">
        <v>6513</v>
      </c>
      <c r="F2406" s="1" t="s">
        <v>11798</v>
      </c>
      <c r="G2406">
        <v>183173</v>
      </c>
      <c r="H2406">
        <v>52</v>
      </c>
      <c r="I2406" s="1" t="s">
        <v>11063</v>
      </c>
      <c r="J2406" s="11">
        <v>44729.706458333334</v>
      </c>
      <c r="K2406" s="1" t="s">
        <v>6514</v>
      </c>
      <c r="L2406" s="1">
        <v>0.77100000000000002</v>
      </c>
      <c r="M2406" s="1">
        <v>0.77500000000000002</v>
      </c>
      <c r="N2406">
        <v>8</v>
      </c>
      <c r="O2406" s="1">
        <v>-5.1980000000000004</v>
      </c>
      <c r="P2406">
        <v>0</v>
      </c>
      <c r="Q2406" s="1">
        <v>0.39900000000000002</v>
      </c>
      <c r="R2406" s="1">
        <v>0.109</v>
      </c>
      <c r="S2406" s="1">
        <v>0</v>
      </c>
      <c r="T2406" s="1">
        <v>0.25700000000000001</v>
      </c>
      <c r="U2406" s="1">
        <v>0.85299999999999998</v>
      </c>
      <c r="V2406" s="1">
        <v>120.02</v>
      </c>
      <c r="W2406">
        <v>4</v>
      </c>
    </row>
    <row r="2407" spans="1:23" x14ac:dyDescent="0.25">
      <c r="A2407" s="1" t="s">
        <v>18851</v>
      </c>
      <c r="B2407" s="1" t="s">
        <v>18852</v>
      </c>
      <c r="C2407" s="1" t="s">
        <v>6669</v>
      </c>
      <c r="D2407" s="1" t="s">
        <v>6669</v>
      </c>
      <c r="E2407" s="1" t="s">
        <v>6670</v>
      </c>
      <c r="F2407" s="1" t="s">
        <v>18853</v>
      </c>
      <c r="G2407">
        <v>195239</v>
      </c>
      <c r="H2407">
        <v>56</v>
      </c>
      <c r="I2407" s="1" t="s">
        <v>11063</v>
      </c>
      <c r="J2407" s="11">
        <v>44729.706458333334</v>
      </c>
      <c r="K2407" s="1" t="s">
        <v>6671</v>
      </c>
      <c r="L2407" s="1">
        <v>0.60599999999999998</v>
      </c>
      <c r="M2407" s="1">
        <v>0.97799999999999998</v>
      </c>
      <c r="N2407">
        <v>6</v>
      </c>
      <c r="O2407" s="1">
        <v>-5.4720000000000004</v>
      </c>
      <c r="P2407">
        <v>0</v>
      </c>
      <c r="Q2407" s="1">
        <v>0.38900000000000001</v>
      </c>
      <c r="R2407" s="1">
        <v>0.19800000000000001</v>
      </c>
      <c r="S2407" s="1">
        <v>0.90300000000000002</v>
      </c>
      <c r="T2407" s="1">
        <v>0.10299999999999999</v>
      </c>
      <c r="U2407" s="1">
        <v>0.55100000000000005</v>
      </c>
      <c r="V2407" s="1">
        <v>150.02799999999999</v>
      </c>
      <c r="W2407">
        <v>4</v>
      </c>
    </row>
    <row r="2408" spans="1:23" x14ac:dyDescent="0.25">
      <c r="A2408" s="1" t="s">
        <v>18854</v>
      </c>
      <c r="B2408" s="1" t="s">
        <v>18855</v>
      </c>
      <c r="C2408" s="1" t="s">
        <v>6672</v>
      </c>
      <c r="D2408" s="1" t="s">
        <v>6672</v>
      </c>
      <c r="E2408" s="1" t="s">
        <v>6673</v>
      </c>
      <c r="F2408" s="1" t="s">
        <v>18842</v>
      </c>
      <c r="G2408">
        <v>208124</v>
      </c>
      <c r="H2408">
        <v>28</v>
      </c>
      <c r="I2408" s="1" t="s">
        <v>11063</v>
      </c>
      <c r="J2408" s="11">
        <v>44729.706458333334</v>
      </c>
      <c r="K2408" s="1" t="s">
        <v>2775</v>
      </c>
      <c r="L2408" s="1">
        <v>0.55800000000000005</v>
      </c>
      <c r="M2408" s="1">
        <v>0.872</v>
      </c>
      <c r="N2408">
        <v>7</v>
      </c>
      <c r="O2408" s="1">
        <v>-4.415</v>
      </c>
      <c r="P2408">
        <v>0</v>
      </c>
      <c r="Q2408" s="1">
        <v>0.46300000000000002</v>
      </c>
      <c r="R2408" s="1">
        <v>0.439</v>
      </c>
      <c r="S2408" s="1">
        <v>0.129</v>
      </c>
      <c r="T2408" s="1">
        <v>0.73</v>
      </c>
      <c r="U2408" s="1">
        <v>0.105</v>
      </c>
      <c r="V2408" s="1">
        <v>127.934</v>
      </c>
      <c r="W2408">
        <v>4</v>
      </c>
    </row>
    <row r="2409" spans="1:23" x14ac:dyDescent="0.25">
      <c r="A2409" s="1" t="s">
        <v>18856</v>
      </c>
      <c r="B2409" s="1" t="s">
        <v>18743</v>
      </c>
      <c r="C2409" s="1" t="s">
        <v>6674</v>
      </c>
      <c r="D2409" s="1" t="s">
        <v>18741</v>
      </c>
      <c r="E2409" s="1" t="s">
        <v>6577</v>
      </c>
      <c r="F2409" s="1" t="s">
        <v>11423</v>
      </c>
      <c r="G2409">
        <v>196129</v>
      </c>
      <c r="H2409">
        <v>28</v>
      </c>
      <c r="I2409" s="1" t="s">
        <v>11063</v>
      </c>
      <c r="J2409" s="11">
        <v>44729.706458333334</v>
      </c>
      <c r="K2409" s="1" t="s">
        <v>298</v>
      </c>
      <c r="L2409" s="1">
        <v>0.34200000000000003</v>
      </c>
      <c r="M2409" s="1">
        <v>0.75600000000000001</v>
      </c>
      <c r="N2409">
        <v>9</v>
      </c>
      <c r="O2409" s="1">
        <v>-5.1829999999999998</v>
      </c>
      <c r="P2409">
        <v>0</v>
      </c>
      <c r="Q2409" s="1">
        <v>0.28199999999999997</v>
      </c>
      <c r="R2409" s="1">
        <v>0.125</v>
      </c>
      <c r="S2409" s="1">
        <v>0</v>
      </c>
      <c r="T2409" s="1">
        <v>0.83799999999999997</v>
      </c>
      <c r="U2409" s="1">
        <v>0.22500000000000001</v>
      </c>
      <c r="V2409" s="1">
        <v>186.44</v>
      </c>
      <c r="W2409">
        <v>4</v>
      </c>
    </row>
    <row r="2410" spans="1:23" x14ac:dyDescent="0.25">
      <c r="A2410" s="1" t="s">
        <v>18857</v>
      </c>
      <c r="B2410" s="1" t="s">
        <v>18858</v>
      </c>
      <c r="C2410" s="1" t="s">
        <v>6675</v>
      </c>
      <c r="D2410" s="1" t="s">
        <v>18859</v>
      </c>
      <c r="E2410" s="1" t="s">
        <v>6676</v>
      </c>
      <c r="F2410" s="1" t="s">
        <v>15956</v>
      </c>
      <c r="G2410">
        <v>186206</v>
      </c>
      <c r="H2410">
        <v>38</v>
      </c>
      <c r="I2410" s="1" t="s">
        <v>11063</v>
      </c>
      <c r="J2410" s="11">
        <v>44729.706458333334</v>
      </c>
      <c r="K2410" s="1" t="s">
        <v>6677</v>
      </c>
      <c r="L2410" s="1">
        <v>0.50700000000000001</v>
      </c>
      <c r="M2410" s="1">
        <v>0.81299999999999994</v>
      </c>
      <c r="N2410">
        <v>0</v>
      </c>
      <c r="O2410" s="1">
        <v>-5.7</v>
      </c>
      <c r="P2410">
        <v>0</v>
      </c>
      <c r="Q2410" s="1">
        <v>0.49399999999999999</v>
      </c>
      <c r="R2410" s="1">
        <v>0.91800000000000004</v>
      </c>
      <c r="S2410" s="1">
        <v>0</v>
      </c>
      <c r="T2410" s="1">
        <v>0.25900000000000001</v>
      </c>
      <c r="U2410" s="1">
        <v>0.501</v>
      </c>
      <c r="V2410" s="1">
        <v>145.19499999999999</v>
      </c>
      <c r="W2410">
        <v>4</v>
      </c>
    </row>
    <row r="2411" spans="1:23" x14ac:dyDescent="0.25">
      <c r="A2411" s="1" t="s">
        <v>18860</v>
      </c>
      <c r="B2411" s="1" t="s">
        <v>16731</v>
      </c>
      <c r="C2411" s="1" t="s">
        <v>6678</v>
      </c>
      <c r="D2411" s="1" t="s">
        <v>6678</v>
      </c>
      <c r="E2411" s="1" t="s">
        <v>4762</v>
      </c>
      <c r="F2411" s="1" t="s">
        <v>18861</v>
      </c>
      <c r="G2411">
        <v>213761</v>
      </c>
      <c r="H2411">
        <v>37</v>
      </c>
      <c r="I2411" s="1" t="s">
        <v>11063</v>
      </c>
      <c r="J2411" s="11">
        <v>44729.706458333334</v>
      </c>
      <c r="K2411" s="1" t="s">
        <v>2541</v>
      </c>
      <c r="L2411" s="1">
        <v>0.59899999999999998</v>
      </c>
      <c r="M2411" s="1">
        <v>0.80300000000000005</v>
      </c>
      <c r="N2411">
        <v>2</v>
      </c>
      <c r="O2411" s="1">
        <v>-6.218</v>
      </c>
      <c r="P2411">
        <v>0</v>
      </c>
      <c r="Q2411" s="1">
        <v>0.47099999999999997</v>
      </c>
      <c r="R2411" s="1">
        <v>0.82</v>
      </c>
      <c r="S2411" s="1">
        <v>0.10299999999999999</v>
      </c>
      <c r="T2411" s="1">
        <v>0.94199999999999995</v>
      </c>
      <c r="U2411" s="1">
        <v>0.80100000000000005</v>
      </c>
      <c r="V2411" s="1">
        <v>100.048</v>
      </c>
      <c r="W2411">
        <v>4</v>
      </c>
    </row>
    <row r="2412" spans="1:23" x14ac:dyDescent="0.25">
      <c r="A2412" s="1" t="s">
        <v>18862</v>
      </c>
      <c r="B2412" s="1" t="s">
        <v>18863</v>
      </c>
      <c r="C2412" s="1" t="s">
        <v>6679</v>
      </c>
      <c r="D2412" s="1" t="s">
        <v>18864</v>
      </c>
      <c r="E2412" s="1" t="s">
        <v>6680</v>
      </c>
      <c r="F2412" s="1" t="s">
        <v>18865</v>
      </c>
      <c r="G2412">
        <v>252000</v>
      </c>
      <c r="H2412">
        <v>36</v>
      </c>
      <c r="I2412" s="1" t="s">
        <v>11063</v>
      </c>
      <c r="J2412" s="11">
        <v>44729.706458333334</v>
      </c>
      <c r="K2412" s="1" t="s">
        <v>1013</v>
      </c>
      <c r="L2412" s="1">
        <v>0.49299999999999999</v>
      </c>
      <c r="M2412" s="1">
        <v>0.74</v>
      </c>
      <c r="N2412">
        <v>2</v>
      </c>
      <c r="O2412" s="1">
        <v>-3.5880000000000001</v>
      </c>
      <c r="P2412">
        <v>0</v>
      </c>
      <c r="Q2412" s="1">
        <v>0.54400000000000004</v>
      </c>
      <c r="R2412" s="1">
        <v>0.13600000000000001</v>
      </c>
      <c r="S2412" s="1">
        <v>0.83099999999999996</v>
      </c>
      <c r="T2412" s="1">
        <v>0.111</v>
      </c>
      <c r="U2412" s="1">
        <v>0.21</v>
      </c>
      <c r="V2412" s="1">
        <v>123.04900000000001</v>
      </c>
      <c r="W2412">
        <v>4</v>
      </c>
    </row>
    <row r="2413" spans="1:23" x14ac:dyDescent="0.25">
      <c r="A2413" s="1" t="s">
        <v>18866</v>
      </c>
      <c r="B2413" s="1" t="s">
        <v>18867</v>
      </c>
      <c r="C2413" s="1" t="s">
        <v>1953</v>
      </c>
      <c r="D2413" s="1" t="s">
        <v>1953</v>
      </c>
      <c r="E2413" s="1" t="s">
        <v>6681</v>
      </c>
      <c r="F2413" s="1" t="s">
        <v>18615</v>
      </c>
      <c r="G2413">
        <v>230624</v>
      </c>
      <c r="H2413">
        <v>39</v>
      </c>
      <c r="I2413" s="1" t="s">
        <v>11063</v>
      </c>
      <c r="J2413" s="11">
        <v>44729.706458333334</v>
      </c>
      <c r="K2413" s="1" t="s">
        <v>2775</v>
      </c>
      <c r="L2413" s="1">
        <v>0.44600000000000001</v>
      </c>
      <c r="M2413" s="1">
        <v>0.80800000000000005</v>
      </c>
      <c r="N2413">
        <v>8</v>
      </c>
      <c r="O2413" s="1">
        <v>-6.024</v>
      </c>
      <c r="P2413">
        <v>0</v>
      </c>
      <c r="Q2413" s="1">
        <v>0.80300000000000005</v>
      </c>
      <c r="R2413" s="1">
        <v>0.16700000000000001</v>
      </c>
      <c r="S2413" s="1">
        <v>0.13700000000000001</v>
      </c>
      <c r="T2413" s="1">
        <v>0.3</v>
      </c>
      <c r="U2413" s="1">
        <v>0.20300000000000001</v>
      </c>
      <c r="V2413" s="1">
        <v>128.036</v>
      </c>
      <c r="W2413">
        <v>4</v>
      </c>
    </row>
    <row r="2414" spans="1:23" x14ac:dyDescent="0.25">
      <c r="A2414" s="1" t="s">
        <v>18868</v>
      </c>
      <c r="B2414" s="1" t="s">
        <v>18633</v>
      </c>
      <c r="C2414" s="1" t="s">
        <v>6682</v>
      </c>
      <c r="D2414" s="1" t="s">
        <v>6682</v>
      </c>
      <c r="E2414" s="1" t="s">
        <v>6495</v>
      </c>
      <c r="F2414" s="1" t="s">
        <v>18636</v>
      </c>
      <c r="G2414">
        <v>144262</v>
      </c>
      <c r="H2414">
        <v>45</v>
      </c>
      <c r="I2414" s="1" t="s">
        <v>11063</v>
      </c>
      <c r="J2414" s="11">
        <v>44729.706458333334</v>
      </c>
      <c r="K2414" s="1" t="s">
        <v>1086</v>
      </c>
      <c r="L2414" s="1">
        <v>0.41099999999999998</v>
      </c>
      <c r="M2414" s="1">
        <v>0.56599999999999995</v>
      </c>
      <c r="N2414">
        <v>11</v>
      </c>
      <c r="O2414" s="1">
        <v>-10.066000000000001</v>
      </c>
      <c r="P2414">
        <v>0</v>
      </c>
      <c r="Q2414" s="1">
        <v>0.312</v>
      </c>
      <c r="R2414" s="1">
        <v>0.39</v>
      </c>
      <c r="S2414" s="1">
        <v>0.39500000000000002</v>
      </c>
      <c r="T2414" s="1">
        <v>0.245</v>
      </c>
      <c r="U2414" s="1">
        <v>0.34799999999999998</v>
      </c>
      <c r="V2414" s="1">
        <v>139.97800000000001</v>
      </c>
      <c r="W2414">
        <v>4</v>
      </c>
    </row>
    <row r="2415" spans="1:23" x14ac:dyDescent="0.25">
      <c r="A2415" s="1" t="s">
        <v>18869</v>
      </c>
      <c r="B2415" s="1" t="s">
        <v>18870</v>
      </c>
      <c r="C2415" s="1" t="s">
        <v>6683</v>
      </c>
      <c r="D2415" s="1" t="s">
        <v>18871</v>
      </c>
      <c r="E2415" s="1" t="s">
        <v>6684</v>
      </c>
      <c r="F2415" s="1" t="s">
        <v>16199</v>
      </c>
      <c r="G2415">
        <v>197333</v>
      </c>
      <c r="H2415">
        <v>33</v>
      </c>
      <c r="I2415" s="1" t="s">
        <v>11063</v>
      </c>
      <c r="J2415" s="11">
        <v>44729.706458333334</v>
      </c>
      <c r="K2415" s="1" t="s">
        <v>6421</v>
      </c>
      <c r="L2415" s="1">
        <v>0.40699999999999997</v>
      </c>
      <c r="M2415" s="1">
        <v>0.72199999999999998</v>
      </c>
      <c r="N2415">
        <v>6</v>
      </c>
      <c r="O2415" s="1">
        <v>-5.44</v>
      </c>
      <c r="P2415">
        <v>1</v>
      </c>
      <c r="Q2415" s="1">
        <v>0.94</v>
      </c>
      <c r="R2415" s="1">
        <v>0.65800000000000003</v>
      </c>
      <c r="S2415" s="1">
        <v>0</v>
      </c>
      <c r="T2415" s="1">
        <v>0.115</v>
      </c>
      <c r="U2415" s="1">
        <v>0.39200000000000002</v>
      </c>
      <c r="V2415" s="1">
        <v>88.016999999999996</v>
      </c>
      <c r="W2415">
        <v>4</v>
      </c>
    </row>
    <row r="2416" spans="1:23" x14ac:dyDescent="0.25">
      <c r="A2416" s="1" t="s">
        <v>18872</v>
      </c>
      <c r="B2416" s="1" t="s">
        <v>18873</v>
      </c>
      <c r="C2416" s="1" t="s">
        <v>6685</v>
      </c>
      <c r="D2416" s="1" t="s">
        <v>6685</v>
      </c>
      <c r="E2416" s="1" t="s">
        <v>6686</v>
      </c>
      <c r="F2416" s="1" t="s">
        <v>18874</v>
      </c>
      <c r="G2416">
        <v>224516</v>
      </c>
      <c r="H2416">
        <v>43</v>
      </c>
      <c r="I2416" s="1" t="s">
        <v>11063</v>
      </c>
      <c r="J2416" s="11">
        <v>44729.706458333334</v>
      </c>
      <c r="K2416" s="1" t="s">
        <v>6687</v>
      </c>
      <c r="L2416" s="1">
        <v>0.64700000000000002</v>
      </c>
      <c r="M2416" s="1">
        <v>0.58099999999999996</v>
      </c>
      <c r="N2416">
        <v>8</v>
      </c>
      <c r="O2416" s="1">
        <v>-8.1820000000000004</v>
      </c>
      <c r="P2416">
        <v>1</v>
      </c>
      <c r="Q2416" s="1">
        <v>0.11600000000000001</v>
      </c>
      <c r="R2416" s="1">
        <v>0.30399999999999999</v>
      </c>
      <c r="S2416" s="1">
        <v>0.12</v>
      </c>
      <c r="T2416" s="1">
        <v>0.11700000000000001</v>
      </c>
      <c r="U2416" s="1">
        <v>0.251</v>
      </c>
      <c r="V2416" s="1">
        <v>124.041</v>
      </c>
      <c r="W2416">
        <v>4</v>
      </c>
    </row>
    <row r="2417" spans="1:23" x14ac:dyDescent="0.25">
      <c r="A2417" s="1" t="s">
        <v>18875</v>
      </c>
      <c r="B2417" s="1" t="s">
        <v>18876</v>
      </c>
      <c r="C2417" s="1" t="s">
        <v>6688</v>
      </c>
      <c r="D2417" s="1" t="s">
        <v>18877</v>
      </c>
      <c r="E2417" s="1" t="s">
        <v>6689</v>
      </c>
      <c r="F2417" s="1" t="s">
        <v>18878</v>
      </c>
      <c r="G2417">
        <v>214400</v>
      </c>
      <c r="H2417">
        <v>47</v>
      </c>
      <c r="I2417" s="1" t="s">
        <v>11063</v>
      </c>
      <c r="J2417" s="11">
        <v>44729.706458333334</v>
      </c>
      <c r="K2417" s="1" t="s">
        <v>6690</v>
      </c>
      <c r="L2417" s="1">
        <v>0.61299999999999999</v>
      </c>
      <c r="M2417" s="1">
        <v>0.82499999999999996</v>
      </c>
      <c r="N2417">
        <v>8</v>
      </c>
      <c r="O2417" s="1">
        <v>-2.7170000000000001</v>
      </c>
      <c r="P2417">
        <v>0</v>
      </c>
      <c r="Q2417" s="1">
        <v>0.187</v>
      </c>
      <c r="R2417" s="1">
        <v>0.245</v>
      </c>
      <c r="S2417" s="1">
        <v>0</v>
      </c>
      <c r="T2417" s="1">
        <v>0.245</v>
      </c>
      <c r="U2417" s="1">
        <v>0.40200000000000002</v>
      </c>
      <c r="V2417" s="1">
        <v>150.072</v>
      </c>
      <c r="W2417">
        <v>4</v>
      </c>
    </row>
    <row r="2418" spans="1:23" x14ac:dyDescent="0.25">
      <c r="A2418" s="1" t="s">
        <v>18879</v>
      </c>
      <c r="B2418" s="1" t="s">
        <v>18880</v>
      </c>
      <c r="C2418" s="1" t="s">
        <v>3745</v>
      </c>
      <c r="D2418" s="1" t="s">
        <v>3745</v>
      </c>
      <c r="E2418" s="1" t="s">
        <v>6691</v>
      </c>
      <c r="F2418" s="1" t="s">
        <v>15512</v>
      </c>
      <c r="G2418">
        <v>152275</v>
      </c>
      <c r="H2418">
        <v>36</v>
      </c>
      <c r="I2418" s="1" t="s">
        <v>11063</v>
      </c>
      <c r="J2418" s="11">
        <v>44729.706458333334</v>
      </c>
      <c r="K2418" s="1" t="s">
        <v>1053</v>
      </c>
      <c r="L2418" s="1">
        <v>0.56799999999999995</v>
      </c>
      <c r="M2418" s="1">
        <v>0.74299999999999999</v>
      </c>
      <c r="N2418">
        <v>11</v>
      </c>
      <c r="O2418" s="1">
        <v>-4.2809999999999997</v>
      </c>
      <c r="P2418">
        <v>0</v>
      </c>
      <c r="Q2418" s="1">
        <v>0.11</v>
      </c>
      <c r="R2418" s="1">
        <v>0.33200000000000002</v>
      </c>
      <c r="S2418" s="1">
        <v>0.216</v>
      </c>
      <c r="T2418" s="1">
        <v>0.153</v>
      </c>
      <c r="U2418" s="1">
        <v>0.41699999999999998</v>
      </c>
      <c r="V2418" s="1">
        <v>72.501999999999995</v>
      </c>
      <c r="W2418">
        <v>4</v>
      </c>
    </row>
    <row r="2419" spans="1:23" x14ac:dyDescent="0.25">
      <c r="A2419" s="1" t="s">
        <v>18881</v>
      </c>
      <c r="B2419" s="1" t="s">
        <v>18882</v>
      </c>
      <c r="C2419" s="1" t="s">
        <v>6692</v>
      </c>
      <c r="D2419" s="1" t="s">
        <v>6692</v>
      </c>
      <c r="E2419" s="1" t="s">
        <v>6693</v>
      </c>
      <c r="F2419" s="1" t="s">
        <v>17613</v>
      </c>
      <c r="G2419">
        <v>216338</v>
      </c>
      <c r="H2419">
        <v>43</v>
      </c>
      <c r="I2419" s="1" t="s">
        <v>11063</v>
      </c>
      <c r="J2419" s="11">
        <v>44729.706458333334</v>
      </c>
      <c r="K2419" s="1" t="s">
        <v>933</v>
      </c>
      <c r="L2419" s="1">
        <v>0.55500000000000005</v>
      </c>
      <c r="M2419" s="1">
        <v>0.78400000000000003</v>
      </c>
      <c r="N2419">
        <v>9</v>
      </c>
      <c r="O2419" s="1">
        <v>-5.3010000000000002</v>
      </c>
      <c r="P2419">
        <v>1</v>
      </c>
      <c r="Q2419" s="1">
        <v>0.95199999999999996</v>
      </c>
      <c r="R2419" s="1">
        <v>0.245</v>
      </c>
      <c r="S2419" s="1">
        <v>0.44</v>
      </c>
      <c r="T2419" s="1">
        <v>0.23</v>
      </c>
      <c r="U2419" s="1">
        <v>0.33500000000000002</v>
      </c>
      <c r="V2419" s="1">
        <v>141.97200000000001</v>
      </c>
      <c r="W2419">
        <v>4</v>
      </c>
    </row>
    <row r="2420" spans="1:23" x14ac:dyDescent="0.25">
      <c r="A2420" s="1" t="s">
        <v>18883</v>
      </c>
      <c r="B2420" s="1" t="s">
        <v>18884</v>
      </c>
      <c r="C2420" s="1" t="s">
        <v>6694</v>
      </c>
      <c r="D2420" s="1" t="s">
        <v>18885</v>
      </c>
      <c r="E2420" s="1" t="s">
        <v>6695</v>
      </c>
      <c r="F2420" s="1" t="s">
        <v>13509</v>
      </c>
      <c r="G2420">
        <v>222857</v>
      </c>
      <c r="H2420">
        <v>37</v>
      </c>
      <c r="I2420" s="1" t="s">
        <v>11063</v>
      </c>
      <c r="J2420" s="11">
        <v>44729.706458333334</v>
      </c>
      <c r="K2420" s="1" t="s">
        <v>6696</v>
      </c>
      <c r="L2420" s="1">
        <v>0.74199999999999999</v>
      </c>
      <c r="M2420" s="1">
        <v>0.67400000000000004</v>
      </c>
      <c r="N2420">
        <v>0</v>
      </c>
      <c r="O2420" s="1">
        <v>-7.2830000000000004</v>
      </c>
      <c r="P2420">
        <v>1</v>
      </c>
      <c r="Q2420" s="1">
        <v>0.41899999999999998</v>
      </c>
      <c r="R2420" s="1">
        <v>0.247</v>
      </c>
      <c r="S2420" s="1">
        <v>0.318</v>
      </c>
      <c r="T2420" s="1">
        <v>0.1</v>
      </c>
      <c r="U2420" s="1">
        <v>0.58599999999999997</v>
      </c>
      <c r="V2420" s="1">
        <v>140.00800000000001</v>
      </c>
      <c r="W2420">
        <v>4</v>
      </c>
    </row>
    <row r="2421" spans="1:23" x14ac:dyDescent="0.25">
      <c r="A2421" s="1" t="s">
        <v>18886</v>
      </c>
      <c r="B2421" s="1" t="s">
        <v>18887</v>
      </c>
      <c r="C2421" s="1" t="s">
        <v>6697</v>
      </c>
      <c r="D2421" s="1" t="s">
        <v>18888</v>
      </c>
      <c r="E2421" s="1" t="s">
        <v>6698</v>
      </c>
      <c r="F2421" s="1" t="s">
        <v>17818</v>
      </c>
      <c r="G2421">
        <v>170390</v>
      </c>
      <c r="H2421">
        <v>37</v>
      </c>
      <c r="I2421" s="1" t="s">
        <v>11063</v>
      </c>
      <c r="J2421" s="11">
        <v>44729.706458333334</v>
      </c>
      <c r="K2421" s="1" t="s">
        <v>1066</v>
      </c>
      <c r="L2421" s="1">
        <v>0.65100000000000002</v>
      </c>
      <c r="M2421" s="1">
        <v>0.58599999999999997</v>
      </c>
      <c r="N2421">
        <v>2</v>
      </c>
      <c r="O2421" s="1">
        <v>-4.7439999999999998</v>
      </c>
      <c r="P2421">
        <v>0</v>
      </c>
      <c r="Q2421" s="1">
        <v>0.27900000000000003</v>
      </c>
      <c r="R2421" s="1">
        <v>0.193</v>
      </c>
      <c r="S2421" s="1">
        <v>0</v>
      </c>
      <c r="T2421" s="1">
        <v>0.95599999999999996</v>
      </c>
      <c r="U2421" s="1">
        <v>0.48299999999999998</v>
      </c>
      <c r="V2421" s="1">
        <v>91.998999999999995</v>
      </c>
      <c r="W2421">
        <v>4</v>
      </c>
    </row>
    <row r="2422" spans="1:23" x14ac:dyDescent="0.25">
      <c r="A2422" s="1" t="s">
        <v>18889</v>
      </c>
      <c r="B2422" s="1" t="s">
        <v>18890</v>
      </c>
      <c r="C2422" s="1" t="s">
        <v>6428</v>
      </c>
      <c r="D2422" s="1" t="s">
        <v>6428</v>
      </c>
      <c r="E2422" s="1" t="s">
        <v>6699</v>
      </c>
      <c r="F2422" s="1" t="s">
        <v>18891</v>
      </c>
      <c r="G2422">
        <v>259310</v>
      </c>
      <c r="H2422">
        <v>34</v>
      </c>
      <c r="I2422" s="1" t="s">
        <v>11063</v>
      </c>
      <c r="J2422" s="11">
        <v>44729.706458333334</v>
      </c>
      <c r="K2422" s="1" t="s">
        <v>256</v>
      </c>
      <c r="L2422" s="1">
        <v>0.49399999999999999</v>
      </c>
      <c r="M2422" s="1">
        <v>0.874</v>
      </c>
      <c r="N2422">
        <v>7</v>
      </c>
      <c r="O2422" s="1">
        <v>-2.8010000000000002</v>
      </c>
      <c r="P2422">
        <v>1</v>
      </c>
      <c r="Q2422" s="1">
        <v>0.504</v>
      </c>
      <c r="R2422" s="1">
        <v>0.215</v>
      </c>
      <c r="S2422" s="1">
        <v>0.152</v>
      </c>
      <c r="T2422" s="1">
        <v>0.88600000000000001</v>
      </c>
      <c r="U2422" s="1">
        <v>0.221</v>
      </c>
      <c r="V2422" s="1">
        <v>174.02699999999999</v>
      </c>
      <c r="W2422">
        <v>4</v>
      </c>
    </row>
    <row r="2423" spans="1:23" x14ac:dyDescent="0.25">
      <c r="A2423" s="1" t="s">
        <v>18892</v>
      </c>
      <c r="B2423" s="1" t="s">
        <v>18893</v>
      </c>
      <c r="C2423" s="1" t="s">
        <v>3445</v>
      </c>
      <c r="D2423" s="1" t="s">
        <v>3445</v>
      </c>
      <c r="E2423" s="1" t="s">
        <v>6700</v>
      </c>
      <c r="F2423" s="1" t="s">
        <v>15512</v>
      </c>
      <c r="G2423">
        <v>205363</v>
      </c>
      <c r="H2423">
        <v>41</v>
      </c>
      <c r="I2423" s="1" t="s">
        <v>11063</v>
      </c>
      <c r="J2423" s="11">
        <v>44729.706458333334</v>
      </c>
      <c r="K2423" s="1" t="s">
        <v>6701</v>
      </c>
      <c r="L2423" s="1">
        <v>0.79700000000000004</v>
      </c>
      <c r="M2423" s="1">
        <v>0.76400000000000001</v>
      </c>
      <c r="N2423">
        <v>5</v>
      </c>
      <c r="O2423" s="1">
        <v>-5.94</v>
      </c>
      <c r="P2423">
        <v>0</v>
      </c>
      <c r="Q2423" s="1">
        <v>0.38900000000000001</v>
      </c>
      <c r="R2423" s="1">
        <v>0.97</v>
      </c>
      <c r="S2423" s="1">
        <v>0.33300000000000002</v>
      </c>
      <c r="T2423" s="1">
        <v>0.13800000000000001</v>
      </c>
      <c r="U2423" s="1">
        <v>0.30199999999999999</v>
      </c>
      <c r="V2423" s="1">
        <v>109.996</v>
      </c>
      <c r="W2423">
        <v>4</v>
      </c>
    </row>
    <row r="2424" spans="1:23" x14ac:dyDescent="0.25">
      <c r="A2424" s="1" t="s">
        <v>18894</v>
      </c>
      <c r="B2424" s="1" t="s">
        <v>18895</v>
      </c>
      <c r="C2424" s="1" t="s">
        <v>6702</v>
      </c>
      <c r="D2424" s="1" t="s">
        <v>6702</v>
      </c>
      <c r="E2424" s="1" t="s">
        <v>6703</v>
      </c>
      <c r="F2424" s="1" t="s">
        <v>18896</v>
      </c>
      <c r="G2424">
        <v>209154</v>
      </c>
      <c r="H2424">
        <v>31</v>
      </c>
      <c r="I2424" s="1" t="s">
        <v>11063</v>
      </c>
      <c r="J2424" s="11">
        <v>44729.706458333334</v>
      </c>
      <c r="K2424" s="1" t="s">
        <v>3898</v>
      </c>
      <c r="L2424" s="1">
        <v>0.22900000000000001</v>
      </c>
      <c r="M2424" s="1">
        <v>0.72899999999999998</v>
      </c>
      <c r="N2424">
        <v>5</v>
      </c>
      <c r="O2424" s="1">
        <v>-2.9790000000000001</v>
      </c>
      <c r="P2424">
        <v>1</v>
      </c>
      <c r="Q2424" s="1">
        <v>0.435</v>
      </c>
      <c r="R2424" s="1">
        <v>0.59899999999999998</v>
      </c>
      <c r="S2424" s="1">
        <v>0</v>
      </c>
      <c r="T2424" s="1">
        <v>0.35499999999999998</v>
      </c>
      <c r="U2424" s="1">
        <v>0.29099999999999998</v>
      </c>
      <c r="V2424" s="1">
        <v>141.68</v>
      </c>
      <c r="W2424">
        <v>4</v>
      </c>
    </row>
    <row r="2425" spans="1:23" x14ac:dyDescent="0.25">
      <c r="A2425" s="1" t="s">
        <v>18897</v>
      </c>
      <c r="B2425" s="1" t="s">
        <v>18898</v>
      </c>
      <c r="C2425" s="1" t="s">
        <v>4017</v>
      </c>
      <c r="D2425" s="1" t="s">
        <v>4017</v>
      </c>
      <c r="E2425" s="1" t="s">
        <v>6704</v>
      </c>
      <c r="F2425" s="1" t="s">
        <v>18899</v>
      </c>
      <c r="G2425">
        <v>336000</v>
      </c>
      <c r="H2425">
        <v>43</v>
      </c>
      <c r="I2425" s="1" t="s">
        <v>11063</v>
      </c>
      <c r="J2425" s="11">
        <v>44729.706458333334</v>
      </c>
      <c r="K2425" s="1" t="s">
        <v>3898</v>
      </c>
      <c r="L2425" s="1">
        <v>0.379</v>
      </c>
      <c r="M2425" s="1">
        <v>0.6</v>
      </c>
      <c r="N2425">
        <v>3</v>
      </c>
      <c r="O2425" s="1">
        <v>-6.89</v>
      </c>
      <c r="P2425">
        <v>1</v>
      </c>
      <c r="Q2425" s="1">
        <v>0.40600000000000003</v>
      </c>
      <c r="R2425" s="1">
        <v>0.11700000000000001</v>
      </c>
      <c r="S2425" s="1">
        <v>0.505</v>
      </c>
      <c r="T2425" s="1">
        <v>0.114</v>
      </c>
      <c r="U2425" s="1">
        <v>0.874</v>
      </c>
      <c r="V2425" s="1">
        <v>140.035</v>
      </c>
      <c r="W2425">
        <v>4</v>
      </c>
    </row>
    <row r="2426" spans="1:23" x14ac:dyDescent="0.25">
      <c r="A2426" s="1" t="s">
        <v>18900</v>
      </c>
      <c r="B2426" s="1" t="s">
        <v>18901</v>
      </c>
      <c r="C2426" s="1" t="s">
        <v>6705</v>
      </c>
      <c r="D2426" s="1" t="s">
        <v>18902</v>
      </c>
      <c r="E2426" s="1" t="s">
        <v>6706</v>
      </c>
      <c r="F2426" s="1" t="s">
        <v>11654</v>
      </c>
      <c r="G2426">
        <v>205007</v>
      </c>
      <c r="H2426">
        <v>46</v>
      </c>
      <c r="I2426" s="1" t="s">
        <v>11063</v>
      </c>
      <c r="J2426" s="11">
        <v>44729.706458333334</v>
      </c>
      <c r="K2426" s="1" t="s">
        <v>6707</v>
      </c>
      <c r="L2426" s="1">
        <v>0.47899999999999998</v>
      </c>
      <c r="M2426" s="1">
        <v>0.60799999999999998</v>
      </c>
      <c r="N2426">
        <v>1</v>
      </c>
      <c r="O2426" s="1">
        <v>-6.1180000000000003</v>
      </c>
      <c r="P2426">
        <v>1</v>
      </c>
      <c r="Q2426" s="1">
        <v>0.42499999999999999</v>
      </c>
      <c r="R2426" s="1">
        <v>0.68200000000000005</v>
      </c>
      <c r="S2426" s="1">
        <v>0</v>
      </c>
      <c r="T2426" s="1">
        <v>0.81</v>
      </c>
      <c r="U2426" s="1">
        <v>0.27400000000000002</v>
      </c>
      <c r="V2426" s="1">
        <v>170.114</v>
      </c>
      <c r="W2426">
        <v>4</v>
      </c>
    </row>
    <row r="2427" spans="1:23" x14ac:dyDescent="0.25">
      <c r="A2427" s="1" t="s">
        <v>18903</v>
      </c>
      <c r="B2427" s="1" t="s">
        <v>18904</v>
      </c>
      <c r="C2427" s="1" t="s">
        <v>6708</v>
      </c>
      <c r="D2427" s="1" t="s">
        <v>6708</v>
      </c>
      <c r="E2427" s="1" t="s">
        <v>6709</v>
      </c>
      <c r="F2427" s="1" t="s">
        <v>16838</v>
      </c>
      <c r="G2427">
        <v>172075</v>
      </c>
      <c r="H2427">
        <v>35</v>
      </c>
      <c r="I2427" s="1" t="s">
        <v>11063</v>
      </c>
      <c r="J2427" s="11">
        <v>44729.706458333334</v>
      </c>
      <c r="K2427" s="1" t="s">
        <v>933</v>
      </c>
      <c r="L2427" s="1">
        <v>0.52600000000000002</v>
      </c>
      <c r="M2427" s="1">
        <v>0.77800000000000002</v>
      </c>
      <c r="N2427">
        <v>0</v>
      </c>
      <c r="O2427" s="1">
        <v>-4.7729999999999997</v>
      </c>
      <c r="P2427">
        <v>1</v>
      </c>
      <c r="Q2427" s="1">
        <v>0.61599999999999999</v>
      </c>
      <c r="R2427" s="1">
        <v>0.22500000000000001</v>
      </c>
      <c r="S2427" s="1">
        <v>0</v>
      </c>
      <c r="T2427" s="1">
        <v>0.19900000000000001</v>
      </c>
      <c r="U2427" s="1">
        <v>0.44500000000000001</v>
      </c>
      <c r="V2427" s="1">
        <v>106.017</v>
      </c>
      <c r="W2427">
        <v>4</v>
      </c>
    </row>
    <row r="2428" spans="1:23" x14ac:dyDescent="0.25">
      <c r="A2428" s="1" t="s">
        <v>18905</v>
      </c>
      <c r="B2428" s="1" t="s">
        <v>18906</v>
      </c>
      <c r="C2428" s="1" t="s">
        <v>6710</v>
      </c>
      <c r="D2428" s="1" t="s">
        <v>18907</v>
      </c>
      <c r="E2428" s="1" t="s">
        <v>6711</v>
      </c>
      <c r="F2428" s="1" t="s">
        <v>18908</v>
      </c>
      <c r="G2428">
        <v>198293</v>
      </c>
      <c r="H2428">
        <v>54</v>
      </c>
      <c r="I2428" s="1" t="s">
        <v>11063</v>
      </c>
      <c r="J2428" s="11">
        <v>44729.706458333334</v>
      </c>
      <c r="K2428" s="1" t="s">
        <v>6712</v>
      </c>
      <c r="L2428" s="1">
        <v>0.81699999999999995</v>
      </c>
      <c r="M2428" s="1">
        <v>0.624</v>
      </c>
      <c r="N2428">
        <v>11</v>
      </c>
      <c r="O2428" s="1">
        <v>-6.9690000000000003</v>
      </c>
      <c r="P2428">
        <v>0</v>
      </c>
      <c r="Q2428" s="1">
        <v>0.29799999999999999</v>
      </c>
      <c r="R2428" s="1">
        <v>0.218</v>
      </c>
      <c r="S2428" s="1">
        <v>0.221</v>
      </c>
      <c r="T2428" s="1">
        <v>0.17399999999999999</v>
      </c>
      <c r="U2428" s="1">
        <v>0.84699999999999998</v>
      </c>
      <c r="V2428" s="1">
        <v>100.014</v>
      </c>
      <c r="W2428">
        <v>4</v>
      </c>
    </row>
    <row r="2429" spans="1:23" x14ac:dyDescent="0.25">
      <c r="A2429" s="1" t="s">
        <v>18909</v>
      </c>
      <c r="B2429" s="1" t="s">
        <v>18910</v>
      </c>
      <c r="C2429" s="1" t="s">
        <v>6713</v>
      </c>
      <c r="D2429" s="1" t="s">
        <v>18911</v>
      </c>
      <c r="E2429" s="1" t="s">
        <v>6714</v>
      </c>
      <c r="F2429" s="1" t="s">
        <v>11471</v>
      </c>
      <c r="G2429">
        <v>195386</v>
      </c>
      <c r="H2429">
        <v>35</v>
      </c>
      <c r="I2429" s="1" t="s">
        <v>11063</v>
      </c>
      <c r="J2429" s="11">
        <v>44729.706458333334</v>
      </c>
      <c r="K2429" s="1" t="s">
        <v>6715</v>
      </c>
      <c r="L2429" s="1">
        <v>0.59699999999999998</v>
      </c>
      <c r="M2429" s="1">
        <v>0.92800000000000005</v>
      </c>
      <c r="N2429">
        <v>2</v>
      </c>
      <c r="O2429" s="1">
        <v>-4.2149999999999999</v>
      </c>
      <c r="P2429">
        <v>1</v>
      </c>
      <c r="Q2429" s="1">
        <v>0.30499999999999999</v>
      </c>
      <c r="R2429" s="1">
        <v>0.63</v>
      </c>
      <c r="S2429" s="1">
        <v>0.64600000000000002</v>
      </c>
      <c r="T2429" s="1">
        <v>0.18099999999999999</v>
      </c>
      <c r="U2429" s="1">
        <v>0.46700000000000003</v>
      </c>
      <c r="V2429" s="1">
        <v>128.011</v>
      </c>
      <c r="W2429">
        <v>4</v>
      </c>
    </row>
    <row r="2430" spans="1:23" x14ac:dyDescent="0.25">
      <c r="A2430" s="1" t="s">
        <v>18912</v>
      </c>
      <c r="B2430" s="1" t="s">
        <v>18910</v>
      </c>
      <c r="C2430" s="1" t="s">
        <v>6716</v>
      </c>
      <c r="D2430" s="1" t="s">
        <v>18911</v>
      </c>
      <c r="E2430" s="1" t="s">
        <v>6714</v>
      </c>
      <c r="F2430" s="1" t="s">
        <v>11471</v>
      </c>
      <c r="G2430">
        <v>183040</v>
      </c>
      <c r="H2430">
        <v>31</v>
      </c>
      <c r="I2430" s="1" t="s">
        <v>11063</v>
      </c>
      <c r="J2430" s="11">
        <v>44729.706458333334</v>
      </c>
      <c r="K2430" s="1" t="s">
        <v>6715</v>
      </c>
      <c r="L2430" s="1">
        <v>0.46300000000000002</v>
      </c>
      <c r="M2430" s="1">
        <v>0.75</v>
      </c>
      <c r="N2430">
        <v>1</v>
      </c>
      <c r="O2430" s="1">
        <v>-4.4210000000000003</v>
      </c>
      <c r="P2430">
        <v>0</v>
      </c>
      <c r="Q2430" s="1">
        <v>0.33300000000000002</v>
      </c>
      <c r="R2430" s="1">
        <v>0.11899999999999999</v>
      </c>
      <c r="S2430" s="1">
        <v>0.112</v>
      </c>
      <c r="T2430" s="1">
        <v>0.28399999999999997</v>
      </c>
      <c r="U2430" s="1">
        <v>0.19800000000000001</v>
      </c>
      <c r="V2430" s="1">
        <v>100.99</v>
      </c>
      <c r="W2430">
        <v>4</v>
      </c>
    </row>
    <row r="2431" spans="1:23" x14ac:dyDescent="0.25">
      <c r="A2431" s="1" t="s">
        <v>18913</v>
      </c>
      <c r="B2431" s="1" t="s">
        <v>18910</v>
      </c>
      <c r="C2431" s="1" t="s">
        <v>2357</v>
      </c>
      <c r="D2431" s="1" t="s">
        <v>18914</v>
      </c>
      <c r="E2431" s="1" t="s">
        <v>6714</v>
      </c>
      <c r="F2431" s="1" t="s">
        <v>16332</v>
      </c>
      <c r="G2431">
        <v>187013</v>
      </c>
      <c r="H2431">
        <v>60</v>
      </c>
      <c r="I2431" s="1" t="s">
        <v>11063</v>
      </c>
      <c r="J2431" s="11">
        <v>44729.706458333334</v>
      </c>
      <c r="K2431" s="1" t="s">
        <v>6715</v>
      </c>
      <c r="L2431" s="1">
        <v>0.68200000000000005</v>
      </c>
      <c r="M2431" s="1">
        <v>0.88</v>
      </c>
      <c r="N2431">
        <v>6</v>
      </c>
      <c r="O2431" s="1">
        <v>-4.2789999999999999</v>
      </c>
      <c r="P2431">
        <v>0</v>
      </c>
      <c r="Q2431" s="1">
        <v>0.61699999999999999</v>
      </c>
      <c r="R2431" s="1">
        <v>0.32500000000000001</v>
      </c>
      <c r="S2431" s="1">
        <v>0</v>
      </c>
      <c r="T2431" s="1">
        <v>0.32700000000000001</v>
      </c>
      <c r="U2431" s="1">
        <v>0.86399999999999999</v>
      </c>
      <c r="V2431" s="1">
        <v>98.004999999999995</v>
      </c>
      <c r="W2431">
        <v>4</v>
      </c>
    </row>
    <row r="2432" spans="1:23" x14ac:dyDescent="0.25">
      <c r="A2432" s="1" t="s">
        <v>18915</v>
      </c>
      <c r="B2432" s="1" t="s">
        <v>18910</v>
      </c>
      <c r="C2432" s="1" t="s">
        <v>6717</v>
      </c>
      <c r="D2432" s="1" t="s">
        <v>18911</v>
      </c>
      <c r="E2432" s="1" t="s">
        <v>6714</v>
      </c>
      <c r="F2432" s="1" t="s">
        <v>11471</v>
      </c>
      <c r="G2432">
        <v>199946</v>
      </c>
      <c r="H2432">
        <v>53</v>
      </c>
      <c r="I2432" s="1" t="s">
        <v>11063</v>
      </c>
      <c r="J2432" s="11">
        <v>44729.706458333334</v>
      </c>
      <c r="K2432" s="1" t="s">
        <v>6715</v>
      </c>
      <c r="L2432" s="1">
        <v>0.69499999999999995</v>
      </c>
      <c r="M2432" s="1">
        <v>0.77600000000000002</v>
      </c>
      <c r="N2432">
        <v>2</v>
      </c>
      <c r="O2432" s="1">
        <v>-3.798</v>
      </c>
      <c r="P2432">
        <v>0</v>
      </c>
      <c r="Q2432" s="1">
        <v>0.36099999999999999</v>
      </c>
      <c r="R2432" s="1">
        <v>0.32400000000000001</v>
      </c>
      <c r="S2432" s="1">
        <v>0.221</v>
      </c>
      <c r="T2432" s="1">
        <v>0.127</v>
      </c>
      <c r="U2432" s="1">
        <v>0.70599999999999996</v>
      </c>
      <c r="V2432" s="1">
        <v>126.035</v>
      </c>
      <c r="W2432">
        <v>4</v>
      </c>
    </row>
    <row r="2433" spans="1:23" x14ac:dyDescent="0.25">
      <c r="A2433" s="1" t="s">
        <v>11697</v>
      </c>
      <c r="B2433" s="1" t="s">
        <v>11698</v>
      </c>
      <c r="C2433" s="1" t="s">
        <v>6718</v>
      </c>
      <c r="D2433" s="1" t="s">
        <v>11699</v>
      </c>
      <c r="E2433" s="1" t="s">
        <v>406</v>
      </c>
      <c r="F2433" s="1" t="s">
        <v>11700</v>
      </c>
      <c r="G2433">
        <v>179573</v>
      </c>
      <c r="H2433">
        <v>42</v>
      </c>
      <c r="I2433" s="1" t="s">
        <v>11063</v>
      </c>
      <c r="J2433" s="11">
        <v>44729.706458333334</v>
      </c>
      <c r="K2433" s="1" t="s">
        <v>407</v>
      </c>
      <c r="L2433" s="1">
        <v>0.69699999999999995</v>
      </c>
      <c r="M2433" s="1">
        <v>0.65700000000000003</v>
      </c>
      <c r="N2433">
        <v>7</v>
      </c>
      <c r="O2433" s="1">
        <v>-5.7789999999999999</v>
      </c>
      <c r="P2433">
        <v>0</v>
      </c>
      <c r="Q2433" s="1">
        <v>0.41799999999999998</v>
      </c>
      <c r="R2433" s="1">
        <v>0.187</v>
      </c>
      <c r="S2433" s="1">
        <v>0.153</v>
      </c>
      <c r="T2433" s="1">
        <v>0.16200000000000001</v>
      </c>
      <c r="U2433" s="1">
        <v>0.41799999999999998</v>
      </c>
      <c r="V2433" s="1">
        <v>101.965</v>
      </c>
      <c r="W2433">
        <v>4</v>
      </c>
    </row>
    <row r="2434" spans="1:23" x14ac:dyDescent="0.25">
      <c r="A2434" s="1" t="s">
        <v>18916</v>
      </c>
      <c r="B2434" s="1" t="s">
        <v>18917</v>
      </c>
      <c r="C2434" s="1" t="s">
        <v>6719</v>
      </c>
      <c r="D2434" s="1" t="s">
        <v>18918</v>
      </c>
      <c r="E2434" s="1" t="s">
        <v>6720</v>
      </c>
      <c r="F2434" s="1" t="s">
        <v>17296</v>
      </c>
      <c r="G2434">
        <v>250466</v>
      </c>
      <c r="H2434">
        <v>42</v>
      </c>
      <c r="I2434" s="1" t="s">
        <v>11063</v>
      </c>
      <c r="J2434" s="11">
        <v>44729.706458333334</v>
      </c>
      <c r="K2434" s="1" t="s">
        <v>6721</v>
      </c>
      <c r="L2434" s="1">
        <v>0.61199999999999999</v>
      </c>
      <c r="M2434" s="1">
        <v>0.64900000000000002</v>
      </c>
      <c r="N2434">
        <v>10</v>
      </c>
      <c r="O2434" s="1">
        <v>-6.4809999999999999</v>
      </c>
      <c r="P2434">
        <v>0</v>
      </c>
      <c r="Q2434" s="1">
        <v>0.32600000000000001</v>
      </c>
      <c r="R2434" s="1">
        <v>0.104</v>
      </c>
      <c r="S2434" s="1">
        <v>0</v>
      </c>
      <c r="T2434" s="1">
        <v>0.20100000000000001</v>
      </c>
      <c r="U2434" s="1">
        <v>0.30099999999999999</v>
      </c>
      <c r="V2434" s="1">
        <v>115.035</v>
      </c>
      <c r="W2434">
        <v>4</v>
      </c>
    </row>
    <row r="2435" spans="1:23" x14ac:dyDescent="0.25">
      <c r="A2435" s="1" t="s">
        <v>11701</v>
      </c>
      <c r="B2435" s="1" t="s">
        <v>11702</v>
      </c>
      <c r="C2435" s="1" t="s">
        <v>6722</v>
      </c>
      <c r="D2435" s="1" t="s">
        <v>11703</v>
      </c>
      <c r="E2435" s="1" t="s">
        <v>408</v>
      </c>
      <c r="F2435" s="1" t="s">
        <v>11704</v>
      </c>
      <c r="G2435">
        <v>194706</v>
      </c>
      <c r="H2435">
        <v>59</v>
      </c>
      <c r="I2435" s="1" t="s">
        <v>11063</v>
      </c>
      <c r="J2435" s="11">
        <v>44729.706458333334</v>
      </c>
      <c r="K2435" s="1" t="s">
        <v>409</v>
      </c>
      <c r="L2435" s="1">
        <v>0.79</v>
      </c>
      <c r="M2435" s="1">
        <v>0.64700000000000002</v>
      </c>
      <c r="N2435">
        <v>8</v>
      </c>
      <c r="O2435" s="1">
        <v>-6.7320000000000002</v>
      </c>
      <c r="P2435">
        <v>0</v>
      </c>
      <c r="Q2435" s="1">
        <v>0.375</v>
      </c>
      <c r="R2435" s="1">
        <v>0.2</v>
      </c>
      <c r="S2435" s="1">
        <v>0.109</v>
      </c>
      <c r="T2435" s="1">
        <v>0.76600000000000001</v>
      </c>
      <c r="U2435" s="1">
        <v>0.749</v>
      </c>
      <c r="V2435" s="1">
        <v>105.012</v>
      </c>
      <c r="W2435">
        <v>4</v>
      </c>
    </row>
    <row r="2436" spans="1:23" x14ac:dyDescent="0.25">
      <c r="A2436" s="1" t="s">
        <v>18919</v>
      </c>
      <c r="B2436" s="1" t="s">
        <v>18920</v>
      </c>
      <c r="C2436" s="1" t="s">
        <v>6723</v>
      </c>
      <c r="D2436" s="1" t="s">
        <v>11703</v>
      </c>
      <c r="E2436" s="1" t="s">
        <v>6724</v>
      </c>
      <c r="F2436" s="1" t="s">
        <v>11704</v>
      </c>
      <c r="G2436">
        <v>257971</v>
      </c>
      <c r="H2436">
        <v>49</v>
      </c>
      <c r="I2436" s="1" t="s">
        <v>11063</v>
      </c>
      <c r="J2436" s="11">
        <v>44729.706458333334</v>
      </c>
      <c r="K2436" s="1" t="s">
        <v>6725</v>
      </c>
      <c r="L2436" s="1">
        <v>0.74099999999999999</v>
      </c>
      <c r="M2436" s="1">
        <v>0.69299999999999995</v>
      </c>
      <c r="N2436">
        <v>4</v>
      </c>
      <c r="O2436" s="1">
        <v>-5.2779999999999996</v>
      </c>
      <c r="P2436">
        <v>0</v>
      </c>
      <c r="Q2436" s="1">
        <v>0.105</v>
      </c>
      <c r="R2436" s="1">
        <v>0.61499999999999999</v>
      </c>
      <c r="S2436" s="1">
        <v>0</v>
      </c>
      <c r="T2436" s="1">
        <v>0.115</v>
      </c>
      <c r="U2436" s="1">
        <v>0.73</v>
      </c>
      <c r="V2436" s="1">
        <v>110.93600000000001</v>
      </c>
      <c r="W2436">
        <v>4</v>
      </c>
    </row>
    <row r="2437" spans="1:23" x14ac:dyDescent="0.25">
      <c r="A2437" s="1" t="s">
        <v>18921</v>
      </c>
      <c r="B2437" s="1" t="s">
        <v>18922</v>
      </c>
      <c r="C2437" s="1" t="s">
        <v>6726</v>
      </c>
      <c r="D2437" s="1" t="s">
        <v>11703</v>
      </c>
      <c r="E2437" s="1" t="s">
        <v>6727</v>
      </c>
      <c r="F2437" s="1" t="s">
        <v>11704</v>
      </c>
      <c r="G2437">
        <v>190000</v>
      </c>
      <c r="H2437">
        <v>52</v>
      </c>
      <c r="I2437" s="1" t="s">
        <v>11063</v>
      </c>
      <c r="J2437" s="11">
        <v>44729.706458333334</v>
      </c>
      <c r="K2437" s="1" t="s">
        <v>6725</v>
      </c>
      <c r="L2437" s="1">
        <v>0.83</v>
      </c>
      <c r="M2437" s="1">
        <v>0.67700000000000005</v>
      </c>
      <c r="N2437">
        <v>6</v>
      </c>
      <c r="O2437" s="1">
        <v>-6.0119999999999996</v>
      </c>
      <c r="P2437">
        <v>0</v>
      </c>
      <c r="Q2437" s="1">
        <v>0.94499999999999995</v>
      </c>
      <c r="R2437" s="1">
        <v>0.224</v>
      </c>
      <c r="S2437" s="1">
        <v>0.47099999999999997</v>
      </c>
      <c r="T2437" s="1">
        <v>0.438</v>
      </c>
      <c r="U2437" s="1">
        <v>0.61499999999999999</v>
      </c>
      <c r="V2437" s="1">
        <v>120.004</v>
      </c>
      <c r="W2437">
        <v>4</v>
      </c>
    </row>
    <row r="2438" spans="1:23" x14ac:dyDescent="0.25">
      <c r="A2438" s="1" t="s">
        <v>18923</v>
      </c>
      <c r="B2438" s="1" t="s">
        <v>18652</v>
      </c>
      <c r="C2438" s="1" t="s">
        <v>6728</v>
      </c>
      <c r="D2438" s="1" t="s">
        <v>18653</v>
      </c>
      <c r="E2438" s="1" t="s">
        <v>6513</v>
      </c>
      <c r="F2438" s="1" t="s">
        <v>13457</v>
      </c>
      <c r="G2438">
        <v>273653</v>
      </c>
      <c r="H2438">
        <v>56</v>
      </c>
      <c r="I2438" s="1" t="s">
        <v>11063</v>
      </c>
      <c r="J2438" s="11">
        <v>44729.706458333334</v>
      </c>
      <c r="K2438" s="1" t="s">
        <v>6514</v>
      </c>
      <c r="L2438" s="1">
        <v>0.72399999999999998</v>
      </c>
      <c r="M2438" s="1">
        <v>0.65200000000000002</v>
      </c>
      <c r="N2438">
        <v>6</v>
      </c>
      <c r="O2438" s="1">
        <v>-9.3849999999999998</v>
      </c>
      <c r="P2438">
        <v>1</v>
      </c>
      <c r="Q2438" s="1">
        <v>0.36299999999999999</v>
      </c>
      <c r="R2438" s="1">
        <v>0.19400000000000001</v>
      </c>
      <c r="S2438" s="1">
        <v>0.11899999999999999</v>
      </c>
      <c r="T2438" s="1">
        <v>0.25600000000000001</v>
      </c>
      <c r="U2438" s="1">
        <v>0.72299999999999998</v>
      </c>
      <c r="V2438" s="1">
        <v>120.004</v>
      </c>
      <c r="W2438">
        <v>4</v>
      </c>
    </row>
    <row r="2439" spans="1:23" x14ac:dyDescent="0.25">
      <c r="A2439" s="1" t="s">
        <v>18924</v>
      </c>
      <c r="B2439" s="1" t="s">
        <v>13957</v>
      </c>
      <c r="C2439" s="1" t="s">
        <v>6729</v>
      </c>
      <c r="D2439" s="1" t="s">
        <v>18925</v>
      </c>
      <c r="E2439" s="1" t="s">
        <v>2360</v>
      </c>
      <c r="F2439" s="1" t="s">
        <v>18926</v>
      </c>
      <c r="G2439">
        <v>208000</v>
      </c>
      <c r="H2439">
        <v>73</v>
      </c>
      <c r="I2439" s="1" t="s">
        <v>11063</v>
      </c>
      <c r="J2439" s="11">
        <v>44729.706458333334</v>
      </c>
      <c r="K2439" s="1" t="s">
        <v>2361</v>
      </c>
      <c r="L2439" s="1">
        <v>0.47</v>
      </c>
      <c r="M2439" s="1">
        <v>0.221</v>
      </c>
      <c r="N2439">
        <v>5</v>
      </c>
      <c r="O2439" s="1">
        <v>-9.2430000000000003</v>
      </c>
      <c r="P2439">
        <v>1</v>
      </c>
      <c r="Q2439" s="1">
        <v>0.371</v>
      </c>
      <c r="R2439" s="1">
        <v>0.69299999999999995</v>
      </c>
      <c r="S2439" s="1">
        <v>0</v>
      </c>
      <c r="T2439" s="1">
        <v>0.104</v>
      </c>
      <c r="U2439" s="1">
        <v>0.26400000000000001</v>
      </c>
      <c r="V2439" s="1">
        <v>133.714</v>
      </c>
      <c r="W2439">
        <v>4</v>
      </c>
    </row>
    <row r="2440" spans="1:23" x14ac:dyDescent="0.25">
      <c r="A2440" s="1" t="s">
        <v>18927</v>
      </c>
      <c r="B2440" s="1" t="s">
        <v>18928</v>
      </c>
      <c r="C2440" s="1" t="s">
        <v>6730</v>
      </c>
      <c r="D2440" s="1" t="s">
        <v>6730</v>
      </c>
      <c r="E2440" s="1" t="s">
        <v>6731</v>
      </c>
      <c r="F2440" s="1" t="s">
        <v>17379</v>
      </c>
      <c r="G2440">
        <v>141046</v>
      </c>
      <c r="H2440">
        <v>32</v>
      </c>
      <c r="I2440" s="1" t="s">
        <v>11063</v>
      </c>
      <c r="J2440" s="11">
        <v>44729.706458333334</v>
      </c>
      <c r="K2440" s="1" t="s">
        <v>6732</v>
      </c>
      <c r="L2440" s="1">
        <v>0.71399999999999997</v>
      </c>
      <c r="M2440" s="1">
        <v>0.53400000000000003</v>
      </c>
      <c r="N2440">
        <v>1</v>
      </c>
      <c r="O2440" s="1">
        <v>-9.234</v>
      </c>
      <c r="P2440">
        <v>1</v>
      </c>
      <c r="Q2440" s="1">
        <v>0.69</v>
      </c>
      <c r="R2440" s="1">
        <v>0.36199999999999999</v>
      </c>
      <c r="S2440" s="1">
        <v>0.42799999999999999</v>
      </c>
      <c r="T2440" s="1">
        <v>0.36799999999999999</v>
      </c>
      <c r="U2440" s="1">
        <v>0.38300000000000001</v>
      </c>
      <c r="V2440" s="1">
        <v>77.221000000000004</v>
      </c>
      <c r="W2440">
        <v>4</v>
      </c>
    </row>
    <row r="2441" spans="1:23" x14ac:dyDescent="0.25">
      <c r="A2441" s="1" t="s">
        <v>18929</v>
      </c>
      <c r="B2441" s="1" t="s">
        <v>18930</v>
      </c>
      <c r="C2441" s="1" t="s">
        <v>6733</v>
      </c>
      <c r="D2441" s="1" t="s">
        <v>18931</v>
      </c>
      <c r="E2441" s="1" t="s">
        <v>6734</v>
      </c>
      <c r="F2441" s="1" t="s">
        <v>17379</v>
      </c>
      <c r="G2441">
        <v>247741</v>
      </c>
      <c r="H2441">
        <v>45</v>
      </c>
      <c r="I2441" s="1" t="s">
        <v>11063</v>
      </c>
      <c r="J2441" s="11">
        <v>44729.706458333334</v>
      </c>
      <c r="K2441" s="1" t="s">
        <v>6735</v>
      </c>
      <c r="L2441" s="1">
        <v>0.39700000000000002</v>
      </c>
      <c r="M2441" s="1">
        <v>0.67200000000000004</v>
      </c>
      <c r="N2441">
        <v>11</v>
      </c>
      <c r="O2441" s="1">
        <v>-5.4630000000000001</v>
      </c>
      <c r="P2441">
        <v>1</v>
      </c>
      <c r="Q2441" s="1">
        <v>0.71199999999999997</v>
      </c>
      <c r="R2441" s="1">
        <v>0.30299999999999999</v>
      </c>
      <c r="S2441" s="1">
        <v>0.121</v>
      </c>
      <c r="T2441" s="1">
        <v>0.68</v>
      </c>
      <c r="U2441" s="1">
        <v>0.316</v>
      </c>
      <c r="V2441" s="1">
        <v>155.036</v>
      </c>
      <c r="W2441">
        <v>4</v>
      </c>
    </row>
    <row r="2442" spans="1:23" x14ac:dyDescent="0.25">
      <c r="A2442" s="1" t="s">
        <v>18932</v>
      </c>
      <c r="B2442" s="1" t="s">
        <v>18933</v>
      </c>
      <c r="C2442" s="1" t="s">
        <v>6523</v>
      </c>
      <c r="D2442" s="1" t="s">
        <v>6523</v>
      </c>
      <c r="E2442" s="1" t="s">
        <v>6736</v>
      </c>
      <c r="F2442" s="1" t="s">
        <v>17379</v>
      </c>
      <c r="G2442">
        <v>167976</v>
      </c>
      <c r="H2442">
        <v>70</v>
      </c>
      <c r="I2442" s="1" t="s">
        <v>11063</v>
      </c>
      <c r="J2442" s="11">
        <v>44729.706458333334</v>
      </c>
      <c r="K2442" s="1" t="s">
        <v>6737</v>
      </c>
      <c r="L2442" s="1">
        <v>0.52</v>
      </c>
      <c r="M2442" s="1">
        <v>0.79800000000000004</v>
      </c>
      <c r="N2442">
        <v>6</v>
      </c>
      <c r="O2442" s="1">
        <v>-5.4980000000000002</v>
      </c>
      <c r="P2442">
        <v>0</v>
      </c>
      <c r="Q2442" s="1">
        <v>0.39100000000000001</v>
      </c>
      <c r="R2442" s="1">
        <v>0.10100000000000001</v>
      </c>
      <c r="S2442" s="1">
        <v>0</v>
      </c>
      <c r="T2442" s="1">
        <v>0.93200000000000005</v>
      </c>
      <c r="U2442" s="1">
        <v>0.16800000000000001</v>
      </c>
      <c r="V2442" s="1">
        <v>101.944</v>
      </c>
      <c r="W2442">
        <v>4</v>
      </c>
    </row>
    <row r="2443" spans="1:23" x14ac:dyDescent="0.25">
      <c r="A2443" s="1" t="s">
        <v>18934</v>
      </c>
      <c r="B2443" s="1" t="s">
        <v>18935</v>
      </c>
      <c r="C2443" s="1" t="s">
        <v>6738</v>
      </c>
      <c r="D2443" s="1" t="s">
        <v>18936</v>
      </c>
      <c r="E2443" s="1" t="s">
        <v>6739</v>
      </c>
      <c r="F2443" s="1" t="s">
        <v>18937</v>
      </c>
      <c r="G2443">
        <v>230282</v>
      </c>
      <c r="H2443">
        <v>58</v>
      </c>
      <c r="I2443" s="1" t="s">
        <v>11063</v>
      </c>
      <c r="J2443" s="11">
        <v>44729.706458333334</v>
      </c>
      <c r="K2443" s="1" t="s">
        <v>6740</v>
      </c>
      <c r="L2443" s="1">
        <v>0.38400000000000001</v>
      </c>
      <c r="M2443" s="1">
        <v>0.77200000000000002</v>
      </c>
      <c r="N2443">
        <v>8</v>
      </c>
      <c r="O2443" s="1">
        <v>-4.3579999999999997</v>
      </c>
      <c r="P2443">
        <v>0</v>
      </c>
      <c r="Q2443" s="1">
        <v>0.311</v>
      </c>
      <c r="R2443" s="1">
        <v>0.114</v>
      </c>
      <c r="S2443" s="1">
        <v>0</v>
      </c>
      <c r="T2443" s="1">
        <v>0.10199999999999999</v>
      </c>
      <c r="U2443" s="1">
        <v>0.23899999999999999</v>
      </c>
      <c r="V2443" s="1">
        <v>73.734999999999999</v>
      </c>
      <c r="W2443">
        <v>4</v>
      </c>
    </row>
    <row r="2444" spans="1:23" x14ac:dyDescent="0.25">
      <c r="A2444" s="1" t="s">
        <v>18938</v>
      </c>
      <c r="B2444" s="1" t="s">
        <v>18939</v>
      </c>
      <c r="C2444" s="1" t="s">
        <v>6741</v>
      </c>
      <c r="D2444" s="1" t="s">
        <v>6741</v>
      </c>
      <c r="E2444" s="1" t="s">
        <v>6742</v>
      </c>
      <c r="F2444" s="1" t="s">
        <v>13590</v>
      </c>
      <c r="G2444">
        <v>200969</v>
      </c>
      <c r="H2444">
        <v>42</v>
      </c>
      <c r="I2444" s="1" t="s">
        <v>11063</v>
      </c>
      <c r="J2444" s="11">
        <v>44729.706458333334</v>
      </c>
      <c r="K2444" s="1" t="s">
        <v>2939</v>
      </c>
      <c r="L2444" s="1">
        <v>0.66100000000000003</v>
      </c>
      <c r="M2444" s="1">
        <v>0.73899999999999999</v>
      </c>
      <c r="N2444">
        <v>9</v>
      </c>
      <c r="O2444" s="1">
        <v>-5.2210000000000001</v>
      </c>
      <c r="P2444">
        <v>0</v>
      </c>
      <c r="Q2444" s="1">
        <v>0.314</v>
      </c>
      <c r="R2444" s="1">
        <v>0.52900000000000003</v>
      </c>
      <c r="S2444" s="1">
        <v>0.64300000000000002</v>
      </c>
      <c r="T2444" s="1">
        <v>0.55900000000000005</v>
      </c>
      <c r="U2444" s="1">
        <v>0.55000000000000004</v>
      </c>
      <c r="V2444" s="1">
        <v>98.003</v>
      </c>
      <c r="W2444">
        <v>4</v>
      </c>
    </row>
    <row r="2445" spans="1:23" x14ac:dyDescent="0.25">
      <c r="A2445" s="1" t="s">
        <v>18940</v>
      </c>
      <c r="B2445" s="1" t="s">
        <v>18941</v>
      </c>
      <c r="C2445" s="1" t="s">
        <v>6743</v>
      </c>
      <c r="D2445" s="1" t="s">
        <v>6743</v>
      </c>
      <c r="E2445" s="1" t="s">
        <v>6744</v>
      </c>
      <c r="F2445" s="1" t="s">
        <v>14350</v>
      </c>
      <c r="G2445">
        <v>180000</v>
      </c>
      <c r="H2445">
        <v>43</v>
      </c>
      <c r="I2445" s="1" t="s">
        <v>11063</v>
      </c>
      <c r="J2445" s="11">
        <v>44729.706458333334</v>
      </c>
      <c r="K2445" s="1" t="s">
        <v>2939</v>
      </c>
      <c r="L2445" s="1">
        <v>0.55500000000000005</v>
      </c>
      <c r="M2445" s="1">
        <v>0.88100000000000001</v>
      </c>
      <c r="N2445">
        <v>10</v>
      </c>
      <c r="O2445" s="1">
        <v>-2.6709999999999998</v>
      </c>
      <c r="P2445">
        <v>1</v>
      </c>
      <c r="Q2445" s="1">
        <v>0.95899999999999996</v>
      </c>
      <c r="R2445" s="1">
        <v>0.105</v>
      </c>
      <c r="S2445" s="1">
        <v>0.73699999999999999</v>
      </c>
      <c r="T2445" s="1">
        <v>0.19900000000000001</v>
      </c>
      <c r="U2445" s="1">
        <v>0.249</v>
      </c>
      <c r="V2445" s="1">
        <v>149.803</v>
      </c>
      <c r="W2445">
        <v>4</v>
      </c>
    </row>
    <row r="2446" spans="1:23" x14ac:dyDescent="0.25">
      <c r="A2446" s="1" t="s">
        <v>18942</v>
      </c>
      <c r="B2446" s="1" t="s">
        <v>18943</v>
      </c>
      <c r="C2446" s="1" t="s">
        <v>6745</v>
      </c>
      <c r="D2446" s="1" t="s">
        <v>6745</v>
      </c>
      <c r="E2446" s="1" t="s">
        <v>6746</v>
      </c>
      <c r="F2446" s="1" t="s">
        <v>18861</v>
      </c>
      <c r="G2446">
        <v>275200</v>
      </c>
      <c r="H2446">
        <v>54</v>
      </c>
      <c r="I2446" s="1" t="s">
        <v>11063</v>
      </c>
      <c r="J2446" s="11">
        <v>44729.706458333334</v>
      </c>
      <c r="K2446" s="1" t="s">
        <v>2075</v>
      </c>
      <c r="L2446" s="1">
        <v>0.39900000000000002</v>
      </c>
      <c r="M2446" s="1">
        <v>0.85599999999999998</v>
      </c>
      <c r="N2446">
        <v>0</v>
      </c>
      <c r="O2446" s="1">
        <v>-3.5270000000000001</v>
      </c>
      <c r="P2446">
        <v>1</v>
      </c>
      <c r="Q2446" s="1">
        <v>0.76200000000000001</v>
      </c>
      <c r="R2446" s="1">
        <v>0.26700000000000002</v>
      </c>
      <c r="S2446" s="1">
        <v>0.17599999999999999</v>
      </c>
      <c r="T2446" s="1">
        <v>0.34799999999999998</v>
      </c>
      <c r="U2446" s="1">
        <v>0.26</v>
      </c>
      <c r="V2446" s="1">
        <v>150.214</v>
      </c>
      <c r="W2446">
        <v>4</v>
      </c>
    </row>
    <row r="2447" spans="1:23" x14ac:dyDescent="0.25">
      <c r="A2447" s="1" t="s">
        <v>18944</v>
      </c>
      <c r="B2447" s="1" t="s">
        <v>18945</v>
      </c>
      <c r="C2447" s="1" t="s">
        <v>6747</v>
      </c>
      <c r="D2447" s="1" t="s">
        <v>6747</v>
      </c>
      <c r="E2447" s="1" t="s">
        <v>6748</v>
      </c>
      <c r="F2447" s="1" t="s">
        <v>14992</v>
      </c>
      <c r="G2447">
        <v>194509</v>
      </c>
      <c r="H2447">
        <v>53</v>
      </c>
      <c r="I2447" s="1" t="s">
        <v>11063</v>
      </c>
      <c r="J2447" s="11">
        <v>44729.706458333334</v>
      </c>
      <c r="K2447" s="1" t="s">
        <v>2939</v>
      </c>
      <c r="L2447" s="1">
        <v>0.56100000000000005</v>
      </c>
      <c r="M2447" s="1">
        <v>0.80400000000000005</v>
      </c>
      <c r="N2447">
        <v>4</v>
      </c>
      <c r="O2447" s="1">
        <v>-4.6820000000000004</v>
      </c>
      <c r="P2447">
        <v>0</v>
      </c>
      <c r="Q2447" s="1">
        <v>0.22500000000000001</v>
      </c>
      <c r="R2447" s="1">
        <v>0.20200000000000001</v>
      </c>
      <c r="S2447" s="1">
        <v>0.28699999999999998</v>
      </c>
      <c r="T2447" s="1">
        <v>0.112</v>
      </c>
      <c r="U2447" s="1">
        <v>0.40100000000000002</v>
      </c>
      <c r="V2447" s="1">
        <v>76.494</v>
      </c>
      <c r="W2447">
        <v>4</v>
      </c>
    </row>
    <row r="2448" spans="1:23" x14ac:dyDescent="0.25">
      <c r="A2448" s="1" t="s">
        <v>18946</v>
      </c>
      <c r="B2448" s="1" t="s">
        <v>11315</v>
      </c>
      <c r="C2448" s="1" t="s">
        <v>4731</v>
      </c>
      <c r="D2448" s="1" t="s">
        <v>14902</v>
      </c>
      <c r="E2448" s="1" t="s">
        <v>112</v>
      </c>
      <c r="F2448" s="1" t="s">
        <v>14857</v>
      </c>
      <c r="G2448">
        <v>175200</v>
      </c>
      <c r="H2448">
        <v>33</v>
      </c>
      <c r="I2448" s="1" t="s">
        <v>11063</v>
      </c>
      <c r="J2448" s="11">
        <v>44729.706458333334</v>
      </c>
      <c r="K2448" s="1" t="s">
        <v>113</v>
      </c>
      <c r="L2448" s="1">
        <v>0.505</v>
      </c>
      <c r="M2448" s="1">
        <v>0.71</v>
      </c>
      <c r="N2448">
        <v>3</v>
      </c>
      <c r="O2448" s="1">
        <v>-3.0150000000000001</v>
      </c>
      <c r="P2448">
        <v>1</v>
      </c>
      <c r="Q2448" s="1">
        <v>0.32100000000000001</v>
      </c>
      <c r="R2448" s="1">
        <v>0.19</v>
      </c>
      <c r="S2448" s="1">
        <v>0.25</v>
      </c>
      <c r="T2448" s="1">
        <v>0.32900000000000001</v>
      </c>
      <c r="U2448" s="1">
        <v>0.42799999999999999</v>
      </c>
      <c r="V2448" s="1">
        <v>89.938000000000002</v>
      </c>
      <c r="W2448">
        <v>4</v>
      </c>
    </row>
    <row r="2449" spans="1:23" x14ac:dyDescent="0.25">
      <c r="A2449" s="1" t="s">
        <v>18947</v>
      </c>
      <c r="B2449" s="1" t="s">
        <v>11315</v>
      </c>
      <c r="C2449" s="1" t="s">
        <v>5312</v>
      </c>
      <c r="D2449" s="1" t="s">
        <v>14902</v>
      </c>
      <c r="E2449" s="1" t="s">
        <v>112</v>
      </c>
      <c r="F2449" s="1" t="s">
        <v>14857</v>
      </c>
      <c r="G2449">
        <v>237986</v>
      </c>
      <c r="H2449">
        <v>30</v>
      </c>
      <c r="I2449" s="1" t="s">
        <v>11063</v>
      </c>
      <c r="J2449" s="11">
        <v>44729.706458333334</v>
      </c>
      <c r="K2449" s="1" t="s">
        <v>113</v>
      </c>
      <c r="L2449" s="1">
        <v>0.65600000000000003</v>
      </c>
      <c r="M2449" s="1">
        <v>0.88400000000000001</v>
      </c>
      <c r="N2449">
        <v>2</v>
      </c>
      <c r="O2449" s="1">
        <v>-4.7480000000000002</v>
      </c>
      <c r="P2449">
        <v>1</v>
      </c>
      <c r="Q2449" s="1">
        <v>0.372</v>
      </c>
      <c r="R2449" s="1">
        <v>0.16200000000000001</v>
      </c>
      <c r="S2449" s="1">
        <v>0</v>
      </c>
      <c r="T2449" s="1">
        <v>0.14499999999999999</v>
      </c>
      <c r="U2449" s="1">
        <v>0.86</v>
      </c>
      <c r="V2449" s="1">
        <v>105.009</v>
      </c>
      <c r="W2449">
        <v>4</v>
      </c>
    </row>
    <row r="2450" spans="1:23" x14ac:dyDescent="0.25">
      <c r="A2450" s="1" t="s">
        <v>18948</v>
      </c>
      <c r="B2450" s="1" t="s">
        <v>11315</v>
      </c>
      <c r="C2450" s="1" t="s">
        <v>6382</v>
      </c>
      <c r="D2450" s="1" t="s">
        <v>13595</v>
      </c>
      <c r="E2450" s="1" t="s">
        <v>112</v>
      </c>
      <c r="F2450" s="1" t="s">
        <v>11319</v>
      </c>
      <c r="G2450">
        <v>231720</v>
      </c>
      <c r="H2450">
        <v>67</v>
      </c>
      <c r="I2450" s="1" t="s">
        <v>11063</v>
      </c>
      <c r="J2450" s="11">
        <v>44729.706458333334</v>
      </c>
      <c r="K2450" s="1" t="s">
        <v>113</v>
      </c>
      <c r="L2450" s="1">
        <v>0.44700000000000001</v>
      </c>
      <c r="M2450" s="1">
        <v>0.74</v>
      </c>
      <c r="N2450">
        <v>3</v>
      </c>
      <c r="O2450" s="1">
        <v>-6.6070000000000002</v>
      </c>
      <c r="P2450">
        <v>1</v>
      </c>
      <c r="Q2450" s="1">
        <v>0.47499999999999998</v>
      </c>
      <c r="R2450" s="1">
        <v>0.122</v>
      </c>
      <c r="S2450" s="1">
        <v>0.22800000000000001</v>
      </c>
      <c r="T2450" s="1">
        <v>0.95799999999999996</v>
      </c>
      <c r="U2450" s="1">
        <v>0.10199999999999999</v>
      </c>
      <c r="V2450" s="1">
        <v>93.759</v>
      </c>
      <c r="W2450">
        <v>4</v>
      </c>
    </row>
    <row r="2451" spans="1:23" x14ac:dyDescent="0.25">
      <c r="A2451" s="1" t="s">
        <v>18949</v>
      </c>
      <c r="B2451" s="1" t="s">
        <v>18950</v>
      </c>
      <c r="C2451" s="1" t="s">
        <v>6749</v>
      </c>
      <c r="D2451" s="1" t="s">
        <v>6749</v>
      </c>
      <c r="E2451" s="1" t="s">
        <v>6750</v>
      </c>
      <c r="F2451" s="1" t="s">
        <v>11423</v>
      </c>
      <c r="G2451">
        <v>203480</v>
      </c>
      <c r="H2451">
        <v>37</v>
      </c>
      <c r="I2451" s="1" t="s">
        <v>11063</v>
      </c>
      <c r="J2451" s="11">
        <v>44729.706458333334</v>
      </c>
      <c r="K2451" s="1" t="s">
        <v>6751</v>
      </c>
      <c r="L2451" s="1">
        <v>0.80500000000000005</v>
      </c>
      <c r="M2451" s="1">
        <v>0.71299999999999997</v>
      </c>
      <c r="N2451">
        <v>2</v>
      </c>
      <c r="O2451" s="1">
        <v>-3.476</v>
      </c>
      <c r="P2451">
        <v>1</v>
      </c>
      <c r="Q2451" s="1">
        <v>0.90800000000000003</v>
      </c>
      <c r="R2451" s="1">
        <v>0.45400000000000001</v>
      </c>
      <c r="S2451" s="1">
        <v>0.33100000000000002</v>
      </c>
      <c r="T2451" s="1">
        <v>0.14499999999999999</v>
      </c>
      <c r="U2451" s="1">
        <v>0.25600000000000001</v>
      </c>
      <c r="V2451" s="1">
        <v>119.024</v>
      </c>
      <c r="W2451">
        <v>4</v>
      </c>
    </row>
    <row r="2452" spans="1:23" x14ac:dyDescent="0.25">
      <c r="A2452" s="1" t="s">
        <v>18951</v>
      </c>
      <c r="B2452" s="1" t="s">
        <v>18142</v>
      </c>
      <c r="C2452" s="1" t="s">
        <v>6752</v>
      </c>
      <c r="D2452" s="1" t="s">
        <v>6752</v>
      </c>
      <c r="E2452" s="1" t="s">
        <v>6030</v>
      </c>
      <c r="F2452" s="1" t="s">
        <v>11399</v>
      </c>
      <c r="G2452">
        <v>210503</v>
      </c>
      <c r="H2452">
        <v>39</v>
      </c>
      <c r="I2452" s="1" t="s">
        <v>11063</v>
      </c>
      <c r="J2452" s="11">
        <v>44729.706458333334</v>
      </c>
      <c r="K2452" s="1" t="s">
        <v>6031</v>
      </c>
      <c r="L2452" s="1">
        <v>0.47099999999999997</v>
      </c>
      <c r="M2452" s="1">
        <v>0.36099999999999999</v>
      </c>
      <c r="N2452">
        <v>11</v>
      </c>
      <c r="O2452" s="1">
        <v>-10.903</v>
      </c>
      <c r="P2452">
        <v>1</v>
      </c>
      <c r="Q2452" s="1">
        <v>0.28100000000000003</v>
      </c>
      <c r="R2452" s="1">
        <v>0.152</v>
      </c>
      <c r="S2452" s="1">
        <v>0.50900000000000001</v>
      </c>
      <c r="T2452" s="1">
        <v>0.14299999999999999</v>
      </c>
      <c r="U2452" s="1">
        <v>0.67400000000000004</v>
      </c>
      <c r="V2452" s="1">
        <v>87.819000000000003</v>
      </c>
      <c r="W2452">
        <v>4</v>
      </c>
    </row>
    <row r="2453" spans="1:23" x14ac:dyDescent="0.25">
      <c r="A2453" s="1" t="s">
        <v>18952</v>
      </c>
      <c r="B2453" s="1" t="s">
        <v>18953</v>
      </c>
      <c r="C2453" s="1" t="s">
        <v>6753</v>
      </c>
      <c r="D2453" s="1" t="s">
        <v>6753</v>
      </c>
      <c r="E2453" s="1" t="s">
        <v>6754</v>
      </c>
      <c r="F2453" s="1" t="s">
        <v>14499</v>
      </c>
      <c r="G2453">
        <v>196433</v>
      </c>
      <c r="H2453">
        <v>46</v>
      </c>
      <c r="I2453" s="1" t="s">
        <v>11063</v>
      </c>
      <c r="J2453" s="11">
        <v>44729.706458333334</v>
      </c>
      <c r="K2453" s="1" t="s">
        <v>6755</v>
      </c>
      <c r="L2453" s="1">
        <v>0.57899999999999996</v>
      </c>
      <c r="M2453" s="1">
        <v>0.57799999999999996</v>
      </c>
      <c r="N2453">
        <v>3</v>
      </c>
      <c r="O2453" s="1">
        <v>-5.3609999999999998</v>
      </c>
      <c r="P2453">
        <v>1</v>
      </c>
      <c r="Q2453" s="1">
        <v>0.28299999999999997</v>
      </c>
      <c r="R2453" s="1">
        <v>0.30399999999999999</v>
      </c>
      <c r="S2453" s="1">
        <v>0.22900000000000001</v>
      </c>
      <c r="T2453" s="1">
        <v>0.1</v>
      </c>
      <c r="U2453" s="1">
        <v>0.35599999999999998</v>
      </c>
      <c r="V2453" s="1">
        <v>78.581999999999994</v>
      </c>
      <c r="W2453">
        <v>4</v>
      </c>
    </row>
    <row r="2454" spans="1:23" x14ac:dyDescent="0.25">
      <c r="A2454" s="1" t="s">
        <v>18954</v>
      </c>
      <c r="B2454" s="1" t="s">
        <v>11139</v>
      </c>
      <c r="C2454" s="1" t="s">
        <v>6756</v>
      </c>
      <c r="D2454" s="1" t="s">
        <v>18955</v>
      </c>
      <c r="E2454" s="1" t="s">
        <v>6757</v>
      </c>
      <c r="F2454" s="1" t="s">
        <v>16736</v>
      </c>
      <c r="G2454">
        <v>213372</v>
      </c>
      <c r="H2454">
        <v>35</v>
      </c>
      <c r="I2454" s="1" t="s">
        <v>11063</v>
      </c>
      <c r="J2454" s="11">
        <v>44729.706458333334</v>
      </c>
      <c r="K2454" s="1" t="s">
        <v>6758</v>
      </c>
      <c r="L2454" s="1">
        <v>0.64100000000000001</v>
      </c>
      <c r="M2454" s="1">
        <v>0.44700000000000001</v>
      </c>
      <c r="N2454">
        <v>6</v>
      </c>
      <c r="O2454" s="1">
        <v>-5.8929999999999998</v>
      </c>
      <c r="P2454">
        <v>0</v>
      </c>
      <c r="Q2454" s="1">
        <v>0.66800000000000004</v>
      </c>
      <c r="R2454" s="1">
        <v>0.104</v>
      </c>
      <c r="S2454" s="1">
        <v>0.112</v>
      </c>
      <c r="T2454" s="1">
        <v>0.94299999999999995</v>
      </c>
      <c r="U2454" s="1">
        <v>0.35199999999999998</v>
      </c>
      <c r="V2454" s="1">
        <v>100.976</v>
      </c>
      <c r="W2454">
        <v>4</v>
      </c>
    </row>
    <row r="2455" spans="1:23" x14ac:dyDescent="0.25">
      <c r="A2455" s="1" t="s">
        <v>18956</v>
      </c>
      <c r="B2455" s="1" t="s">
        <v>18957</v>
      </c>
      <c r="C2455" s="1" t="s">
        <v>6759</v>
      </c>
      <c r="D2455" s="1" t="s">
        <v>18958</v>
      </c>
      <c r="E2455" s="1" t="s">
        <v>6760</v>
      </c>
      <c r="F2455" s="1" t="s">
        <v>18959</v>
      </c>
      <c r="G2455">
        <v>236170</v>
      </c>
      <c r="H2455">
        <v>65</v>
      </c>
      <c r="I2455" s="1" t="s">
        <v>11063</v>
      </c>
      <c r="J2455" s="11">
        <v>44729.706458333334</v>
      </c>
      <c r="K2455" s="1" t="s">
        <v>6761</v>
      </c>
      <c r="L2455" s="1">
        <v>0.49</v>
      </c>
      <c r="M2455" s="1">
        <v>0.60599999999999998</v>
      </c>
      <c r="N2455">
        <v>7</v>
      </c>
      <c r="O2455" s="1">
        <v>-6.6040000000000001</v>
      </c>
      <c r="P2455">
        <v>0</v>
      </c>
      <c r="Q2455" s="1">
        <v>0.42399999999999999</v>
      </c>
      <c r="R2455" s="1">
        <v>0.16900000000000001</v>
      </c>
      <c r="S2455" s="1">
        <v>0.106</v>
      </c>
      <c r="T2455" s="1">
        <v>0.70399999999999996</v>
      </c>
      <c r="U2455" s="1">
        <v>0.11899999999999999</v>
      </c>
      <c r="V2455" s="1">
        <v>126.553</v>
      </c>
      <c r="W2455">
        <v>4</v>
      </c>
    </row>
    <row r="2456" spans="1:23" x14ac:dyDescent="0.25">
      <c r="A2456" s="1" t="s">
        <v>18960</v>
      </c>
      <c r="B2456" s="1" t="s">
        <v>18961</v>
      </c>
      <c r="C2456" s="1" t="s">
        <v>6762</v>
      </c>
      <c r="D2456" s="1" t="s">
        <v>18962</v>
      </c>
      <c r="E2456" s="1" t="s">
        <v>6763</v>
      </c>
      <c r="F2456" s="1" t="s">
        <v>18963</v>
      </c>
      <c r="G2456">
        <v>219702</v>
      </c>
      <c r="H2456">
        <v>45</v>
      </c>
      <c r="I2456" s="1" t="s">
        <v>11063</v>
      </c>
      <c r="J2456" s="11">
        <v>44729.706458333334</v>
      </c>
      <c r="K2456" s="1" t="s">
        <v>6764</v>
      </c>
      <c r="L2456" s="1">
        <v>0.52500000000000002</v>
      </c>
      <c r="M2456" s="1">
        <v>0.749</v>
      </c>
      <c r="N2456">
        <v>11</v>
      </c>
      <c r="O2456" s="1">
        <v>-4.5030000000000001</v>
      </c>
      <c r="P2456">
        <v>0</v>
      </c>
      <c r="Q2456" s="1">
        <v>0.86299999999999999</v>
      </c>
      <c r="R2456" s="1">
        <v>0.35</v>
      </c>
      <c r="S2456" s="1">
        <v>0.41599999999999998</v>
      </c>
      <c r="T2456" s="1">
        <v>0.10299999999999999</v>
      </c>
      <c r="U2456" s="1">
        <v>0.113</v>
      </c>
      <c r="V2456" s="1">
        <v>103.113</v>
      </c>
      <c r="W2456">
        <v>4</v>
      </c>
    </row>
    <row r="2457" spans="1:23" x14ac:dyDescent="0.25">
      <c r="A2457" s="1" t="s">
        <v>18964</v>
      </c>
      <c r="B2457" s="1" t="s">
        <v>18965</v>
      </c>
      <c r="C2457" s="1" t="s">
        <v>6765</v>
      </c>
      <c r="D2457" s="1" t="s">
        <v>6765</v>
      </c>
      <c r="E2457" s="1" t="s">
        <v>6766</v>
      </c>
      <c r="F2457" s="1" t="s">
        <v>11530</v>
      </c>
      <c r="G2457">
        <v>192881</v>
      </c>
      <c r="H2457">
        <v>72</v>
      </c>
      <c r="I2457" s="1" t="s">
        <v>11063</v>
      </c>
      <c r="J2457" s="11">
        <v>44729.706458333334</v>
      </c>
      <c r="K2457" s="1" t="s">
        <v>6767</v>
      </c>
      <c r="L2457" s="1">
        <v>0.45900000000000002</v>
      </c>
      <c r="M2457" s="1">
        <v>0.66300000000000003</v>
      </c>
      <c r="N2457">
        <v>8</v>
      </c>
      <c r="O2457" s="1">
        <v>-5.9390000000000001</v>
      </c>
      <c r="P2457">
        <v>0</v>
      </c>
      <c r="Q2457" s="1">
        <v>0.1</v>
      </c>
      <c r="R2457" s="1">
        <v>0.16900000000000001</v>
      </c>
      <c r="S2457" s="1">
        <v>0</v>
      </c>
      <c r="T2457" s="1">
        <v>0.621</v>
      </c>
      <c r="U2457" s="1">
        <v>0.41199999999999998</v>
      </c>
      <c r="V2457" s="1">
        <v>176.791</v>
      </c>
      <c r="W2457">
        <v>4</v>
      </c>
    </row>
    <row r="2458" spans="1:23" x14ac:dyDescent="0.25">
      <c r="A2458" s="1" t="s">
        <v>18966</v>
      </c>
      <c r="B2458" s="1" t="s">
        <v>18961</v>
      </c>
      <c r="C2458" s="1" t="s">
        <v>6768</v>
      </c>
      <c r="D2458" s="1" t="s">
        <v>18962</v>
      </c>
      <c r="E2458" s="1" t="s">
        <v>6763</v>
      </c>
      <c r="F2458" s="1" t="s">
        <v>18963</v>
      </c>
      <c r="G2458">
        <v>325908</v>
      </c>
      <c r="H2458">
        <v>52</v>
      </c>
      <c r="I2458" s="1" t="s">
        <v>11063</v>
      </c>
      <c r="J2458" s="11">
        <v>44729.706458333334</v>
      </c>
      <c r="K2458" s="1" t="s">
        <v>6764</v>
      </c>
      <c r="L2458" s="1">
        <v>0.56299999999999994</v>
      </c>
      <c r="M2458" s="1">
        <v>0.83599999999999997</v>
      </c>
      <c r="N2458">
        <v>5</v>
      </c>
      <c r="O2458" s="1">
        <v>-5.891</v>
      </c>
      <c r="P2458">
        <v>0</v>
      </c>
      <c r="Q2458" s="1">
        <v>0.35699999999999998</v>
      </c>
      <c r="R2458" s="1">
        <v>0.84599999999999997</v>
      </c>
      <c r="S2458" s="1">
        <v>0.5</v>
      </c>
      <c r="T2458" s="1">
        <v>0.11600000000000001</v>
      </c>
      <c r="U2458" s="1">
        <v>0.154</v>
      </c>
      <c r="V2458" s="1">
        <v>105.006</v>
      </c>
      <c r="W2458">
        <v>4</v>
      </c>
    </row>
    <row r="2459" spans="1:23" x14ac:dyDescent="0.25">
      <c r="A2459" s="1" t="s">
        <v>18967</v>
      </c>
      <c r="B2459" s="1" t="s">
        <v>18961</v>
      </c>
      <c r="C2459" s="1" t="s">
        <v>6769</v>
      </c>
      <c r="D2459" s="1" t="s">
        <v>18968</v>
      </c>
      <c r="E2459" s="1" t="s">
        <v>6763</v>
      </c>
      <c r="F2459" s="1" t="s">
        <v>18969</v>
      </c>
      <c r="G2459">
        <v>382813</v>
      </c>
      <c r="H2459">
        <v>52</v>
      </c>
      <c r="I2459" s="1" t="s">
        <v>11063</v>
      </c>
      <c r="J2459" s="11">
        <v>44729.706458333334</v>
      </c>
      <c r="K2459" s="1" t="s">
        <v>6764</v>
      </c>
      <c r="L2459" s="1">
        <v>0.59799999999999998</v>
      </c>
      <c r="M2459" s="1">
        <v>0.67</v>
      </c>
      <c r="N2459">
        <v>1</v>
      </c>
      <c r="O2459" s="1">
        <v>-9.2050000000000001</v>
      </c>
      <c r="P2459">
        <v>0</v>
      </c>
      <c r="Q2459" s="1">
        <v>0.95</v>
      </c>
      <c r="R2459" s="1">
        <v>0.38300000000000001</v>
      </c>
      <c r="S2459" s="1">
        <v>0.80500000000000005</v>
      </c>
      <c r="T2459" s="1">
        <v>0.78100000000000003</v>
      </c>
      <c r="U2459" s="1">
        <v>0.189</v>
      </c>
      <c r="V2459" s="1">
        <v>104.964</v>
      </c>
      <c r="W2459">
        <v>4</v>
      </c>
    </row>
    <row r="2460" spans="1:23" x14ac:dyDescent="0.25">
      <c r="A2460" s="1" t="s">
        <v>18970</v>
      </c>
      <c r="B2460" s="1" t="s">
        <v>18971</v>
      </c>
      <c r="C2460" s="1" t="s">
        <v>6770</v>
      </c>
      <c r="D2460" s="1" t="s">
        <v>6770</v>
      </c>
      <c r="E2460" s="1" t="s">
        <v>6771</v>
      </c>
      <c r="F2460" s="1" t="s">
        <v>11758</v>
      </c>
      <c r="G2460">
        <v>180000</v>
      </c>
      <c r="H2460">
        <v>43</v>
      </c>
      <c r="I2460" s="1" t="s">
        <v>11063</v>
      </c>
      <c r="J2460" s="11">
        <v>44729.706458333334</v>
      </c>
      <c r="K2460" s="1" t="s">
        <v>4965</v>
      </c>
      <c r="L2460" s="1">
        <v>0.71499999999999997</v>
      </c>
      <c r="M2460" s="1">
        <v>0.86</v>
      </c>
      <c r="N2460">
        <v>1</v>
      </c>
      <c r="O2460" s="1">
        <v>-3.2120000000000002</v>
      </c>
      <c r="P2460">
        <v>1</v>
      </c>
      <c r="Q2460" s="1">
        <v>0.23799999999999999</v>
      </c>
      <c r="R2460" s="1">
        <v>0.79800000000000004</v>
      </c>
      <c r="S2460" s="1">
        <v>0.83399999999999996</v>
      </c>
      <c r="T2460" s="1">
        <v>0.252</v>
      </c>
      <c r="U2460" s="1">
        <v>0.371</v>
      </c>
      <c r="V2460" s="1">
        <v>149.99</v>
      </c>
      <c r="W2460">
        <v>4</v>
      </c>
    </row>
    <row r="2461" spans="1:23" x14ac:dyDescent="0.25">
      <c r="A2461" s="1" t="s">
        <v>18972</v>
      </c>
      <c r="B2461" s="1" t="s">
        <v>18973</v>
      </c>
      <c r="C2461" s="1" t="s">
        <v>6772</v>
      </c>
      <c r="D2461" s="1" t="s">
        <v>18974</v>
      </c>
      <c r="E2461" s="1" t="s">
        <v>6773</v>
      </c>
      <c r="F2461" s="1" t="s">
        <v>14479</v>
      </c>
      <c r="G2461">
        <v>156000</v>
      </c>
      <c r="H2461">
        <v>19</v>
      </c>
      <c r="I2461" s="1" t="s">
        <v>11063</v>
      </c>
      <c r="J2461" s="11">
        <v>44729.706458333334</v>
      </c>
      <c r="K2461" s="1" t="s">
        <v>6774</v>
      </c>
      <c r="L2461" s="1">
        <v>0.72099999999999997</v>
      </c>
      <c r="M2461" s="1">
        <v>0.93300000000000005</v>
      </c>
      <c r="N2461">
        <v>5</v>
      </c>
      <c r="O2461" s="1">
        <v>-1.522</v>
      </c>
      <c r="P2461">
        <v>1</v>
      </c>
      <c r="Q2461" s="1">
        <v>0.35699999999999998</v>
      </c>
      <c r="R2461" s="1">
        <v>0.372</v>
      </c>
      <c r="S2461" s="1">
        <v>0.22</v>
      </c>
      <c r="T2461" s="1">
        <v>0.129</v>
      </c>
      <c r="U2461" s="1">
        <v>0.32</v>
      </c>
      <c r="V2461" s="1">
        <v>100.065</v>
      </c>
      <c r="W2461">
        <v>4</v>
      </c>
    </row>
    <row r="2462" spans="1:23" x14ac:dyDescent="0.25">
      <c r="A2462" s="1" t="s">
        <v>18975</v>
      </c>
      <c r="B2462" s="1" t="s">
        <v>18976</v>
      </c>
      <c r="C2462" s="1" t="s">
        <v>6775</v>
      </c>
      <c r="D2462" s="1" t="s">
        <v>6775</v>
      </c>
      <c r="E2462" s="1" t="s">
        <v>6776</v>
      </c>
      <c r="F2462" s="1" t="s">
        <v>14667</v>
      </c>
      <c r="G2462">
        <v>179171</v>
      </c>
      <c r="H2462">
        <v>0</v>
      </c>
      <c r="I2462" s="1" t="s">
        <v>11063</v>
      </c>
      <c r="J2462" s="11">
        <v>44729.706458333334</v>
      </c>
      <c r="K2462" s="1" t="s">
        <v>6777</v>
      </c>
      <c r="L2462" s="1">
        <v>0.73</v>
      </c>
      <c r="M2462" s="1">
        <v>0.70299999999999996</v>
      </c>
      <c r="N2462">
        <v>1</v>
      </c>
      <c r="O2462" s="1">
        <v>-7.4820000000000002</v>
      </c>
      <c r="P2462">
        <v>1</v>
      </c>
      <c r="Q2462" s="1">
        <v>0.443</v>
      </c>
      <c r="R2462" s="1">
        <v>0.434</v>
      </c>
      <c r="S2462" s="1">
        <v>0.71699999999999997</v>
      </c>
      <c r="T2462" s="1">
        <v>0.76300000000000001</v>
      </c>
      <c r="U2462" s="1">
        <v>0.61799999999999999</v>
      </c>
      <c r="V2462" s="1">
        <v>138.023</v>
      </c>
      <c r="W2462">
        <v>4</v>
      </c>
    </row>
    <row r="2463" spans="1:23" x14ac:dyDescent="0.25">
      <c r="A2463" s="1" t="s">
        <v>18977</v>
      </c>
      <c r="B2463" s="1" t="s">
        <v>18978</v>
      </c>
      <c r="C2463" s="1" t="s">
        <v>6778</v>
      </c>
      <c r="D2463" s="1" t="s">
        <v>18979</v>
      </c>
      <c r="E2463" s="1" t="s">
        <v>6779</v>
      </c>
      <c r="F2463" s="1" t="s">
        <v>18980</v>
      </c>
      <c r="G2463">
        <v>210419</v>
      </c>
      <c r="H2463">
        <v>42</v>
      </c>
      <c r="I2463" s="1" t="s">
        <v>11063</v>
      </c>
      <c r="J2463" s="11">
        <v>44729.706458333334</v>
      </c>
      <c r="K2463" s="1" t="s">
        <v>6780</v>
      </c>
      <c r="L2463" s="1">
        <v>0.65900000000000003</v>
      </c>
      <c r="M2463" s="1">
        <v>0.79</v>
      </c>
      <c r="N2463">
        <v>1</v>
      </c>
      <c r="O2463" s="1">
        <v>-2.129</v>
      </c>
      <c r="P2463">
        <v>0</v>
      </c>
      <c r="Q2463" s="1">
        <v>0.877</v>
      </c>
      <c r="R2463" s="1">
        <v>0.42899999999999999</v>
      </c>
      <c r="S2463" s="1">
        <v>0.36199999999999999</v>
      </c>
      <c r="T2463" s="1">
        <v>0.75700000000000001</v>
      </c>
      <c r="U2463" s="1">
        <v>0.65600000000000003</v>
      </c>
      <c r="V2463" s="1">
        <v>88.054000000000002</v>
      </c>
      <c r="W2463">
        <v>4</v>
      </c>
    </row>
    <row r="2464" spans="1:23" x14ac:dyDescent="0.25">
      <c r="A2464" s="1" t="s">
        <v>18981</v>
      </c>
      <c r="B2464" s="1" t="s">
        <v>18973</v>
      </c>
      <c r="C2464" s="1" t="s">
        <v>6781</v>
      </c>
      <c r="D2464" s="1" t="s">
        <v>6781</v>
      </c>
      <c r="E2464" s="1" t="s">
        <v>6773</v>
      </c>
      <c r="F2464" s="1" t="s">
        <v>14558</v>
      </c>
      <c r="G2464">
        <v>185440</v>
      </c>
      <c r="H2464">
        <v>0</v>
      </c>
      <c r="I2464" s="1" t="s">
        <v>11063</v>
      </c>
      <c r="J2464" s="11">
        <v>44729.706458333334</v>
      </c>
      <c r="K2464" s="1" t="s">
        <v>6774</v>
      </c>
      <c r="L2464" s="1">
        <v>0.626</v>
      </c>
      <c r="M2464" s="1">
        <v>0.92400000000000004</v>
      </c>
      <c r="N2464">
        <v>9</v>
      </c>
      <c r="O2464" s="1">
        <v>-2.3479999999999999</v>
      </c>
      <c r="P2464">
        <v>0</v>
      </c>
      <c r="Q2464" s="1">
        <v>0.13800000000000001</v>
      </c>
      <c r="R2464" s="1">
        <v>0.17699999999999999</v>
      </c>
      <c r="S2464" s="1">
        <v>0</v>
      </c>
      <c r="T2464" s="1">
        <v>0.104</v>
      </c>
      <c r="U2464" s="1">
        <v>0.48899999999999999</v>
      </c>
      <c r="V2464" s="1">
        <v>149.79300000000001</v>
      </c>
      <c r="W2464">
        <v>4</v>
      </c>
    </row>
    <row r="2465" spans="1:23" x14ac:dyDescent="0.25">
      <c r="A2465" s="1" t="s">
        <v>18982</v>
      </c>
      <c r="B2465" s="1" t="s">
        <v>18983</v>
      </c>
      <c r="C2465" s="1" t="s">
        <v>6782</v>
      </c>
      <c r="D2465" s="1" t="s">
        <v>18984</v>
      </c>
      <c r="E2465" s="1" t="s">
        <v>6783</v>
      </c>
      <c r="F2465" s="1" t="s">
        <v>16046</v>
      </c>
      <c r="G2465">
        <v>158571</v>
      </c>
      <c r="H2465">
        <v>52</v>
      </c>
      <c r="I2465" s="1" t="s">
        <v>11063</v>
      </c>
      <c r="J2465" s="11">
        <v>44729.706458333334</v>
      </c>
      <c r="K2465" s="1" t="s">
        <v>6784</v>
      </c>
      <c r="L2465" s="1">
        <v>0.75</v>
      </c>
      <c r="M2465" s="1">
        <v>0.93100000000000005</v>
      </c>
      <c r="N2465">
        <v>8</v>
      </c>
      <c r="O2465" s="1">
        <v>-5.1660000000000004</v>
      </c>
      <c r="P2465">
        <v>1</v>
      </c>
      <c r="Q2465" s="1">
        <v>0.46400000000000002</v>
      </c>
      <c r="R2465" s="1">
        <v>0.16800000000000001</v>
      </c>
      <c r="S2465" s="1">
        <v>0.28399999999999997</v>
      </c>
      <c r="T2465" s="1">
        <v>0.249</v>
      </c>
      <c r="U2465" s="1">
        <v>0.47199999999999998</v>
      </c>
      <c r="V2465" s="1">
        <v>140.15100000000001</v>
      </c>
      <c r="W2465">
        <v>3</v>
      </c>
    </row>
    <row r="2466" spans="1:23" x14ac:dyDescent="0.25">
      <c r="A2466" s="1" t="s">
        <v>18985</v>
      </c>
      <c r="B2466" s="1" t="s">
        <v>18973</v>
      </c>
      <c r="C2466" s="1" t="s">
        <v>6785</v>
      </c>
      <c r="D2466" s="1" t="s">
        <v>6785</v>
      </c>
      <c r="E2466" s="1" t="s">
        <v>6773</v>
      </c>
      <c r="F2466" s="1" t="s">
        <v>18986</v>
      </c>
      <c r="G2466">
        <v>174400</v>
      </c>
      <c r="H2466">
        <v>37</v>
      </c>
      <c r="I2466" s="1" t="s">
        <v>11063</v>
      </c>
      <c r="J2466" s="11">
        <v>44729.706458333334</v>
      </c>
      <c r="K2466" s="1" t="s">
        <v>6774</v>
      </c>
      <c r="L2466" s="1">
        <v>0.56000000000000005</v>
      </c>
      <c r="M2466" s="1">
        <v>0.85099999999999998</v>
      </c>
      <c r="N2466">
        <v>5</v>
      </c>
      <c r="O2466" s="1">
        <v>-1.51</v>
      </c>
      <c r="P2466">
        <v>0</v>
      </c>
      <c r="Q2466" s="1">
        <v>0.152</v>
      </c>
      <c r="R2466" s="1">
        <v>0.107</v>
      </c>
      <c r="S2466" s="1">
        <v>0</v>
      </c>
      <c r="T2466" s="1">
        <v>0.83899999999999997</v>
      </c>
      <c r="U2466" s="1">
        <v>0.53200000000000003</v>
      </c>
      <c r="V2466" s="1">
        <v>74.936000000000007</v>
      </c>
      <c r="W2466">
        <v>4</v>
      </c>
    </row>
    <row r="2467" spans="1:23" x14ac:dyDescent="0.25">
      <c r="A2467" s="1" t="s">
        <v>18987</v>
      </c>
      <c r="B2467" s="1" t="s">
        <v>18988</v>
      </c>
      <c r="C2467" s="1" t="s">
        <v>6786</v>
      </c>
      <c r="D2467" s="1" t="s">
        <v>18989</v>
      </c>
      <c r="E2467" s="1" t="s">
        <v>6787</v>
      </c>
      <c r="F2467" s="1" t="s">
        <v>11758</v>
      </c>
      <c r="G2467">
        <v>193732</v>
      </c>
      <c r="H2467">
        <v>51</v>
      </c>
      <c r="I2467" s="1" t="s">
        <v>11063</v>
      </c>
      <c r="J2467" s="11">
        <v>44729.706458333334</v>
      </c>
      <c r="K2467" s="1" t="s">
        <v>5853</v>
      </c>
      <c r="L2467" s="1">
        <v>0.46400000000000002</v>
      </c>
      <c r="M2467" s="1">
        <v>0.496</v>
      </c>
      <c r="N2467">
        <v>0</v>
      </c>
      <c r="O2467" s="1">
        <v>-6.6879999999999997</v>
      </c>
      <c r="P2467">
        <v>1</v>
      </c>
      <c r="Q2467" s="1">
        <v>0.44700000000000001</v>
      </c>
      <c r="R2467" s="1">
        <v>0.16300000000000001</v>
      </c>
      <c r="S2467" s="1">
        <v>0.501</v>
      </c>
      <c r="T2467" s="1">
        <v>0.78300000000000003</v>
      </c>
      <c r="U2467" s="1">
        <v>0.80300000000000005</v>
      </c>
      <c r="V2467" s="1">
        <v>113.31699999999999</v>
      </c>
      <c r="W2467">
        <v>4</v>
      </c>
    </row>
    <row r="2468" spans="1:23" x14ac:dyDescent="0.25">
      <c r="A2468" s="1" t="s">
        <v>18990</v>
      </c>
      <c r="B2468" s="1" t="s">
        <v>18991</v>
      </c>
      <c r="C2468" s="1" t="s">
        <v>3559</v>
      </c>
      <c r="D2468" s="1" t="s">
        <v>18974</v>
      </c>
      <c r="E2468" s="1" t="s">
        <v>6788</v>
      </c>
      <c r="F2468" s="1" t="s">
        <v>14479</v>
      </c>
      <c r="G2468">
        <v>211411</v>
      </c>
      <c r="H2468">
        <v>21</v>
      </c>
      <c r="I2468" s="1" t="s">
        <v>11063</v>
      </c>
      <c r="J2468" s="11">
        <v>44729.706458333334</v>
      </c>
      <c r="K2468" s="1" t="s">
        <v>6774</v>
      </c>
      <c r="L2468" s="1">
        <v>0.48</v>
      </c>
      <c r="M2468" s="1">
        <v>0.94099999999999995</v>
      </c>
      <c r="N2468">
        <v>1</v>
      </c>
      <c r="O2468" s="1">
        <v>-0.32300000000000001</v>
      </c>
      <c r="P2468">
        <v>1</v>
      </c>
      <c r="Q2468" s="1">
        <v>0.11</v>
      </c>
      <c r="R2468" s="1">
        <v>0.13</v>
      </c>
      <c r="S2468" s="1">
        <v>0.29399999999999998</v>
      </c>
      <c r="T2468" s="1">
        <v>0.39900000000000002</v>
      </c>
      <c r="U2468" s="1">
        <v>0.40799999999999997</v>
      </c>
      <c r="V2468" s="1">
        <v>168.029</v>
      </c>
      <c r="W2468">
        <v>4</v>
      </c>
    </row>
    <row r="2469" spans="1:23" x14ac:dyDescent="0.25">
      <c r="A2469" s="1" t="s">
        <v>18992</v>
      </c>
      <c r="B2469" s="1" t="s">
        <v>18973</v>
      </c>
      <c r="C2469" s="1" t="s">
        <v>6789</v>
      </c>
      <c r="D2469" s="1" t="s">
        <v>18974</v>
      </c>
      <c r="E2469" s="1" t="s">
        <v>6773</v>
      </c>
      <c r="F2469" s="1" t="s">
        <v>14479</v>
      </c>
      <c r="G2469">
        <v>216000</v>
      </c>
      <c r="H2469">
        <v>39</v>
      </c>
      <c r="I2469" s="1" t="s">
        <v>11063</v>
      </c>
      <c r="J2469" s="11">
        <v>44729.706458333334</v>
      </c>
      <c r="K2469" s="1" t="s">
        <v>6774</v>
      </c>
      <c r="L2469" s="1">
        <v>0.51400000000000001</v>
      </c>
      <c r="M2469" s="1">
        <v>0.82899999999999996</v>
      </c>
      <c r="N2469">
        <v>3</v>
      </c>
      <c r="O2469" s="1">
        <v>-4.8689999999999998</v>
      </c>
      <c r="P2469">
        <v>0</v>
      </c>
      <c r="Q2469" s="1">
        <v>0.17599999999999999</v>
      </c>
      <c r="R2469" s="1">
        <v>0.66800000000000004</v>
      </c>
      <c r="S2469" s="1">
        <v>0</v>
      </c>
      <c r="T2469" s="1">
        <v>0.15</v>
      </c>
      <c r="U2469" s="1">
        <v>0.42599999999999999</v>
      </c>
      <c r="V2469" s="1">
        <v>150.19300000000001</v>
      </c>
      <c r="W2469">
        <v>4</v>
      </c>
    </row>
    <row r="2470" spans="1:23" x14ac:dyDescent="0.25">
      <c r="A2470" s="1" t="s">
        <v>18993</v>
      </c>
      <c r="B2470" s="1" t="s">
        <v>18973</v>
      </c>
      <c r="C2470" s="1" t="s">
        <v>6790</v>
      </c>
      <c r="D2470" s="1" t="s">
        <v>18974</v>
      </c>
      <c r="E2470" s="1" t="s">
        <v>6773</v>
      </c>
      <c r="F2470" s="1" t="s">
        <v>14479</v>
      </c>
      <c r="G2470">
        <v>205954</v>
      </c>
      <c r="H2470">
        <v>50</v>
      </c>
      <c r="I2470" s="1" t="s">
        <v>11063</v>
      </c>
      <c r="J2470" s="11">
        <v>44729.706458333334</v>
      </c>
      <c r="K2470" s="1" t="s">
        <v>6774</v>
      </c>
      <c r="L2470" s="1">
        <v>0.49399999999999999</v>
      </c>
      <c r="M2470" s="1">
        <v>0.82499999999999996</v>
      </c>
      <c r="N2470">
        <v>5</v>
      </c>
      <c r="O2470" s="1">
        <v>-2.407</v>
      </c>
      <c r="P2470">
        <v>1</v>
      </c>
      <c r="Q2470" s="1">
        <v>0.377</v>
      </c>
      <c r="R2470" s="1">
        <v>0.46300000000000002</v>
      </c>
      <c r="S2470" s="1">
        <v>0</v>
      </c>
      <c r="T2470" s="1">
        <v>0.14899999999999999</v>
      </c>
      <c r="U2470" s="1">
        <v>0.20300000000000001</v>
      </c>
      <c r="V2470" s="1">
        <v>89.960999999999999</v>
      </c>
      <c r="W2470">
        <v>4</v>
      </c>
    </row>
    <row r="2471" spans="1:23" x14ac:dyDescent="0.25">
      <c r="A2471" s="1" t="s">
        <v>18994</v>
      </c>
      <c r="B2471" s="1" t="s">
        <v>18991</v>
      </c>
      <c r="C2471" s="1" t="s">
        <v>6791</v>
      </c>
      <c r="D2471" s="1" t="s">
        <v>6791</v>
      </c>
      <c r="E2471" s="1" t="s">
        <v>6788</v>
      </c>
      <c r="F2471" s="1" t="s">
        <v>17861</v>
      </c>
      <c r="G2471">
        <v>215744</v>
      </c>
      <c r="H2471">
        <v>34</v>
      </c>
      <c r="I2471" s="1" t="s">
        <v>11063</v>
      </c>
      <c r="J2471" s="11">
        <v>44729.706458333334</v>
      </c>
      <c r="K2471" s="1" t="s">
        <v>6774</v>
      </c>
      <c r="L2471" s="1">
        <v>0.53400000000000003</v>
      </c>
      <c r="M2471" s="1">
        <v>0.80100000000000005</v>
      </c>
      <c r="N2471">
        <v>0</v>
      </c>
      <c r="O2471" s="1">
        <v>-2.4</v>
      </c>
      <c r="P2471">
        <v>1</v>
      </c>
      <c r="Q2471" s="1">
        <v>0.65600000000000003</v>
      </c>
      <c r="R2471" s="1">
        <v>0.41899999999999998</v>
      </c>
      <c r="S2471" s="1">
        <v>0</v>
      </c>
      <c r="T2471" s="1">
        <v>0.11799999999999999</v>
      </c>
      <c r="U2471" s="1">
        <v>0.43099999999999999</v>
      </c>
      <c r="V2471" s="1">
        <v>94.1</v>
      </c>
      <c r="W2471">
        <v>4</v>
      </c>
    </row>
    <row r="2472" spans="1:23" x14ac:dyDescent="0.25">
      <c r="A2472" s="1" t="s">
        <v>18995</v>
      </c>
      <c r="B2472" s="1" t="s">
        <v>18996</v>
      </c>
      <c r="C2472" s="1" t="s">
        <v>6792</v>
      </c>
      <c r="D2472" s="1" t="s">
        <v>6792</v>
      </c>
      <c r="E2472" s="1" t="s">
        <v>6793</v>
      </c>
      <c r="F2472" s="1" t="s">
        <v>11616</v>
      </c>
      <c r="G2472">
        <v>188210</v>
      </c>
      <c r="H2472">
        <v>0</v>
      </c>
      <c r="I2472" s="1" t="s">
        <v>11063</v>
      </c>
      <c r="J2472" s="11">
        <v>44729.706458333334</v>
      </c>
      <c r="K2472" s="1" t="s">
        <v>2501</v>
      </c>
      <c r="L2472" s="1">
        <v>0.50700000000000001</v>
      </c>
      <c r="M2472" s="1">
        <v>0.69499999999999995</v>
      </c>
      <c r="N2472">
        <v>6</v>
      </c>
      <c r="O2472" s="1">
        <v>-8.4410000000000007</v>
      </c>
      <c r="P2472">
        <v>0</v>
      </c>
      <c r="Q2472" s="1">
        <v>0.50800000000000001</v>
      </c>
      <c r="R2472" s="1">
        <v>0.21299999999999999</v>
      </c>
      <c r="S2472" s="1">
        <v>0.13900000000000001</v>
      </c>
      <c r="T2472" s="1">
        <v>0.89200000000000002</v>
      </c>
      <c r="U2472" s="1">
        <v>0.54400000000000004</v>
      </c>
      <c r="V2472" s="1">
        <v>95.012</v>
      </c>
      <c r="W2472">
        <v>4</v>
      </c>
    </row>
    <row r="2473" spans="1:23" x14ac:dyDescent="0.25">
      <c r="A2473" s="1" t="s">
        <v>18997</v>
      </c>
      <c r="B2473" s="1" t="s">
        <v>18998</v>
      </c>
      <c r="C2473" s="1" t="s">
        <v>3424</v>
      </c>
      <c r="D2473" s="1" t="s">
        <v>3424</v>
      </c>
      <c r="E2473" s="1" t="s">
        <v>6794</v>
      </c>
      <c r="F2473" s="1" t="s">
        <v>13604</v>
      </c>
      <c r="G2473">
        <v>182400</v>
      </c>
      <c r="H2473">
        <v>0</v>
      </c>
      <c r="I2473" s="1" t="s">
        <v>11063</v>
      </c>
      <c r="J2473" s="11">
        <v>44729.706458333334</v>
      </c>
      <c r="K2473" s="1" t="s">
        <v>2457</v>
      </c>
      <c r="L2473" s="1">
        <v>0.60699999999999998</v>
      </c>
      <c r="M2473" s="1">
        <v>0.55000000000000004</v>
      </c>
      <c r="N2473">
        <v>0</v>
      </c>
      <c r="O2473" s="1">
        <v>-10.581</v>
      </c>
      <c r="P2473">
        <v>0</v>
      </c>
      <c r="Q2473" s="1">
        <v>0.56100000000000005</v>
      </c>
      <c r="R2473" s="1">
        <v>0.10299999999999999</v>
      </c>
      <c r="S2473" s="1">
        <v>0.26</v>
      </c>
      <c r="T2473" s="1">
        <v>0.126</v>
      </c>
      <c r="U2473" s="1">
        <v>0.22700000000000001</v>
      </c>
      <c r="V2473" s="1">
        <v>100.03100000000001</v>
      </c>
      <c r="W2473">
        <v>4</v>
      </c>
    </row>
    <row r="2474" spans="1:23" x14ac:dyDescent="0.25">
      <c r="A2474" s="1" t="s">
        <v>18999</v>
      </c>
      <c r="B2474" s="1" t="s">
        <v>19000</v>
      </c>
      <c r="C2474" s="1" t="s">
        <v>6795</v>
      </c>
      <c r="D2474" s="1" t="s">
        <v>6795</v>
      </c>
      <c r="E2474" s="1" t="s">
        <v>6796</v>
      </c>
      <c r="F2474" s="1" t="s">
        <v>18450</v>
      </c>
      <c r="G2474">
        <v>157500</v>
      </c>
      <c r="H2474">
        <v>52</v>
      </c>
      <c r="I2474" s="1" t="s">
        <v>11063</v>
      </c>
      <c r="J2474" s="11">
        <v>44729.706458333334</v>
      </c>
      <c r="K2474" s="1" t="s">
        <v>2457</v>
      </c>
      <c r="L2474" s="1">
        <v>0.64400000000000002</v>
      </c>
      <c r="M2474" s="1">
        <v>0.63500000000000001</v>
      </c>
      <c r="N2474">
        <v>7</v>
      </c>
      <c r="O2474" s="1">
        <v>-6.0410000000000004</v>
      </c>
      <c r="P2474">
        <v>0</v>
      </c>
      <c r="Q2474" s="1">
        <v>0.45300000000000001</v>
      </c>
      <c r="R2474" s="1">
        <v>0.66100000000000003</v>
      </c>
      <c r="S2474" s="1">
        <v>0.13500000000000001</v>
      </c>
      <c r="T2474" s="1">
        <v>0.251</v>
      </c>
      <c r="U2474" s="1">
        <v>0.29099999999999998</v>
      </c>
      <c r="V2474" s="1">
        <v>79.957999999999998</v>
      </c>
      <c r="W2474">
        <v>4</v>
      </c>
    </row>
    <row r="2475" spans="1:23" x14ac:dyDescent="0.25">
      <c r="A2475" s="1" t="s">
        <v>19001</v>
      </c>
      <c r="B2475" s="1" t="s">
        <v>19002</v>
      </c>
      <c r="C2475" s="1" t="s">
        <v>101</v>
      </c>
      <c r="D2475" s="1" t="s">
        <v>101</v>
      </c>
      <c r="E2475" s="1" t="s">
        <v>6797</v>
      </c>
      <c r="F2475" s="1" t="s">
        <v>19003</v>
      </c>
      <c r="G2475">
        <v>171789</v>
      </c>
      <c r="H2475">
        <v>0</v>
      </c>
      <c r="I2475" s="1" t="s">
        <v>11063</v>
      </c>
      <c r="J2475" s="11">
        <v>44729.706458333334</v>
      </c>
      <c r="K2475" s="1" t="s">
        <v>6798</v>
      </c>
      <c r="L2475" s="1">
        <v>0.57799999999999996</v>
      </c>
      <c r="M2475" s="1">
        <v>0.755</v>
      </c>
      <c r="N2475">
        <v>8</v>
      </c>
      <c r="O2475" s="1">
        <v>-3.9990000000000001</v>
      </c>
      <c r="P2475">
        <v>1</v>
      </c>
      <c r="Q2475" s="1">
        <v>0.373</v>
      </c>
      <c r="R2475" s="1">
        <v>0.85399999999999998</v>
      </c>
      <c r="S2475" s="1">
        <v>0</v>
      </c>
      <c r="T2475" s="1">
        <v>0.13500000000000001</v>
      </c>
      <c r="U2475" s="1">
        <v>0.127</v>
      </c>
      <c r="V2475" s="1">
        <v>95.117999999999995</v>
      </c>
      <c r="W2475">
        <v>4</v>
      </c>
    </row>
    <row r="2476" spans="1:23" x14ac:dyDescent="0.25">
      <c r="A2476" s="1" t="s">
        <v>19004</v>
      </c>
      <c r="B2476" s="1" t="s">
        <v>17449</v>
      </c>
      <c r="C2476" s="1" t="s">
        <v>3476</v>
      </c>
      <c r="D2476" s="1" t="s">
        <v>19005</v>
      </c>
      <c r="E2476" s="1" t="s">
        <v>5381</v>
      </c>
      <c r="F2476" s="1" t="s">
        <v>17067</v>
      </c>
      <c r="G2476">
        <v>241766</v>
      </c>
      <c r="H2476">
        <v>0</v>
      </c>
      <c r="I2476" s="1" t="s">
        <v>11063</v>
      </c>
      <c r="J2476" s="11">
        <v>44729.706458333334</v>
      </c>
      <c r="K2476" s="1" t="s">
        <v>3626</v>
      </c>
      <c r="L2476" s="1">
        <v>0.47</v>
      </c>
      <c r="M2476" s="1">
        <v>0.74</v>
      </c>
      <c r="N2476">
        <v>8</v>
      </c>
      <c r="O2476" s="1">
        <v>-6.4450000000000003</v>
      </c>
      <c r="P2476">
        <v>1</v>
      </c>
      <c r="Q2476" s="1">
        <v>0.877</v>
      </c>
      <c r="R2476" s="1">
        <v>0.309</v>
      </c>
      <c r="S2476" s="1">
        <v>0.92900000000000005</v>
      </c>
      <c r="T2476" s="1">
        <v>0.185</v>
      </c>
      <c r="U2476" s="1">
        <v>0.70599999999999996</v>
      </c>
      <c r="V2476" s="1">
        <v>140.03800000000001</v>
      </c>
      <c r="W2476">
        <v>4</v>
      </c>
    </row>
    <row r="2477" spans="1:23" x14ac:dyDescent="0.25">
      <c r="A2477" s="1" t="s">
        <v>19006</v>
      </c>
      <c r="B2477" s="1" t="s">
        <v>19007</v>
      </c>
      <c r="C2477" s="1" t="s">
        <v>6799</v>
      </c>
      <c r="D2477" s="1" t="s">
        <v>19008</v>
      </c>
      <c r="E2477" s="1" t="s">
        <v>6800</v>
      </c>
      <c r="F2477" s="1" t="s">
        <v>19009</v>
      </c>
      <c r="G2477">
        <v>219553</v>
      </c>
      <c r="H2477">
        <v>55</v>
      </c>
      <c r="I2477" s="1" t="s">
        <v>11063</v>
      </c>
      <c r="J2477" s="11">
        <v>44729.706458333334</v>
      </c>
      <c r="K2477" s="1" t="s">
        <v>6801</v>
      </c>
      <c r="L2477" s="1">
        <v>0.60199999999999998</v>
      </c>
      <c r="M2477" s="1">
        <v>0.75800000000000001</v>
      </c>
      <c r="N2477">
        <v>7</v>
      </c>
      <c r="O2477" s="1">
        <v>-5.2610000000000001</v>
      </c>
      <c r="P2477">
        <v>0</v>
      </c>
      <c r="Q2477" s="1">
        <v>0.68</v>
      </c>
      <c r="R2477" s="1">
        <v>0.13400000000000001</v>
      </c>
      <c r="S2477" s="1">
        <v>0</v>
      </c>
      <c r="T2477" s="1">
        <v>0.85299999999999998</v>
      </c>
      <c r="U2477" s="1">
        <v>0.156</v>
      </c>
      <c r="V2477" s="1">
        <v>99.896000000000001</v>
      </c>
      <c r="W2477">
        <v>4</v>
      </c>
    </row>
    <row r="2478" spans="1:23" x14ac:dyDescent="0.25">
      <c r="A2478" s="1" t="s">
        <v>19010</v>
      </c>
      <c r="B2478" s="1" t="s">
        <v>12154</v>
      </c>
      <c r="C2478" s="1" t="s">
        <v>1490</v>
      </c>
      <c r="D2478" s="1" t="s">
        <v>16342</v>
      </c>
      <c r="E2478" s="1" t="s">
        <v>683</v>
      </c>
      <c r="F2478" s="1" t="s">
        <v>16343</v>
      </c>
      <c r="G2478">
        <v>190077</v>
      </c>
      <c r="H2478">
        <v>49</v>
      </c>
      <c r="I2478" s="1" t="s">
        <v>11063</v>
      </c>
      <c r="J2478" s="11">
        <v>44729.706458333334</v>
      </c>
      <c r="K2478" s="1" t="s">
        <v>684</v>
      </c>
      <c r="L2478" s="1">
        <v>0.70799999999999996</v>
      </c>
      <c r="M2478" s="1">
        <v>0.47499999999999998</v>
      </c>
      <c r="N2478">
        <v>1</v>
      </c>
      <c r="O2478" s="1">
        <v>-6.4020000000000001</v>
      </c>
      <c r="P2478">
        <v>0</v>
      </c>
      <c r="Q2478" s="1">
        <v>0.40300000000000002</v>
      </c>
      <c r="R2478" s="1">
        <v>0.22900000000000001</v>
      </c>
      <c r="S2478" s="1">
        <v>0.11700000000000001</v>
      </c>
      <c r="T2478" s="1">
        <v>0.46500000000000002</v>
      </c>
      <c r="U2478" s="1">
        <v>0.16200000000000001</v>
      </c>
      <c r="V2478" s="1">
        <v>124.846</v>
      </c>
      <c r="W2478">
        <v>4</v>
      </c>
    </row>
    <row r="2479" spans="1:23" x14ac:dyDescent="0.25">
      <c r="A2479" s="1" t="s">
        <v>19011</v>
      </c>
      <c r="B2479" s="1" t="s">
        <v>12154</v>
      </c>
      <c r="C2479" s="1" t="s">
        <v>6802</v>
      </c>
      <c r="D2479" s="1" t="s">
        <v>16346</v>
      </c>
      <c r="E2479" s="1" t="s">
        <v>683</v>
      </c>
      <c r="F2479" s="1" t="s">
        <v>16347</v>
      </c>
      <c r="G2479">
        <v>206480</v>
      </c>
      <c r="H2479">
        <v>51</v>
      </c>
      <c r="I2479" s="1" t="s">
        <v>11063</v>
      </c>
      <c r="J2479" s="11">
        <v>44729.706458333334</v>
      </c>
      <c r="K2479" s="1" t="s">
        <v>684</v>
      </c>
      <c r="L2479" s="1">
        <v>0.499</v>
      </c>
      <c r="M2479" s="1">
        <v>0.84299999999999997</v>
      </c>
      <c r="N2479">
        <v>6</v>
      </c>
      <c r="O2479" s="1">
        <v>-2.2240000000000002</v>
      </c>
      <c r="P2479">
        <v>1</v>
      </c>
      <c r="Q2479" s="1">
        <v>0.113</v>
      </c>
      <c r="R2479" s="1">
        <v>0.13800000000000001</v>
      </c>
      <c r="S2479" s="1">
        <v>0</v>
      </c>
      <c r="T2479" s="1">
        <v>0.124</v>
      </c>
      <c r="U2479" s="1">
        <v>0.53300000000000003</v>
      </c>
      <c r="V2479" s="1">
        <v>127.932</v>
      </c>
      <c r="W2479">
        <v>4</v>
      </c>
    </row>
    <row r="2480" spans="1:23" x14ac:dyDescent="0.25">
      <c r="A2480" s="1" t="s">
        <v>19012</v>
      </c>
      <c r="B2480" s="1" t="s">
        <v>12154</v>
      </c>
      <c r="C2480" s="1" t="s">
        <v>2885</v>
      </c>
      <c r="D2480" s="1" t="s">
        <v>16346</v>
      </c>
      <c r="E2480" s="1" t="s">
        <v>683</v>
      </c>
      <c r="F2480" s="1" t="s">
        <v>16347</v>
      </c>
      <c r="G2480">
        <v>288880</v>
      </c>
      <c r="H2480">
        <v>54</v>
      </c>
      <c r="I2480" s="1" t="s">
        <v>11063</v>
      </c>
      <c r="J2480" s="11">
        <v>44729.706458333334</v>
      </c>
      <c r="K2480" s="1" t="s">
        <v>684</v>
      </c>
      <c r="L2480" s="1">
        <v>0.67100000000000004</v>
      </c>
      <c r="M2480" s="1">
        <v>0.82799999999999996</v>
      </c>
      <c r="N2480">
        <v>9</v>
      </c>
      <c r="O2480" s="1">
        <v>-2.907</v>
      </c>
      <c r="P2480">
        <v>1</v>
      </c>
      <c r="Q2480" s="1">
        <v>0.53</v>
      </c>
      <c r="R2480" s="1">
        <v>0.30399999999999999</v>
      </c>
      <c r="S2480" s="1">
        <v>0.28699999999999998</v>
      </c>
      <c r="T2480" s="1">
        <v>0.35199999999999998</v>
      </c>
      <c r="U2480" s="1">
        <v>0.56999999999999995</v>
      </c>
      <c r="V2480" s="1">
        <v>127.976</v>
      </c>
      <c r="W2480">
        <v>4</v>
      </c>
    </row>
    <row r="2481" spans="1:23" x14ac:dyDescent="0.25">
      <c r="A2481" s="1" t="s">
        <v>19013</v>
      </c>
      <c r="B2481" s="1" t="s">
        <v>19014</v>
      </c>
      <c r="C2481" s="1" t="s">
        <v>1253</v>
      </c>
      <c r="D2481" s="1" t="s">
        <v>1253</v>
      </c>
      <c r="E2481" s="1" t="s">
        <v>6803</v>
      </c>
      <c r="F2481" s="1" t="s">
        <v>18687</v>
      </c>
      <c r="G2481">
        <v>270224</v>
      </c>
      <c r="H2481">
        <v>0</v>
      </c>
      <c r="I2481" s="1" t="s">
        <v>11063</v>
      </c>
      <c r="J2481" s="11">
        <v>44729.706458333334</v>
      </c>
      <c r="K2481" s="1" t="s">
        <v>6804</v>
      </c>
      <c r="L2481" s="1">
        <v>0.40300000000000002</v>
      </c>
      <c r="M2481" s="1">
        <v>0.77900000000000003</v>
      </c>
      <c r="N2481">
        <v>4</v>
      </c>
      <c r="O2481" s="1">
        <v>-2.9660000000000002</v>
      </c>
      <c r="P2481">
        <v>1</v>
      </c>
      <c r="Q2481" s="1">
        <v>0.53600000000000003</v>
      </c>
      <c r="R2481" s="1">
        <v>0.125</v>
      </c>
      <c r="S2481" s="1">
        <v>0.76200000000000001</v>
      </c>
      <c r="T2481" s="1">
        <v>0.38500000000000001</v>
      </c>
      <c r="U2481" s="1">
        <v>0.10299999999999999</v>
      </c>
      <c r="V2481" s="1">
        <v>145.09200000000001</v>
      </c>
      <c r="W2481">
        <v>4</v>
      </c>
    </row>
    <row r="2482" spans="1:23" x14ac:dyDescent="0.25">
      <c r="A2482" s="1" t="s">
        <v>19015</v>
      </c>
      <c r="B2482" s="1" t="s">
        <v>19016</v>
      </c>
      <c r="C2482" s="1" t="s">
        <v>6805</v>
      </c>
      <c r="D2482" s="1" t="s">
        <v>6805</v>
      </c>
      <c r="E2482" s="1" t="s">
        <v>6806</v>
      </c>
      <c r="F2482" s="1" t="s">
        <v>16196</v>
      </c>
      <c r="G2482">
        <v>202653</v>
      </c>
      <c r="H2482">
        <v>45</v>
      </c>
      <c r="I2482" s="1" t="s">
        <v>11063</v>
      </c>
      <c r="J2482" s="11">
        <v>44729.706458333334</v>
      </c>
      <c r="K2482" s="1" t="s">
        <v>50</v>
      </c>
      <c r="L2482" s="1">
        <v>0.67</v>
      </c>
      <c r="M2482" s="1">
        <v>0.88700000000000001</v>
      </c>
      <c r="N2482">
        <v>8</v>
      </c>
      <c r="O2482" s="1">
        <v>-4.3099999999999996</v>
      </c>
      <c r="P2482">
        <v>0</v>
      </c>
      <c r="Q2482" s="1">
        <v>0.61099999999999999</v>
      </c>
      <c r="R2482" s="1">
        <v>0.313</v>
      </c>
      <c r="S2482" s="1">
        <v>0.64600000000000002</v>
      </c>
      <c r="T2482" s="1">
        <v>0.57399999999999995</v>
      </c>
      <c r="U2482" s="1">
        <v>0.93300000000000005</v>
      </c>
      <c r="V2482" s="1">
        <v>98.064999999999998</v>
      </c>
      <c r="W2482">
        <v>4</v>
      </c>
    </row>
    <row r="2483" spans="1:23" x14ac:dyDescent="0.25">
      <c r="A2483" s="1" t="s">
        <v>19017</v>
      </c>
      <c r="B2483" s="1" t="s">
        <v>19018</v>
      </c>
      <c r="C2483" s="1" t="s">
        <v>6807</v>
      </c>
      <c r="D2483" s="1" t="s">
        <v>6807</v>
      </c>
      <c r="E2483" s="1" t="s">
        <v>6808</v>
      </c>
      <c r="F2483" s="1" t="s">
        <v>14368</v>
      </c>
      <c r="G2483">
        <v>230246</v>
      </c>
      <c r="H2483">
        <v>0</v>
      </c>
      <c r="I2483" s="1" t="s">
        <v>11063</v>
      </c>
      <c r="J2483" s="11">
        <v>44729.706458333334</v>
      </c>
      <c r="K2483" s="1" t="s">
        <v>6809</v>
      </c>
      <c r="L2483" s="1">
        <v>0.46500000000000002</v>
      </c>
      <c r="M2483" s="1">
        <v>0.81599999999999995</v>
      </c>
      <c r="N2483">
        <v>9</v>
      </c>
      <c r="O2483" s="1">
        <v>-3.399</v>
      </c>
      <c r="P2483">
        <v>1</v>
      </c>
      <c r="Q2483" s="1">
        <v>0.92600000000000005</v>
      </c>
      <c r="R2483" s="1">
        <v>0.125</v>
      </c>
      <c r="S2483" s="1">
        <v>0.36299999999999999</v>
      </c>
      <c r="T2483" s="1">
        <v>0.89100000000000001</v>
      </c>
      <c r="U2483" s="1">
        <v>0.34300000000000003</v>
      </c>
      <c r="V2483" s="1">
        <v>192.041</v>
      </c>
      <c r="W2483">
        <v>4</v>
      </c>
    </row>
    <row r="2484" spans="1:23" x14ac:dyDescent="0.25">
      <c r="A2484" s="1" t="s">
        <v>11114</v>
      </c>
      <c r="B2484" s="1" t="s">
        <v>11115</v>
      </c>
      <c r="C2484" s="1" t="s">
        <v>416</v>
      </c>
      <c r="D2484" s="1" t="s">
        <v>11116</v>
      </c>
      <c r="E2484" s="1" t="s">
        <v>417</v>
      </c>
      <c r="F2484" s="1" t="s">
        <v>11711</v>
      </c>
      <c r="G2484">
        <v>233986</v>
      </c>
      <c r="H2484">
        <v>49</v>
      </c>
      <c r="I2484" s="1" t="s">
        <v>11063</v>
      </c>
      <c r="J2484" s="11">
        <v>44729.706458333334</v>
      </c>
      <c r="K2484" s="1" t="s">
        <v>418</v>
      </c>
      <c r="L2484" s="1">
        <v>0.52</v>
      </c>
      <c r="M2484" s="1">
        <v>0.82499999999999996</v>
      </c>
      <c r="N2484">
        <v>7</v>
      </c>
      <c r="O2484" s="1">
        <v>-2.1709999999999998</v>
      </c>
      <c r="P2484">
        <v>0</v>
      </c>
      <c r="Q2484" s="1">
        <v>0.46</v>
      </c>
      <c r="R2484" s="1">
        <v>0.16200000000000001</v>
      </c>
      <c r="S2484" s="1">
        <v>0</v>
      </c>
      <c r="T2484" s="1">
        <v>0.71099999999999997</v>
      </c>
      <c r="U2484" s="1">
        <v>0.26400000000000001</v>
      </c>
      <c r="V2484" s="1">
        <v>125.011</v>
      </c>
      <c r="W2484">
        <v>4</v>
      </c>
    </row>
    <row r="2485" spans="1:23" x14ac:dyDescent="0.25">
      <c r="A2485" s="1" t="s">
        <v>19019</v>
      </c>
      <c r="B2485" s="1" t="s">
        <v>19020</v>
      </c>
      <c r="C2485" s="1" t="s">
        <v>6810</v>
      </c>
      <c r="D2485" s="1" t="s">
        <v>11116</v>
      </c>
      <c r="E2485" s="1" t="s">
        <v>6811</v>
      </c>
      <c r="F2485" s="1" t="s">
        <v>11711</v>
      </c>
      <c r="G2485">
        <v>192720</v>
      </c>
      <c r="H2485">
        <v>53</v>
      </c>
      <c r="I2485" s="1" t="s">
        <v>11063</v>
      </c>
      <c r="J2485" s="11">
        <v>44729.706458333334</v>
      </c>
      <c r="K2485" s="1" t="s">
        <v>6812</v>
      </c>
      <c r="L2485" s="1">
        <v>0.49</v>
      </c>
      <c r="M2485" s="1">
        <v>0.91400000000000003</v>
      </c>
      <c r="N2485">
        <v>10</v>
      </c>
      <c r="O2485" s="1">
        <v>-3.202</v>
      </c>
      <c r="P2485">
        <v>1</v>
      </c>
      <c r="Q2485" s="1">
        <v>0.16700000000000001</v>
      </c>
      <c r="R2485" s="1">
        <v>0.22700000000000001</v>
      </c>
      <c r="S2485" s="1">
        <v>0</v>
      </c>
      <c r="T2485" s="1">
        <v>0.79300000000000004</v>
      </c>
      <c r="U2485" s="1">
        <v>0.24099999999999999</v>
      </c>
      <c r="V2485" s="1">
        <v>100.1</v>
      </c>
      <c r="W2485">
        <v>4</v>
      </c>
    </row>
    <row r="2486" spans="1:23" x14ac:dyDescent="0.25">
      <c r="A2486" s="1" t="s">
        <v>19021</v>
      </c>
      <c r="B2486" s="1" t="s">
        <v>19022</v>
      </c>
      <c r="C2486" s="1" t="s">
        <v>6813</v>
      </c>
      <c r="D2486" s="1" t="s">
        <v>19023</v>
      </c>
      <c r="E2486" s="1" t="s">
        <v>6814</v>
      </c>
      <c r="F2486" s="1" t="s">
        <v>13584</v>
      </c>
      <c r="G2486">
        <v>224013</v>
      </c>
      <c r="H2486">
        <v>37</v>
      </c>
      <c r="I2486" s="1" t="s">
        <v>11063</v>
      </c>
      <c r="J2486" s="11">
        <v>44729.706458333334</v>
      </c>
      <c r="K2486" s="1" t="s">
        <v>6815</v>
      </c>
      <c r="L2486" s="1">
        <v>0.58699999999999997</v>
      </c>
      <c r="M2486" s="1">
        <v>0.93400000000000005</v>
      </c>
      <c r="N2486">
        <v>11</v>
      </c>
      <c r="O2486" s="1">
        <v>-3.879</v>
      </c>
      <c r="P2486">
        <v>0</v>
      </c>
      <c r="Q2486" s="1">
        <v>0.40100000000000002</v>
      </c>
      <c r="R2486" s="1">
        <v>0.76700000000000002</v>
      </c>
      <c r="S2486" s="1">
        <v>0.746</v>
      </c>
      <c r="T2486" s="1">
        <v>0.56499999999999995</v>
      </c>
      <c r="U2486" s="1">
        <v>0.69399999999999995</v>
      </c>
      <c r="V2486" s="1">
        <v>107.995</v>
      </c>
      <c r="W2486">
        <v>4</v>
      </c>
    </row>
    <row r="2487" spans="1:23" x14ac:dyDescent="0.25">
      <c r="A2487" s="1" t="s">
        <v>19024</v>
      </c>
      <c r="B2487" s="1" t="s">
        <v>19025</v>
      </c>
      <c r="C2487" s="1" t="s">
        <v>6816</v>
      </c>
      <c r="D2487" s="1" t="s">
        <v>19026</v>
      </c>
      <c r="E2487" s="1" t="s">
        <v>6817</v>
      </c>
      <c r="F2487" s="1" t="s">
        <v>14717</v>
      </c>
      <c r="G2487">
        <v>180575</v>
      </c>
      <c r="H2487">
        <v>0</v>
      </c>
      <c r="I2487" s="1" t="s">
        <v>11063</v>
      </c>
      <c r="J2487" s="11">
        <v>44729.706458333334</v>
      </c>
      <c r="K2487" s="1" t="s">
        <v>3040</v>
      </c>
      <c r="L2487" s="1">
        <v>0.70899999999999996</v>
      </c>
      <c r="M2487" s="1">
        <v>0.71299999999999997</v>
      </c>
      <c r="N2487">
        <v>7</v>
      </c>
      <c r="O2487" s="1">
        <v>-5.4640000000000004</v>
      </c>
      <c r="P2487">
        <v>0</v>
      </c>
      <c r="Q2487" s="1">
        <v>0.93600000000000005</v>
      </c>
      <c r="R2487" s="1">
        <v>0.75700000000000001</v>
      </c>
      <c r="S2487" s="1">
        <v>0</v>
      </c>
      <c r="T2487" s="1">
        <v>0.13900000000000001</v>
      </c>
      <c r="U2487" s="1">
        <v>0.22700000000000001</v>
      </c>
      <c r="V2487" s="1">
        <v>139.96600000000001</v>
      </c>
      <c r="W2487">
        <v>4</v>
      </c>
    </row>
    <row r="2488" spans="1:23" x14ac:dyDescent="0.25">
      <c r="A2488" s="1" t="s">
        <v>19027</v>
      </c>
      <c r="B2488" s="1" t="s">
        <v>19025</v>
      </c>
      <c r="C2488" s="1" t="s">
        <v>6818</v>
      </c>
      <c r="D2488" s="1" t="s">
        <v>19026</v>
      </c>
      <c r="E2488" s="1" t="s">
        <v>6817</v>
      </c>
      <c r="F2488" s="1" t="s">
        <v>14717</v>
      </c>
      <c r="G2488">
        <v>169786</v>
      </c>
      <c r="H2488">
        <v>0</v>
      </c>
      <c r="I2488" s="1" t="s">
        <v>11063</v>
      </c>
      <c r="J2488" s="11">
        <v>44729.706458333334</v>
      </c>
      <c r="K2488" s="1" t="s">
        <v>3040</v>
      </c>
      <c r="L2488" s="1">
        <v>0.85199999999999998</v>
      </c>
      <c r="M2488" s="1">
        <v>0.38400000000000001</v>
      </c>
      <c r="N2488">
        <v>1</v>
      </c>
      <c r="O2488" s="1">
        <v>-8.4930000000000003</v>
      </c>
      <c r="P2488">
        <v>1</v>
      </c>
      <c r="Q2488" s="1">
        <v>0.60199999999999998</v>
      </c>
      <c r="R2488" s="1">
        <v>0.67100000000000004</v>
      </c>
      <c r="S2488" s="1">
        <v>0</v>
      </c>
      <c r="T2488" s="1">
        <v>0.85199999999999998</v>
      </c>
      <c r="U2488" s="1">
        <v>0.47699999999999998</v>
      </c>
      <c r="V2488" s="1">
        <v>98.516999999999996</v>
      </c>
      <c r="W2488">
        <v>4</v>
      </c>
    </row>
    <row r="2489" spans="1:23" x14ac:dyDescent="0.25">
      <c r="A2489" s="1" t="s">
        <v>19028</v>
      </c>
      <c r="B2489" s="1" t="s">
        <v>19025</v>
      </c>
      <c r="C2489" s="1" t="s">
        <v>6819</v>
      </c>
      <c r="D2489" s="1" t="s">
        <v>6819</v>
      </c>
      <c r="E2489" s="1" t="s">
        <v>6817</v>
      </c>
      <c r="F2489" s="1" t="s">
        <v>15941</v>
      </c>
      <c r="G2489">
        <v>185093</v>
      </c>
      <c r="H2489">
        <v>4</v>
      </c>
      <c r="I2489" s="1" t="s">
        <v>11063</v>
      </c>
      <c r="J2489" s="11">
        <v>44729.706458333334</v>
      </c>
      <c r="K2489" s="1" t="s">
        <v>3040</v>
      </c>
      <c r="L2489" s="1">
        <v>0.77800000000000002</v>
      </c>
      <c r="M2489" s="1">
        <v>0.55900000000000005</v>
      </c>
      <c r="N2489">
        <v>6</v>
      </c>
      <c r="O2489" s="1">
        <v>-7.109</v>
      </c>
      <c r="P2489">
        <v>0</v>
      </c>
      <c r="Q2489" s="1">
        <v>0.77600000000000002</v>
      </c>
      <c r="R2489" s="1">
        <v>0.128</v>
      </c>
      <c r="S2489" s="1">
        <v>0</v>
      </c>
      <c r="T2489" s="1">
        <v>0.39900000000000002</v>
      </c>
      <c r="U2489" s="1">
        <v>0.67800000000000005</v>
      </c>
      <c r="V2489" s="1">
        <v>129.989</v>
      </c>
      <c r="W2489">
        <v>1</v>
      </c>
    </row>
    <row r="2490" spans="1:23" x14ac:dyDescent="0.25">
      <c r="A2490" s="1" t="s">
        <v>19029</v>
      </c>
      <c r="B2490" s="1" t="s">
        <v>19030</v>
      </c>
      <c r="C2490" s="1" t="s">
        <v>6820</v>
      </c>
      <c r="D2490" s="1" t="s">
        <v>19031</v>
      </c>
      <c r="E2490" s="1" t="s">
        <v>6821</v>
      </c>
      <c r="F2490" s="1" t="s">
        <v>19032</v>
      </c>
      <c r="G2490">
        <v>302826</v>
      </c>
      <c r="H2490">
        <v>65</v>
      </c>
      <c r="I2490" s="1" t="s">
        <v>11063</v>
      </c>
      <c r="J2490" s="11">
        <v>44729.706458333334</v>
      </c>
      <c r="K2490" s="1" t="s">
        <v>6822</v>
      </c>
      <c r="L2490" s="1">
        <v>0.54400000000000004</v>
      </c>
      <c r="M2490" s="1">
        <v>0.38300000000000001</v>
      </c>
      <c r="N2490">
        <v>3</v>
      </c>
      <c r="O2490" s="1">
        <v>-10.143000000000001</v>
      </c>
      <c r="P2490">
        <v>0</v>
      </c>
      <c r="Q2490" s="1">
        <v>0.33400000000000002</v>
      </c>
      <c r="R2490" s="1">
        <v>0.67</v>
      </c>
      <c r="S2490" s="1">
        <v>0.20399999999999999</v>
      </c>
      <c r="T2490" s="1">
        <v>0.125</v>
      </c>
      <c r="U2490" s="1">
        <v>0.36699999999999999</v>
      </c>
      <c r="V2490" s="1">
        <v>145.02500000000001</v>
      </c>
      <c r="W2490">
        <v>4</v>
      </c>
    </row>
    <row r="2491" spans="1:23" x14ac:dyDescent="0.25">
      <c r="A2491" s="1" t="s">
        <v>19033</v>
      </c>
      <c r="B2491" s="1" t="s">
        <v>19034</v>
      </c>
      <c r="C2491" s="1" t="s">
        <v>6823</v>
      </c>
      <c r="D2491" s="1" t="s">
        <v>19035</v>
      </c>
      <c r="E2491" s="1" t="s">
        <v>6824</v>
      </c>
      <c r="F2491" s="1" t="s">
        <v>17314</v>
      </c>
      <c r="G2491">
        <v>217600</v>
      </c>
      <c r="H2491">
        <v>49</v>
      </c>
      <c r="I2491" s="1" t="s">
        <v>11063</v>
      </c>
      <c r="J2491" s="11">
        <v>44729.706458333334</v>
      </c>
      <c r="K2491" s="1" t="s">
        <v>6825</v>
      </c>
      <c r="L2491" s="1">
        <v>0.46100000000000002</v>
      </c>
      <c r="M2491" s="1">
        <v>0.96399999999999997</v>
      </c>
      <c r="N2491">
        <v>1</v>
      </c>
      <c r="O2491" s="1">
        <v>-3.2749999999999999</v>
      </c>
      <c r="P2491">
        <v>1</v>
      </c>
      <c r="Q2491" s="1">
        <v>0.223</v>
      </c>
      <c r="R2491" s="1">
        <v>0.25</v>
      </c>
      <c r="S2491" s="1">
        <v>0.3</v>
      </c>
      <c r="T2491" s="1">
        <v>0.247</v>
      </c>
      <c r="U2491" s="1">
        <v>0.55800000000000005</v>
      </c>
      <c r="V2491" s="1">
        <v>112.586</v>
      </c>
      <c r="W2491">
        <v>3</v>
      </c>
    </row>
    <row r="2492" spans="1:23" x14ac:dyDescent="0.25">
      <c r="A2492" s="1" t="s">
        <v>19036</v>
      </c>
      <c r="B2492" s="1" t="s">
        <v>19034</v>
      </c>
      <c r="C2492" s="1" t="s">
        <v>6826</v>
      </c>
      <c r="D2492" s="1" t="s">
        <v>19037</v>
      </c>
      <c r="E2492" s="1" t="s">
        <v>6824</v>
      </c>
      <c r="F2492" s="1" t="s">
        <v>15530</v>
      </c>
      <c r="G2492">
        <v>203600</v>
      </c>
      <c r="H2492">
        <v>43</v>
      </c>
      <c r="I2492" s="1" t="s">
        <v>11063</v>
      </c>
      <c r="J2492" s="11">
        <v>44729.706458333334</v>
      </c>
      <c r="K2492" s="1" t="s">
        <v>6825</v>
      </c>
      <c r="L2492" s="1">
        <v>0.73499999999999999</v>
      </c>
      <c r="M2492" s="1">
        <v>0.92</v>
      </c>
      <c r="N2492">
        <v>2</v>
      </c>
      <c r="O2492" s="1">
        <v>-3.036</v>
      </c>
      <c r="P2492">
        <v>1</v>
      </c>
      <c r="Q2492" s="1">
        <v>0.51</v>
      </c>
      <c r="R2492" s="1">
        <v>0.63400000000000001</v>
      </c>
      <c r="S2492" s="1">
        <v>0.186</v>
      </c>
      <c r="T2492" s="1">
        <v>0.39400000000000002</v>
      </c>
      <c r="U2492" s="1">
        <v>0.45300000000000001</v>
      </c>
      <c r="V2492" s="1">
        <v>150</v>
      </c>
      <c r="W2492">
        <v>4</v>
      </c>
    </row>
    <row r="2493" spans="1:23" x14ac:dyDescent="0.25">
      <c r="A2493" s="1" t="s">
        <v>19038</v>
      </c>
      <c r="B2493" s="1" t="s">
        <v>14250</v>
      </c>
      <c r="C2493" s="1" t="s">
        <v>2604</v>
      </c>
      <c r="D2493" s="1" t="s">
        <v>2604</v>
      </c>
      <c r="E2493" s="1" t="s">
        <v>2605</v>
      </c>
      <c r="F2493" s="1" t="s">
        <v>14251</v>
      </c>
      <c r="G2493">
        <v>252231</v>
      </c>
      <c r="H2493">
        <v>0</v>
      </c>
      <c r="I2493" s="1" t="s">
        <v>11063</v>
      </c>
      <c r="J2493" s="11">
        <v>44729.706458333334</v>
      </c>
      <c r="K2493" s="1" t="s">
        <v>2606</v>
      </c>
      <c r="L2493" s="1">
        <v>0.55000000000000004</v>
      </c>
      <c r="M2493" s="1">
        <v>0.82399999999999995</v>
      </c>
      <c r="N2493">
        <v>10</v>
      </c>
      <c r="O2493" s="1">
        <v>-4.0179999999999998</v>
      </c>
      <c r="P2493">
        <v>1</v>
      </c>
      <c r="Q2493" s="1">
        <v>0.503</v>
      </c>
      <c r="R2493" s="1">
        <v>0.20499999999999999</v>
      </c>
      <c r="S2493" s="1">
        <v>0.69599999999999995</v>
      </c>
      <c r="T2493" s="1">
        <v>0.112</v>
      </c>
      <c r="U2493" s="1">
        <v>0.29499999999999998</v>
      </c>
      <c r="V2493" s="1">
        <v>150.05500000000001</v>
      </c>
      <c r="W2493">
        <v>4</v>
      </c>
    </row>
    <row r="2494" spans="1:23" x14ac:dyDescent="0.25">
      <c r="A2494" s="1" t="s">
        <v>19039</v>
      </c>
      <c r="B2494" s="1" t="s">
        <v>19040</v>
      </c>
      <c r="C2494" s="1" t="s">
        <v>6827</v>
      </c>
      <c r="D2494" s="1" t="s">
        <v>19041</v>
      </c>
      <c r="E2494" s="1" t="s">
        <v>6828</v>
      </c>
      <c r="F2494" s="1" t="s">
        <v>19042</v>
      </c>
      <c r="G2494">
        <v>245090</v>
      </c>
      <c r="H2494">
        <v>52</v>
      </c>
      <c r="I2494" s="1" t="s">
        <v>11063</v>
      </c>
      <c r="J2494" s="11">
        <v>44729.706458333334</v>
      </c>
      <c r="K2494" s="1" t="s">
        <v>6829</v>
      </c>
      <c r="L2494" s="1">
        <v>0.624</v>
      </c>
      <c r="M2494" s="1">
        <v>0.83</v>
      </c>
      <c r="N2494">
        <v>11</v>
      </c>
      <c r="O2494" s="1">
        <v>-5.0179999999999998</v>
      </c>
      <c r="P2494">
        <v>0</v>
      </c>
      <c r="Q2494" s="1">
        <v>0.121</v>
      </c>
      <c r="R2494" s="1">
        <v>0.24199999999999999</v>
      </c>
      <c r="S2494" s="1">
        <v>0.14000000000000001</v>
      </c>
      <c r="T2494" s="1">
        <v>0.30599999999999999</v>
      </c>
      <c r="U2494" s="1">
        <v>0.432</v>
      </c>
      <c r="V2494" s="1">
        <v>145.14599999999999</v>
      </c>
      <c r="W2494">
        <v>4</v>
      </c>
    </row>
    <row r="2495" spans="1:23" x14ac:dyDescent="0.25">
      <c r="A2495" s="1" t="s">
        <v>19043</v>
      </c>
      <c r="B2495" s="1" t="s">
        <v>19044</v>
      </c>
      <c r="C2495" s="1" t="s">
        <v>6830</v>
      </c>
      <c r="D2495" s="1" t="s">
        <v>19041</v>
      </c>
      <c r="E2495" s="1" t="s">
        <v>6831</v>
      </c>
      <c r="F2495" s="1" t="s">
        <v>19042</v>
      </c>
      <c r="G2495">
        <v>256147</v>
      </c>
      <c r="H2495">
        <v>46</v>
      </c>
      <c r="I2495" s="1" t="s">
        <v>11063</v>
      </c>
      <c r="J2495" s="11">
        <v>44729.706458333334</v>
      </c>
      <c r="K2495" s="1" t="s">
        <v>6707</v>
      </c>
      <c r="L2495" s="1">
        <v>0.66100000000000003</v>
      </c>
      <c r="M2495" s="1">
        <v>0.85499999999999998</v>
      </c>
      <c r="N2495">
        <v>0</v>
      </c>
      <c r="O2495" s="1">
        <v>-6.2629999999999999</v>
      </c>
      <c r="P2495">
        <v>0</v>
      </c>
      <c r="Q2495" s="1">
        <v>0.41899999999999998</v>
      </c>
      <c r="R2495" s="1">
        <v>0.84699999999999998</v>
      </c>
      <c r="S2495" s="1">
        <v>0.186</v>
      </c>
      <c r="T2495" s="1">
        <v>0.20599999999999999</v>
      </c>
      <c r="U2495" s="1">
        <v>0.124</v>
      </c>
      <c r="V2495" s="1">
        <v>140.02000000000001</v>
      </c>
      <c r="W2495">
        <v>4</v>
      </c>
    </row>
    <row r="2496" spans="1:23" x14ac:dyDescent="0.25">
      <c r="A2496" s="1" t="s">
        <v>19045</v>
      </c>
      <c r="B2496" s="1" t="s">
        <v>19046</v>
      </c>
      <c r="C2496" s="1" t="s">
        <v>6832</v>
      </c>
      <c r="D2496" s="1" t="s">
        <v>6832</v>
      </c>
      <c r="E2496" s="1" t="s">
        <v>6833</v>
      </c>
      <c r="F2496" s="1" t="s">
        <v>19047</v>
      </c>
      <c r="G2496">
        <v>194610</v>
      </c>
      <c r="H2496">
        <v>0</v>
      </c>
      <c r="I2496" s="1" t="s">
        <v>11063</v>
      </c>
      <c r="J2496" s="11">
        <v>44729.706458333334</v>
      </c>
      <c r="K2496" s="1" t="s">
        <v>6834</v>
      </c>
      <c r="L2496" s="1">
        <v>0.50600000000000001</v>
      </c>
      <c r="M2496" s="1">
        <v>0.64600000000000002</v>
      </c>
      <c r="N2496">
        <v>3</v>
      </c>
      <c r="O2496" s="1">
        <v>-5.7889999999999997</v>
      </c>
      <c r="P2496">
        <v>0</v>
      </c>
      <c r="Q2496" s="1">
        <v>0.33600000000000002</v>
      </c>
      <c r="R2496" s="1">
        <v>0.41</v>
      </c>
      <c r="S2496" s="1">
        <v>0</v>
      </c>
      <c r="T2496" s="1">
        <v>0.874</v>
      </c>
      <c r="U2496" s="1">
        <v>0.41599999999999998</v>
      </c>
      <c r="V2496" s="1">
        <v>130.12100000000001</v>
      </c>
      <c r="W2496">
        <v>4</v>
      </c>
    </row>
    <row r="2497" spans="1:23" x14ac:dyDescent="0.25">
      <c r="A2497" s="1" t="s">
        <v>19048</v>
      </c>
      <c r="B2497" s="1" t="s">
        <v>19049</v>
      </c>
      <c r="C2497" s="1" t="s">
        <v>6835</v>
      </c>
      <c r="D2497" s="1" t="s">
        <v>6835</v>
      </c>
      <c r="E2497" s="1" t="s">
        <v>6836</v>
      </c>
      <c r="F2497" s="1" t="s">
        <v>13524</v>
      </c>
      <c r="G2497">
        <v>236826</v>
      </c>
      <c r="H2497">
        <v>0</v>
      </c>
      <c r="I2497" s="1" t="s">
        <v>11063</v>
      </c>
      <c r="J2497" s="11">
        <v>44729.706458333334</v>
      </c>
      <c r="K2497" s="1" t="s">
        <v>6837</v>
      </c>
      <c r="L2497" s="1">
        <v>0.59399999999999997</v>
      </c>
      <c r="M2497" s="1">
        <v>0.88</v>
      </c>
      <c r="N2497">
        <v>9</v>
      </c>
      <c r="O2497" s="1">
        <v>-4.9429999999999996</v>
      </c>
      <c r="P2497">
        <v>1</v>
      </c>
      <c r="Q2497" s="1">
        <v>0.78600000000000003</v>
      </c>
      <c r="R2497" s="1">
        <v>0.58799999999999997</v>
      </c>
      <c r="S2497" s="1">
        <v>0.128</v>
      </c>
      <c r="T2497" s="1">
        <v>0.97299999999999998</v>
      </c>
      <c r="U2497" s="1">
        <v>0.376</v>
      </c>
      <c r="V2497" s="1">
        <v>149.96899999999999</v>
      </c>
      <c r="W2497">
        <v>4</v>
      </c>
    </row>
    <row r="2498" spans="1:23" x14ac:dyDescent="0.25">
      <c r="A2498" s="1" t="s">
        <v>19050</v>
      </c>
      <c r="B2498" s="1" t="s">
        <v>19051</v>
      </c>
      <c r="C2498" s="1" t="s">
        <v>6838</v>
      </c>
      <c r="D2498" s="1" t="s">
        <v>6838</v>
      </c>
      <c r="E2498" s="1" t="s">
        <v>6839</v>
      </c>
      <c r="F2498" s="1" t="s">
        <v>19052</v>
      </c>
      <c r="G2498">
        <v>143255</v>
      </c>
      <c r="H2498">
        <v>45</v>
      </c>
      <c r="I2498" s="1" t="s">
        <v>11063</v>
      </c>
      <c r="J2498" s="11">
        <v>44729.706458333334</v>
      </c>
      <c r="K2498" s="1" t="s">
        <v>3076</v>
      </c>
      <c r="L2498" s="1">
        <v>0.68200000000000005</v>
      </c>
      <c r="M2498" s="1">
        <v>0.47599999999999998</v>
      </c>
      <c r="N2498">
        <v>8</v>
      </c>
      <c r="O2498" s="1">
        <v>-10.228</v>
      </c>
      <c r="P2498">
        <v>0</v>
      </c>
      <c r="Q2498" s="1">
        <v>0.66300000000000003</v>
      </c>
      <c r="R2498" s="1">
        <v>0.27400000000000002</v>
      </c>
      <c r="S2498" s="1">
        <v>0.86199999999999999</v>
      </c>
      <c r="T2498" s="1">
        <v>0.13100000000000001</v>
      </c>
      <c r="U2498" s="1">
        <v>0.52300000000000002</v>
      </c>
      <c r="V2498" s="1">
        <v>186.024</v>
      </c>
      <c r="W2498">
        <v>3</v>
      </c>
    </row>
    <row r="2499" spans="1:23" x14ac:dyDescent="0.25">
      <c r="A2499" s="1" t="s">
        <v>19053</v>
      </c>
      <c r="B2499" s="1" t="s">
        <v>19054</v>
      </c>
      <c r="C2499" s="1" t="s">
        <v>6840</v>
      </c>
      <c r="D2499" s="1" t="s">
        <v>19055</v>
      </c>
      <c r="E2499" s="1" t="s">
        <v>6841</v>
      </c>
      <c r="F2499" s="1" t="s">
        <v>16130</v>
      </c>
      <c r="G2499">
        <v>230560</v>
      </c>
      <c r="H2499">
        <v>19</v>
      </c>
      <c r="I2499" s="1" t="s">
        <v>11063</v>
      </c>
      <c r="J2499" s="11">
        <v>44729.706458333334</v>
      </c>
      <c r="K2499" s="1" t="s">
        <v>6842</v>
      </c>
      <c r="L2499" s="1">
        <v>0.78400000000000003</v>
      </c>
      <c r="M2499" s="1">
        <v>0.67600000000000005</v>
      </c>
      <c r="N2499">
        <v>6</v>
      </c>
      <c r="O2499" s="1">
        <v>-6.8440000000000003</v>
      </c>
      <c r="P2499">
        <v>1</v>
      </c>
      <c r="Q2499" s="1">
        <v>0.48199999999999998</v>
      </c>
      <c r="R2499" s="1">
        <v>0.14799999999999999</v>
      </c>
      <c r="S2499" s="1">
        <v>0.88</v>
      </c>
      <c r="T2499" s="1">
        <v>0.32800000000000001</v>
      </c>
      <c r="U2499" s="1">
        <v>0.71099999999999997</v>
      </c>
      <c r="V2499" s="1">
        <v>121.99</v>
      </c>
      <c r="W2499">
        <v>4</v>
      </c>
    </row>
    <row r="2500" spans="1:23" x14ac:dyDescent="0.25">
      <c r="A2500" s="1" t="s">
        <v>19056</v>
      </c>
      <c r="B2500" s="1" t="s">
        <v>19057</v>
      </c>
      <c r="C2500" s="1" t="s">
        <v>6843</v>
      </c>
      <c r="D2500" s="1" t="s">
        <v>19058</v>
      </c>
      <c r="E2500" s="1" t="s">
        <v>6844</v>
      </c>
      <c r="F2500" s="1" t="s">
        <v>14251</v>
      </c>
      <c r="G2500">
        <v>294351</v>
      </c>
      <c r="H2500">
        <v>51</v>
      </c>
      <c r="I2500" s="1" t="s">
        <v>11063</v>
      </c>
      <c r="J2500" s="11">
        <v>44729.706458333334</v>
      </c>
      <c r="K2500" s="1" t="s">
        <v>6845</v>
      </c>
      <c r="L2500" s="1">
        <v>0.755</v>
      </c>
      <c r="M2500" s="1">
        <v>0.55700000000000005</v>
      </c>
      <c r="N2500">
        <v>0</v>
      </c>
      <c r="O2500" s="1">
        <v>-7.9850000000000003</v>
      </c>
      <c r="P2500">
        <v>0</v>
      </c>
      <c r="Q2500" s="1">
        <v>0.373</v>
      </c>
      <c r="R2500" s="1">
        <v>0.25700000000000001</v>
      </c>
      <c r="S2500" s="1">
        <v>0.52400000000000002</v>
      </c>
      <c r="T2500" s="1">
        <v>0.10299999999999999</v>
      </c>
      <c r="U2500" s="1">
        <v>0.21</v>
      </c>
      <c r="V2500" s="1">
        <v>109.983</v>
      </c>
      <c r="W2500">
        <v>4</v>
      </c>
    </row>
    <row r="2501" spans="1:23" x14ac:dyDescent="0.25">
      <c r="A2501" s="1" t="s">
        <v>19059</v>
      </c>
      <c r="B2501" s="1" t="s">
        <v>18415</v>
      </c>
      <c r="C2501" s="1" t="s">
        <v>6298</v>
      </c>
      <c r="D2501" s="1" t="s">
        <v>19060</v>
      </c>
      <c r="E2501" s="1" t="s">
        <v>6299</v>
      </c>
      <c r="F2501" s="1" t="s">
        <v>18678</v>
      </c>
      <c r="G2501">
        <v>190799</v>
      </c>
      <c r="H2501">
        <v>79</v>
      </c>
      <c r="I2501" s="1" t="s">
        <v>11063</v>
      </c>
      <c r="J2501" s="11">
        <v>44729.706458333334</v>
      </c>
      <c r="K2501" s="1" t="s">
        <v>6300</v>
      </c>
      <c r="L2501" s="1">
        <v>0.75900000000000001</v>
      </c>
      <c r="M2501" s="1">
        <v>0.54800000000000004</v>
      </c>
      <c r="N2501">
        <v>9</v>
      </c>
      <c r="O2501" s="1">
        <v>-6.0490000000000004</v>
      </c>
      <c r="P2501">
        <v>0</v>
      </c>
      <c r="Q2501" s="1">
        <v>0.28999999999999998</v>
      </c>
      <c r="R2501" s="1">
        <v>0.39200000000000002</v>
      </c>
      <c r="S2501" s="1">
        <v>0</v>
      </c>
      <c r="T2501" s="1">
        <v>0.82799999999999996</v>
      </c>
      <c r="U2501" s="1">
        <v>0.749</v>
      </c>
      <c r="V2501" s="1">
        <v>116.967</v>
      </c>
      <c r="W2501">
        <v>4</v>
      </c>
    </row>
    <row r="2502" spans="1:23" x14ac:dyDescent="0.25">
      <c r="A2502" s="1" t="s">
        <v>19061</v>
      </c>
      <c r="B2502" s="1" t="s">
        <v>15042</v>
      </c>
      <c r="C2502" s="1" t="s">
        <v>3309</v>
      </c>
      <c r="D2502" s="1" t="s">
        <v>19062</v>
      </c>
      <c r="E2502" s="1" t="s">
        <v>3310</v>
      </c>
      <c r="F2502" s="1" t="s">
        <v>19063</v>
      </c>
      <c r="G2502">
        <v>216106</v>
      </c>
      <c r="H2502">
        <v>41</v>
      </c>
      <c r="I2502" s="1" t="s">
        <v>11063</v>
      </c>
      <c r="J2502" s="11">
        <v>44729.706458333334</v>
      </c>
      <c r="K2502" s="1" t="s">
        <v>3311</v>
      </c>
      <c r="L2502" s="1">
        <v>0.71099999999999997</v>
      </c>
      <c r="M2502" s="1">
        <v>0.92200000000000004</v>
      </c>
      <c r="N2502">
        <v>8</v>
      </c>
      <c r="O2502" s="1">
        <v>-8.6959999999999997</v>
      </c>
      <c r="P2502">
        <v>1</v>
      </c>
      <c r="Q2502" s="1">
        <v>0.36599999999999999</v>
      </c>
      <c r="R2502" s="1">
        <v>0.60499999999999998</v>
      </c>
      <c r="S2502" s="1">
        <v>0.20100000000000001</v>
      </c>
      <c r="T2502" s="1">
        <v>0.36699999999999999</v>
      </c>
      <c r="U2502" s="1">
        <v>0.53400000000000003</v>
      </c>
      <c r="V2502" s="1">
        <v>126.848</v>
      </c>
      <c r="W2502">
        <v>4</v>
      </c>
    </row>
    <row r="2503" spans="1:23" x14ac:dyDescent="0.25">
      <c r="A2503" s="1" t="s">
        <v>19064</v>
      </c>
      <c r="B2503" s="1" t="s">
        <v>16092</v>
      </c>
      <c r="C2503" s="1" t="s">
        <v>4528</v>
      </c>
      <c r="D2503" s="1" t="s">
        <v>4528</v>
      </c>
      <c r="E2503" s="1" t="s">
        <v>4227</v>
      </c>
      <c r="F2503" s="1" t="s">
        <v>17008</v>
      </c>
      <c r="G2503">
        <v>276808</v>
      </c>
      <c r="H2503">
        <v>42</v>
      </c>
      <c r="I2503" s="1" t="s">
        <v>11063</v>
      </c>
      <c r="J2503" s="11">
        <v>44729.706458333334</v>
      </c>
      <c r="K2503" s="1" t="s">
        <v>50</v>
      </c>
      <c r="L2503" s="1">
        <v>0.36199999999999999</v>
      </c>
      <c r="M2503" s="1">
        <v>0.14000000000000001</v>
      </c>
      <c r="N2503">
        <v>5</v>
      </c>
      <c r="O2503" s="1">
        <v>-10.468</v>
      </c>
      <c r="P2503">
        <v>0</v>
      </c>
      <c r="Q2503" s="1">
        <v>0.33</v>
      </c>
      <c r="R2503" s="1">
        <v>0.95</v>
      </c>
      <c r="S2503" s="1">
        <v>0.33900000000000002</v>
      </c>
      <c r="T2503" s="1">
        <v>0.14099999999999999</v>
      </c>
      <c r="U2503" s="1">
        <v>0.99399999999999999</v>
      </c>
      <c r="V2503" s="1">
        <v>114.20699999999999</v>
      </c>
      <c r="W2503">
        <v>1</v>
      </c>
    </row>
    <row r="2504" spans="1:23" x14ac:dyDescent="0.25">
      <c r="A2504" s="1" t="s">
        <v>19065</v>
      </c>
      <c r="B2504" s="1" t="s">
        <v>19066</v>
      </c>
      <c r="C2504" s="1" t="s">
        <v>6846</v>
      </c>
      <c r="D2504" s="1" t="s">
        <v>19067</v>
      </c>
      <c r="E2504" s="1" t="s">
        <v>6847</v>
      </c>
      <c r="F2504" s="1" t="s">
        <v>19068</v>
      </c>
      <c r="G2504">
        <v>192294</v>
      </c>
      <c r="H2504">
        <v>74</v>
      </c>
      <c r="I2504" s="1" t="s">
        <v>11063</v>
      </c>
      <c r="J2504" s="11">
        <v>44729.706458333334</v>
      </c>
      <c r="K2504" s="1" t="s">
        <v>6848</v>
      </c>
      <c r="L2504" s="1">
        <v>0.498</v>
      </c>
      <c r="M2504" s="1">
        <v>0.86199999999999999</v>
      </c>
      <c r="N2504">
        <v>7</v>
      </c>
      <c r="O2504" s="1">
        <v>-6.02</v>
      </c>
      <c r="P2504">
        <v>0</v>
      </c>
      <c r="Q2504" s="1">
        <v>0.58899999999999997</v>
      </c>
      <c r="R2504" s="1">
        <v>0.313</v>
      </c>
      <c r="S2504" s="1">
        <v>0.94099999999999995</v>
      </c>
      <c r="T2504" s="1">
        <v>0.35199999999999998</v>
      </c>
      <c r="U2504" s="1">
        <v>0.47</v>
      </c>
      <c r="V2504" s="1">
        <v>128.03399999999999</v>
      </c>
      <c r="W2504">
        <v>4</v>
      </c>
    </row>
    <row r="2505" spans="1:23" x14ac:dyDescent="0.25">
      <c r="A2505" s="1" t="s">
        <v>19069</v>
      </c>
      <c r="B2505" s="1" t="s">
        <v>19070</v>
      </c>
      <c r="C2505" s="1" t="s">
        <v>6849</v>
      </c>
      <c r="D2505" s="1" t="s">
        <v>19071</v>
      </c>
      <c r="E2505" s="1" t="s">
        <v>6850</v>
      </c>
      <c r="F2505" s="1" t="s">
        <v>16156</v>
      </c>
      <c r="G2505">
        <v>228066</v>
      </c>
      <c r="H2505">
        <v>52</v>
      </c>
      <c r="I2505" s="1" t="s">
        <v>11063</v>
      </c>
      <c r="J2505" s="11">
        <v>44729.706458333334</v>
      </c>
      <c r="K2505" s="1" t="s">
        <v>6851</v>
      </c>
      <c r="L2505" s="1">
        <v>0.43</v>
      </c>
      <c r="M2505" s="1">
        <v>0.74099999999999999</v>
      </c>
      <c r="N2505">
        <v>5</v>
      </c>
      <c r="O2505" s="1">
        <v>-4.3550000000000004</v>
      </c>
      <c r="P2505">
        <v>0</v>
      </c>
      <c r="Q2505" s="1">
        <v>0.58299999999999996</v>
      </c>
      <c r="R2505" s="1">
        <v>0.441</v>
      </c>
      <c r="S2505" s="1">
        <v>0</v>
      </c>
      <c r="T2505" s="1">
        <v>0.11700000000000001</v>
      </c>
      <c r="U2505" s="1">
        <v>0.29699999999999999</v>
      </c>
      <c r="V2505" s="1">
        <v>130.833</v>
      </c>
      <c r="W2505">
        <v>4</v>
      </c>
    </row>
    <row r="2506" spans="1:23" x14ac:dyDescent="0.25">
      <c r="A2506" s="1" t="s">
        <v>19072</v>
      </c>
      <c r="B2506" s="1" t="s">
        <v>19073</v>
      </c>
      <c r="C2506" s="1" t="s">
        <v>6852</v>
      </c>
      <c r="D2506" s="1" t="s">
        <v>19074</v>
      </c>
      <c r="E2506" s="1" t="s">
        <v>6853</v>
      </c>
      <c r="F2506" s="1" t="s">
        <v>17743</v>
      </c>
      <c r="G2506">
        <v>227833</v>
      </c>
      <c r="H2506">
        <v>71</v>
      </c>
      <c r="I2506" s="1" t="s">
        <v>11063</v>
      </c>
      <c r="J2506" s="11">
        <v>44729.706458333334</v>
      </c>
      <c r="K2506" s="1" t="s">
        <v>6854</v>
      </c>
      <c r="L2506" s="1">
        <v>0.79900000000000004</v>
      </c>
      <c r="M2506" s="1">
        <v>0.58599999999999997</v>
      </c>
      <c r="N2506">
        <v>11</v>
      </c>
      <c r="O2506" s="1">
        <v>-6.7350000000000003</v>
      </c>
      <c r="P2506">
        <v>1</v>
      </c>
      <c r="Q2506" s="1">
        <v>0.377</v>
      </c>
      <c r="R2506" s="1">
        <v>0.16200000000000001</v>
      </c>
      <c r="S2506" s="1">
        <v>0.20300000000000001</v>
      </c>
      <c r="T2506" s="1">
        <v>0.193</v>
      </c>
      <c r="U2506" s="1">
        <v>0.54900000000000004</v>
      </c>
      <c r="V2506" s="1">
        <v>120.97</v>
      </c>
      <c r="W2506">
        <v>4</v>
      </c>
    </row>
    <row r="2507" spans="1:23" x14ac:dyDescent="0.25">
      <c r="A2507" s="1" t="s">
        <v>19075</v>
      </c>
      <c r="B2507" s="1" t="s">
        <v>19076</v>
      </c>
      <c r="C2507" s="1" t="s">
        <v>6855</v>
      </c>
      <c r="D2507" s="1" t="s">
        <v>19071</v>
      </c>
      <c r="E2507" s="1" t="s">
        <v>6856</v>
      </c>
      <c r="F2507" s="1" t="s">
        <v>16156</v>
      </c>
      <c r="G2507">
        <v>189973</v>
      </c>
      <c r="H2507">
        <v>57</v>
      </c>
      <c r="I2507" s="1" t="s">
        <v>11063</v>
      </c>
      <c r="J2507" s="11">
        <v>44729.706458333334</v>
      </c>
      <c r="K2507" s="1" t="s">
        <v>6857</v>
      </c>
      <c r="L2507" s="1">
        <v>0.73699999999999999</v>
      </c>
      <c r="M2507" s="1">
        <v>0.71399999999999997</v>
      </c>
      <c r="N2507">
        <v>1</v>
      </c>
      <c r="O2507" s="1">
        <v>-6.1379999999999999</v>
      </c>
      <c r="P2507">
        <v>0</v>
      </c>
      <c r="Q2507" s="1">
        <v>0.36699999999999999</v>
      </c>
      <c r="R2507" s="1">
        <v>0.22500000000000001</v>
      </c>
      <c r="S2507" s="1">
        <v>0.379</v>
      </c>
      <c r="T2507" s="1">
        <v>0.26700000000000002</v>
      </c>
      <c r="U2507" s="1">
        <v>0.60799999999999998</v>
      </c>
      <c r="V2507" s="1">
        <v>102.04600000000001</v>
      </c>
      <c r="W2507">
        <v>4</v>
      </c>
    </row>
    <row r="2508" spans="1:23" x14ac:dyDescent="0.25">
      <c r="A2508" s="1" t="s">
        <v>19077</v>
      </c>
      <c r="B2508" s="1" t="s">
        <v>19078</v>
      </c>
      <c r="C2508" s="1" t="s">
        <v>6858</v>
      </c>
      <c r="D2508" s="1" t="s">
        <v>19071</v>
      </c>
      <c r="E2508" s="1" t="s">
        <v>6859</v>
      </c>
      <c r="F2508" s="1" t="s">
        <v>16156</v>
      </c>
      <c r="G2508">
        <v>212733</v>
      </c>
      <c r="H2508">
        <v>76</v>
      </c>
      <c r="I2508" s="1" t="s">
        <v>11063</v>
      </c>
      <c r="J2508" s="11">
        <v>44729.706458333334</v>
      </c>
      <c r="K2508" s="1" t="s">
        <v>6860</v>
      </c>
      <c r="L2508" s="1">
        <v>0.71499999999999997</v>
      </c>
      <c r="M2508" s="1">
        <v>0.60499999999999998</v>
      </c>
      <c r="N2508">
        <v>0</v>
      </c>
      <c r="O2508" s="1">
        <v>-5.1280000000000001</v>
      </c>
      <c r="P2508">
        <v>0</v>
      </c>
      <c r="Q2508" s="1">
        <v>0.42799999999999999</v>
      </c>
      <c r="R2508" s="1">
        <v>0.23899999999999999</v>
      </c>
      <c r="S2508" s="1">
        <v>0.14099999999999999</v>
      </c>
      <c r="T2508" s="1">
        <v>0.189</v>
      </c>
      <c r="U2508" s="1">
        <v>0.45400000000000001</v>
      </c>
      <c r="V2508" s="1">
        <v>122.956</v>
      </c>
      <c r="W2508">
        <v>4</v>
      </c>
    </row>
    <row r="2509" spans="1:23" x14ac:dyDescent="0.25">
      <c r="A2509" s="1" t="s">
        <v>19079</v>
      </c>
      <c r="B2509" s="1" t="s">
        <v>18372</v>
      </c>
      <c r="C2509" s="1" t="s">
        <v>6260</v>
      </c>
      <c r="D2509" s="1" t="s">
        <v>19071</v>
      </c>
      <c r="E2509" s="1" t="s">
        <v>6261</v>
      </c>
      <c r="F2509" s="1" t="s">
        <v>16156</v>
      </c>
      <c r="G2509">
        <v>251173</v>
      </c>
      <c r="H2509">
        <v>72</v>
      </c>
      <c r="I2509" s="1" t="s">
        <v>11063</v>
      </c>
      <c r="J2509" s="11">
        <v>44729.706458333334</v>
      </c>
      <c r="K2509" s="1" t="s">
        <v>6262</v>
      </c>
      <c r="L2509" s="1">
        <v>0.71699999999999997</v>
      </c>
      <c r="M2509" s="1">
        <v>0.73</v>
      </c>
      <c r="N2509">
        <v>9</v>
      </c>
      <c r="O2509" s="1">
        <v>-4.7290000000000001</v>
      </c>
      <c r="P2509">
        <v>0</v>
      </c>
      <c r="Q2509" s="1">
        <v>0.56799999999999995</v>
      </c>
      <c r="R2509" s="1">
        <v>0.38300000000000001</v>
      </c>
      <c r="S2509" s="1">
        <v>0</v>
      </c>
      <c r="T2509" s="1">
        <v>0.39800000000000002</v>
      </c>
      <c r="U2509" s="1">
        <v>0.79200000000000004</v>
      </c>
      <c r="V2509" s="1">
        <v>102.002</v>
      </c>
      <c r="W2509">
        <v>4</v>
      </c>
    </row>
    <row r="2510" spans="1:23" x14ac:dyDescent="0.25">
      <c r="A2510" s="1" t="s">
        <v>19080</v>
      </c>
      <c r="B2510" s="1" t="s">
        <v>19081</v>
      </c>
      <c r="C2510" s="1" t="s">
        <v>6861</v>
      </c>
      <c r="D2510" s="1" t="s">
        <v>19071</v>
      </c>
      <c r="E2510" s="1" t="s">
        <v>6862</v>
      </c>
      <c r="F2510" s="1" t="s">
        <v>16156</v>
      </c>
      <c r="G2510">
        <v>222706</v>
      </c>
      <c r="H2510">
        <v>67</v>
      </c>
      <c r="I2510" s="1" t="s">
        <v>11063</v>
      </c>
      <c r="J2510" s="11">
        <v>44729.706458333334</v>
      </c>
      <c r="K2510" s="1" t="s">
        <v>6863</v>
      </c>
      <c r="L2510" s="1">
        <v>0.74</v>
      </c>
      <c r="M2510" s="1">
        <v>0.622</v>
      </c>
      <c r="N2510">
        <v>11</v>
      </c>
      <c r="O2510" s="1">
        <v>-4.6079999999999997</v>
      </c>
      <c r="P2510">
        <v>0</v>
      </c>
      <c r="Q2510" s="1">
        <v>0.44600000000000001</v>
      </c>
      <c r="R2510" s="1">
        <v>0.35699999999999998</v>
      </c>
      <c r="S2510" s="1">
        <v>0.48499999999999999</v>
      </c>
      <c r="T2510" s="1">
        <v>0.35599999999999998</v>
      </c>
      <c r="U2510" s="1">
        <v>0.55600000000000005</v>
      </c>
      <c r="V2510" s="1">
        <v>104.96599999999999</v>
      </c>
      <c r="W2510">
        <v>4</v>
      </c>
    </row>
    <row r="2511" spans="1:23" x14ac:dyDescent="0.25">
      <c r="A2511" s="1" t="s">
        <v>19082</v>
      </c>
      <c r="B2511" s="1" t="s">
        <v>19083</v>
      </c>
      <c r="C2511" s="1" t="s">
        <v>6864</v>
      </c>
      <c r="D2511" s="1" t="s">
        <v>6864</v>
      </c>
      <c r="E2511" s="1" t="s">
        <v>6865</v>
      </c>
      <c r="F2511" s="1" t="s">
        <v>15619</v>
      </c>
      <c r="G2511">
        <v>245200</v>
      </c>
      <c r="H2511">
        <v>1</v>
      </c>
      <c r="I2511" s="1" t="s">
        <v>11063</v>
      </c>
      <c r="J2511" s="11">
        <v>44729.706458333334</v>
      </c>
      <c r="K2511" s="1" t="s">
        <v>6866</v>
      </c>
      <c r="L2511" s="1">
        <v>0.73499999999999999</v>
      </c>
      <c r="M2511" s="1">
        <v>0.45100000000000001</v>
      </c>
      <c r="N2511">
        <v>0</v>
      </c>
      <c r="O2511" s="1">
        <v>-8.3740000000000006</v>
      </c>
      <c r="P2511">
        <v>1</v>
      </c>
      <c r="Q2511" s="1">
        <v>0.58499999999999996</v>
      </c>
      <c r="R2511" s="1">
        <v>0.63100000000000001</v>
      </c>
      <c r="S2511" s="1">
        <v>0.13</v>
      </c>
      <c r="T2511" s="1">
        <v>0.32500000000000001</v>
      </c>
      <c r="U2511" s="1">
        <v>0.86199999999999999</v>
      </c>
      <c r="V2511" s="1">
        <v>117.973</v>
      </c>
      <c r="W2511">
        <v>4</v>
      </c>
    </row>
    <row r="2512" spans="1:23" x14ac:dyDescent="0.25">
      <c r="A2512" s="1" t="s">
        <v>19084</v>
      </c>
      <c r="B2512" s="1" t="s">
        <v>19085</v>
      </c>
      <c r="C2512" s="1" t="s">
        <v>6867</v>
      </c>
      <c r="D2512" s="1" t="s">
        <v>19086</v>
      </c>
      <c r="E2512" s="1" t="s">
        <v>6868</v>
      </c>
      <c r="F2512" s="1" t="s">
        <v>15821</v>
      </c>
      <c r="G2512">
        <v>239000</v>
      </c>
      <c r="H2512">
        <v>78</v>
      </c>
      <c r="I2512" s="1" t="s">
        <v>11063</v>
      </c>
      <c r="J2512" s="11">
        <v>44729.706458333334</v>
      </c>
      <c r="K2512" s="1" t="s">
        <v>6869</v>
      </c>
      <c r="L2512" s="1">
        <v>0.25900000000000001</v>
      </c>
      <c r="M2512" s="1">
        <v>0.437</v>
      </c>
      <c r="N2512">
        <v>11</v>
      </c>
      <c r="O2512" s="1">
        <v>-6.5890000000000004</v>
      </c>
      <c r="P2512">
        <v>0</v>
      </c>
      <c r="Q2512" s="1">
        <v>0.38600000000000001</v>
      </c>
      <c r="R2512" s="1">
        <v>0.10199999999999999</v>
      </c>
      <c r="S2512" s="1">
        <v>0.13200000000000001</v>
      </c>
      <c r="T2512" s="1">
        <v>0.106</v>
      </c>
      <c r="U2512" s="1">
        <v>0.95099999999999996</v>
      </c>
      <c r="V2512" s="1">
        <v>180.042</v>
      </c>
      <c r="W2512">
        <v>4</v>
      </c>
    </row>
    <row r="2513" spans="1:23" x14ac:dyDescent="0.25">
      <c r="A2513" s="1" t="s">
        <v>19087</v>
      </c>
      <c r="B2513" s="1" t="s">
        <v>19088</v>
      </c>
      <c r="C2513" s="1" t="s">
        <v>6870</v>
      </c>
      <c r="D2513" s="1" t="s">
        <v>18537</v>
      </c>
      <c r="E2513" s="1" t="s">
        <v>6871</v>
      </c>
      <c r="F2513" s="1" t="s">
        <v>15471</v>
      </c>
      <c r="G2513">
        <v>201560</v>
      </c>
      <c r="H2513">
        <v>55</v>
      </c>
      <c r="I2513" s="1" t="s">
        <v>11063</v>
      </c>
      <c r="J2513" s="11">
        <v>44729.706458333334</v>
      </c>
      <c r="K2513" s="1" t="s">
        <v>6872</v>
      </c>
      <c r="L2513" s="1">
        <v>0.66700000000000004</v>
      </c>
      <c r="M2513" s="1">
        <v>0.871</v>
      </c>
      <c r="N2513">
        <v>0</v>
      </c>
      <c r="O2513" s="1">
        <v>-4.9050000000000002</v>
      </c>
      <c r="P2513">
        <v>0</v>
      </c>
      <c r="Q2513" s="1">
        <v>0.34300000000000003</v>
      </c>
      <c r="R2513" s="1">
        <v>0.56899999999999995</v>
      </c>
      <c r="S2513" s="1">
        <v>0.65500000000000003</v>
      </c>
      <c r="T2513" s="1">
        <v>0.16500000000000001</v>
      </c>
      <c r="U2513" s="1">
        <v>0.187</v>
      </c>
      <c r="V2513" s="1">
        <v>128.042</v>
      </c>
      <c r="W2513">
        <v>4</v>
      </c>
    </row>
    <row r="2514" spans="1:23" x14ac:dyDescent="0.25">
      <c r="A2514" s="1" t="s">
        <v>19089</v>
      </c>
      <c r="B2514" s="1" t="s">
        <v>19090</v>
      </c>
      <c r="C2514" s="1" t="s">
        <v>6873</v>
      </c>
      <c r="D2514" s="1" t="s">
        <v>6873</v>
      </c>
      <c r="E2514" s="1" t="s">
        <v>6874</v>
      </c>
      <c r="F2514" s="1" t="s">
        <v>19091</v>
      </c>
      <c r="G2514">
        <v>282041</v>
      </c>
      <c r="H2514">
        <v>41</v>
      </c>
      <c r="I2514" s="1" t="s">
        <v>11063</v>
      </c>
      <c r="J2514" s="11">
        <v>44729.706458333334</v>
      </c>
      <c r="K2514" s="1" t="s">
        <v>6875</v>
      </c>
      <c r="L2514" s="1">
        <v>0.64900000000000002</v>
      </c>
      <c r="M2514" s="1">
        <v>0.78400000000000003</v>
      </c>
      <c r="N2514">
        <v>6</v>
      </c>
      <c r="O2514" s="1">
        <v>-4.266</v>
      </c>
      <c r="P2514">
        <v>0</v>
      </c>
      <c r="Q2514" s="1">
        <v>0.32500000000000001</v>
      </c>
      <c r="R2514" s="1">
        <v>0.56799999999999995</v>
      </c>
      <c r="S2514" s="1">
        <v>0.47399999999999998</v>
      </c>
      <c r="T2514" s="1">
        <v>0.878</v>
      </c>
      <c r="U2514" s="1">
        <v>0.28899999999999998</v>
      </c>
      <c r="V2514" s="1">
        <v>127.985</v>
      </c>
      <c r="W2514">
        <v>4</v>
      </c>
    </row>
    <row r="2515" spans="1:23" x14ac:dyDescent="0.25">
      <c r="A2515" s="1" t="s">
        <v>19092</v>
      </c>
      <c r="B2515" s="1" t="s">
        <v>19093</v>
      </c>
      <c r="C2515" s="1" t="s">
        <v>553</v>
      </c>
      <c r="D2515" s="1" t="s">
        <v>553</v>
      </c>
      <c r="E2515" s="1" t="s">
        <v>6876</v>
      </c>
      <c r="F2515" s="1" t="s">
        <v>19094</v>
      </c>
      <c r="G2515">
        <v>211875</v>
      </c>
      <c r="H2515">
        <v>54</v>
      </c>
      <c r="I2515" s="1" t="s">
        <v>11063</v>
      </c>
      <c r="J2515" s="11">
        <v>44729.706458333334</v>
      </c>
      <c r="K2515" s="1" t="s">
        <v>6877</v>
      </c>
      <c r="L2515" s="1">
        <v>0.64900000000000002</v>
      </c>
      <c r="M2515" s="1">
        <v>0.99</v>
      </c>
      <c r="N2515">
        <v>11</v>
      </c>
      <c r="O2515" s="1">
        <v>-1.8879999999999999</v>
      </c>
      <c r="P2515">
        <v>1</v>
      </c>
      <c r="Q2515" s="1">
        <v>0.112</v>
      </c>
      <c r="R2515" s="1">
        <v>0.74399999999999999</v>
      </c>
      <c r="S2515" s="1">
        <v>0.32800000000000001</v>
      </c>
      <c r="T2515" s="1">
        <v>0.626</v>
      </c>
      <c r="U2515" s="1">
        <v>0.20799999999999999</v>
      </c>
      <c r="V2515" s="1">
        <v>127.964</v>
      </c>
      <c r="W2515">
        <v>4</v>
      </c>
    </row>
    <row r="2516" spans="1:23" x14ac:dyDescent="0.25">
      <c r="A2516" s="1" t="s">
        <v>19095</v>
      </c>
      <c r="B2516" s="1" t="s">
        <v>19096</v>
      </c>
      <c r="C2516" s="1" t="s">
        <v>6878</v>
      </c>
      <c r="D2516" s="1" t="s">
        <v>6878</v>
      </c>
      <c r="E2516" s="1" t="s">
        <v>6879</v>
      </c>
      <c r="F2516" s="1" t="s">
        <v>19097</v>
      </c>
      <c r="G2516">
        <v>293300</v>
      </c>
      <c r="H2516">
        <v>46</v>
      </c>
      <c r="I2516" s="1" t="s">
        <v>11063</v>
      </c>
      <c r="J2516" s="11">
        <v>44729.706458333334</v>
      </c>
      <c r="K2516" s="1" t="s">
        <v>6880</v>
      </c>
      <c r="L2516" s="1">
        <v>0.55400000000000005</v>
      </c>
      <c r="M2516" s="1">
        <v>0.78200000000000003</v>
      </c>
      <c r="N2516">
        <v>4</v>
      </c>
      <c r="O2516" s="1">
        <v>-7.9669999999999996</v>
      </c>
      <c r="P2516">
        <v>1</v>
      </c>
      <c r="Q2516" s="1">
        <v>0.46899999999999997</v>
      </c>
      <c r="R2516" s="1">
        <v>0.17100000000000001</v>
      </c>
      <c r="S2516" s="1">
        <v>0.80600000000000005</v>
      </c>
      <c r="T2516" s="1">
        <v>0.70299999999999996</v>
      </c>
      <c r="U2516" s="1">
        <v>0.41799999999999998</v>
      </c>
      <c r="V2516" s="1">
        <v>169.97300000000001</v>
      </c>
      <c r="W2516">
        <v>4</v>
      </c>
    </row>
    <row r="2517" spans="1:23" x14ac:dyDescent="0.25">
      <c r="A2517" s="1" t="s">
        <v>19098</v>
      </c>
      <c r="B2517" s="1" t="s">
        <v>19099</v>
      </c>
      <c r="C2517" s="1" t="s">
        <v>4179</v>
      </c>
      <c r="D2517" s="1" t="s">
        <v>4179</v>
      </c>
      <c r="E2517" s="1" t="s">
        <v>6881</v>
      </c>
      <c r="F2517" s="1" t="s">
        <v>19100</v>
      </c>
      <c r="G2517">
        <v>288000</v>
      </c>
      <c r="H2517">
        <v>27</v>
      </c>
      <c r="I2517" s="1" t="s">
        <v>11063</v>
      </c>
      <c r="J2517" s="11">
        <v>44729.706458333334</v>
      </c>
      <c r="K2517" s="1" t="s">
        <v>1053</v>
      </c>
      <c r="L2517" s="1">
        <v>0.32700000000000001</v>
      </c>
      <c r="M2517" s="1">
        <v>0.52600000000000002</v>
      </c>
      <c r="N2517">
        <v>9</v>
      </c>
      <c r="O2517" s="1">
        <v>-5.89</v>
      </c>
      <c r="P2517">
        <v>1</v>
      </c>
      <c r="Q2517" s="1">
        <v>0.44</v>
      </c>
      <c r="R2517" s="1">
        <v>0.47799999999999998</v>
      </c>
      <c r="S2517" s="1">
        <v>0</v>
      </c>
      <c r="T2517" s="1">
        <v>0.51100000000000001</v>
      </c>
      <c r="U2517" s="1">
        <v>0.79400000000000004</v>
      </c>
      <c r="V2517" s="1">
        <v>139.149</v>
      </c>
      <c r="W2517">
        <v>4</v>
      </c>
    </row>
    <row r="2518" spans="1:23" x14ac:dyDescent="0.25">
      <c r="A2518" s="1" t="s">
        <v>19101</v>
      </c>
      <c r="B2518" s="1" t="s">
        <v>19102</v>
      </c>
      <c r="C2518" s="1" t="s">
        <v>6882</v>
      </c>
      <c r="D2518" s="1" t="s">
        <v>6882</v>
      </c>
      <c r="E2518" s="1" t="s">
        <v>6883</v>
      </c>
      <c r="F2518" s="1" t="s">
        <v>19103</v>
      </c>
      <c r="G2518">
        <v>288754</v>
      </c>
      <c r="H2518">
        <v>38</v>
      </c>
      <c r="I2518" s="1" t="s">
        <v>11063</v>
      </c>
      <c r="J2518" s="11">
        <v>44729.706458333334</v>
      </c>
      <c r="K2518" s="1" t="s">
        <v>1053</v>
      </c>
      <c r="L2518" s="1">
        <v>0.753</v>
      </c>
      <c r="M2518" s="1">
        <v>0.92100000000000004</v>
      </c>
      <c r="N2518">
        <v>1</v>
      </c>
      <c r="O2518" s="1">
        <v>-8.2520000000000007</v>
      </c>
      <c r="P2518">
        <v>1</v>
      </c>
      <c r="Q2518" s="1">
        <v>0.76</v>
      </c>
      <c r="R2518" s="1">
        <v>0.42299999999999999</v>
      </c>
      <c r="S2518" s="1">
        <v>0.39</v>
      </c>
      <c r="T2518" s="1">
        <v>0.14899999999999999</v>
      </c>
      <c r="U2518" s="1">
        <v>0.38500000000000001</v>
      </c>
      <c r="V2518" s="1">
        <v>128.08000000000001</v>
      </c>
      <c r="W2518">
        <v>4</v>
      </c>
    </row>
    <row r="2519" spans="1:23" x14ac:dyDescent="0.25">
      <c r="A2519" s="1" t="s">
        <v>19104</v>
      </c>
      <c r="B2519" s="1" t="s">
        <v>19105</v>
      </c>
      <c r="C2519" s="1" t="s">
        <v>6884</v>
      </c>
      <c r="D2519" s="1" t="s">
        <v>16993</v>
      </c>
      <c r="E2519" s="1" t="s">
        <v>6885</v>
      </c>
      <c r="F2519" s="1" t="s">
        <v>16994</v>
      </c>
      <c r="G2519">
        <v>166138</v>
      </c>
      <c r="H2519">
        <v>71</v>
      </c>
      <c r="I2519" s="1" t="s">
        <v>11063</v>
      </c>
      <c r="J2519" s="11">
        <v>44729.706458333334</v>
      </c>
      <c r="K2519" s="1" t="s">
        <v>6886</v>
      </c>
      <c r="L2519" s="1">
        <v>0.747</v>
      </c>
      <c r="M2519" s="1">
        <v>0.877</v>
      </c>
      <c r="N2519">
        <v>9</v>
      </c>
      <c r="O2519" s="1">
        <v>-3.782</v>
      </c>
      <c r="P2519">
        <v>0</v>
      </c>
      <c r="Q2519" s="1">
        <v>0.66400000000000003</v>
      </c>
      <c r="R2519" s="1">
        <v>0.375</v>
      </c>
      <c r="S2519" s="1">
        <v>0.83299999999999996</v>
      </c>
      <c r="T2519" s="1">
        <v>0.23300000000000001</v>
      </c>
      <c r="U2519" s="1">
        <v>0.752</v>
      </c>
      <c r="V2519" s="1">
        <v>107.991</v>
      </c>
      <c r="W2519">
        <v>4</v>
      </c>
    </row>
    <row r="2520" spans="1:23" x14ac:dyDescent="0.25">
      <c r="A2520" s="1" t="s">
        <v>19106</v>
      </c>
      <c r="B2520" s="1" t="s">
        <v>12184</v>
      </c>
      <c r="C2520" s="1" t="s">
        <v>707</v>
      </c>
      <c r="D2520" s="1" t="s">
        <v>707</v>
      </c>
      <c r="E2520" s="1" t="s">
        <v>708</v>
      </c>
      <c r="F2520" s="1" t="s">
        <v>19107</v>
      </c>
      <c r="G2520">
        <v>255066</v>
      </c>
      <c r="H2520">
        <v>0</v>
      </c>
      <c r="I2520" s="1" t="s">
        <v>11063</v>
      </c>
      <c r="J2520" s="11">
        <v>44729.706458333334</v>
      </c>
      <c r="K2520" s="1" t="s">
        <v>709</v>
      </c>
      <c r="L2520" s="1">
        <v>0.47399999999999998</v>
      </c>
      <c r="M2520" s="1">
        <v>0.75600000000000001</v>
      </c>
      <c r="N2520">
        <v>2</v>
      </c>
      <c r="O2520" s="1">
        <v>-2.9729999999999999</v>
      </c>
      <c r="P2520">
        <v>1</v>
      </c>
      <c r="Q2520" s="1">
        <v>0.51800000000000002</v>
      </c>
      <c r="R2520" s="1">
        <v>0.747</v>
      </c>
      <c r="S2520" s="1">
        <v>0</v>
      </c>
      <c r="T2520" s="1">
        <v>0.69299999999999995</v>
      </c>
      <c r="U2520" s="1">
        <v>0.41299999999999998</v>
      </c>
      <c r="V2520" s="1">
        <v>131.84</v>
      </c>
      <c r="W2520">
        <v>4</v>
      </c>
    </row>
    <row r="2521" spans="1:23" x14ac:dyDescent="0.25">
      <c r="A2521" s="1" t="s">
        <v>19108</v>
      </c>
      <c r="B2521" s="1" t="s">
        <v>19109</v>
      </c>
      <c r="C2521" s="1" t="s">
        <v>6887</v>
      </c>
      <c r="D2521" s="1" t="s">
        <v>6887</v>
      </c>
      <c r="E2521" s="1" t="s">
        <v>6888</v>
      </c>
      <c r="F2521" s="1" t="s">
        <v>11598</v>
      </c>
      <c r="G2521">
        <v>202745</v>
      </c>
      <c r="H2521">
        <v>0</v>
      </c>
      <c r="I2521" s="1" t="s">
        <v>11063</v>
      </c>
      <c r="J2521" s="11">
        <v>44729.706458333334</v>
      </c>
      <c r="K2521" s="1" t="s">
        <v>6889</v>
      </c>
      <c r="L2521" s="1">
        <v>0.72799999999999998</v>
      </c>
      <c r="M2521" s="1">
        <v>0.85799999999999998</v>
      </c>
      <c r="N2521">
        <v>0</v>
      </c>
      <c r="O2521" s="1">
        <v>-3.8660000000000001</v>
      </c>
      <c r="P2521">
        <v>0</v>
      </c>
      <c r="Q2521" s="1">
        <v>0.45700000000000002</v>
      </c>
      <c r="R2521" s="1">
        <v>0.26400000000000001</v>
      </c>
      <c r="S2521" s="1">
        <v>0.76100000000000001</v>
      </c>
      <c r="T2521" s="1">
        <v>0.158</v>
      </c>
      <c r="U2521" s="1">
        <v>0.63800000000000001</v>
      </c>
      <c r="V2521" s="1">
        <v>122.01</v>
      </c>
      <c r="W2521">
        <v>4</v>
      </c>
    </row>
    <row r="2522" spans="1:23" x14ac:dyDescent="0.25">
      <c r="A2522" s="1" t="s">
        <v>19110</v>
      </c>
      <c r="B2522" s="1" t="s">
        <v>19111</v>
      </c>
      <c r="C2522" s="1" t="s">
        <v>6890</v>
      </c>
      <c r="D2522" s="1" t="s">
        <v>6890</v>
      </c>
      <c r="E2522" s="1" t="s">
        <v>6891</v>
      </c>
      <c r="F2522" s="1" t="s">
        <v>19112</v>
      </c>
      <c r="G2522">
        <v>200347</v>
      </c>
      <c r="H2522">
        <v>35</v>
      </c>
      <c r="I2522" s="1" t="s">
        <v>11063</v>
      </c>
      <c r="J2522" s="11">
        <v>44729.706458333334</v>
      </c>
      <c r="K2522" s="1" t="s">
        <v>6892</v>
      </c>
      <c r="L2522" s="1">
        <v>0.45900000000000002</v>
      </c>
      <c r="M2522" s="1">
        <v>0.97099999999999997</v>
      </c>
      <c r="N2522">
        <v>10</v>
      </c>
      <c r="O2522" s="1">
        <v>-5.86</v>
      </c>
      <c r="P2522">
        <v>0</v>
      </c>
      <c r="Q2522" s="1">
        <v>0.46400000000000002</v>
      </c>
      <c r="R2522" s="1">
        <v>0.17599999999999999</v>
      </c>
      <c r="S2522" s="1">
        <v>0.40500000000000003</v>
      </c>
      <c r="T2522" s="1">
        <v>0.10299999999999999</v>
      </c>
      <c r="U2522" s="1">
        <v>0.46700000000000003</v>
      </c>
      <c r="V2522" s="1">
        <v>115.04600000000001</v>
      </c>
      <c r="W2522">
        <v>4</v>
      </c>
    </row>
    <row r="2523" spans="1:23" x14ac:dyDescent="0.25">
      <c r="A2523" s="1" t="s">
        <v>19113</v>
      </c>
      <c r="B2523" s="1" t="s">
        <v>19114</v>
      </c>
      <c r="C2523" s="1" t="s">
        <v>838</v>
      </c>
      <c r="D2523" s="1" t="s">
        <v>19115</v>
      </c>
      <c r="E2523" s="1" t="s">
        <v>6893</v>
      </c>
      <c r="F2523" s="1" t="s">
        <v>11647</v>
      </c>
      <c r="G2523">
        <v>179538</v>
      </c>
      <c r="H2523">
        <v>0</v>
      </c>
      <c r="I2523" s="1" t="s">
        <v>11063</v>
      </c>
      <c r="J2523" s="11">
        <v>44729.706458333334</v>
      </c>
      <c r="K2523" s="1" t="s">
        <v>2577</v>
      </c>
      <c r="L2523" s="1">
        <v>0.33100000000000002</v>
      </c>
      <c r="M2523" s="1">
        <v>0.78600000000000003</v>
      </c>
      <c r="N2523">
        <v>9</v>
      </c>
      <c r="O2523" s="1">
        <v>-6.0129999999999999</v>
      </c>
      <c r="P2523">
        <v>0</v>
      </c>
      <c r="Q2523" s="1">
        <v>0.97</v>
      </c>
      <c r="R2523" s="1">
        <v>0.81399999999999995</v>
      </c>
      <c r="S2523" s="1">
        <v>0.40600000000000003</v>
      </c>
      <c r="T2523" s="1">
        <v>0.11600000000000001</v>
      </c>
      <c r="U2523" s="1">
        <v>0.20799999999999999</v>
      </c>
      <c r="V2523" s="1">
        <v>187.107</v>
      </c>
      <c r="W2523">
        <v>4</v>
      </c>
    </row>
    <row r="2524" spans="1:23" x14ac:dyDescent="0.25">
      <c r="A2524" s="1" t="s">
        <v>19116</v>
      </c>
      <c r="B2524" s="1" t="s">
        <v>17359</v>
      </c>
      <c r="C2524" s="1" t="s">
        <v>6894</v>
      </c>
      <c r="D2524" s="1" t="s">
        <v>2426</v>
      </c>
      <c r="E2524" s="1" t="s">
        <v>5308</v>
      </c>
      <c r="F2524" s="1" t="s">
        <v>11722</v>
      </c>
      <c r="G2524">
        <v>157570</v>
      </c>
      <c r="H2524">
        <v>12</v>
      </c>
      <c r="I2524" s="1" t="s">
        <v>11063</v>
      </c>
      <c r="J2524" s="11">
        <v>44729.706458333334</v>
      </c>
      <c r="K2524" s="1" t="s">
        <v>933</v>
      </c>
      <c r="L2524" s="1">
        <v>0.90200000000000002</v>
      </c>
      <c r="M2524" s="1">
        <v>0.42</v>
      </c>
      <c r="N2524">
        <v>8</v>
      </c>
      <c r="O2524" s="1">
        <v>-8.952</v>
      </c>
      <c r="P2524">
        <v>1</v>
      </c>
      <c r="Q2524" s="1">
        <v>0.56499999999999995</v>
      </c>
      <c r="R2524" s="1">
        <v>0.46700000000000003</v>
      </c>
      <c r="S2524" s="1">
        <v>0.14499999999999999</v>
      </c>
      <c r="T2524" s="1">
        <v>0.104</v>
      </c>
      <c r="U2524" s="1">
        <v>0.62</v>
      </c>
      <c r="V2524" s="1">
        <v>107.002</v>
      </c>
      <c r="W2524">
        <v>4</v>
      </c>
    </row>
    <row r="2525" spans="1:23" x14ac:dyDescent="0.25">
      <c r="A2525" s="1" t="s">
        <v>19117</v>
      </c>
      <c r="B2525" s="1" t="s">
        <v>14312</v>
      </c>
      <c r="C2525" s="1" t="s">
        <v>6895</v>
      </c>
      <c r="D2525" s="1" t="s">
        <v>6895</v>
      </c>
      <c r="E2525" s="1" t="s">
        <v>2667</v>
      </c>
      <c r="F2525" s="1" t="s">
        <v>11722</v>
      </c>
      <c r="G2525">
        <v>165733</v>
      </c>
      <c r="H2525">
        <v>0</v>
      </c>
      <c r="I2525" s="1" t="s">
        <v>11063</v>
      </c>
      <c r="J2525" s="11">
        <v>44729.706458333334</v>
      </c>
      <c r="K2525" s="1" t="s">
        <v>2668</v>
      </c>
      <c r="L2525" s="1">
        <v>0.81100000000000005</v>
      </c>
      <c r="M2525" s="1">
        <v>0.42899999999999999</v>
      </c>
      <c r="N2525">
        <v>10</v>
      </c>
      <c r="O2525" s="1">
        <v>-9.8019999999999996</v>
      </c>
      <c r="P2525">
        <v>1</v>
      </c>
      <c r="Q2525" s="1">
        <v>0.99099999999999999</v>
      </c>
      <c r="R2525" s="1">
        <v>0.151</v>
      </c>
      <c r="S2525" s="1">
        <v>0.55700000000000005</v>
      </c>
      <c r="T2525" s="1">
        <v>0.94499999999999995</v>
      </c>
      <c r="U2525" s="1">
        <v>0.54400000000000004</v>
      </c>
      <c r="V2525" s="1">
        <v>111.983</v>
      </c>
      <c r="W2525">
        <v>4</v>
      </c>
    </row>
    <row r="2526" spans="1:23" x14ac:dyDescent="0.25">
      <c r="A2526" s="1" t="s">
        <v>19118</v>
      </c>
      <c r="B2526" s="1" t="s">
        <v>19119</v>
      </c>
      <c r="C2526" s="1" t="s">
        <v>5470</v>
      </c>
      <c r="D2526" s="1" t="s">
        <v>5470</v>
      </c>
      <c r="E2526" s="1" t="s">
        <v>6896</v>
      </c>
      <c r="F2526" s="1" t="s">
        <v>11722</v>
      </c>
      <c r="G2526">
        <v>218831</v>
      </c>
      <c r="H2526">
        <v>26</v>
      </c>
      <c r="I2526" s="1" t="s">
        <v>11063</v>
      </c>
      <c r="J2526" s="11">
        <v>44729.706458333334</v>
      </c>
      <c r="K2526" s="1" t="s">
        <v>6897</v>
      </c>
      <c r="L2526" s="1">
        <v>0.65400000000000003</v>
      </c>
      <c r="M2526" s="1">
        <v>0.89600000000000002</v>
      </c>
      <c r="N2526">
        <v>7</v>
      </c>
      <c r="O2526" s="1">
        <v>-3.367</v>
      </c>
      <c r="P2526">
        <v>0</v>
      </c>
      <c r="Q2526" s="1">
        <v>0.55000000000000004</v>
      </c>
      <c r="R2526" s="1">
        <v>0.251</v>
      </c>
      <c r="S2526" s="1">
        <v>0.56599999999999995</v>
      </c>
      <c r="T2526" s="1">
        <v>0.88500000000000001</v>
      </c>
      <c r="U2526" s="1">
        <v>0.54200000000000004</v>
      </c>
      <c r="V2526" s="1">
        <v>145.06800000000001</v>
      </c>
      <c r="W2526">
        <v>4</v>
      </c>
    </row>
    <row r="2527" spans="1:23" x14ac:dyDescent="0.25">
      <c r="A2527" s="1" t="s">
        <v>19120</v>
      </c>
      <c r="B2527" s="1" t="s">
        <v>19121</v>
      </c>
      <c r="C2527" s="1" t="s">
        <v>6898</v>
      </c>
      <c r="D2527" s="1" t="s">
        <v>6898</v>
      </c>
      <c r="E2527" s="1" t="s">
        <v>6899</v>
      </c>
      <c r="F2527" s="1" t="s">
        <v>11722</v>
      </c>
      <c r="G2527">
        <v>179634</v>
      </c>
      <c r="H2527">
        <v>42</v>
      </c>
      <c r="I2527" s="1" t="s">
        <v>11063</v>
      </c>
      <c r="J2527" s="11">
        <v>44729.706458333334</v>
      </c>
      <c r="K2527" s="1" t="s">
        <v>6900</v>
      </c>
      <c r="L2527" s="1">
        <v>0.40400000000000003</v>
      </c>
      <c r="M2527" s="1">
        <v>0.66100000000000003</v>
      </c>
      <c r="N2527">
        <v>4</v>
      </c>
      <c r="O2527" s="1">
        <v>-5.7510000000000003</v>
      </c>
      <c r="P2527">
        <v>0</v>
      </c>
      <c r="Q2527" s="1">
        <v>0.36099999999999999</v>
      </c>
      <c r="R2527" s="1">
        <v>0.98199999999999998</v>
      </c>
      <c r="S2527" s="1">
        <v>0.501</v>
      </c>
      <c r="T2527" s="1">
        <v>0.53200000000000003</v>
      </c>
      <c r="U2527" s="1">
        <v>0.52300000000000002</v>
      </c>
      <c r="V2527" s="1">
        <v>206.22800000000001</v>
      </c>
      <c r="W2527">
        <v>4</v>
      </c>
    </row>
    <row r="2528" spans="1:23" x14ac:dyDescent="0.25">
      <c r="A2528" s="1" t="s">
        <v>19122</v>
      </c>
      <c r="B2528" s="1" t="s">
        <v>15042</v>
      </c>
      <c r="C2528" s="1" t="s">
        <v>3309</v>
      </c>
      <c r="D2528" s="1" t="s">
        <v>19123</v>
      </c>
      <c r="E2528" s="1" t="s">
        <v>3310</v>
      </c>
      <c r="F2528" s="1" t="s">
        <v>13310</v>
      </c>
      <c r="G2528">
        <v>215093</v>
      </c>
      <c r="H2528">
        <v>62</v>
      </c>
      <c r="I2528" s="1" t="s">
        <v>11063</v>
      </c>
      <c r="J2528" s="11">
        <v>44729.706458333334</v>
      </c>
      <c r="K2528" s="1" t="s">
        <v>3311</v>
      </c>
      <c r="L2528" s="1">
        <v>0.71199999999999997</v>
      </c>
      <c r="M2528" s="1">
        <v>0.83699999999999997</v>
      </c>
      <c r="N2528">
        <v>7</v>
      </c>
      <c r="O2528" s="1">
        <v>-7.1909999999999998</v>
      </c>
      <c r="P2528">
        <v>1</v>
      </c>
      <c r="Q2528" s="1">
        <v>0.28499999999999998</v>
      </c>
      <c r="R2528" s="1">
        <v>0.86399999999999999</v>
      </c>
      <c r="S2528" s="1">
        <v>0.68400000000000005</v>
      </c>
      <c r="T2528" s="1">
        <v>0.10199999999999999</v>
      </c>
      <c r="U2528" s="1">
        <v>0.27900000000000003</v>
      </c>
      <c r="V2528" s="1">
        <v>127.07599999999999</v>
      </c>
      <c r="W2528">
        <v>4</v>
      </c>
    </row>
    <row r="2529" spans="1:23" x14ac:dyDescent="0.25">
      <c r="A2529" s="1" t="s">
        <v>19124</v>
      </c>
      <c r="B2529" s="1" t="s">
        <v>19125</v>
      </c>
      <c r="C2529" s="1" t="s">
        <v>6901</v>
      </c>
      <c r="D2529" s="1" t="s">
        <v>544</v>
      </c>
      <c r="E2529" s="1" t="s">
        <v>6902</v>
      </c>
      <c r="F2529" s="1" t="s">
        <v>14255</v>
      </c>
      <c r="G2529">
        <v>283165</v>
      </c>
      <c r="H2529">
        <v>3</v>
      </c>
      <c r="I2529" s="1" t="s">
        <v>11063</v>
      </c>
      <c r="J2529" s="11">
        <v>44729.706458333334</v>
      </c>
      <c r="K2529" s="1" t="s">
        <v>373</v>
      </c>
      <c r="L2529" s="1">
        <v>0.61</v>
      </c>
      <c r="M2529" s="1">
        <v>0.78400000000000003</v>
      </c>
      <c r="N2529">
        <v>8</v>
      </c>
      <c r="O2529" s="1">
        <v>-2.964</v>
      </c>
      <c r="P2529">
        <v>0</v>
      </c>
      <c r="Q2529" s="1">
        <v>0.108</v>
      </c>
      <c r="R2529" s="1">
        <v>0.34300000000000003</v>
      </c>
      <c r="S2529" s="1">
        <v>0.11899999999999999</v>
      </c>
      <c r="T2529" s="1">
        <v>0.85399999999999998</v>
      </c>
      <c r="U2529" s="1">
        <v>0.628</v>
      </c>
      <c r="V2529" s="1">
        <v>127.977</v>
      </c>
      <c r="W2529">
        <v>4</v>
      </c>
    </row>
    <row r="2530" spans="1:23" x14ac:dyDescent="0.25">
      <c r="A2530" s="1" t="s">
        <v>19126</v>
      </c>
      <c r="B2530" s="1" t="s">
        <v>19127</v>
      </c>
      <c r="C2530" s="1" t="s">
        <v>6903</v>
      </c>
      <c r="D2530" s="1" t="s">
        <v>19128</v>
      </c>
      <c r="E2530" s="1" t="s">
        <v>6904</v>
      </c>
      <c r="F2530" s="1" t="s">
        <v>14073</v>
      </c>
      <c r="G2530">
        <v>184133</v>
      </c>
      <c r="H2530">
        <v>74</v>
      </c>
      <c r="I2530" s="1" t="s">
        <v>11063</v>
      </c>
      <c r="J2530" s="11">
        <v>44729.706458333334</v>
      </c>
      <c r="K2530" s="1" t="s">
        <v>6905</v>
      </c>
      <c r="L2530" s="1">
        <v>0.73799999999999999</v>
      </c>
      <c r="M2530" s="1">
        <v>0.79400000000000004</v>
      </c>
      <c r="N2530">
        <v>11</v>
      </c>
      <c r="O2530" s="1">
        <v>-4.1180000000000003</v>
      </c>
      <c r="P2530">
        <v>0</v>
      </c>
      <c r="Q2530" s="1">
        <v>0.41599999999999998</v>
      </c>
      <c r="R2530" s="1">
        <v>0.10100000000000001</v>
      </c>
      <c r="S2530" s="1">
        <v>0</v>
      </c>
      <c r="T2530" s="1">
        <v>0.53300000000000003</v>
      </c>
      <c r="U2530" s="1">
        <v>0.56599999999999995</v>
      </c>
      <c r="V2530" s="1">
        <v>104.014</v>
      </c>
      <c r="W2530">
        <v>4</v>
      </c>
    </row>
    <row r="2531" spans="1:23" x14ac:dyDescent="0.25">
      <c r="A2531" s="1" t="s">
        <v>19129</v>
      </c>
      <c r="B2531" s="1" t="s">
        <v>18362</v>
      </c>
      <c r="C2531" s="1" t="s">
        <v>6252</v>
      </c>
      <c r="D2531" s="1" t="s">
        <v>19128</v>
      </c>
      <c r="E2531" s="1" t="s">
        <v>6253</v>
      </c>
      <c r="F2531" s="1" t="s">
        <v>14073</v>
      </c>
      <c r="G2531">
        <v>212424</v>
      </c>
      <c r="H2531">
        <v>73</v>
      </c>
      <c r="I2531" s="1" t="s">
        <v>11063</v>
      </c>
      <c r="J2531" s="11">
        <v>44729.706458333334</v>
      </c>
      <c r="K2531" s="1" t="s">
        <v>6254</v>
      </c>
      <c r="L2531" s="1">
        <v>0.67200000000000004</v>
      </c>
      <c r="M2531" s="1">
        <v>0.57799999999999996</v>
      </c>
      <c r="N2531">
        <v>9</v>
      </c>
      <c r="O2531" s="1">
        <v>-6.6210000000000004</v>
      </c>
      <c r="P2531">
        <v>1</v>
      </c>
      <c r="Q2531" s="1">
        <v>0.56899999999999995</v>
      </c>
      <c r="R2531" s="1">
        <v>0.46899999999999997</v>
      </c>
      <c r="S2531" s="1">
        <v>0</v>
      </c>
      <c r="T2531" s="1">
        <v>0.312</v>
      </c>
      <c r="U2531" s="1">
        <v>0.54800000000000004</v>
      </c>
      <c r="V2531" s="1">
        <v>113.94499999999999</v>
      </c>
      <c r="W2531">
        <v>4</v>
      </c>
    </row>
    <row r="2532" spans="1:23" x14ac:dyDescent="0.25">
      <c r="A2532" s="1" t="s">
        <v>19130</v>
      </c>
      <c r="B2532" s="1" t="s">
        <v>19131</v>
      </c>
      <c r="C2532" s="1" t="s">
        <v>6906</v>
      </c>
      <c r="D2532" s="1" t="s">
        <v>19128</v>
      </c>
      <c r="E2532" s="1" t="s">
        <v>6907</v>
      </c>
      <c r="F2532" s="1" t="s">
        <v>14073</v>
      </c>
      <c r="G2532">
        <v>196613</v>
      </c>
      <c r="H2532">
        <v>76</v>
      </c>
      <c r="I2532" s="1" t="s">
        <v>11063</v>
      </c>
      <c r="J2532" s="11">
        <v>44729.706458333334</v>
      </c>
      <c r="K2532" s="1" t="s">
        <v>6908</v>
      </c>
      <c r="L2532" s="1">
        <v>0.73</v>
      </c>
      <c r="M2532" s="1">
        <v>0.86099999999999999</v>
      </c>
      <c r="N2532">
        <v>1</v>
      </c>
      <c r="O2532" s="1">
        <v>-4.0999999999999996</v>
      </c>
      <c r="P2532">
        <v>1</v>
      </c>
      <c r="Q2532" s="1">
        <v>0.45100000000000001</v>
      </c>
      <c r="R2532" s="1">
        <v>0.39</v>
      </c>
      <c r="S2532" s="1">
        <v>0</v>
      </c>
      <c r="T2532" s="1">
        <v>0.21299999999999999</v>
      </c>
      <c r="U2532" s="1">
        <v>0.70399999999999996</v>
      </c>
      <c r="V2532" s="1">
        <v>117.965</v>
      </c>
      <c r="W2532">
        <v>4</v>
      </c>
    </row>
    <row r="2533" spans="1:23" x14ac:dyDescent="0.25">
      <c r="A2533" s="1" t="s">
        <v>19132</v>
      </c>
      <c r="B2533" s="1" t="s">
        <v>19133</v>
      </c>
      <c r="C2533" s="1" t="s">
        <v>6339</v>
      </c>
      <c r="D2533" s="1" t="s">
        <v>19134</v>
      </c>
      <c r="E2533" s="1" t="s">
        <v>6909</v>
      </c>
      <c r="F2533" s="1" t="s">
        <v>13564</v>
      </c>
      <c r="G2533">
        <v>230813</v>
      </c>
      <c r="H2533">
        <v>72</v>
      </c>
      <c r="I2533" s="1" t="s">
        <v>11063</v>
      </c>
      <c r="J2533" s="11">
        <v>44729.706458333334</v>
      </c>
      <c r="K2533" s="1" t="s">
        <v>6341</v>
      </c>
      <c r="L2533" s="1">
        <v>0.73599999999999999</v>
      </c>
      <c r="M2533" s="1">
        <v>0.79500000000000004</v>
      </c>
      <c r="N2533">
        <v>1</v>
      </c>
      <c r="O2533" s="1">
        <v>-3.2989999999999999</v>
      </c>
      <c r="P2533">
        <v>0</v>
      </c>
      <c r="Q2533" s="1">
        <v>0.54500000000000004</v>
      </c>
      <c r="R2533" s="1">
        <v>0.498</v>
      </c>
      <c r="S2533" s="1">
        <v>0.121</v>
      </c>
      <c r="T2533" s="1">
        <v>0.254</v>
      </c>
      <c r="U2533" s="1">
        <v>0.51100000000000001</v>
      </c>
      <c r="V2533" s="1">
        <v>104.066</v>
      </c>
      <c r="W2533">
        <v>4</v>
      </c>
    </row>
    <row r="2534" spans="1:23" x14ac:dyDescent="0.25">
      <c r="A2534" s="1" t="s">
        <v>19135</v>
      </c>
      <c r="B2534" s="1" t="s">
        <v>19136</v>
      </c>
      <c r="C2534" s="1" t="s">
        <v>6910</v>
      </c>
      <c r="D2534" s="1" t="s">
        <v>19134</v>
      </c>
      <c r="E2534" s="1" t="s">
        <v>6911</v>
      </c>
      <c r="F2534" s="1" t="s">
        <v>13564</v>
      </c>
      <c r="G2534">
        <v>223413</v>
      </c>
      <c r="H2534">
        <v>82</v>
      </c>
      <c r="I2534" s="1" t="s">
        <v>11063</v>
      </c>
      <c r="J2534" s="11">
        <v>44729.706458333334</v>
      </c>
      <c r="K2534" s="1" t="s">
        <v>6912</v>
      </c>
      <c r="L2534" s="1">
        <v>0.89300000000000002</v>
      </c>
      <c r="M2534" s="1">
        <v>0.745</v>
      </c>
      <c r="N2534">
        <v>11</v>
      </c>
      <c r="O2534" s="1">
        <v>-3.105</v>
      </c>
      <c r="P2534">
        <v>0</v>
      </c>
      <c r="Q2534" s="1">
        <v>0.57099999999999995</v>
      </c>
      <c r="R2534" s="1">
        <v>0.64200000000000002</v>
      </c>
      <c r="S2534" s="1">
        <v>0</v>
      </c>
      <c r="T2534" s="1">
        <v>0.94299999999999995</v>
      </c>
      <c r="U2534" s="1">
        <v>0.872</v>
      </c>
      <c r="V2534" s="1">
        <v>101.018</v>
      </c>
      <c r="W2534">
        <v>4</v>
      </c>
    </row>
    <row r="2535" spans="1:23" x14ac:dyDescent="0.25">
      <c r="A2535" s="1" t="s">
        <v>19137</v>
      </c>
      <c r="B2535" s="1" t="s">
        <v>19138</v>
      </c>
      <c r="C2535" s="1" t="s">
        <v>6913</v>
      </c>
      <c r="D2535" s="1" t="s">
        <v>6913</v>
      </c>
      <c r="E2535" s="1" t="s">
        <v>6914</v>
      </c>
      <c r="F2535" s="1" t="s">
        <v>11708</v>
      </c>
      <c r="G2535">
        <v>212640</v>
      </c>
      <c r="H2535">
        <v>77</v>
      </c>
      <c r="I2535" s="1" t="s">
        <v>11063</v>
      </c>
      <c r="J2535" s="11">
        <v>44729.706458333334</v>
      </c>
      <c r="K2535" s="1" t="s">
        <v>6915</v>
      </c>
      <c r="L2535" s="1">
        <v>0.73799999999999999</v>
      </c>
      <c r="M2535" s="1">
        <v>0.86799999999999999</v>
      </c>
      <c r="N2535">
        <v>11</v>
      </c>
      <c r="O2535" s="1">
        <v>-4.3730000000000002</v>
      </c>
      <c r="P2535">
        <v>0</v>
      </c>
      <c r="Q2535" s="1">
        <v>0.73099999999999998</v>
      </c>
      <c r="R2535" s="1">
        <v>0.39200000000000002</v>
      </c>
      <c r="S2535" s="1">
        <v>0.16900000000000001</v>
      </c>
      <c r="T2535" s="1">
        <v>0.38800000000000001</v>
      </c>
      <c r="U2535" s="1">
        <v>0.33600000000000002</v>
      </c>
      <c r="V2535" s="1">
        <v>122.003</v>
      </c>
      <c r="W2535">
        <v>4</v>
      </c>
    </row>
    <row r="2536" spans="1:23" x14ac:dyDescent="0.25">
      <c r="A2536" s="1" t="s">
        <v>11716</v>
      </c>
      <c r="B2536" s="1" t="s">
        <v>11717</v>
      </c>
      <c r="C2536" s="1" t="s">
        <v>422</v>
      </c>
      <c r="D2536" s="1" t="s">
        <v>422</v>
      </c>
      <c r="E2536" s="1" t="s">
        <v>423</v>
      </c>
      <c r="F2536" s="1" t="s">
        <v>11718</v>
      </c>
      <c r="G2536">
        <v>219159</v>
      </c>
      <c r="H2536">
        <v>76</v>
      </c>
      <c r="I2536" s="1" t="s">
        <v>11063</v>
      </c>
      <c r="J2536" s="11">
        <v>44729.706458333334</v>
      </c>
      <c r="K2536" s="1" t="s">
        <v>394</v>
      </c>
      <c r="L2536" s="1">
        <v>0.81799999999999995</v>
      </c>
      <c r="M2536" s="1">
        <v>0.91300000000000003</v>
      </c>
      <c r="N2536">
        <v>4</v>
      </c>
      <c r="O2536" s="1">
        <v>-3.06</v>
      </c>
      <c r="P2536">
        <v>0</v>
      </c>
      <c r="Q2536" s="1">
        <v>0.42599999999999999</v>
      </c>
      <c r="R2536" s="1">
        <v>0.93</v>
      </c>
      <c r="S2536" s="1">
        <v>0.36899999999999999</v>
      </c>
      <c r="T2536" s="1">
        <v>0.161</v>
      </c>
      <c r="U2536" s="1">
        <v>0.53600000000000003</v>
      </c>
      <c r="V2536" s="1">
        <v>119.986</v>
      </c>
      <c r="W2536">
        <v>4</v>
      </c>
    </row>
    <row r="2537" spans="1:23" x14ac:dyDescent="0.25">
      <c r="A2537" s="1" t="s">
        <v>19139</v>
      </c>
      <c r="B2537" s="1" t="s">
        <v>19140</v>
      </c>
      <c r="C2537" s="1" t="s">
        <v>6916</v>
      </c>
      <c r="D2537" s="1" t="s">
        <v>6916</v>
      </c>
      <c r="E2537" s="1" t="s">
        <v>6917</v>
      </c>
      <c r="F2537" s="1" t="s">
        <v>15194</v>
      </c>
      <c r="G2537">
        <v>222160</v>
      </c>
      <c r="H2537">
        <v>81</v>
      </c>
      <c r="I2537" s="1" t="s">
        <v>11063</v>
      </c>
      <c r="J2537" s="11">
        <v>44729.706458333334</v>
      </c>
      <c r="K2537" s="1" t="s">
        <v>6918</v>
      </c>
      <c r="L2537" s="1">
        <v>0.63100000000000001</v>
      </c>
      <c r="M2537" s="1">
        <v>0.92700000000000005</v>
      </c>
      <c r="N2537">
        <v>9</v>
      </c>
      <c r="O2537" s="1">
        <v>-2.7869999999999999</v>
      </c>
      <c r="P2537">
        <v>0</v>
      </c>
      <c r="Q2537" s="1">
        <v>0.33200000000000002</v>
      </c>
      <c r="R2537" s="1">
        <v>0.19900000000000001</v>
      </c>
      <c r="S2537" s="1">
        <v>0.11899999999999999</v>
      </c>
      <c r="T2537" s="1">
        <v>0.14799999999999999</v>
      </c>
      <c r="U2537" s="1">
        <v>0.46500000000000002</v>
      </c>
      <c r="V2537" s="1">
        <v>123.962</v>
      </c>
      <c r="W2537">
        <v>4</v>
      </c>
    </row>
    <row r="2538" spans="1:23" x14ac:dyDescent="0.25">
      <c r="A2538" s="1" t="s">
        <v>19141</v>
      </c>
      <c r="B2538" s="1" t="s">
        <v>11717</v>
      </c>
      <c r="C2538" s="1" t="s">
        <v>6919</v>
      </c>
      <c r="D2538" s="1" t="s">
        <v>11474</v>
      </c>
      <c r="E2538" s="1" t="s">
        <v>423</v>
      </c>
      <c r="F2538" s="1" t="s">
        <v>11475</v>
      </c>
      <c r="G2538">
        <v>222533</v>
      </c>
      <c r="H2538">
        <v>84</v>
      </c>
      <c r="I2538" s="1" t="s">
        <v>11063</v>
      </c>
      <c r="J2538" s="11">
        <v>44729.706458333334</v>
      </c>
      <c r="K2538" s="1" t="s">
        <v>394</v>
      </c>
      <c r="L2538" s="1">
        <v>0.59599999999999997</v>
      </c>
      <c r="M2538" s="1">
        <v>0.85599999999999998</v>
      </c>
      <c r="N2538">
        <v>4</v>
      </c>
      <c r="O2538" s="1">
        <v>-3.556</v>
      </c>
      <c r="P2538">
        <v>0</v>
      </c>
      <c r="Q2538" s="1">
        <v>0.34599999999999997</v>
      </c>
      <c r="R2538" s="1">
        <v>0.21099999999999999</v>
      </c>
      <c r="S2538" s="1">
        <v>0.17799999999999999</v>
      </c>
      <c r="T2538" s="1">
        <v>0.14099999999999999</v>
      </c>
      <c r="U2538" s="1">
        <v>0.74299999999999999</v>
      </c>
      <c r="V2538" s="1">
        <v>127.949</v>
      </c>
      <c r="W2538">
        <v>4</v>
      </c>
    </row>
    <row r="2539" spans="1:23" x14ac:dyDescent="0.25">
      <c r="A2539" s="1" t="s">
        <v>19142</v>
      </c>
      <c r="B2539" s="1" t="s">
        <v>11713</v>
      </c>
      <c r="C2539" s="1" t="s">
        <v>419</v>
      </c>
      <c r="D2539" s="1" t="s">
        <v>19143</v>
      </c>
      <c r="E2539" s="1" t="s">
        <v>420</v>
      </c>
      <c r="F2539" s="1" t="s">
        <v>13509</v>
      </c>
      <c r="G2539">
        <v>169303</v>
      </c>
      <c r="H2539">
        <v>61</v>
      </c>
      <c r="I2539" s="1" t="s">
        <v>11063</v>
      </c>
      <c r="J2539" s="11">
        <v>44729.706458333334</v>
      </c>
      <c r="K2539" s="1" t="s">
        <v>421</v>
      </c>
      <c r="L2539" s="1">
        <v>0.58499999999999996</v>
      </c>
      <c r="M2539" s="1">
        <v>0.78200000000000003</v>
      </c>
      <c r="N2539">
        <v>1</v>
      </c>
      <c r="O2539" s="1">
        <v>-4.101</v>
      </c>
      <c r="P2539">
        <v>0</v>
      </c>
      <c r="Q2539" s="1">
        <v>0.89700000000000002</v>
      </c>
      <c r="R2539" s="1">
        <v>0.26900000000000002</v>
      </c>
      <c r="S2539" s="1">
        <v>0</v>
      </c>
      <c r="T2539" s="1">
        <v>0.156</v>
      </c>
      <c r="U2539" s="1">
        <v>0.52100000000000002</v>
      </c>
      <c r="V2539" s="1">
        <v>121.908</v>
      </c>
      <c r="W2539">
        <v>4</v>
      </c>
    </row>
    <row r="2540" spans="1:23" x14ac:dyDescent="0.25">
      <c r="A2540" s="1" t="s">
        <v>19144</v>
      </c>
      <c r="B2540" s="1" t="s">
        <v>16534</v>
      </c>
      <c r="C2540" s="1" t="s">
        <v>6920</v>
      </c>
      <c r="D2540" s="1" t="s">
        <v>11586</v>
      </c>
      <c r="E2540" s="1" t="s">
        <v>4589</v>
      </c>
      <c r="F2540" s="1" t="s">
        <v>11587</v>
      </c>
      <c r="G2540">
        <v>373626</v>
      </c>
      <c r="H2540">
        <v>0</v>
      </c>
      <c r="I2540" s="1" t="s">
        <v>11063</v>
      </c>
      <c r="J2540" s="11">
        <v>44729.706458333334</v>
      </c>
      <c r="K2540" s="1" t="s">
        <v>4590</v>
      </c>
      <c r="L2540" s="1">
        <v>0.72299999999999998</v>
      </c>
      <c r="M2540" s="1">
        <v>0.69499999999999995</v>
      </c>
      <c r="N2540">
        <v>9</v>
      </c>
      <c r="O2540" s="1">
        <v>-5.2009999999999996</v>
      </c>
      <c r="P2540">
        <v>0</v>
      </c>
      <c r="Q2540" s="1">
        <v>0.58599999999999997</v>
      </c>
      <c r="R2540" s="1">
        <v>0.105</v>
      </c>
      <c r="S2540" s="1">
        <v>0.35499999999999998</v>
      </c>
      <c r="T2540" s="1">
        <v>0.45900000000000002</v>
      </c>
      <c r="U2540" s="1">
        <v>0.60399999999999998</v>
      </c>
      <c r="V2540" s="1">
        <v>127.989</v>
      </c>
      <c r="W2540">
        <v>4</v>
      </c>
    </row>
    <row r="2541" spans="1:23" x14ac:dyDescent="0.25">
      <c r="A2541" s="1" t="s">
        <v>19145</v>
      </c>
      <c r="B2541" s="1" t="s">
        <v>19146</v>
      </c>
      <c r="C2541" s="1" t="s">
        <v>6921</v>
      </c>
      <c r="D2541" s="1" t="s">
        <v>19147</v>
      </c>
      <c r="E2541" s="1" t="s">
        <v>6922</v>
      </c>
      <c r="F2541" s="1" t="s">
        <v>14255</v>
      </c>
      <c r="G2541">
        <v>235813</v>
      </c>
      <c r="H2541">
        <v>67</v>
      </c>
      <c r="I2541" s="1" t="s">
        <v>11063</v>
      </c>
      <c r="J2541" s="11">
        <v>44729.706458333334</v>
      </c>
      <c r="K2541" s="1" t="s">
        <v>6923</v>
      </c>
      <c r="L2541" s="1">
        <v>0.63600000000000001</v>
      </c>
      <c r="M2541" s="1">
        <v>0.72</v>
      </c>
      <c r="N2541">
        <v>11</v>
      </c>
      <c r="O2541" s="1">
        <v>-6.1950000000000003</v>
      </c>
      <c r="P2541">
        <v>1</v>
      </c>
      <c r="Q2541" s="1">
        <v>0.432</v>
      </c>
      <c r="R2541" s="1">
        <v>0.89300000000000002</v>
      </c>
      <c r="S2541" s="1">
        <v>0.17799999999999999</v>
      </c>
      <c r="T2541" s="1">
        <v>0.86799999999999999</v>
      </c>
      <c r="U2541" s="1">
        <v>0.42499999999999999</v>
      </c>
      <c r="V2541" s="1">
        <v>124.944</v>
      </c>
      <c r="W2541">
        <v>4</v>
      </c>
    </row>
    <row r="2542" spans="1:23" x14ac:dyDescent="0.25">
      <c r="A2542" s="1" t="s">
        <v>19148</v>
      </c>
      <c r="B2542" s="1" t="s">
        <v>19149</v>
      </c>
      <c r="C2542" s="1" t="s">
        <v>6924</v>
      </c>
      <c r="D2542" s="1" t="s">
        <v>6924</v>
      </c>
      <c r="E2542" s="1" t="s">
        <v>6925</v>
      </c>
      <c r="F2542" s="1" t="s">
        <v>15965</v>
      </c>
      <c r="G2542">
        <v>213309</v>
      </c>
      <c r="H2542">
        <v>76</v>
      </c>
      <c r="I2542" s="1" t="s">
        <v>11063</v>
      </c>
      <c r="J2542" s="11">
        <v>44729.706458333334</v>
      </c>
      <c r="K2542" s="1" t="s">
        <v>6926</v>
      </c>
      <c r="L2542" s="1">
        <v>0.78100000000000003</v>
      </c>
      <c r="M2542" s="1">
        <v>0.76800000000000002</v>
      </c>
      <c r="N2542">
        <v>11</v>
      </c>
      <c r="O2542" s="1">
        <v>-5.9909999999999997</v>
      </c>
      <c r="P2542">
        <v>1</v>
      </c>
      <c r="Q2542" s="1">
        <v>0.39400000000000002</v>
      </c>
      <c r="R2542" s="1">
        <v>0.11899999999999999</v>
      </c>
      <c r="S2542" s="1">
        <v>0.49099999999999999</v>
      </c>
      <c r="T2542" s="1">
        <v>0.32500000000000001</v>
      </c>
      <c r="U2542" s="1">
        <v>0.48599999999999999</v>
      </c>
      <c r="V2542" s="1">
        <v>123.07</v>
      </c>
      <c r="W2542">
        <v>4</v>
      </c>
    </row>
    <row r="2543" spans="1:23" x14ac:dyDescent="0.25">
      <c r="A2543" s="1" t="s">
        <v>19150</v>
      </c>
      <c r="B2543" s="1" t="s">
        <v>19151</v>
      </c>
      <c r="C2543" s="1" t="s">
        <v>6927</v>
      </c>
      <c r="D2543" s="1" t="s">
        <v>6927</v>
      </c>
      <c r="E2543" s="1" t="s">
        <v>6928</v>
      </c>
      <c r="F2543" s="1" t="s">
        <v>14841</v>
      </c>
      <c r="G2543">
        <v>194407</v>
      </c>
      <c r="H2543">
        <v>68</v>
      </c>
      <c r="I2543" s="1" t="s">
        <v>11063</v>
      </c>
      <c r="J2543" s="11">
        <v>44729.706458333334</v>
      </c>
      <c r="K2543" s="1" t="s">
        <v>6929</v>
      </c>
      <c r="L2543" s="1">
        <v>0.69</v>
      </c>
      <c r="M2543" s="1">
        <v>0.78400000000000003</v>
      </c>
      <c r="N2543">
        <v>1</v>
      </c>
      <c r="O2543" s="1">
        <v>-4.6529999999999996</v>
      </c>
      <c r="P2543">
        <v>1</v>
      </c>
      <c r="Q2543" s="1">
        <v>0.32</v>
      </c>
      <c r="R2543" s="1">
        <v>0.32300000000000001</v>
      </c>
      <c r="S2543" s="1">
        <v>0</v>
      </c>
      <c r="T2543" s="1">
        <v>0.20300000000000001</v>
      </c>
      <c r="U2543" s="1">
        <v>0.66900000000000004</v>
      </c>
      <c r="V2543" s="1">
        <v>106.066</v>
      </c>
      <c r="W2543">
        <v>4</v>
      </c>
    </row>
    <row r="2544" spans="1:23" x14ac:dyDescent="0.25">
      <c r="A2544" s="1" t="s">
        <v>19152</v>
      </c>
      <c r="B2544" s="1" t="s">
        <v>19153</v>
      </c>
      <c r="C2544" s="1" t="s">
        <v>6930</v>
      </c>
      <c r="D2544" s="1" t="s">
        <v>19154</v>
      </c>
      <c r="E2544" s="1" t="s">
        <v>6931</v>
      </c>
      <c r="F2544" s="1" t="s">
        <v>19155</v>
      </c>
      <c r="G2544">
        <v>210853</v>
      </c>
      <c r="H2544">
        <v>70</v>
      </c>
      <c r="I2544" s="1" t="s">
        <v>11063</v>
      </c>
      <c r="J2544" s="11">
        <v>44729.706458333334</v>
      </c>
      <c r="K2544" s="1" t="s">
        <v>6932</v>
      </c>
      <c r="L2544" s="1">
        <v>0.74</v>
      </c>
      <c r="M2544" s="1">
        <v>0.83099999999999996</v>
      </c>
      <c r="N2544">
        <v>5</v>
      </c>
      <c r="O2544" s="1">
        <v>-7.3209999999999997</v>
      </c>
      <c r="P2544">
        <v>1</v>
      </c>
      <c r="Q2544" s="1">
        <v>0.45600000000000002</v>
      </c>
      <c r="R2544" s="1">
        <v>0.44400000000000001</v>
      </c>
      <c r="S2544" s="1">
        <v>0.30399999999999999</v>
      </c>
      <c r="T2544" s="1">
        <v>0.76900000000000002</v>
      </c>
      <c r="U2544" s="1">
        <v>0.44800000000000001</v>
      </c>
      <c r="V2544" s="1">
        <v>121.03400000000001</v>
      </c>
      <c r="W2544">
        <v>4</v>
      </c>
    </row>
    <row r="2545" spans="1:23" x14ac:dyDescent="0.25">
      <c r="A2545" s="1" t="s">
        <v>19156</v>
      </c>
      <c r="B2545" s="1" t="s">
        <v>19157</v>
      </c>
      <c r="C2545" s="1" t="s">
        <v>1926</v>
      </c>
      <c r="D2545" s="1" t="s">
        <v>1926</v>
      </c>
      <c r="E2545" s="1" t="s">
        <v>6933</v>
      </c>
      <c r="F2545" s="1" t="s">
        <v>17081</v>
      </c>
      <c r="G2545">
        <v>198095</v>
      </c>
      <c r="H2545">
        <v>44</v>
      </c>
      <c r="I2545" s="1" t="s">
        <v>11063</v>
      </c>
      <c r="J2545" s="11">
        <v>44729.706458333334</v>
      </c>
      <c r="K2545" s="1" t="s">
        <v>6934</v>
      </c>
      <c r="L2545" s="1">
        <v>0.75800000000000001</v>
      </c>
      <c r="M2545" s="1">
        <v>0.76</v>
      </c>
      <c r="N2545">
        <v>2</v>
      </c>
      <c r="O2545" s="1">
        <v>-5.79</v>
      </c>
      <c r="P2545">
        <v>1</v>
      </c>
      <c r="Q2545" s="1">
        <v>0.42699999999999999</v>
      </c>
      <c r="R2545" s="1">
        <v>0.20799999999999999</v>
      </c>
      <c r="S2545" s="1">
        <v>0.88400000000000001</v>
      </c>
      <c r="T2545" s="1">
        <v>0.83899999999999997</v>
      </c>
      <c r="U2545" s="1">
        <v>0.28399999999999997</v>
      </c>
      <c r="V2545" s="1">
        <v>126.059</v>
      </c>
      <c r="W2545">
        <v>4</v>
      </c>
    </row>
    <row r="2546" spans="1:23" x14ac:dyDescent="0.25">
      <c r="A2546" s="1" t="s">
        <v>19158</v>
      </c>
      <c r="B2546" s="1" t="s">
        <v>19159</v>
      </c>
      <c r="C2546" s="1" t="s">
        <v>6935</v>
      </c>
      <c r="D2546" s="1" t="s">
        <v>6935</v>
      </c>
      <c r="E2546" s="1" t="s">
        <v>6936</v>
      </c>
      <c r="F2546" s="1" t="s">
        <v>19160</v>
      </c>
      <c r="G2546">
        <v>326887</v>
      </c>
      <c r="H2546">
        <v>0</v>
      </c>
      <c r="I2546" s="1" t="s">
        <v>11063</v>
      </c>
      <c r="J2546" s="11">
        <v>44729.706458333334</v>
      </c>
      <c r="K2546" s="1" t="s">
        <v>6937</v>
      </c>
      <c r="L2546" s="1">
        <v>0.88</v>
      </c>
      <c r="M2546" s="1">
        <v>0.82099999999999995</v>
      </c>
      <c r="N2546">
        <v>5</v>
      </c>
      <c r="O2546" s="1">
        <v>-2.5449999999999999</v>
      </c>
      <c r="P2546">
        <v>0</v>
      </c>
      <c r="Q2546" s="1">
        <v>0.11799999999999999</v>
      </c>
      <c r="R2546" s="1">
        <v>0.19700000000000001</v>
      </c>
      <c r="S2546" s="1">
        <v>0.66100000000000003</v>
      </c>
      <c r="T2546" s="1">
        <v>0.23400000000000001</v>
      </c>
      <c r="U2546" s="1">
        <v>0.57499999999999996</v>
      </c>
      <c r="V2546" s="1">
        <v>127.907</v>
      </c>
      <c r="W2546">
        <v>4</v>
      </c>
    </row>
    <row r="2547" spans="1:23" x14ac:dyDescent="0.25">
      <c r="A2547" s="1" t="s">
        <v>19161</v>
      </c>
      <c r="B2547" s="1" t="s">
        <v>13615</v>
      </c>
      <c r="C2547" s="1" t="s">
        <v>6938</v>
      </c>
      <c r="D2547" s="1" t="s">
        <v>6938</v>
      </c>
      <c r="E2547" s="1" t="s">
        <v>2062</v>
      </c>
      <c r="F2547" s="1" t="s">
        <v>13726</v>
      </c>
      <c r="G2547">
        <v>189126</v>
      </c>
      <c r="H2547">
        <v>68</v>
      </c>
      <c r="I2547" s="1" t="s">
        <v>11063</v>
      </c>
      <c r="J2547" s="11">
        <v>44729.706458333334</v>
      </c>
      <c r="K2547" s="1" t="s">
        <v>2063</v>
      </c>
      <c r="L2547" s="1">
        <v>0.67100000000000004</v>
      </c>
      <c r="M2547" s="1">
        <v>0.91600000000000004</v>
      </c>
      <c r="N2547">
        <v>6</v>
      </c>
      <c r="O2547" s="1">
        <v>-4.0140000000000002</v>
      </c>
      <c r="P2547">
        <v>0</v>
      </c>
      <c r="Q2547" s="1">
        <v>0.39700000000000002</v>
      </c>
      <c r="R2547" s="1">
        <v>0.28199999999999997</v>
      </c>
      <c r="S2547" s="1">
        <v>0.76200000000000001</v>
      </c>
      <c r="T2547" s="1">
        <v>0.24</v>
      </c>
      <c r="U2547" s="1">
        <v>0.80300000000000005</v>
      </c>
      <c r="V2547" s="1">
        <v>126.01</v>
      </c>
      <c r="W2547">
        <v>4</v>
      </c>
    </row>
    <row r="2548" spans="1:23" x14ac:dyDescent="0.25">
      <c r="A2548" s="1" t="s">
        <v>19162</v>
      </c>
      <c r="B2548" s="1" t="s">
        <v>19163</v>
      </c>
      <c r="C2548" s="1" t="s">
        <v>6939</v>
      </c>
      <c r="D2548" s="1" t="s">
        <v>19164</v>
      </c>
      <c r="E2548" s="1" t="s">
        <v>6940</v>
      </c>
      <c r="F2548" s="1" t="s">
        <v>19165</v>
      </c>
      <c r="G2548">
        <v>179960</v>
      </c>
      <c r="H2548">
        <v>69</v>
      </c>
      <c r="I2548" s="1" t="s">
        <v>11063</v>
      </c>
      <c r="J2548" s="11">
        <v>44729.706458333334</v>
      </c>
      <c r="K2548" s="1" t="s">
        <v>6941</v>
      </c>
      <c r="L2548" s="1">
        <v>0.54800000000000004</v>
      </c>
      <c r="M2548" s="1">
        <v>0.72299999999999998</v>
      </c>
      <c r="N2548">
        <v>6</v>
      </c>
      <c r="O2548" s="1">
        <v>-6.0019999999999998</v>
      </c>
      <c r="P2548">
        <v>1</v>
      </c>
      <c r="Q2548" s="1">
        <v>0.375</v>
      </c>
      <c r="R2548" s="1">
        <v>0.96899999999999997</v>
      </c>
      <c r="S2548" s="1">
        <v>0.128</v>
      </c>
      <c r="T2548" s="1">
        <v>0.33700000000000002</v>
      </c>
      <c r="U2548" s="1">
        <v>0.499</v>
      </c>
      <c r="V2548" s="1">
        <v>125.08799999999999</v>
      </c>
      <c r="W2548">
        <v>4</v>
      </c>
    </row>
    <row r="2549" spans="1:23" x14ac:dyDescent="0.25">
      <c r="A2549" s="1" t="s">
        <v>11747</v>
      </c>
      <c r="B2549" s="1" t="s">
        <v>11748</v>
      </c>
      <c r="C2549" s="1" t="s">
        <v>6942</v>
      </c>
      <c r="D2549" s="1" t="s">
        <v>11749</v>
      </c>
      <c r="E2549" s="1" t="s">
        <v>446</v>
      </c>
      <c r="F2549" s="1" t="s">
        <v>11750</v>
      </c>
      <c r="G2549">
        <v>215786</v>
      </c>
      <c r="H2549">
        <v>0</v>
      </c>
      <c r="I2549" s="1" t="s">
        <v>11063</v>
      </c>
      <c r="J2549" s="11">
        <v>44729.706458333334</v>
      </c>
      <c r="K2549" s="1" t="s">
        <v>447</v>
      </c>
      <c r="L2549" s="1">
        <v>0.83099999999999996</v>
      </c>
      <c r="M2549" s="1">
        <v>0.79400000000000004</v>
      </c>
      <c r="N2549">
        <v>2</v>
      </c>
      <c r="O2549" s="1">
        <v>-3.7010000000000001</v>
      </c>
      <c r="P2549">
        <v>0</v>
      </c>
      <c r="Q2549" s="1">
        <v>0.752</v>
      </c>
      <c r="R2549" s="1">
        <v>0.70499999999999996</v>
      </c>
      <c r="S2549" s="1">
        <v>0.34</v>
      </c>
      <c r="T2549" s="1">
        <v>0.97799999999999998</v>
      </c>
      <c r="U2549" s="1">
        <v>0.73499999999999999</v>
      </c>
      <c r="V2549" s="1">
        <v>118.075</v>
      </c>
      <c r="W2549">
        <v>4</v>
      </c>
    </row>
    <row r="2550" spans="1:23" x14ac:dyDescent="0.25">
      <c r="A2550" s="1" t="s">
        <v>19166</v>
      </c>
      <c r="B2550" s="1" t="s">
        <v>19167</v>
      </c>
      <c r="C2550" s="1" t="s">
        <v>6943</v>
      </c>
      <c r="D2550" s="1" t="s">
        <v>6943</v>
      </c>
      <c r="E2550" s="1" t="s">
        <v>6944</v>
      </c>
      <c r="F2550" s="1" t="s">
        <v>14552</v>
      </c>
      <c r="G2550">
        <v>202620</v>
      </c>
      <c r="H2550">
        <v>79</v>
      </c>
      <c r="I2550" s="1" t="s">
        <v>11063</v>
      </c>
      <c r="J2550" s="11">
        <v>44729.706458333334</v>
      </c>
      <c r="K2550" s="1" t="s">
        <v>6945</v>
      </c>
      <c r="L2550" s="1">
        <v>0.626</v>
      </c>
      <c r="M2550" s="1">
        <v>0.88</v>
      </c>
      <c r="N2550">
        <v>9</v>
      </c>
      <c r="O2550" s="1">
        <v>-2.3839999999999999</v>
      </c>
      <c r="P2550">
        <v>0</v>
      </c>
      <c r="Q2550" s="1">
        <v>0.504</v>
      </c>
      <c r="R2550" s="1">
        <v>0.20499999999999999</v>
      </c>
      <c r="S2550" s="1">
        <v>0</v>
      </c>
      <c r="T2550" s="1">
        <v>0.128</v>
      </c>
      <c r="U2550" s="1">
        <v>0.53400000000000003</v>
      </c>
      <c r="V2550" s="1">
        <v>95.078999999999994</v>
      </c>
      <c r="W2550">
        <v>4</v>
      </c>
    </row>
    <row r="2551" spans="1:23" x14ac:dyDescent="0.25">
      <c r="A2551" s="1" t="s">
        <v>19168</v>
      </c>
      <c r="B2551" s="1" t="s">
        <v>19169</v>
      </c>
      <c r="C2551" s="1" t="s">
        <v>6946</v>
      </c>
      <c r="D2551" s="1" t="s">
        <v>11474</v>
      </c>
      <c r="E2551" s="1" t="s">
        <v>6947</v>
      </c>
      <c r="F2551" s="1" t="s">
        <v>11475</v>
      </c>
      <c r="G2551">
        <v>184280</v>
      </c>
      <c r="H2551">
        <v>73</v>
      </c>
      <c r="I2551" s="1" t="s">
        <v>11063</v>
      </c>
      <c r="J2551" s="11">
        <v>44729.706458333334</v>
      </c>
      <c r="K2551" s="1" t="s">
        <v>6948</v>
      </c>
      <c r="L2551" s="1">
        <v>0.54400000000000004</v>
      </c>
      <c r="M2551" s="1">
        <v>0.91500000000000004</v>
      </c>
      <c r="N2551">
        <v>8</v>
      </c>
      <c r="O2551" s="1">
        <v>-3.4049999999999998</v>
      </c>
      <c r="P2551">
        <v>1</v>
      </c>
      <c r="Q2551" s="1">
        <v>0.84099999999999997</v>
      </c>
      <c r="R2551" s="1">
        <v>0.129</v>
      </c>
      <c r="S2551" s="1">
        <v>0.91400000000000003</v>
      </c>
      <c r="T2551" s="1">
        <v>0.115</v>
      </c>
      <c r="U2551" s="1">
        <v>0.51</v>
      </c>
      <c r="V2551" s="1">
        <v>126.09399999999999</v>
      </c>
      <c r="W2551">
        <v>4</v>
      </c>
    </row>
    <row r="2552" spans="1:23" x14ac:dyDescent="0.25">
      <c r="A2552" s="1" t="s">
        <v>19170</v>
      </c>
      <c r="B2552" s="1" t="s">
        <v>19171</v>
      </c>
      <c r="C2552" s="1" t="s">
        <v>6949</v>
      </c>
      <c r="D2552" s="1" t="s">
        <v>817</v>
      </c>
      <c r="E2552" s="1" t="s">
        <v>6950</v>
      </c>
      <c r="F2552" s="1" t="s">
        <v>11327</v>
      </c>
      <c r="G2552">
        <v>220573</v>
      </c>
      <c r="H2552">
        <v>0</v>
      </c>
      <c r="I2552" s="1" t="s">
        <v>11063</v>
      </c>
      <c r="J2552" s="11">
        <v>44729.706458333334</v>
      </c>
      <c r="K2552" s="1" t="s">
        <v>6951</v>
      </c>
      <c r="L2552" s="1">
        <v>0.61099999999999999</v>
      </c>
      <c r="M2552" s="1">
        <v>0.7</v>
      </c>
      <c r="N2552">
        <v>9</v>
      </c>
      <c r="O2552" s="1">
        <v>-5.3310000000000004</v>
      </c>
      <c r="P2552">
        <v>1</v>
      </c>
      <c r="Q2552" s="1">
        <v>0.436</v>
      </c>
      <c r="R2552" s="1">
        <v>0.19900000000000001</v>
      </c>
      <c r="S2552" s="1">
        <v>0</v>
      </c>
      <c r="T2552" s="1">
        <v>0.54900000000000004</v>
      </c>
      <c r="U2552" s="1">
        <v>0.21299999999999999</v>
      </c>
      <c r="V2552" s="1">
        <v>104.98099999999999</v>
      </c>
      <c r="W2552">
        <v>4</v>
      </c>
    </row>
    <row r="2553" spans="1:23" x14ac:dyDescent="0.25">
      <c r="A2553" s="1" t="s">
        <v>19172</v>
      </c>
      <c r="B2553" s="1" t="s">
        <v>19131</v>
      </c>
      <c r="C2553" s="1" t="s">
        <v>6906</v>
      </c>
      <c r="D2553" s="1" t="s">
        <v>6906</v>
      </c>
      <c r="E2553" s="1" t="s">
        <v>6907</v>
      </c>
      <c r="F2553" s="1" t="s">
        <v>18230</v>
      </c>
      <c r="G2553">
        <v>196613</v>
      </c>
      <c r="H2553">
        <v>0</v>
      </c>
      <c r="I2553" s="1" t="s">
        <v>11063</v>
      </c>
      <c r="J2553" s="11">
        <v>44729.706458333334</v>
      </c>
      <c r="K2553" s="1" t="s">
        <v>6908</v>
      </c>
      <c r="L2553" s="1">
        <v>0.74199999999999999</v>
      </c>
      <c r="M2553" s="1">
        <v>0.81899999999999995</v>
      </c>
      <c r="N2553">
        <v>1</v>
      </c>
      <c r="O2553" s="1">
        <v>-5.3070000000000004</v>
      </c>
      <c r="P2553">
        <v>1</v>
      </c>
      <c r="Q2553" s="1">
        <v>0.48699999999999999</v>
      </c>
      <c r="R2553" s="1">
        <v>0.372</v>
      </c>
      <c r="S2553" s="1">
        <v>0</v>
      </c>
      <c r="T2553" s="1">
        <v>0.27700000000000002</v>
      </c>
      <c r="U2553" s="1">
        <v>0.70899999999999996</v>
      </c>
      <c r="V2553" s="1">
        <v>117.986</v>
      </c>
      <c r="W2553">
        <v>4</v>
      </c>
    </row>
    <row r="2554" spans="1:23" x14ac:dyDescent="0.25">
      <c r="A2554" s="1" t="s">
        <v>19173</v>
      </c>
      <c r="B2554" s="1" t="s">
        <v>19174</v>
      </c>
      <c r="C2554" s="1" t="s">
        <v>6952</v>
      </c>
      <c r="D2554" s="1" t="s">
        <v>19175</v>
      </c>
      <c r="E2554" s="1" t="s">
        <v>6953</v>
      </c>
      <c r="F2554" s="1" t="s">
        <v>15616</v>
      </c>
      <c r="G2554">
        <v>199266</v>
      </c>
      <c r="H2554">
        <v>36</v>
      </c>
      <c r="I2554" s="1" t="s">
        <v>11063</v>
      </c>
      <c r="J2554" s="11">
        <v>44729.706458333334</v>
      </c>
      <c r="K2554" s="1" t="s">
        <v>6954</v>
      </c>
      <c r="L2554" s="1">
        <v>0.36299999999999999</v>
      </c>
      <c r="M2554" s="1">
        <v>0.67600000000000005</v>
      </c>
      <c r="N2554">
        <v>9</v>
      </c>
      <c r="O2554" s="1">
        <v>-6.9870000000000001</v>
      </c>
      <c r="P2554">
        <v>1</v>
      </c>
      <c r="Q2554" s="1">
        <v>0.45200000000000001</v>
      </c>
      <c r="R2554" s="1">
        <v>0.26800000000000002</v>
      </c>
      <c r="S2554" s="1">
        <v>0.38300000000000001</v>
      </c>
      <c r="T2554" s="1">
        <v>0.38600000000000001</v>
      </c>
      <c r="U2554" s="1">
        <v>0.14499999999999999</v>
      </c>
      <c r="V2554" s="1">
        <v>99.963999999999999</v>
      </c>
      <c r="W2554">
        <v>4</v>
      </c>
    </row>
    <row r="2555" spans="1:23" x14ac:dyDescent="0.25">
      <c r="A2555" s="1" t="s">
        <v>19176</v>
      </c>
      <c r="B2555" s="1" t="s">
        <v>19177</v>
      </c>
      <c r="C2555" s="1" t="s">
        <v>6955</v>
      </c>
      <c r="D2555" s="1" t="s">
        <v>6955</v>
      </c>
      <c r="E2555" s="1" t="s">
        <v>6956</v>
      </c>
      <c r="F2555" s="1" t="s">
        <v>17296</v>
      </c>
      <c r="G2555">
        <v>215624</v>
      </c>
      <c r="H2555">
        <v>53</v>
      </c>
      <c r="I2555" s="1" t="s">
        <v>11063</v>
      </c>
      <c r="J2555" s="11">
        <v>44729.706458333334</v>
      </c>
      <c r="K2555" s="1" t="s">
        <v>6957</v>
      </c>
      <c r="L2555" s="1">
        <v>0.57699999999999996</v>
      </c>
      <c r="M2555" s="1">
        <v>0.69799999999999995</v>
      </c>
      <c r="N2555">
        <v>1</v>
      </c>
      <c r="O2555" s="1">
        <v>-4.7729999999999997</v>
      </c>
      <c r="P2555">
        <v>1</v>
      </c>
      <c r="Q2555" s="1">
        <v>0.45100000000000001</v>
      </c>
      <c r="R2555" s="1">
        <v>0.54100000000000004</v>
      </c>
      <c r="S2555" s="1">
        <v>0</v>
      </c>
      <c r="T2555" s="1">
        <v>0.13100000000000001</v>
      </c>
      <c r="U2555" s="1">
        <v>0.32400000000000001</v>
      </c>
      <c r="V2555" s="1">
        <v>128.06100000000001</v>
      </c>
      <c r="W2555">
        <v>4</v>
      </c>
    </row>
    <row r="2556" spans="1:23" x14ac:dyDescent="0.25">
      <c r="A2556" s="1" t="s">
        <v>19178</v>
      </c>
      <c r="B2556" s="1" t="s">
        <v>19179</v>
      </c>
      <c r="C2556" s="1" t="s">
        <v>6958</v>
      </c>
      <c r="D2556" s="1" t="s">
        <v>6958</v>
      </c>
      <c r="E2556" s="1" t="s">
        <v>6959</v>
      </c>
      <c r="F2556" s="1" t="s">
        <v>18532</v>
      </c>
      <c r="G2556">
        <v>226738</v>
      </c>
      <c r="H2556">
        <v>75</v>
      </c>
      <c r="I2556" s="1" t="s">
        <v>11063</v>
      </c>
      <c r="J2556" s="11">
        <v>44729.706458333334</v>
      </c>
      <c r="K2556" s="1" t="s">
        <v>6960</v>
      </c>
      <c r="L2556" s="1">
        <v>0.71299999999999997</v>
      </c>
      <c r="M2556" s="1">
        <v>0.80200000000000005</v>
      </c>
      <c r="N2556">
        <v>4</v>
      </c>
      <c r="O2556" s="1">
        <v>-7.0549999999999997</v>
      </c>
      <c r="P2556">
        <v>1</v>
      </c>
      <c r="Q2556" s="1">
        <v>0.56100000000000005</v>
      </c>
      <c r="R2556" s="1">
        <v>0.435</v>
      </c>
      <c r="S2556" s="1">
        <v>0.377</v>
      </c>
      <c r="T2556" s="1">
        <v>0.309</v>
      </c>
      <c r="U2556" s="1">
        <v>0.34300000000000003</v>
      </c>
      <c r="V2556" s="1">
        <v>100.001</v>
      </c>
      <c r="W2556">
        <v>4</v>
      </c>
    </row>
    <row r="2557" spans="1:23" x14ac:dyDescent="0.25">
      <c r="A2557" s="1" t="s">
        <v>19180</v>
      </c>
      <c r="B2557" s="1" t="s">
        <v>19181</v>
      </c>
      <c r="C2557" s="1" t="s">
        <v>6961</v>
      </c>
      <c r="D2557" s="1" t="s">
        <v>6961</v>
      </c>
      <c r="E2557" s="1" t="s">
        <v>6962</v>
      </c>
      <c r="F2557" s="1" t="s">
        <v>14748</v>
      </c>
      <c r="G2557">
        <v>208373</v>
      </c>
      <c r="H2557">
        <v>80</v>
      </c>
      <c r="I2557" s="1" t="s">
        <v>11063</v>
      </c>
      <c r="J2557" s="11">
        <v>44729.706458333334</v>
      </c>
      <c r="K2557" s="1" t="s">
        <v>6963</v>
      </c>
      <c r="L2557" s="1">
        <v>0.53200000000000003</v>
      </c>
      <c r="M2557" s="1">
        <v>0.86899999999999999</v>
      </c>
      <c r="N2557">
        <v>11</v>
      </c>
      <c r="O2557" s="1">
        <v>-5.0940000000000003</v>
      </c>
      <c r="P2557">
        <v>1</v>
      </c>
      <c r="Q2557" s="1">
        <v>0.17199999999999999</v>
      </c>
      <c r="R2557" s="1">
        <v>0.157</v>
      </c>
      <c r="S2557" s="1">
        <v>0.50800000000000001</v>
      </c>
      <c r="T2557" s="1">
        <v>0.13600000000000001</v>
      </c>
      <c r="U2557" s="1">
        <v>0.42199999999999999</v>
      </c>
      <c r="V2557" s="1">
        <v>159.803</v>
      </c>
      <c r="W2557">
        <v>4</v>
      </c>
    </row>
    <row r="2558" spans="1:23" x14ac:dyDescent="0.25">
      <c r="A2558" s="1" t="s">
        <v>19182</v>
      </c>
      <c r="B2558" s="1" t="s">
        <v>19183</v>
      </c>
      <c r="C2558" s="1" t="s">
        <v>6964</v>
      </c>
      <c r="D2558" s="1" t="s">
        <v>2871</v>
      </c>
      <c r="E2558" s="1" t="s">
        <v>6965</v>
      </c>
      <c r="F2558" s="1" t="s">
        <v>11612</v>
      </c>
      <c r="G2558">
        <v>180120</v>
      </c>
      <c r="H2558">
        <v>66</v>
      </c>
      <c r="I2558" s="1" t="s">
        <v>11063</v>
      </c>
      <c r="J2558" s="11">
        <v>44729.706458333334</v>
      </c>
      <c r="K2558" s="1" t="s">
        <v>6966</v>
      </c>
      <c r="L2558" s="1">
        <v>0.77300000000000002</v>
      </c>
      <c r="M2558" s="1">
        <v>0.69899999999999995</v>
      </c>
      <c r="N2558">
        <v>1</v>
      </c>
      <c r="O2558" s="1">
        <v>-5.9820000000000002</v>
      </c>
      <c r="P2558">
        <v>0</v>
      </c>
      <c r="Q2558" s="1">
        <v>0.95799999999999996</v>
      </c>
      <c r="R2558" s="1">
        <v>0.48799999999999999</v>
      </c>
      <c r="S2558" s="1">
        <v>0.36</v>
      </c>
      <c r="T2558" s="1">
        <v>0.81399999999999995</v>
      </c>
      <c r="U2558" s="1">
        <v>0.51300000000000001</v>
      </c>
      <c r="V2558" s="1">
        <v>104.941</v>
      </c>
      <c r="W2558">
        <v>4</v>
      </c>
    </row>
    <row r="2559" spans="1:23" x14ac:dyDescent="0.25">
      <c r="A2559" s="1" t="s">
        <v>19184</v>
      </c>
      <c r="B2559" s="1" t="s">
        <v>14545</v>
      </c>
      <c r="C2559" s="1" t="s">
        <v>6967</v>
      </c>
      <c r="D2559" s="1" t="s">
        <v>15850</v>
      </c>
      <c r="E2559" s="1" t="s">
        <v>2872</v>
      </c>
      <c r="F2559" s="1" t="s">
        <v>15851</v>
      </c>
      <c r="G2559">
        <v>221506</v>
      </c>
      <c r="H2559">
        <v>74</v>
      </c>
      <c r="I2559" s="1" t="s">
        <v>11063</v>
      </c>
      <c r="J2559" s="11">
        <v>44729.706458333334</v>
      </c>
      <c r="K2559" s="1" t="s">
        <v>2873</v>
      </c>
      <c r="L2559" s="1">
        <v>0.65300000000000002</v>
      </c>
      <c r="M2559" s="1">
        <v>0.65800000000000003</v>
      </c>
      <c r="N2559">
        <v>2</v>
      </c>
      <c r="O2559" s="1">
        <v>-6.4279999999999999</v>
      </c>
      <c r="P2559">
        <v>1</v>
      </c>
      <c r="Q2559" s="1">
        <v>0.30399999999999999</v>
      </c>
      <c r="R2559" s="1">
        <v>0.215</v>
      </c>
      <c r="S2559" s="1">
        <v>0.16600000000000001</v>
      </c>
      <c r="T2559" s="1">
        <v>0.93899999999999995</v>
      </c>
      <c r="U2559" s="1">
        <v>0.219</v>
      </c>
      <c r="V2559" s="1">
        <v>99.99</v>
      </c>
      <c r="W2559">
        <v>4</v>
      </c>
    </row>
    <row r="2560" spans="1:23" x14ac:dyDescent="0.25">
      <c r="A2560" s="1" t="s">
        <v>19185</v>
      </c>
      <c r="B2560" s="1" t="s">
        <v>19186</v>
      </c>
      <c r="C2560" s="1" t="s">
        <v>5125</v>
      </c>
      <c r="D2560" s="1" t="s">
        <v>5125</v>
      </c>
      <c r="E2560" s="1" t="s">
        <v>6968</v>
      </c>
      <c r="F2560" s="1" t="s">
        <v>14124</v>
      </c>
      <c r="G2560">
        <v>244960</v>
      </c>
      <c r="H2560">
        <v>84</v>
      </c>
      <c r="I2560" s="1" t="s">
        <v>11063</v>
      </c>
      <c r="J2560" s="11">
        <v>44729.706458333334</v>
      </c>
      <c r="K2560" s="1" t="s">
        <v>6969</v>
      </c>
      <c r="L2560" s="1">
        <v>0.748</v>
      </c>
      <c r="M2560" s="1">
        <v>0.52400000000000002</v>
      </c>
      <c r="N2560">
        <v>8</v>
      </c>
      <c r="O2560" s="1">
        <v>-5.5990000000000002</v>
      </c>
      <c r="P2560">
        <v>1</v>
      </c>
      <c r="Q2560" s="1">
        <v>0.33800000000000002</v>
      </c>
      <c r="R2560" s="1">
        <v>0.41399999999999998</v>
      </c>
      <c r="S2560" s="1">
        <v>0</v>
      </c>
      <c r="T2560" s="1">
        <v>0.111</v>
      </c>
      <c r="U2560" s="1">
        <v>0.66100000000000003</v>
      </c>
      <c r="V2560" s="1">
        <v>95.01</v>
      </c>
      <c r="W2560">
        <v>4</v>
      </c>
    </row>
    <row r="2561" spans="1:23" x14ac:dyDescent="0.25">
      <c r="A2561" s="1" t="s">
        <v>11072</v>
      </c>
      <c r="B2561" s="1" t="s">
        <v>11073</v>
      </c>
      <c r="C2561" s="1" t="s">
        <v>6970</v>
      </c>
      <c r="D2561" s="1" t="s">
        <v>6970</v>
      </c>
      <c r="E2561" s="1" t="s">
        <v>6971</v>
      </c>
      <c r="F2561" s="1" t="s">
        <v>17613</v>
      </c>
      <c r="G2561">
        <v>274639</v>
      </c>
      <c r="H2561">
        <v>45</v>
      </c>
      <c r="I2561" s="1" t="s">
        <v>11063</v>
      </c>
      <c r="J2561" s="11">
        <v>44729.706458333334</v>
      </c>
      <c r="K2561" s="1" t="s">
        <v>3049</v>
      </c>
      <c r="L2561" s="1">
        <v>0.58599999999999997</v>
      </c>
      <c r="M2561" s="1">
        <v>0.69</v>
      </c>
      <c r="N2561">
        <v>1</v>
      </c>
      <c r="O2561" s="1">
        <v>-4.7539999999999996</v>
      </c>
      <c r="P2561">
        <v>0</v>
      </c>
      <c r="Q2561" s="1">
        <v>0.26900000000000002</v>
      </c>
      <c r="R2561" s="1">
        <v>0.10100000000000001</v>
      </c>
      <c r="S2561" s="1">
        <v>0.13700000000000001</v>
      </c>
      <c r="T2561" s="1">
        <v>0.63300000000000001</v>
      </c>
      <c r="U2561" s="1">
        <v>0.17499999999999999</v>
      </c>
      <c r="V2561" s="1">
        <v>97.025000000000006</v>
      </c>
      <c r="W2561">
        <v>4</v>
      </c>
    </row>
    <row r="2562" spans="1:23" x14ac:dyDescent="0.25">
      <c r="A2562" s="1" t="s">
        <v>19187</v>
      </c>
      <c r="B2562" s="1" t="s">
        <v>19188</v>
      </c>
      <c r="C2562" s="1" t="s">
        <v>6972</v>
      </c>
      <c r="D2562" s="1" t="s">
        <v>6972</v>
      </c>
      <c r="E2562" s="1" t="s">
        <v>6973</v>
      </c>
      <c r="F2562" s="1" t="s">
        <v>11715</v>
      </c>
      <c r="G2562">
        <v>223561</v>
      </c>
      <c r="H2562">
        <v>27</v>
      </c>
      <c r="I2562" s="1" t="s">
        <v>11063</v>
      </c>
      <c r="J2562" s="11">
        <v>44729.706458333334</v>
      </c>
      <c r="K2562" s="1" t="s">
        <v>6974</v>
      </c>
      <c r="L2562" s="1">
        <v>0.5</v>
      </c>
      <c r="M2562" s="1">
        <v>0.88</v>
      </c>
      <c r="N2562">
        <v>9</v>
      </c>
      <c r="O2562" s="1">
        <v>-2.899</v>
      </c>
      <c r="P2562">
        <v>0</v>
      </c>
      <c r="Q2562" s="1">
        <v>0.5</v>
      </c>
      <c r="R2562" s="1">
        <v>0.28199999999999997</v>
      </c>
      <c r="S2562" s="1">
        <v>0</v>
      </c>
      <c r="T2562" s="1">
        <v>0.34599999999999997</v>
      </c>
      <c r="U2562" s="1">
        <v>0.56399999999999995</v>
      </c>
      <c r="V2562" s="1">
        <v>146.04400000000001</v>
      </c>
      <c r="W2562">
        <v>4</v>
      </c>
    </row>
    <row r="2563" spans="1:23" x14ac:dyDescent="0.25">
      <c r="A2563" s="1" t="s">
        <v>19189</v>
      </c>
      <c r="B2563" s="1" t="s">
        <v>19190</v>
      </c>
      <c r="C2563" s="1" t="s">
        <v>6975</v>
      </c>
      <c r="D2563" s="1" t="s">
        <v>6975</v>
      </c>
      <c r="E2563" s="1" t="s">
        <v>6976</v>
      </c>
      <c r="F2563" s="1" t="s">
        <v>19191</v>
      </c>
      <c r="G2563">
        <v>210461</v>
      </c>
      <c r="H2563">
        <v>30</v>
      </c>
      <c r="I2563" s="1" t="s">
        <v>11063</v>
      </c>
      <c r="J2563" s="11">
        <v>44729.706458333334</v>
      </c>
      <c r="K2563" s="1" t="s">
        <v>2577</v>
      </c>
      <c r="L2563" s="1">
        <v>0.45700000000000002</v>
      </c>
      <c r="M2563" s="1">
        <v>0.54600000000000004</v>
      </c>
      <c r="N2563">
        <v>8</v>
      </c>
      <c r="O2563" s="1">
        <v>-4.5190000000000001</v>
      </c>
      <c r="P2563">
        <v>1</v>
      </c>
      <c r="Q2563" s="1">
        <v>0.39300000000000002</v>
      </c>
      <c r="R2563" s="1">
        <v>0.70899999999999996</v>
      </c>
      <c r="S2563" s="1">
        <v>0</v>
      </c>
      <c r="T2563" s="1">
        <v>0.113</v>
      </c>
      <c r="U2563" s="1">
        <v>0.51400000000000001</v>
      </c>
      <c r="V2563" s="1">
        <v>171.57599999999999</v>
      </c>
      <c r="W2563">
        <v>5</v>
      </c>
    </row>
    <row r="2564" spans="1:23" x14ac:dyDescent="0.25">
      <c r="A2564" s="1" t="s">
        <v>19192</v>
      </c>
      <c r="B2564" s="1" t="s">
        <v>19193</v>
      </c>
      <c r="C2564" s="1" t="s">
        <v>6977</v>
      </c>
      <c r="D2564" s="1" t="s">
        <v>6977</v>
      </c>
      <c r="E2564" s="1" t="s">
        <v>6978</v>
      </c>
      <c r="F2564" s="1" t="s">
        <v>16096</v>
      </c>
      <c r="G2564">
        <v>232414</v>
      </c>
      <c r="H2564">
        <v>46</v>
      </c>
      <c r="I2564" s="1" t="s">
        <v>11063</v>
      </c>
      <c r="J2564" s="11">
        <v>44729.706458333334</v>
      </c>
      <c r="K2564" s="1" t="s">
        <v>3076</v>
      </c>
      <c r="L2564" s="1">
        <v>0.68600000000000005</v>
      </c>
      <c r="M2564" s="1">
        <v>0.63400000000000001</v>
      </c>
      <c r="N2564">
        <v>0</v>
      </c>
      <c r="O2564" s="1">
        <v>-6.8559999999999999</v>
      </c>
      <c r="P2564">
        <v>1</v>
      </c>
      <c r="Q2564" s="1">
        <v>0.36899999999999999</v>
      </c>
      <c r="R2564" s="1">
        <v>0.22800000000000001</v>
      </c>
      <c r="S2564" s="1">
        <v>0.66700000000000004</v>
      </c>
      <c r="T2564" s="1">
        <v>0.13400000000000001</v>
      </c>
      <c r="U2564" s="1">
        <v>0.23400000000000001</v>
      </c>
      <c r="V2564" s="1">
        <v>98.001000000000005</v>
      </c>
      <c r="W2564">
        <v>4</v>
      </c>
    </row>
    <row r="2565" spans="1:23" x14ac:dyDescent="0.25">
      <c r="A2565" s="1" t="s">
        <v>19194</v>
      </c>
      <c r="B2565" s="1" t="s">
        <v>19195</v>
      </c>
      <c r="C2565" s="1" t="s">
        <v>6979</v>
      </c>
      <c r="D2565" s="1" t="s">
        <v>19196</v>
      </c>
      <c r="E2565" s="1" t="s">
        <v>6980</v>
      </c>
      <c r="F2565" s="1" t="s">
        <v>15638</v>
      </c>
      <c r="G2565">
        <v>261234</v>
      </c>
      <c r="H2565">
        <v>41</v>
      </c>
      <c r="I2565" s="1" t="s">
        <v>11063</v>
      </c>
      <c r="J2565" s="11">
        <v>44729.706458333334</v>
      </c>
      <c r="K2565" s="1" t="s">
        <v>6981</v>
      </c>
      <c r="L2565" s="1">
        <v>0.52400000000000002</v>
      </c>
      <c r="M2565" s="1">
        <v>0.64200000000000002</v>
      </c>
      <c r="N2565">
        <v>0</v>
      </c>
      <c r="O2565" s="1">
        <v>-6.3209999999999997</v>
      </c>
      <c r="P2565">
        <v>0</v>
      </c>
      <c r="Q2565" s="1">
        <v>0.36199999999999999</v>
      </c>
      <c r="R2565" s="1">
        <v>0.41699999999999998</v>
      </c>
      <c r="S2565" s="1">
        <v>0</v>
      </c>
      <c r="T2565" s="1">
        <v>0.1</v>
      </c>
      <c r="U2565" s="1">
        <v>0.27500000000000002</v>
      </c>
      <c r="V2565" s="1">
        <v>127.944</v>
      </c>
      <c r="W2565">
        <v>4</v>
      </c>
    </row>
    <row r="2566" spans="1:23" x14ac:dyDescent="0.25">
      <c r="A2566" s="1" t="s">
        <v>19197</v>
      </c>
      <c r="B2566" s="1" t="s">
        <v>19195</v>
      </c>
      <c r="C2566" s="1" t="s">
        <v>6982</v>
      </c>
      <c r="D2566" s="1" t="s">
        <v>19198</v>
      </c>
      <c r="E2566" s="1" t="s">
        <v>6980</v>
      </c>
      <c r="F2566" s="1" t="s">
        <v>11387</v>
      </c>
      <c r="G2566">
        <v>228346</v>
      </c>
      <c r="H2566">
        <v>79</v>
      </c>
      <c r="I2566" s="1" t="s">
        <v>11063</v>
      </c>
      <c r="J2566" s="11">
        <v>44729.706458333334</v>
      </c>
      <c r="K2566" s="1" t="s">
        <v>6981</v>
      </c>
      <c r="L2566" s="1">
        <v>0.51200000000000001</v>
      </c>
      <c r="M2566" s="1">
        <v>0.66200000000000003</v>
      </c>
      <c r="N2566">
        <v>3</v>
      </c>
      <c r="O2566" s="1">
        <v>-6.7969999999999997</v>
      </c>
      <c r="P2566">
        <v>1</v>
      </c>
      <c r="Q2566" s="1">
        <v>0.439</v>
      </c>
      <c r="R2566" s="1">
        <v>0.27500000000000002</v>
      </c>
      <c r="S2566" s="1">
        <v>0</v>
      </c>
      <c r="T2566" s="1">
        <v>0.11799999999999999</v>
      </c>
      <c r="U2566" s="1">
        <v>0.47199999999999998</v>
      </c>
      <c r="V2566" s="1">
        <v>180.114</v>
      </c>
      <c r="W2566">
        <v>4</v>
      </c>
    </row>
    <row r="2567" spans="1:23" x14ac:dyDescent="0.25">
      <c r="A2567" s="1" t="s">
        <v>19199</v>
      </c>
      <c r="B2567" s="1" t="s">
        <v>19200</v>
      </c>
      <c r="C2567" s="1" t="s">
        <v>6983</v>
      </c>
      <c r="D2567" s="1" t="s">
        <v>6983</v>
      </c>
      <c r="E2567" s="1" t="s">
        <v>6984</v>
      </c>
      <c r="F2567" s="1" t="s">
        <v>19201</v>
      </c>
      <c r="G2567">
        <v>268137</v>
      </c>
      <c r="H2567">
        <v>37</v>
      </c>
      <c r="I2567" s="1" t="s">
        <v>11063</v>
      </c>
      <c r="J2567" s="11">
        <v>44729.706458333334</v>
      </c>
      <c r="K2567" s="1" t="s">
        <v>6985</v>
      </c>
      <c r="L2567" s="1">
        <v>0.69</v>
      </c>
      <c r="M2567" s="1">
        <v>0.74</v>
      </c>
      <c r="N2567">
        <v>8</v>
      </c>
      <c r="O2567" s="1">
        <v>-5.5090000000000003</v>
      </c>
      <c r="P2567">
        <v>0</v>
      </c>
      <c r="Q2567" s="1">
        <v>0.74099999999999999</v>
      </c>
      <c r="R2567" s="1">
        <v>0.111</v>
      </c>
      <c r="S2567" s="1">
        <v>0.80700000000000005</v>
      </c>
      <c r="T2567" s="1">
        <v>0.89900000000000002</v>
      </c>
      <c r="U2567" s="1">
        <v>0.36299999999999999</v>
      </c>
      <c r="V2567" s="1">
        <v>144.935</v>
      </c>
      <c r="W2567">
        <v>4</v>
      </c>
    </row>
    <row r="2568" spans="1:23" x14ac:dyDescent="0.25">
      <c r="A2568" s="1" t="s">
        <v>19202</v>
      </c>
      <c r="B2568" s="1" t="s">
        <v>19203</v>
      </c>
      <c r="C2568" s="1" t="s">
        <v>6986</v>
      </c>
      <c r="D2568" s="1" t="s">
        <v>6986</v>
      </c>
      <c r="E2568" s="1" t="s">
        <v>6987</v>
      </c>
      <c r="F2568" s="1" t="s">
        <v>19204</v>
      </c>
      <c r="G2568">
        <v>254896</v>
      </c>
      <c r="H2568">
        <v>57</v>
      </c>
      <c r="I2568" s="1" t="s">
        <v>11063</v>
      </c>
      <c r="J2568" s="11">
        <v>44729.706458333334</v>
      </c>
      <c r="K2568" s="1" t="s">
        <v>6988</v>
      </c>
      <c r="L2568" s="1">
        <v>0.57399999999999995</v>
      </c>
      <c r="M2568" s="1">
        <v>0.57599999999999996</v>
      </c>
      <c r="N2568">
        <v>1</v>
      </c>
      <c r="O2568" s="1">
        <v>-8.2669999999999995</v>
      </c>
      <c r="P2568">
        <v>1</v>
      </c>
      <c r="Q2568" s="1">
        <v>0.44600000000000001</v>
      </c>
      <c r="R2568" s="1">
        <v>0.57899999999999996</v>
      </c>
      <c r="S2568" s="1">
        <v>0.14699999999999999</v>
      </c>
      <c r="T2568" s="1">
        <v>0.20799999999999999</v>
      </c>
      <c r="U2568" s="1">
        <v>0.28699999999999998</v>
      </c>
      <c r="V2568" s="1">
        <v>145.09399999999999</v>
      </c>
      <c r="W2568">
        <v>4</v>
      </c>
    </row>
    <row r="2569" spans="1:23" x14ac:dyDescent="0.25">
      <c r="A2569" s="1" t="s">
        <v>19205</v>
      </c>
      <c r="B2569" s="1" t="s">
        <v>19206</v>
      </c>
      <c r="C2569" s="1" t="s">
        <v>6989</v>
      </c>
      <c r="D2569" s="1" t="s">
        <v>6989</v>
      </c>
      <c r="E2569" s="1" t="s">
        <v>6990</v>
      </c>
      <c r="F2569" s="1" t="s">
        <v>14124</v>
      </c>
      <c r="G2569">
        <v>178767</v>
      </c>
      <c r="H2569">
        <v>51</v>
      </c>
      <c r="I2569" s="1" t="s">
        <v>11063</v>
      </c>
      <c r="J2569" s="11">
        <v>44729.706458333334</v>
      </c>
      <c r="K2569" s="1" t="s">
        <v>6991</v>
      </c>
      <c r="L2569" s="1">
        <v>0.71199999999999997</v>
      </c>
      <c r="M2569" s="1">
        <v>0.72699999999999998</v>
      </c>
      <c r="N2569">
        <v>4</v>
      </c>
      <c r="O2569" s="1">
        <v>-5.22</v>
      </c>
      <c r="P2569">
        <v>0</v>
      </c>
      <c r="Q2569" s="1">
        <v>0.36199999999999999</v>
      </c>
      <c r="R2569" s="1">
        <v>0.26300000000000001</v>
      </c>
      <c r="S2569" s="1">
        <v>0.25700000000000001</v>
      </c>
      <c r="T2569" s="1">
        <v>0.13</v>
      </c>
      <c r="U2569" s="1">
        <v>0.49199999999999999</v>
      </c>
      <c r="V2569" s="1">
        <v>145.01400000000001</v>
      </c>
      <c r="W2569">
        <v>4</v>
      </c>
    </row>
    <row r="2570" spans="1:23" x14ac:dyDescent="0.25">
      <c r="A2570" s="1" t="s">
        <v>19207</v>
      </c>
      <c r="B2570" s="1" t="s">
        <v>19208</v>
      </c>
      <c r="C2570" s="1" t="s">
        <v>6992</v>
      </c>
      <c r="D2570" s="1" t="s">
        <v>6992</v>
      </c>
      <c r="E2570" s="1" t="s">
        <v>6993</v>
      </c>
      <c r="F2570" s="1" t="s">
        <v>14368</v>
      </c>
      <c r="G2570">
        <v>166285</v>
      </c>
      <c r="H2570">
        <v>45</v>
      </c>
      <c r="I2570" s="1" t="s">
        <v>11063</v>
      </c>
      <c r="J2570" s="11">
        <v>44729.706458333334</v>
      </c>
      <c r="K2570" s="1" t="s">
        <v>6994</v>
      </c>
      <c r="L2570" s="1">
        <v>0.67500000000000004</v>
      </c>
      <c r="M2570" s="1">
        <v>0.92900000000000005</v>
      </c>
      <c r="N2570">
        <v>9</v>
      </c>
      <c r="O2570" s="1">
        <v>-2.5779999999999998</v>
      </c>
      <c r="P2570">
        <v>1</v>
      </c>
      <c r="Q2570" s="1">
        <v>0.47799999999999998</v>
      </c>
      <c r="R2570" s="1">
        <v>0.29099999999999998</v>
      </c>
      <c r="S2570" s="1">
        <v>0.72399999999999998</v>
      </c>
      <c r="T2570" s="1">
        <v>0.39700000000000002</v>
      </c>
      <c r="U2570" s="1">
        <v>0.46500000000000002</v>
      </c>
      <c r="V2570" s="1">
        <v>140.006</v>
      </c>
      <c r="W2570">
        <v>4</v>
      </c>
    </row>
    <row r="2571" spans="1:23" x14ac:dyDescent="0.25">
      <c r="A2571" s="1" t="s">
        <v>19209</v>
      </c>
      <c r="B2571" s="1" t="s">
        <v>19208</v>
      </c>
      <c r="C2571" s="1" t="s">
        <v>6995</v>
      </c>
      <c r="D2571" s="1" t="s">
        <v>6995</v>
      </c>
      <c r="E2571" s="1" t="s">
        <v>6993</v>
      </c>
      <c r="F2571" s="1" t="s">
        <v>11689</v>
      </c>
      <c r="G2571">
        <v>230418</v>
      </c>
      <c r="H2571">
        <v>45</v>
      </c>
      <c r="I2571" s="1" t="s">
        <v>11063</v>
      </c>
      <c r="J2571" s="11">
        <v>44729.706458333334</v>
      </c>
      <c r="K2571" s="1" t="s">
        <v>6994</v>
      </c>
      <c r="L2571" s="1">
        <v>0.61299999999999999</v>
      </c>
      <c r="M2571" s="1">
        <v>0.81200000000000006</v>
      </c>
      <c r="N2571">
        <v>1</v>
      </c>
      <c r="O2571" s="1">
        <v>-2.8519999999999999</v>
      </c>
      <c r="P2571">
        <v>1</v>
      </c>
      <c r="Q2571" s="1">
        <v>0.54500000000000004</v>
      </c>
      <c r="R2571" s="1">
        <v>0.17899999999999999</v>
      </c>
      <c r="S2571" s="1">
        <v>0</v>
      </c>
      <c r="T2571" s="1">
        <v>0.11</v>
      </c>
      <c r="U2571" s="1">
        <v>0.39100000000000001</v>
      </c>
      <c r="V2571" s="1">
        <v>144.94300000000001</v>
      </c>
      <c r="W2571">
        <v>4</v>
      </c>
    </row>
    <row r="2572" spans="1:23" x14ac:dyDescent="0.25">
      <c r="A2572" s="1" t="s">
        <v>19210</v>
      </c>
      <c r="B2572" s="1" t="s">
        <v>19211</v>
      </c>
      <c r="C2572" s="1" t="s">
        <v>6996</v>
      </c>
      <c r="D2572" s="1" t="s">
        <v>6996</v>
      </c>
      <c r="E2572" s="1" t="s">
        <v>6997</v>
      </c>
      <c r="F2572" s="1" t="s">
        <v>14783</v>
      </c>
      <c r="G2572">
        <v>195208</v>
      </c>
      <c r="H2572">
        <v>45</v>
      </c>
      <c r="I2572" s="1" t="s">
        <v>11063</v>
      </c>
      <c r="J2572" s="11">
        <v>44729.706458333334</v>
      </c>
      <c r="K2572" s="1" t="s">
        <v>6998</v>
      </c>
      <c r="L2572" s="1">
        <v>0.29899999999999999</v>
      </c>
      <c r="M2572" s="1">
        <v>0.79200000000000004</v>
      </c>
      <c r="N2572">
        <v>2</v>
      </c>
      <c r="O2572" s="1">
        <v>-4.931</v>
      </c>
      <c r="P2572">
        <v>1</v>
      </c>
      <c r="Q2572" s="1">
        <v>0.56499999999999995</v>
      </c>
      <c r="R2572" s="1">
        <v>0.32700000000000001</v>
      </c>
      <c r="S2572" s="1">
        <v>0</v>
      </c>
      <c r="T2572" s="1">
        <v>0.159</v>
      </c>
      <c r="U2572" s="1">
        <v>0.30599999999999999</v>
      </c>
      <c r="V2572" s="1">
        <v>149.834</v>
      </c>
      <c r="W2572">
        <v>4</v>
      </c>
    </row>
    <row r="2573" spans="1:23" x14ac:dyDescent="0.25">
      <c r="A2573" s="1" t="s">
        <v>19212</v>
      </c>
      <c r="B2573" s="1" t="s">
        <v>19213</v>
      </c>
      <c r="C2573" s="1" t="s">
        <v>6999</v>
      </c>
      <c r="D2573" s="1" t="s">
        <v>6999</v>
      </c>
      <c r="E2573" s="1" t="s">
        <v>7000</v>
      </c>
      <c r="F2573" s="1" t="s">
        <v>19214</v>
      </c>
      <c r="G2573">
        <v>232922</v>
      </c>
      <c r="H2573">
        <v>37</v>
      </c>
      <c r="I2573" s="1" t="s">
        <v>11063</v>
      </c>
      <c r="J2573" s="11">
        <v>44729.706458333334</v>
      </c>
      <c r="K2573" s="1" t="s">
        <v>7001</v>
      </c>
      <c r="L2573" s="1">
        <v>0.57799999999999996</v>
      </c>
      <c r="M2573" s="1">
        <v>0.67800000000000005</v>
      </c>
      <c r="N2573">
        <v>0</v>
      </c>
      <c r="O2573" s="1">
        <v>-8.2059999999999995</v>
      </c>
      <c r="P2573">
        <v>0</v>
      </c>
      <c r="Q2573" s="1">
        <v>0.66600000000000004</v>
      </c>
      <c r="R2573" s="1">
        <v>0.14299999999999999</v>
      </c>
      <c r="S2573" s="1">
        <v>0.13</v>
      </c>
      <c r="T2573" s="1">
        <v>0.14299999999999999</v>
      </c>
      <c r="U2573" s="1">
        <v>0.23699999999999999</v>
      </c>
      <c r="V2573" s="1">
        <v>145.02099999999999</v>
      </c>
      <c r="W2573">
        <v>4</v>
      </c>
    </row>
    <row r="2574" spans="1:23" x14ac:dyDescent="0.25">
      <c r="A2574" s="1" t="s">
        <v>19215</v>
      </c>
      <c r="B2574" s="1" t="s">
        <v>19216</v>
      </c>
      <c r="C2574" s="1" t="s">
        <v>7002</v>
      </c>
      <c r="D2574" s="1" t="s">
        <v>11721</v>
      </c>
      <c r="E2574" s="1" t="s">
        <v>7003</v>
      </c>
      <c r="F2574" s="1" t="s">
        <v>11722</v>
      </c>
      <c r="G2574">
        <v>277317</v>
      </c>
      <c r="H2574">
        <v>46</v>
      </c>
      <c r="I2574" s="1" t="s">
        <v>11063</v>
      </c>
      <c r="J2574" s="11">
        <v>44729.706458333334</v>
      </c>
      <c r="K2574" s="1" t="s">
        <v>7004</v>
      </c>
      <c r="L2574" s="1">
        <v>0.52</v>
      </c>
      <c r="M2574" s="1">
        <v>0.88100000000000001</v>
      </c>
      <c r="N2574">
        <v>6</v>
      </c>
      <c r="O2574" s="1">
        <v>-4.2489999999999997</v>
      </c>
      <c r="P2574">
        <v>0</v>
      </c>
      <c r="Q2574" s="1">
        <v>0.11600000000000001</v>
      </c>
      <c r="R2574" s="1">
        <v>0.47</v>
      </c>
      <c r="S2574" s="1">
        <v>0.85499999999999998</v>
      </c>
      <c r="T2574" s="1">
        <v>0.33100000000000002</v>
      </c>
      <c r="U2574" s="1">
        <v>0.29099999999999998</v>
      </c>
      <c r="V2574" s="1">
        <v>180.01300000000001</v>
      </c>
      <c r="W2574">
        <v>4</v>
      </c>
    </row>
    <row r="2575" spans="1:23" x14ac:dyDescent="0.25">
      <c r="A2575" s="1" t="s">
        <v>11719</v>
      </c>
      <c r="B2575" s="1" t="s">
        <v>11720</v>
      </c>
      <c r="C2575" s="1" t="s">
        <v>7005</v>
      </c>
      <c r="D2575" s="1" t="s">
        <v>11721</v>
      </c>
      <c r="E2575" s="1" t="s">
        <v>424</v>
      </c>
      <c r="F2575" s="1" t="s">
        <v>11722</v>
      </c>
      <c r="G2575">
        <v>220730</v>
      </c>
      <c r="H2575">
        <v>63</v>
      </c>
      <c r="I2575" s="1" t="s">
        <v>11063</v>
      </c>
      <c r="J2575" s="11">
        <v>44729.706458333334</v>
      </c>
      <c r="K2575" s="1" t="s">
        <v>425</v>
      </c>
      <c r="L2575" s="1">
        <v>0.40400000000000003</v>
      </c>
      <c r="M2575" s="1">
        <v>0.80600000000000005</v>
      </c>
      <c r="N2575">
        <v>2</v>
      </c>
      <c r="O2575" s="1">
        <v>-4.75</v>
      </c>
      <c r="P2575">
        <v>1</v>
      </c>
      <c r="Q2575" s="1">
        <v>0.496</v>
      </c>
      <c r="R2575" s="1">
        <v>0.19800000000000001</v>
      </c>
      <c r="S2575" s="1">
        <v>0</v>
      </c>
      <c r="T2575" s="1">
        <v>0.114</v>
      </c>
      <c r="U2575" s="1">
        <v>0.112</v>
      </c>
      <c r="V2575" s="1">
        <v>148.036</v>
      </c>
      <c r="W2575">
        <v>4</v>
      </c>
    </row>
    <row r="2576" spans="1:23" x14ac:dyDescent="0.25">
      <c r="A2576" s="1" t="s">
        <v>19217</v>
      </c>
      <c r="B2576" s="1" t="s">
        <v>19218</v>
      </c>
      <c r="C2576" s="1" t="s">
        <v>7006</v>
      </c>
      <c r="D2576" s="1" t="s">
        <v>11721</v>
      </c>
      <c r="E2576" s="1" t="s">
        <v>7007</v>
      </c>
      <c r="F2576" s="1" t="s">
        <v>11722</v>
      </c>
      <c r="G2576">
        <v>295890</v>
      </c>
      <c r="H2576">
        <v>49</v>
      </c>
      <c r="I2576" s="1" t="s">
        <v>11063</v>
      </c>
      <c r="J2576" s="11">
        <v>44729.706458333334</v>
      </c>
      <c r="K2576" s="1" t="s">
        <v>4064</v>
      </c>
      <c r="L2576" s="1">
        <v>0.48699999999999999</v>
      </c>
      <c r="M2576" s="1">
        <v>0.69399999999999995</v>
      </c>
      <c r="N2576">
        <v>10</v>
      </c>
      <c r="O2576" s="1">
        <v>-4.0490000000000004</v>
      </c>
      <c r="P2576">
        <v>0</v>
      </c>
      <c r="Q2576" s="1">
        <v>0.39700000000000002</v>
      </c>
      <c r="R2576" s="1">
        <v>0.13100000000000001</v>
      </c>
      <c r="S2576" s="1">
        <v>0.14599999999999999</v>
      </c>
      <c r="T2576" s="1">
        <v>0.106</v>
      </c>
      <c r="U2576" s="1">
        <v>0.28699999999999998</v>
      </c>
      <c r="V2576" s="1">
        <v>145.91900000000001</v>
      </c>
      <c r="W2576">
        <v>4</v>
      </c>
    </row>
    <row r="2577" spans="1:23" x14ac:dyDescent="0.25">
      <c r="A2577" s="1" t="s">
        <v>19219</v>
      </c>
      <c r="B2577" s="1" t="s">
        <v>19220</v>
      </c>
      <c r="C2577" s="1" t="s">
        <v>7008</v>
      </c>
      <c r="D2577" s="1" t="s">
        <v>11721</v>
      </c>
      <c r="E2577" s="1" t="s">
        <v>7009</v>
      </c>
      <c r="F2577" s="1" t="s">
        <v>11722</v>
      </c>
      <c r="G2577">
        <v>210423</v>
      </c>
      <c r="H2577">
        <v>53</v>
      </c>
      <c r="I2577" s="1" t="s">
        <v>11063</v>
      </c>
      <c r="J2577" s="11">
        <v>44729.706458333334</v>
      </c>
      <c r="K2577" s="1" t="s">
        <v>7010</v>
      </c>
      <c r="L2577" s="1">
        <v>0.53200000000000003</v>
      </c>
      <c r="M2577" s="1">
        <v>0.57099999999999995</v>
      </c>
      <c r="N2577">
        <v>1</v>
      </c>
      <c r="O2577" s="1">
        <v>-6.2910000000000004</v>
      </c>
      <c r="P2577">
        <v>1</v>
      </c>
      <c r="Q2577" s="1">
        <v>0.41</v>
      </c>
      <c r="R2577" s="1">
        <v>0.67900000000000005</v>
      </c>
      <c r="S2577" s="1">
        <v>0</v>
      </c>
      <c r="T2577" s="1">
        <v>0.109</v>
      </c>
      <c r="U2577" s="1">
        <v>0.47499999999999998</v>
      </c>
      <c r="V2577" s="1">
        <v>144.91200000000001</v>
      </c>
      <c r="W2577">
        <v>4</v>
      </c>
    </row>
    <row r="2578" spans="1:23" x14ac:dyDescent="0.25">
      <c r="A2578" s="1" t="s">
        <v>19221</v>
      </c>
      <c r="B2578" s="1" t="s">
        <v>17183</v>
      </c>
      <c r="C2578" s="1" t="s">
        <v>7011</v>
      </c>
      <c r="D2578" s="1" t="s">
        <v>11721</v>
      </c>
      <c r="E2578" s="1" t="s">
        <v>5161</v>
      </c>
      <c r="F2578" s="1" t="s">
        <v>11722</v>
      </c>
      <c r="G2578">
        <v>209893</v>
      </c>
      <c r="H2578">
        <v>0</v>
      </c>
      <c r="I2578" s="1" t="s">
        <v>11063</v>
      </c>
      <c r="J2578" s="11">
        <v>44729.706458333334</v>
      </c>
      <c r="K2578" s="1" t="s">
        <v>5162</v>
      </c>
      <c r="L2578" s="1">
        <v>0.29399999999999998</v>
      </c>
      <c r="M2578" s="1">
        <v>0.505</v>
      </c>
      <c r="N2578">
        <v>3</v>
      </c>
      <c r="O2578" s="1">
        <v>-8.1059999999999999</v>
      </c>
      <c r="P2578">
        <v>1</v>
      </c>
      <c r="Q2578" s="1">
        <v>0.42</v>
      </c>
      <c r="R2578" s="1">
        <v>0.12</v>
      </c>
      <c r="S2578" s="1">
        <v>0</v>
      </c>
      <c r="T2578" s="1">
        <v>0.97699999999999998</v>
      </c>
      <c r="U2578" s="1">
        <v>0.35699999999999998</v>
      </c>
      <c r="V2578" s="1">
        <v>85.331999999999994</v>
      </c>
      <c r="W2578">
        <v>1</v>
      </c>
    </row>
    <row r="2579" spans="1:23" x14ac:dyDescent="0.25">
      <c r="A2579" s="1" t="s">
        <v>19222</v>
      </c>
      <c r="B2579" s="1" t="s">
        <v>19223</v>
      </c>
      <c r="C2579" s="1" t="s">
        <v>7012</v>
      </c>
      <c r="D2579" s="1" t="s">
        <v>11721</v>
      </c>
      <c r="E2579" s="1" t="s">
        <v>7013</v>
      </c>
      <c r="F2579" s="1" t="s">
        <v>11722</v>
      </c>
      <c r="G2579">
        <v>223404</v>
      </c>
      <c r="H2579">
        <v>43</v>
      </c>
      <c r="I2579" s="1" t="s">
        <v>11063</v>
      </c>
      <c r="J2579" s="11">
        <v>44729.706458333334</v>
      </c>
      <c r="K2579" s="1" t="s">
        <v>7014</v>
      </c>
      <c r="L2579" s="1">
        <v>0.34300000000000003</v>
      </c>
      <c r="M2579" s="1">
        <v>0.32100000000000001</v>
      </c>
      <c r="N2579">
        <v>7</v>
      </c>
      <c r="O2579" s="1">
        <v>-9.5299999999999994</v>
      </c>
      <c r="P2579">
        <v>0</v>
      </c>
      <c r="Q2579" s="1">
        <v>0.35699999999999998</v>
      </c>
      <c r="R2579" s="1">
        <v>0.51400000000000001</v>
      </c>
      <c r="S2579" s="1">
        <v>0.505</v>
      </c>
      <c r="T2579" s="1">
        <v>0.23200000000000001</v>
      </c>
      <c r="U2579" s="1">
        <v>0.44</v>
      </c>
      <c r="V2579" s="1">
        <v>119.096</v>
      </c>
      <c r="W2579">
        <v>5</v>
      </c>
    </row>
    <row r="2580" spans="1:23" x14ac:dyDescent="0.25">
      <c r="A2580" s="1" t="s">
        <v>19224</v>
      </c>
      <c r="B2580" s="1" t="s">
        <v>19225</v>
      </c>
      <c r="C2580" s="1" t="s">
        <v>7015</v>
      </c>
      <c r="D2580" s="1" t="s">
        <v>11721</v>
      </c>
      <c r="E2580" s="1" t="s">
        <v>7016</v>
      </c>
      <c r="F2580" s="1" t="s">
        <v>11722</v>
      </c>
      <c r="G2580">
        <v>198285</v>
      </c>
      <c r="H2580">
        <v>48</v>
      </c>
      <c r="I2580" s="1" t="s">
        <v>11063</v>
      </c>
      <c r="J2580" s="11">
        <v>44729.706458333334</v>
      </c>
      <c r="K2580" s="1" t="s">
        <v>7017</v>
      </c>
      <c r="L2580" s="1">
        <v>0.54500000000000004</v>
      </c>
      <c r="M2580" s="1">
        <v>0.66800000000000004</v>
      </c>
      <c r="N2580">
        <v>7</v>
      </c>
      <c r="O2580" s="1">
        <v>-3.9620000000000002</v>
      </c>
      <c r="P2580">
        <v>0</v>
      </c>
      <c r="Q2580" s="1">
        <v>0.90600000000000003</v>
      </c>
      <c r="R2580" s="1">
        <v>0.14799999999999999</v>
      </c>
      <c r="S2580" s="1">
        <v>0</v>
      </c>
      <c r="T2580" s="1">
        <v>0.372</v>
      </c>
      <c r="U2580" s="1">
        <v>0.249</v>
      </c>
      <c r="V2580" s="1">
        <v>149.988</v>
      </c>
      <c r="W2580">
        <v>4</v>
      </c>
    </row>
    <row r="2581" spans="1:23" x14ac:dyDescent="0.25">
      <c r="A2581" s="1" t="s">
        <v>19226</v>
      </c>
      <c r="B2581" s="1" t="s">
        <v>19227</v>
      </c>
      <c r="C2581" s="1" t="s">
        <v>7018</v>
      </c>
      <c r="D2581" s="1" t="s">
        <v>11721</v>
      </c>
      <c r="E2581" s="1" t="s">
        <v>7019</v>
      </c>
      <c r="F2581" s="1" t="s">
        <v>11722</v>
      </c>
      <c r="G2581">
        <v>230000</v>
      </c>
      <c r="H2581">
        <v>56</v>
      </c>
      <c r="I2581" s="1" t="s">
        <v>11063</v>
      </c>
      <c r="J2581" s="11">
        <v>44729.706458333334</v>
      </c>
      <c r="K2581" s="1" t="s">
        <v>7020</v>
      </c>
      <c r="L2581" s="1">
        <v>0.58199999999999996</v>
      </c>
      <c r="M2581" s="1">
        <v>0.68100000000000005</v>
      </c>
      <c r="N2581">
        <v>5</v>
      </c>
      <c r="O2581" s="1">
        <v>-6.1379999999999999</v>
      </c>
      <c r="P2581">
        <v>1</v>
      </c>
      <c r="Q2581" s="1">
        <v>0.45800000000000002</v>
      </c>
      <c r="R2581" s="1">
        <v>0.34200000000000003</v>
      </c>
      <c r="S2581" s="1">
        <v>0</v>
      </c>
      <c r="T2581" s="1">
        <v>0.186</v>
      </c>
      <c r="U2581" s="1">
        <v>0.27300000000000002</v>
      </c>
      <c r="V2581" s="1">
        <v>95.995000000000005</v>
      </c>
      <c r="W2581">
        <v>4</v>
      </c>
    </row>
    <row r="2582" spans="1:23" x14ac:dyDescent="0.25">
      <c r="A2582" s="1" t="s">
        <v>19228</v>
      </c>
      <c r="B2582" s="1" t="s">
        <v>19229</v>
      </c>
      <c r="C2582" s="1" t="s">
        <v>7021</v>
      </c>
      <c r="D2582" s="1" t="s">
        <v>11721</v>
      </c>
      <c r="E2582" s="1" t="s">
        <v>7022</v>
      </c>
      <c r="F2582" s="1" t="s">
        <v>11722</v>
      </c>
      <c r="G2582">
        <v>238557</v>
      </c>
      <c r="H2582">
        <v>42</v>
      </c>
      <c r="I2582" s="1" t="s">
        <v>11063</v>
      </c>
      <c r="J2582" s="11">
        <v>44729.706458333334</v>
      </c>
      <c r="K2582" s="1" t="s">
        <v>4064</v>
      </c>
      <c r="L2582" s="1">
        <v>0.437</v>
      </c>
      <c r="M2582" s="1">
        <v>0.68799999999999994</v>
      </c>
      <c r="N2582">
        <v>5</v>
      </c>
      <c r="O2582" s="1">
        <v>-5.3150000000000004</v>
      </c>
      <c r="P2582">
        <v>1</v>
      </c>
      <c r="Q2582" s="1">
        <v>0.36399999999999999</v>
      </c>
      <c r="R2582" s="1">
        <v>0.65600000000000003</v>
      </c>
      <c r="S2582" s="1">
        <v>0</v>
      </c>
      <c r="T2582" s="1">
        <v>0.156</v>
      </c>
      <c r="U2582" s="1">
        <v>0.193</v>
      </c>
      <c r="V2582" s="1">
        <v>130.114</v>
      </c>
      <c r="W2582">
        <v>4</v>
      </c>
    </row>
    <row r="2583" spans="1:23" x14ac:dyDescent="0.25">
      <c r="A2583" s="1" t="s">
        <v>19230</v>
      </c>
      <c r="B2583" s="1" t="s">
        <v>19231</v>
      </c>
      <c r="C2583" s="1" t="s">
        <v>7023</v>
      </c>
      <c r="D2583" s="1" t="s">
        <v>11721</v>
      </c>
      <c r="E2583" s="1" t="s">
        <v>7024</v>
      </c>
      <c r="F2583" s="1" t="s">
        <v>11722</v>
      </c>
      <c r="G2583">
        <v>221398</v>
      </c>
      <c r="H2583">
        <v>53</v>
      </c>
      <c r="I2583" s="1" t="s">
        <v>11063</v>
      </c>
      <c r="J2583" s="11">
        <v>44729.706458333334</v>
      </c>
      <c r="K2583" s="1" t="s">
        <v>4064</v>
      </c>
      <c r="L2583" s="1">
        <v>0.27500000000000002</v>
      </c>
      <c r="M2583" s="1">
        <v>0.65700000000000003</v>
      </c>
      <c r="N2583">
        <v>11</v>
      </c>
      <c r="O2583" s="1">
        <v>-3.9</v>
      </c>
      <c r="P2583">
        <v>1</v>
      </c>
      <c r="Q2583" s="1">
        <v>0.43099999999999999</v>
      </c>
      <c r="R2583" s="1">
        <v>0.39600000000000002</v>
      </c>
      <c r="S2583" s="1">
        <v>0.14799999999999999</v>
      </c>
      <c r="T2583" s="1">
        <v>0.30499999999999999</v>
      </c>
      <c r="U2583" s="1">
        <v>0.219</v>
      </c>
      <c r="V2583" s="1">
        <v>169.63800000000001</v>
      </c>
      <c r="W2583">
        <v>4</v>
      </c>
    </row>
    <row r="2584" spans="1:23" x14ac:dyDescent="0.25">
      <c r="A2584" s="1" t="s">
        <v>11723</v>
      </c>
      <c r="B2584" s="1" t="s">
        <v>11724</v>
      </c>
      <c r="C2584" s="1" t="s">
        <v>7025</v>
      </c>
      <c r="D2584" s="1" t="s">
        <v>11721</v>
      </c>
      <c r="E2584" s="1" t="s">
        <v>426</v>
      </c>
      <c r="F2584" s="1" t="s">
        <v>11722</v>
      </c>
      <c r="G2584">
        <v>216668</v>
      </c>
      <c r="H2584">
        <v>63</v>
      </c>
      <c r="I2584" s="1" t="s">
        <v>11063</v>
      </c>
      <c r="J2584" s="11">
        <v>44729.706458333334</v>
      </c>
      <c r="K2584" s="1" t="s">
        <v>427</v>
      </c>
      <c r="L2584" s="1">
        <v>0.64300000000000002</v>
      </c>
      <c r="M2584" s="1">
        <v>0.60299999999999998</v>
      </c>
      <c r="N2584">
        <v>2</v>
      </c>
      <c r="O2584" s="1">
        <v>-5.4160000000000004</v>
      </c>
      <c r="P2584">
        <v>1</v>
      </c>
      <c r="Q2584" s="1">
        <v>0.311</v>
      </c>
      <c r="R2584" s="1">
        <v>0.12</v>
      </c>
      <c r="S2584" s="1">
        <v>0</v>
      </c>
      <c r="T2584" s="1">
        <v>0.11799999999999999</v>
      </c>
      <c r="U2584" s="1">
        <v>0.42</v>
      </c>
      <c r="V2584" s="1">
        <v>144.01</v>
      </c>
      <c r="W2584">
        <v>4</v>
      </c>
    </row>
    <row r="2585" spans="1:23" x14ac:dyDescent="0.25">
      <c r="A2585" s="1" t="s">
        <v>11725</v>
      </c>
      <c r="B2585" s="1" t="s">
        <v>11726</v>
      </c>
      <c r="C2585" s="1" t="s">
        <v>7026</v>
      </c>
      <c r="D2585" s="1" t="s">
        <v>11721</v>
      </c>
      <c r="E2585" s="1" t="s">
        <v>428</v>
      </c>
      <c r="F2585" s="1" t="s">
        <v>11722</v>
      </c>
      <c r="G2585">
        <v>252912</v>
      </c>
      <c r="H2585">
        <v>51</v>
      </c>
      <c r="I2585" s="1" t="s">
        <v>11063</v>
      </c>
      <c r="J2585" s="11">
        <v>44729.706458333334</v>
      </c>
      <c r="K2585" s="1" t="s">
        <v>429</v>
      </c>
      <c r="L2585" s="1">
        <v>0.48699999999999999</v>
      </c>
      <c r="M2585" s="1">
        <v>0.621</v>
      </c>
      <c r="N2585">
        <v>2</v>
      </c>
      <c r="O2585" s="1">
        <v>-4.6760000000000002</v>
      </c>
      <c r="P2585">
        <v>1</v>
      </c>
      <c r="Q2585" s="1">
        <v>0.33300000000000002</v>
      </c>
      <c r="R2585" s="1">
        <v>0.91</v>
      </c>
      <c r="S2585" s="1">
        <v>0</v>
      </c>
      <c r="T2585" s="1">
        <v>0.13200000000000001</v>
      </c>
      <c r="U2585" s="1">
        <v>0.17799999999999999</v>
      </c>
      <c r="V2585" s="1">
        <v>140.04</v>
      </c>
      <c r="W2585">
        <v>4</v>
      </c>
    </row>
    <row r="2586" spans="1:23" x14ac:dyDescent="0.25">
      <c r="A2586" s="1" t="s">
        <v>19232</v>
      </c>
      <c r="B2586" s="1" t="s">
        <v>19233</v>
      </c>
      <c r="C2586" s="1" t="s">
        <v>7027</v>
      </c>
      <c r="D2586" s="1" t="s">
        <v>11721</v>
      </c>
      <c r="E2586" s="1" t="s">
        <v>7028</v>
      </c>
      <c r="F2586" s="1" t="s">
        <v>11722</v>
      </c>
      <c r="G2586">
        <v>235263</v>
      </c>
      <c r="H2586">
        <v>54</v>
      </c>
      <c r="I2586" s="1" t="s">
        <v>11063</v>
      </c>
      <c r="J2586" s="11">
        <v>44729.706458333334</v>
      </c>
      <c r="K2586" s="1" t="s">
        <v>7029</v>
      </c>
      <c r="L2586" s="1">
        <v>0.50600000000000001</v>
      </c>
      <c r="M2586" s="1">
        <v>0.74399999999999999</v>
      </c>
      <c r="N2586">
        <v>9</v>
      </c>
      <c r="O2586" s="1">
        <v>-3.605</v>
      </c>
      <c r="P2586">
        <v>1</v>
      </c>
      <c r="Q2586" s="1">
        <v>0.42</v>
      </c>
      <c r="R2586" s="1">
        <v>0.46300000000000002</v>
      </c>
      <c r="S2586" s="1">
        <v>0.66200000000000003</v>
      </c>
      <c r="T2586" s="1">
        <v>0.52</v>
      </c>
      <c r="U2586" s="1">
        <v>0.39600000000000002</v>
      </c>
      <c r="V2586" s="1">
        <v>76.055999999999997</v>
      </c>
      <c r="W2586">
        <v>4</v>
      </c>
    </row>
    <row r="2587" spans="1:23" x14ac:dyDescent="0.25">
      <c r="A2587" s="1" t="s">
        <v>19234</v>
      </c>
      <c r="B2587" s="1" t="s">
        <v>15137</v>
      </c>
      <c r="C2587" s="1" t="s">
        <v>7030</v>
      </c>
      <c r="D2587" s="1" t="s">
        <v>19235</v>
      </c>
      <c r="E2587" s="1" t="s">
        <v>3396</v>
      </c>
      <c r="F2587" s="1" t="s">
        <v>19236</v>
      </c>
      <c r="G2587">
        <v>207790</v>
      </c>
      <c r="H2587">
        <v>0</v>
      </c>
      <c r="I2587" s="1" t="s">
        <v>11063</v>
      </c>
      <c r="J2587" s="11">
        <v>44729.706458333334</v>
      </c>
      <c r="K2587" s="1" t="s">
        <v>3397</v>
      </c>
      <c r="L2587" s="1">
        <v>0.71799999999999997</v>
      </c>
      <c r="M2587" s="1">
        <v>0.752</v>
      </c>
      <c r="N2587">
        <v>0</v>
      </c>
      <c r="O2587" s="1">
        <v>-4.766</v>
      </c>
      <c r="P2587">
        <v>1</v>
      </c>
      <c r="Q2587" s="1">
        <v>0.29899999999999999</v>
      </c>
      <c r="R2587" s="1">
        <v>0.55800000000000005</v>
      </c>
      <c r="S2587" s="1">
        <v>0.14699999999999999</v>
      </c>
      <c r="T2587" s="1">
        <v>0.16800000000000001</v>
      </c>
      <c r="U2587" s="1">
        <v>0.83499999999999996</v>
      </c>
      <c r="V2587" s="1">
        <v>127.98699999999999</v>
      </c>
      <c r="W2587">
        <v>4</v>
      </c>
    </row>
    <row r="2588" spans="1:23" x14ac:dyDescent="0.25">
      <c r="A2588" s="1" t="s">
        <v>19237</v>
      </c>
      <c r="B2588" s="1" t="s">
        <v>15137</v>
      </c>
      <c r="C2588" s="1" t="s">
        <v>7031</v>
      </c>
      <c r="D2588" s="1" t="s">
        <v>19238</v>
      </c>
      <c r="E2588" s="1" t="s">
        <v>3396</v>
      </c>
      <c r="F2588" s="1" t="s">
        <v>19239</v>
      </c>
      <c r="G2588">
        <v>196998</v>
      </c>
      <c r="H2588">
        <v>53</v>
      </c>
      <c r="I2588" s="1" t="s">
        <v>11063</v>
      </c>
      <c r="J2588" s="11">
        <v>44729.706458333334</v>
      </c>
      <c r="K2588" s="1" t="s">
        <v>3397</v>
      </c>
      <c r="L2588" s="1">
        <v>0.622</v>
      </c>
      <c r="M2588" s="1">
        <v>0.82099999999999995</v>
      </c>
      <c r="N2588">
        <v>11</v>
      </c>
      <c r="O2588" s="1">
        <v>-7.6260000000000003</v>
      </c>
      <c r="P2588">
        <v>0</v>
      </c>
      <c r="Q2588" s="1">
        <v>0.60199999999999998</v>
      </c>
      <c r="R2588" s="1">
        <v>0.221</v>
      </c>
      <c r="S2588" s="1">
        <v>0.53400000000000003</v>
      </c>
      <c r="T2588" s="1">
        <v>0.111</v>
      </c>
      <c r="U2588" s="1">
        <v>0.28100000000000003</v>
      </c>
      <c r="V2588" s="1">
        <v>149.99799999999999</v>
      </c>
      <c r="W2588">
        <v>4</v>
      </c>
    </row>
    <row r="2589" spans="1:23" x14ac:dyDescent="0.25">
      <c r="A2589" s="1" t="s">
        <v>19240</v>
      </c>
      <c r="B2589" s="1" t="s">
        <v>19241</v>
      </c>
      <c r="C2589" s="1" t="s">
        <v>7032</v>
      </c>
      <c r="D2589" s="1" t="s">
        <v>19242</v>
      </c>
      <c r="E2589" s="1" t="s">
        <v>7033</v>
      </c>
      <c r="F2589" s="1" t="s">
        <v>14552</v>
      </c>
      <c r="G2589">
        <v>219373</v>
      </c>
      <c r="H2589">
        <v>42</v>
      </c>
      <c r="I2589" s="1" t="s">
        <v>11063</v>
      </c>
      <c r="J2589" s="11">
        <v>44729.706458333334</v>
      </c>
      <c r="K2589" s="1" t="s">
        <v>7034</v>
      </c>
      <c r="L2589" s="1">
        <v>0.66100000000000003</v>
      </c>
      <c r="M2589" s="1">
        <v>0.81399999999999995</v>
      </c>
      <c r="N2589">
        <v>0</v>
      </c>
      <c r="O2589" s="1">
        <v>-5.5289999999999999</v>
      </c>
      <c r="P2589">
        <v>1</v>
      </c>
      <c r="Q2589" s="1">
        <v>0.75900000000000001</v>
      </c>
      <c r="R2589" s="1">
        <v>0.33700000000000002</v>
      </c>
      <c r="S2589" s="1">
        <v>0.82699999999999996</v>
      </c>
      <c r="T2589" s="1">
        <v>0.51800000000000002</v>
      </c>
      <c r="U2589" s="1">
        <v>0.45900000000000002</v>
      </c>
      <c r="V2589" s="1">
        <v>99.962999999999994</v>
      </c>
      <c r="W2589">
        <v>4</v>
      </c>
    </row>
    <row r="2590" spans="1:23" x14ac:dyDescent="0.25">
      <c r="A2590" s="1" t="s">
        <v>19243</v>
      </c>
      <c r="B2590" s="1" t="s">
        <v>18087</v>
      </c>
      <c r="C2590" s="1" t="s">
        <v>7035</v>
      </c>
      <c r="D2590" s="1" t="s">
        <v>7035</v>
      </c>
      <c r="E2590" s="1" t="s">
        <v>5974</v>
      </c>
      <c r="F2590" s="1" t="s">
        <v>18926</v>
      </c>
      <c r="G2590">
        <v>330000</v>
      </c>
      <c r="H2590">
        <v>35</v>
      </c>
      <c r="I2590" s="1" t="s">
        <v>11063</v>
      </c>
      <c r="J2590" s="11">
        <v>44729.706458333334</v>
      </c>
      <c r="K2590" s="1" t="s">
        <v>1150</v>
      </c>
      <c r="L2590" s="1">
        <v>0.42699999999999999</v>
      </c>
      <c r="M2590" s="1">
        <v>0.89</v>
      </c>
      <c r="N2590">
        <v>6</v>
      </c>
      <c r="O2590" s="1">
        <v>-1.0589999999999999</v>
      </c>
      <c r="P2590">
        <v>0</v>
      </c>
      <c r="Q2590" s="1">
        <v>0.55300000000000005</v>
      </c>
      <c r="R2590" s="1">
        <v>0.76300000000000001</v>
      </c>
      <c r="S2590" s="1">
        <v>0</v>
      </c>
      <c r="T2590" s="1">
        <v>0.18</v>
      </c>
      <c r="U2590" s="1">
        <v>0.11799999999999999</v>
      </c>
      <c r="V2590" s="1">
        <v>170.154</v>
      </c>
      <c r="W2590">
        <v>4</v>
      </c>
    </row>
    <row r="2591" spans="1:23" x14ac:dyDescent="0.25">
      <c r="A2591" s="1" t="s">
        <v>19244</v>
      </c>
      <c r="B2591" s="1" t="s">
        <v>19245</v>
      </c>
      <c r="C2591" s="1" t="s">
        <v>7036</v>
      </c>
      <c r="D2591" s="1" t="s">
        <v>19246</v>
      </c>
      <c r="E2591" s="1" t="s">
        <v>7037</v>
      </c>
      <c r="F2591" s="1" t="s">
        <v>19247</v>
      </c>
      <c r="G2591">
        <v>346661</v>
      </c>
      <c r="H2591">
        <v>44</v>
      </c>
      <c r="I2591" s="1" t="s">
        <v>11063</v>
      </c>
      <c r="J2591" s="11">
        <v>44729.706458333334</v>
      </c>
      <c r="K2591" s="1" t="s">
        <v>7038</v>
      </c>
      <c r="L2591" s="1">
        <v>0.59899999999999998</v>
      </c>
      <c r="M2591" s="1">
        <v>0.313</v>
      </c>
      <c r="N2591">
        <v>11</v>
      </c>
      <c r="O2591" s="1">
        <v>-10.531000000000001</v>
      </c>
      <c r="P2591">
        <v>1</v>
      </c>
      <c r="Q2591" s="1">
        <v>0.38600000000000001</v>
      </c>
      <c r="R2591" s="1">
        <v>0.375</v>
      </c>
      <c r="S2591" s="1">
        <v>0.68</v>
      </c>
      <c r="T2591" s="1">
        <v>0.41699999999999998</v>
      </c>
      <c r="U2591" s="1">
        <v>0.69199999999999995</v>
      </c>
      <c r="V2591" s="1">
        <v>121.986</v>
      </c>
      <c r="W2591">
        <v>4</v>
      </c>
    </row>
    <row r="2592" spans="1:23" x14ac:dyDescent="0.25">
      <c r="A2592" s="1" t="s">
        <v>19248</v>
      </c>
      <c r="B2592" s="1" t="s">
        <v>15327</v>
      </c>
      <c r="C2592" s="1" t="s">
        <v>7039</v>
      </c>
      <c r="D2592" s="1" t="s">
        <v>19249</v>
      </c>
      <c r="E2592" s="1" t="s">
        <v>3565</v>
      </c>
      <c r="F2592" s="1" t="s">
        <v>13926</v>
      </c>
      <c r="G2592">
        <v>217625</v>
      </c>
      <c r="H2592">
        <v>0</v>
      </c>
      <c r="I2592" s="1" t="s">
        <v>11063</v>
      </c>
      <c r="J2592" s="11">
        <v>44729.706458333334</v>
      </c>
      <c r="K2592" s="1" t="s">
        <v>1943</v>
      </c>
      <c r="L2592" s="1">
        <v>0.49</v>
      </c>
      <c r="M2592" s="1">
        <v>0.753</v>
      </c>
      <c r="N2592">
        <v>6</v>
      </c>
      <c r="O2592" s="1">
        <v>-5.4109999999999996</v>
      </c>
      <c r="P2592">
        <v>1</v>
      </c>
      <c r="Q2592" s="1">
        <v>0.23799999999999999</v>
      </c>
      <c r="R2592" s="1">
        <v>0.81</v>
      </c>
      <c r="S2592" s="1">
        <v>0.28499999999999998</v>
      </c>
      <c r="T2592" s="1">
        <v>0.26800000000000002</v>
      </c>
      <c r="U2592" s="1">
        <v>0.32500000000000001</v>
      </c>
      <c r="V2592" s="1">
        <v>156.24100000000001</v>
      </c>
      <c r="W2592">
        <v>4</v>
      </c>
    </row>
    <row r="2593" spans="1:23" x14ac:dyDescent="0.25">
      <c r="A2593" s="1" t="s">
        <v>11141</v>
      </c>
      <c r="B2593" s="1" t="s">
        <v>11142</v>
      </c>
      <c r="C2593" s="1" t="s">
        <v>5261</v>
      </c>
      <c r="D2593" s="1" t="s">
        <v>11143</v>
      </c>
      <c r="E2593" s="1" t="s">
        <v>5259</v>
      </c>
      <c r="F2593" s="1" t="s">
        <v>15530</v>
      </c>
      <c r="G2593">
        <v>240192</v>
      </c>
      <c r="H2593">
        <v>0</v>
      </c>
      <c r="I2593" s="1" t="s">
        <v>11063</v>
      </c>
      <c r="J2593" s="11">
        <v>44729.706458333334</v>
      </c>
      <c r="K2593" s="1" t="s">
        <v>5260</v>
      </c>
      <c r="L2593" s="1">
        <v>0.442</v>
      </c>
      <c r="M2593" s="1">
        <v>0.65</v>
      </c>
      <c r="N2593">
        <v>11</v>
      </c>
      <c r="O2593" s="1">
        <v>-3.5590000000000002</v>
      </c>
      <c r="P2593">
        <v>0</v>
      </c>
      <c r="Q2593" s="1">
        <v>0.50600000000000001</v>
      </c>
      <c r="R2593" s="1">
        <v>0.46500000000000002</v>
      </c>
      <c r="S2593" s="1">
        <v>0.56100000000000005</v>
      </c>
      <c r="T2593" s="1">
        <v>0.10199999999999999</v>
      </c>
      <c r="U2593" s="1">
        <v>0.54500000000000004</v>
      </c>
      <c r="V2593" s="1">
        <v>167.79499999999999</v>
      </c>
      <c r="W2593">
        <v>3</v>
      </c>
    </row>
    <row r="2594" spans="1:23" x14ac:dyDescent="0.25">
      <c r="A2594" s="1" t="s">
        <v>19250</v>
      </c>
      <c r="B2594" s="1" t="s">
        <v>15422</v>
      </c>
      <c r="C2594" s="1" t="s">
        <v>7040</v>
      </c>
      <c r="D2594" s="1" t="s">
        <v>6135</v>
      </c>
      <c r="E2594" s="1" t="s">
        <v>3649</v>
      </c>
      <c r="F2594" s="1" t="s">
        <v>15363</v>
      </c>
      <c r="G2594">
        <v>207013</v>
      </c>
      <c r="H2594">
        <v>54</v>
      </c>
      <c r="I2594" s="1" t="s">
        <v>11063</v>
      </c>
      <c r="J2594" s="11">
        <v>44729.706458333334</v>
      </c>
      <c r="K2594" s="1" t="s">
        <v>2356</v>
      </c>
      <c r="L2594" s="1">
        <v>0.48699999999999999</v>
      </c>
      <c r="M2594" s="1">
        <v>0.83299999999999996</v>
      </c>
      <c r="N2594">
        <v>8</v>
      </c>
      <c r="O2594" s="1">
        <v>-5.383</v>
      </c>
      <c r="P2594">
        <v>1</v>
      </c>
      <c r="Q2594" s="1">
        <v>0.26700000000000002</v>
      </c>
      <c r="R2594" s="1">
        <v>0.41599999999999998</v>
      </c>
      <c r="S2594" s="1">
        <v>0.60399999999999998</v>
      </c>
      <c r="T2594" s="1">
        <v>0.24099999999999999</v>
      </c>
      <c r="U2594" s="1">
        <v>0.53700000000000003</v>
      </c>
      <c r="V2594" s="1">
        <v>191.929</v>
      </c>
      <c r="W2594">
        <v>4</v>
      </c>
    </row>
    <row r="2595" spans="1:23" x14ac:dyDescent="0.25">
      <c r="A2595" s="1" t="s">
        <v>19251</v>
      </c>
      <c r="B2595" s="1" t="s">
        <v>15422</v>
      </c>
      <c r="C2595" s="1" t="s">
        <v>7041</v>
      </c>
      <c r="D2595" s="1" t="s">
        <v>6135</v>
      </c>
      <c r="E2595" s="1" t="s">
        <v>3649</v>
      </c>
      <c r="F2595" s="1" t="s">
        <v>15363</v>
      </c>
      <c r="G2595">
        <v>183853</v>
      </c>
      <c r="H2595">
        <v>62</v>
      </c>
      <c r="I2595" s="1" t="s">
        <v>11063</v>
      </c>
      <c r="J2595" s="11">
        <v>44729.706458333334</v>
      </c>
      <c r="K2595" s="1" t="s">
        <v>2356</v>
      </c>
      <c r="L2595" s="1">
        <v>0.498</v>
      </c>
      <c r="M2595" s="1">
        <v>0.628</v>
      </c>
      <c r="N2595">
        <v>7</v>
      </c>
      <c r="O2595" s="1">
        <v>-5.7089999999999996</v>
      </c>
      <c r="P2595">
        <v>0</v>
      </c>
      <c r="Q2595" s="1">
        <v>0.317</v>
      </c>
      <c r="R2595" s="1">
        <v>0.68600000000000005</v>
      </c>
      <c r="S2595" s="1">
        <v>0</v>
      </c>
      <c r="T2595" s="1">
        <v>0.36199999999999999</v>
      </c>
      <c r="U2595" s="1">
        <v>0.218</v>
      </c>
      <c r="V2595" s="1">
        <v>138.09899999999999</v>
      </c>
      <c r="W2595">
        <v>4</v>
      </c>
    </row>
    <row r="2596" spans="1:23" x14ac:dyDescent="0.25">
      <c r="A2596" s="1" t="s">
        <v>19252</v>
      </c>
      <c r="B2596" s="1" t="s">
        <v>15422</v>
      </c>
      <c r="C2596" s="1" t="s">
        <v>146</v>
      </c>
      <c r="D2596" s="1" t="s">
        <v>19253</v>
      </c>
      <c r="E2596" s="1" t="s">
        <v>3649</v>
      </c>
      <c r="F2596" s="1" t="s">
        <v>14228</v>
      </c>
      <c r="G2596">
        <v>214613</v>
      </c>
      <c r="H2596">
        <v>61</v>
      </c>
      <c r="I2596" s="1" t="s">
        <v>11063</v>
      </c>
      <c r="J2596" s="11">
        <v>44729.706458333334</v>
      </c>
      <c r="K2596" s="1" t="s">
        <v>2356</v>
      </c>
      <c r="L2596" s="1">
        <v>0.44900000000000001</v>
      </c>
      <c r="M2596" s="1">
        <v>0.745</v>
      </c>
      <c r="N2596">
        <v>9</v>
      </c>
      <c r="O2596" s="1">
        <v>-5.0449999999999999</v>
      </c>
      <c r="P2596">
        <v>0</v>
      </c>
      <c r="Q2596" s="1">
        <v>0.32700000000000001</v>
      </c>
      <c r="R2596" s="1">
        <v>0.34200000000000003</v>
      </c>
      <c r="S2596" s="1">
        <v>0</v>
      </c>
      <c r="T2596" s="1">
        <v>0.29499999999999998</v>
      </c>
      <c r="U2596" s="1">
        <v>0.46500000000000002</v>
      </c>
      <c r="V2596" s="1">
        <v>83.918000000000006</v>
      </c>
      <c r="W2596">
        <v>4</v>
      </c>
    </row>
    <row r="2597" spans="1:23" x14ac:dyDescent="0.25">
      <c r="A2597" s="1" t="s">
        <v>19254</v>
      </c>
      <c r="B2597" s="1" t="s">
        <v>15422</v>
      </c>
      <c r="C2597" s="1" t="s">
        <v>5257</v>
      </c>
      <c r="D2597" s="1" t="s">
        <v>6135</v>
      </c>
      <c r="E2597" s="1" t="s">
        <v>3649</v>
      </c>
      <c r="F2597" s="1" t="s">
        <v>15363</v>
      </c>
      <c r="G2597">
        <v>234013</v>
      </c>
      <c r="H2597">
        <v>65</v>
      </c>
      <c r="I2597" s="1" t="s">
        <v>11063</v>
      </c>
      <c r="J2597" s="11">
        <v>44729.706458333334</v>
      </c>
      <c r="K2597" s="1" t="s">
        <v>2356</v>
      </c>
      <c r="L2597" s="1">
        <v>0.63100000000000001</v>
      </c>
      <c r="M2597" s="1">
        <v>0.68400000000000005</v>
      </c>
      <c r="N2597">
        <v>5</v>
      </c>
      <c r="O2597" s="1">
        <v>-6.27</v>
      </c>
      <c r="P2597">
        <v>0</v>
      </c>
      <c r="Q2597" s="1">
        <v>0.40500000000000003</v>
      </c>
      <c r="R2597" s="1">
        <v>0.57599999999999996</v>
      </c>
      <c r="S2597" s="1">
        <v>0</v>
      </c>
      <c r="T2597" s="1">
        <v>0.93799999999999994</v>
      </c>
      <c r="U2597" s="1">
        <v>0.52800000000000002</v>
      </c>
      <c r="V2597" s="1">
        <v>129.97399999999999</v>
      </c>
      <c r="W2597">
        <v>4</v>
      </c>
    </row>
    <row r="2598" spans="1:23" x14ac:dyDescent="0.25">
      <c r="A2598" s="1" t="s">
        <v>19255</v>
      </c>
      <c r="B2598" s="1" t="s">
        <v>15422</v>
      </c>
      <c r="C2598" s="1" t="s">
        <v>5256</v>
      </c>
      <c r="D2598" s="1" t="s">
        <v>6135</v>
      </c>
      <c r="E2598" s="1" t="s">
        <v>3649</v>
      </c>
      <c r="F2598" s="1" t="s">
        <v>15363</v>
      </c>
      <c r="G2598">
        <v>166693</v>
      </c>
      <c r="H2598">
        <v>60</v>
      </c>
      <c r="I2598" s="1" t="s">
        <v>11063</v>
      </c>
      <c r="J2598" s="11">
        <v>44729.706458333334</v>
      </c>
      <c r="K2598" s="1" t="s">
        <v>2356</v>
      </c>
      <c r="L2598" s="1">
        <v>0.56399999999999995</v>
      </c>
      <c r="M2598" s="1">
        <v>0.61299999999999999</v>
      </c>
      <c r="N2598">
        <v>11</v>
      </c>
      <c r="O2598" s="1">
        <v>-5.0549999999999997</v>
      </c>
      <c r="P2598">
        <v>1</v>
      </c>
      <c r="Q2598" s="1">
        <v>0.318</v>
      </c>
      <c r="R2598" s="1">
        <v>0.111</v>
      </c>
      <c r="S2598" s="1">
        <v>0.32200000000000001</v>
      </c>
      <c r="T2598" s="1">
        <v>0.82499999999999996</v>
      </c>
      <c r="U2598" s="1">
        <v>0.48</v>
      </c>
      <c r="V2598" s="1">
        <v>84.950999999999993</v>
      </c>
      <c r="W2598">
        <v>4</v>
      </c>
    </row>
    <row r="2599" spans="1:23" x14ac:dyDescent="0.25">
      <c r="A2599" s="1" t="s">
        <v>19256</v>
      </c>
      <c r="B2599" s="1" t="s">
        <v>15422</v>
      </c>
      <c r="C2599" s="1" t="s">
        <v>2184</v>
      </c>
      <c r="D2599" s="1" t="s">
        <v>6135</v>
      </c>
      <c r="E2599" s="1" t="s">
        <v>3649</v>
      </c>
      <c r="F2599" s="1" t="s">
        <v>15363</v>
      </c>
      <c r="G2599">
        <v>190986</v>
      </c>
      <c r="H2599">
        <v>62</v>
      </c>
      <c r="I2599" s="1" t="s">
        <v>11063</v>
      </c>
      <c r="J2599" s="11">
        <v>44729.706458333334</v>
      </c>
      <c r="K2599" s="1" t="s">
        <v>2356</v>
      </c>
      <c r="L2599" s="1">
        <v>0.26700000000000002</v>
      </c>
      <c r="M2599" s="1">
        <v>0.67</v>
      </c>
      <c r="N2599">
        <v>2</v>
      </c>
      <c r="O2599" s="1">
        <v>-4.6879999999999997</v>
      </c>
      <c r="P2599">
        <v>0</v>
      </c>
      <c r="Q2599" s="1">
        <v>0.80700000000000005</v>
      </c>
      <c r="R2599" s="1">
        <v>0.23200000000000001</v>
      </c>
      <c r="S2599" s="1">
        <v>0</v>
      </c>
      <c r="T2599" s="1">
        <v>0.312</v>
      </c>
      <c r="U2599" s="1">
        <v>0.114</v>
      </c>
      <c r="V2599" s="1">
        <v>191.88300000000001</v>
      </c>
      <c r="W2599">
        <v>3</v>
      </c>
    </row>
    <row r="2600" spans="1:23" x14ac:dyDescent="0.25">
      <c r="A2600" s="1" t="s">
        <v>19257</v>
      </c>
      <c r="B2600" s="1" t="s">
        <v>15422</v>
      </c>
      <c r="C2600" s="1" t="s">
        <v>7042</v>
      </c>
      <c r="D2600" s="1" t="s">
        <v>19253</v>
      </c>
      <c r="E2600" s="1" t="s">
        <v>3649</v>
      </c>
      <c r="F2600" s="1" t="s">
        <v>14228</v>
      </c>
      <c r="G2600">
        <v>192106</v>
      </c>
      <c r="H2600">
        <v>73</v>
      </c>
      <c r="I2600" s="1" t="s">
        <v>11063</v>
      </c>
      <c r="J2600" s="11">
        <v>44729.706458333334</v>
      </c>
      <c r="K2600" s="1" t="s">
        <v>2356</v>
      </c>
      <c r="L2600" s="1">
        <v>0.48499999999999999</v>
      </c>
      <c r="M2600" s="1">
        <v>0.84299999999999997</v>
      </c>
      <c r="N2600">
        <v>1</v>
      </c>
      <c r="O2600" s="1">
        <v>-3.9929999999999999</v>
      </c>
      <c r="P2600">
        <v>0</v>
      </c>
      <c r="Q2600" s="1">
        <v>0.46700000000000003</v>
      </c>
      <c r="R2600" s="1">
        <v>0.129</v>
      </c>
      <c r="S2600" s="1">
        <v>0.10100000000000001</v>
      </c>
      <c r="T2600" s="1">
        <v>0.14000000000000001</v>
      </c>
      <c r="U2600" s="1">
        <v>0.60199999999999998</v>
      </c>
      <c r="V2600" s="1">
        <v>78.001000000000005</v>
      </c>
      <c r="W2600">
        <v>4</v>
      </c>
    </row>
    <row r="2601" spans="1:23" x14ac:dyDescent="0.25">
      <c r="A2601" s="1" t="s">
        <v>19258</v>
      </c>
      <c r="B2601" s="1" t="s">
        <v>15422</v>
      </c>
      <c r="C2601" s="1" t="s">
        <v>1228</v>
      </c>
      <c r="D2601" s="1" t="s">
        <v>19253</v>
      </c>
      <c r="E2601" s="1" t="s">
        <v>3649</v>
      </c>
      <c r="F2601" s="1" t="s">
        <v>14228</v>
      </c>
      <c r="G2601">
        <v>189120</v>
      </c>
      <c r="H2601">
        <v>72</v>
      </c>
      <c r="I2601" s="1" t="s">
        <v>11063</v>
      </c>
      <c r="J2601" s="11">
        <v>44729.706458333334</v>
      </c>
      <c r="K2601" s="1" t="s">
        <v>2356</v>
      </c>
      <c r="L2601" s="1">
        <v>0.60099999999999998</v>
      </c>
      <c r="M2601" s="1">
        <v>0.75700000000000001</v>
      </c>
      <c r="N2601">
        <v>2</v>
      </c>
      <c r="O2601" s="1">
        <v>-3.3410000000000002</v>
      </c>
      <c r="P2601">
        <v>1</v>
      </c>
      <c r="Q2601" s="1">
        <v>0.28000000000000003</v>
      </c>
      <c r="R2601" s="1">
        <v>0.13900000000000001</v>
      </c>
      <c r="S2601" s="1">
        <v>0.88500000000000001</v>
      </c>
      <c r="T2601" s="1">
        <v>0.72699999999999998</v>
      </c>
      <c r="U2601" s="1">
        <v>0.46200000000000002</v>
      </c>
      <c r="V2601" s="1">
        <v>82.001000000000005</v>
      </c>
      <c r="W2601">
        <v>4</v>
      </c>
    </row>
    <row r="2602" spans="1:23" x14ac:dyDescent="0.25">
      <c r="A2602" s="1" t="s">
        <v>19259</v>
      </c>
      <c r="B2602" s="1" t="s">
        <v>15422</v>
      </c>
      <c r="C2602" s="1" t="s">
        <v>7043</v>
      </c>
      <c r="D2602" s="1" t="s">
        <v>3794</v>
      </c>
      <c r="E2602" s="1" t="s">
        <v>3649</v>
      </c>
      <c r="F2602" s="1" t="s">
        <v>17993</v>
      </c>
      <c r="G2602">
        <v>176443</v>
      </c>
      <c r="H2602">
        <v>52</v>
      </c>
      <c r="I2602" s="1" t="s">
        <v>11063</v>
      </c>
      <c r="J2602" s="11">
        <v>44729.706458333334</v>
      </c>
      <c r="K2602" s="1" t="s">
        <v>2356</v>
      </c>
      <c r="L2602" s="1">
        <v>0.7</v>
      </c>
      <c r="M2602" s="1">
        <v>0.70299999999999996</v>
      </c>
      <c r="N2602">
        <v>7</v>
      </c>
      <c r="O2602" s="1">
        <v>-4.7939999999999996</v>
      </c>
      <c r="P2602">
        <v>0</v>
      </c>
      <c r="Q2602" s="1">
        <v>0.308</v>
      </c>
      <c r="R2602" s="1">
        <v>0.104</v>
      </c>
      <c r="S2602" s="1">
        <v>0</v>
      </c>
      <c r="T2602" s="1">
        <v>0.98099999999999998</v>
      </c>
      <c r="U2602" s="1">
        <v>0.33800000000000002</v>
      </c>
      <c r="V2602" s="1">
        <v>90.018000000000001</v>
      </c>
      <c r="W2602">
        <v>4</v>
      </c>
    </row>
    <row r="2603" spans="1:23" x14ac:dyDescent="0.25">
      <c r="A2603" s="1" t="s">
        <v>19260</v>
      </c>
      <c r="B2603" s="1" t="s">
        <v>19261</v>
      </c>
      <c r="C2603" s="1" t="s">
        <v>7044</v>
      </c>
      <c r="D2603" s="1" t="s">
        <v>19262</v>
      </c>
      <c r="E2603" s="1" t="s">
        <v>7045</v>
      </c>
      <c r="F2603" s="1" t="s">
        <v>19263</v>
      </c>
      <c r="G2603">
        <v>198533</v>
      </c>
      <c r="H2603">
        <v>59</v>
      </c>
      <c r="I2603" s="1" t="s">
        <v>11063</v>
      </c>
      <c r="J2603" s="11">
        <v>44729.706458333334</v>
      </c>
      <c r="K2603" s="1" t="s">
        <v>7046</v>
      </c>
      <c r="L2603" s="1">
        <v>0.60299999999999998</v>
      </c>
      <c r="M2603" s="1">
        <v>0.92100000000000004</v>
      </c>
      <c r="N2603">
        <v>8</v>
      </c>
      <c r="O2603" s="1">
        <v>-3.6930000000000001</v>
      </c>
      <c r="P2603">
        <v>0</v>
      </c>
      <c r="Q2603" s="1">
        <v>0.39100000000000001</v>
      </c>
      <c r="R2603" s="1">
        <v>0.18</v>
      </c>
      <c r="S2603" s="1">
        <v>0.92</v>
      </c>
      <c r="T2603" s="1">
        <v>0.183</v>
      </c>
      <c r="U2603" s="1">
        <v>0.67500000000000004</v>
      </c>
      <c r="V2603" s="1">
        <v>120.20099999999999</v>
      </c>
      <c r="W2603">
        <v>4</v>
      </c>
    </row>
    <row r="2604" spans="1:23" x14ac:dyDescent="0.25">
      <c r="A2604" s="1" t="s">
        <v>19264</v>
      </c>
      <c r="B2604" s="1" t="s">
        <v>19265</v>
      </c>
      <c r="C2604" s="1" t="s">
        <v>7047</v>
      </c>
      <c r="D2604" s="1" t="s">
        <v>7047</v>
      </c>
      <c r="E2604" s="1" t="s">
        <v>7048</v>
      </c>
      <c r="F2604" s="1" t="s">
        <v>17993</v>
      </c>
      <c r="G2604">
        <v>192000</v>
      </c>
      <c r="H2604">
        <v>37</v>
      </c>
      <c r="I2604" s="1" t="s">
        <v>11063</v>
      </c>
      <c r="J2604" s="11">
        <v>44729.706458333334</v>
      </c>
      <c r="K2604" s="1" t="s">
        <v>7049</v>
      </c>
      <c r="L2604" s="1">
        <v>0.56100000000000005</v>
      </c>
      <c r="M2604" s="1">
        <v>0.68600000000000005</v>
      </c>
      <c r="N2604">
        <v>4</v>
      </c>
      <c r="O2604" s="1">
        <v>-5.149</v>
      </c>
      <c r="P2604">
        <v>0</v>
      </c>
      <c r="Q2604" s="1">
        <v>0.34799999999999998</v>
      </c>
      <c r="R2604" s="1">
        <v>0.66800000000000004</v>
      </c>
      <c r="S2604" s="1">
        <v>0</v>
      </c>
      <c r="T2604" s="1">
        <v>0.32300000000000001</v>
      </c>
      <c r="U2604" s="1">
        <v>0.436</v>
      </c>
      <c r="V2604" s="1">
        <v>139.96799999999999</v>
      </c>
      <c r="W2604">
        <v>4</v>
      </c>
    </row>
    <row r="2605" spans="1:23" x14ac:dyDescent="0.25">
      <c r="A2605" s="1" t="s">
        <v>19266</v>
      </c>
      <c r="B2605" s="1" t="s">
        <v>19267</v>
      </c>
      <c r="C2605" s="1" t="s">
        <v>7050</v>
      </c>
      <c r="D2605" s="1" t="s">
        <v>7050</v>
      </c>
      <c r="E2605" s="1" t="s">
        <v>7051</v>
      </c>
      <c r="F2605" s="1" t="s">
        <v>18193</v>
      </c>
      <c r="G2605">
        <v>275586</v>
      </c>
      <c r="H2605">
        <v>33</v>
      </c>
      <c r="I2605" s="1" t="s">
        <v>11063</v>
      </c>
      <c r="J2605" s="11">
        <v>44729.706458333334</v>
      </c>
      <c r="K2605" s="1" t="s">
        <v>1086</v>
      </c>
      <c r="L2605" s="1">
        <v>0.27600000000000002</v>
      </c>
      <c r="M2605" s="1">
        <v>0.71299999999999997</v>
      </c>
      <c r="N2605">
        <v>0</v>
      </c>
      <c r="O2605" s="1">
        <v>-5.1959999999999997</v>
      </c>
      <c r="P2605">
        <v>1</v>
      </c>
      <c r="Q2605" s="1">
        <v>0.4</v>
      </c>
      <c r="R2605" s="1">
        <v>0.65900000000000003</v>
      </c>
      <c r="S2605" s="1">
        <v>0.56100000000000005</v>
      </c>
      <c r="T2605" s="1">
        <v>0.254</v>
      </c>
      <c r="U2605" s="1">
        <v>0.78900000000000003</v>
      </c>
      <c r="V2605" s="1">
        <v>145.08000000000001</v>
      </c>
      <c r="W2605">
        <v>4</v>
      </c>
    </row>
    <row r="2606" spans="1:23" x14ac:dyDescent="0.25">
      <c r="A2606" s="1" t="s">
        <v>19268</v>
      </c>
      <c r="B2606" s="1" t="s">
        <v>19269</v>
      </c>
      <c r="C2606" s="1" t="s">
        <v>7052</v>
      </c>
      <c r="D2606" s="1" t="s">
        <v>7052</v>
      </c>
      <c r="E2606" s="1" t="s">
        <v>7053</v>
      </c>
      <c r="F2606" s="1" t="s">
        <v>16616</v>
      </c>
      <c r="G2606">
        <v>240000</v>
      </c>
      <c r="H2606">
        <v>32</v>
      </c>
      <c r="I2606" s="1" t="s">
        <v>11063</v>
      </c>
      <c r="J2606" s="11">
        <v>44729.706458333334</v>
      </c>
      <c r="K2606" s="1" t="s">
        <v>924</v>
      </c>
      <c r="L2606" s="1">
        <v>0.46400000000000002</v>
      </c>
      <c r="M2606" s="1">
        <v>0.76700000000000002</v>
      </c>
      <c r="N2606">
        <v>7</v>
      </c>
      <c r="O2606" s="1">
        <v>-5.2370000000000001</v>
      </c>
      <c r="P2606">
        <v>0</v>
      </c>
      <c r="Q2606" s="1">
        <v>0.126</v>
      </c>
      <c r="R2606" s="1">
        <v>0.192</v>
      </c>
      <c r="S2606" s="1">
        <v>0.48499999999999999</v>
      </c>
      <c r="T2606" s="1">
        <v>0.38900000000000001</v>
      </c>
      <c r="U2606" s="1">
        <v>0.112</v>
      </c>
      <c r="V2606" s="1">
        <v>99.941000000000003</v>
      </c>
      <c r="W2606">
        <v>4</v>
      </c>
    </row>
    <row r="2607" spans="1:23" x14ac:dyDescent="0.25">
      <c r="A2607" s="1" t="s">
        <v>19270</v>
      </c>
      <c r="B2607" s="1" t="s">
        <v>19271</v>
      </c>
      <c r="C2607" s="1" t="s">
        <v>7054</v>
      </c>
      <c r="D2607" s="1" t="s">
        <v>15794</v>
      </c>
      <c r="E2607" s="1" t="s">
        <v>7055</v>
      </c>
      <c r="F2607" s="1" t="s">
        <v>14440</v>
      </c>
      <c r="G2607">
        <v>235545</v>
      </c>
      <c r="H2607">
        <v>74</v>
      </c>
      <c r="I2607" s="1" t="s">
        <v>11063</v>
      </c>
      <c r="J2607" s="11">
        <v>44729.706458333334</v>
      </c>
      <c r="K2607" s="1" t="s">
        <v>7056</v>
      </c>
      <c r="L2607" s="1">
        <v>0.85099999999999998</v>
      </c>
      <c r="M2607" s="1">
        <v>0.54100000000000004</v>
      </c>
      <c r="N2607">
        <v>0</v>
      </c>
      <c r="O2607" s="1">
        <v>-6.8250000000000002</v>
      </c>
      <c r="P2607">
        <v>1</v>
      </c>
      <c r="Q2607" s="1">
        <v>0.505</v>
      </c>
      <c r="R2607" s="1">
        <v>0.56799999999999995</v>
      </c>
      <c r="S2607" s="1">
        <v>0</v>
      </c>
      <c r="T2607" s="1">
        <v>0.13</v>
      </c>
      <c r="U2607" s="1">
        <v>0.44800000000000001</v>
      </c>
      <c r="V2607" s="1">
        <v>124.959</v>
      </c>
      <c r="W2607">
        <v>4</v>
      </c>
    </row>
    <row r="2608" spans="1:23" x14ac:dyDescent="0.25">
      <c r="A2608" s="1" t="s">
        <v>19272</v>
      </c>
      <c r="B2608" s="1" t="s">
        <v>19273</v>
      </c>
      <c r="C2608" s="1" t="s">
        <v>7057</v>
      </c>
      <c r="D2608" s="1" t="s">
        <v>19274</v>
      </c>
      <c r="E2608" s="1" t="s">
        <v>7058</v>
      </c>
      <c r="F2608" s="1" t="s">
        <v>11563</v>
      </c>
      <c r="G2608">
        <v>195461</v>
      </c>
      <c r="H2608">
        <v>33</v>
      </c>
      <c r="I2608" s="1" t="s">
        <v>11063</v>
      </c>
      <c r="J2608" s="11">
        <v>44729.706458333334</v>
      </c>
      <c r="K2608" s="1" t="s">
        <v>7059</v>
      </c>
      <c r="L2608" s="1">
        <v>0.53600000000000003</v>
      </c>
      <c r="M2608" s="1">
        <v>0.64700000000000002</v>
      </c>
      <c r="N2608">
        <v>1</v>
      </c>
      <c r="O2608" s="1">
        <v>-5.0339999999999998</v>
      </c>
      <c r="P2608">
        <v>0</v>
      </c>
      <c r="Q2608" s="1">
        <v>0.71599999999999997</v>
      </c>
      <c r="R2608" s="1">
        <v>0.39400000000000002</v>
      </c>
      <c r="S2608" s="1">
        <v>0.10100000000000001</v>
      </c>
      <c r="T2608" s="1">
        <v>0.55200000000000005</v>
      </c>
      <c r="U2608" s="1">
        <v>0.31900000000000001</v>
      </c>
      <c r="V2608" s="1">
        <v>130.16200000000001</v>
      </c>
      <c r="W2608">
        <v>4</v>
      </c>
    </row>
    <row r="2609" spans="1:23" x14ac:dyDescent="0.25">
      <c r="A2609" s="1" t="s">
        <v>19275</v>
      </c>
      <c r="B2609" s="1" t="s">
        <v>19102</v>
      </c>
      <c r="C2609" s="1" t="s">
        <v>4221</v>
      </c>
      <c r="D2609" s="1" t="s">
        <v>4221</v>
      </c>
      <c r="E2609" s="1" t="s">
        <v>6883</v>
      </c>
      <c r="F2609" s="1" t="s">
        <v>19276</v>
      </c>
      <c r="G2609">
        <v>281254</v>
      </c>
      <c r="H2609">
        <v>35</v>
      </c>
      <c r="I2609" s="1" t="s">
        <v>11063</v>
      </c>
      <c r="J2609" s="11">
        <v>44729.706458333334</v>
      </c>
      <c r="K2609" s="1" t="s">
        <v>1053</v>
      </c>
      <c r="L2609" s="1">
        <v>0.69299999999999995</v>
      </c>
      <c r="M2609" s="1">
        <v>0.85699999999999998</v>
      </c>
      <c r="N2609">
        <v>11</v>
      </c>
      <c r="O2609" s="1">
        <v>-10.342000000000001</v>
      </c>
      <c r="P2609">
        <v>0</v>
      </c>
      <c r="Q2609" s="1">
        <v>0.81100000000000005</v>
      </c>
      <c r="R2609" s="1">
        <v>0.27900000000000003</v>
      </c>
      <c r="S2609" s="1">
        <v>0.61399999999999999</v>
      </c>
      <c r="T2609" s="1">
        <v>0.18</v>
      </c>
      <c r="U2609" s="1">
        <v>0.89900000000000002</v>
      </c>
      <c r="V2609" s="1">
        <v>128.136</v>
      </c>
      <c r="W2609">
        <v>4</v>
      </c>
    </row>
    <row r="2610" spans="1:23" x14ac:dyDescent="0.25">
      <c r="A2610" s="1" t="s">
        <v>19277</v>
      </c>
      <c r="B2610" s="1" t="s">
        <v>19278</v>
      </c>
      <c r="C2610" s="1" t="s">
        <v>7060</v>
      </c>
      <c r="D2610" s="1" t="s">
        <v>7060</v>
      </c>
      <c r="E2610" s="1" t="s">
        <v>7061</v>
      </c>
      <c r="F2610" s="1" t="s">
        <v>16886</v>
      </c>
      <c r="G2610">
        <v>376200</v>
      </c>
      <c r="H2610">
        <v>32</v>
      </c>
      <c r="I2610" s="1" t="s">
        <v>11063</v>
      </c>
      <c r="J2610" s="11">
        <v>44729.706458333334</v>
      </c>
      <c r="K2610" s="1" t="s">
        <v>7062</v>
      </c>
      <c r="L2610" s="1">
        <v>0.38300000000000001</v>
      </c>
      <c r="M2610" s="1">
        <v>0.83099999999999996</v>
      </c>
      <c r="N2610">
        <v>1</v>
      </c>
      <c r="O2610" s="1">
        <v>-5.0629999999999997</v>
      </c>
      <c r="P2610">
        <v>1</v>
      </c>
      <c r="Q2610" s="1">
        <v>0.51100000000000001</v>
      </c>
      <c r="R2610" s="1">
        <v>0.123</v>
      </c>
      <c r="S2610" s="1">
        <v>0.66100000000000003</v>
      </c>
      <c r="T2610" s="1">
        <v>0.10199999999999999</v>
      </c>
      <c r="U2610" s="1">
        <v>0.91200000000000003</v>
      </c>
      <c r="V2610" s="1">
        <v>199.85</v>
      </c>
      <c r="W2610">
        <v>4</v>
      </c>
    </row>
    <row r="2611" spans="1:23" x14ac:dyDescent="0.25">
      <c r="A2611" s="1" t="s">
        <v>19279</v>
      </c>
      <c r="B2611" s="1" t="s">
        <v>19280</v>
      </c>
      <c r="C2611" s="1" t="s">
        <v>6873</v>
      </c>
      <c r="D2611" s="1" t="s">
        <v>6873</v>
      </c>
      <c r="E2611" s="1" t="s">
        <v>7063</v>
      </c>
      <c r="F2611" s="1" t="s">
        <v>19281</v>
      </c>
      <c r="G2611">
        <v>279600</v>
      </c>
      <c r="H2611">
        <v>51</v>
      </c>
      <c r="I2611" s="1" t="s">
        <v>11063</v>
      </c>
      <c r="J2611" s="11">
        <v>44729.706458333334</v>
      </c>
      <c r="K2611" s="1" t="s">
        <v>1053</v>
      </c>
      <c r="L2611" s="1">
        <v>0.56699999999999995</v>
      </c>
      <c r="M2611" s="1">
        <v>0.97</v>
      </c>
      <c r="N2611">
        <v>5</v>
      </c>
      <c r="O2611" s="1">
        <v>-2.8580000000000001</v>
      </c>
      <c r="P2611">
        <v>0</v>
      </c>
      <c r="Q2611" s="1">
        <v>0.497</v>
      </c>
      <c r="R2611" s="1">
        <v>0.153</v>
      </c>
      <c r="S2611" s="1">
        <v>0.70499999999999996</v>
      </c>
      <c r="T2611" s="1">
        <v>0.76300000000000001</v>
      </c>
      <c r="U2611" s="1">
        <v>0.27800000000000002</v>
      </c>
      <c r="V2611" s="1">
        <v>100.011</v>
      </c>
      <c r="W2611">
        <v>4</v>
      </c>
    </row>
    <row r="2612" spans="1:23" x14ac:dyDescent="0.25">
      <c r="A2612" s="1" t="s">
        <v>19282</v>
      </c>
      <c r="B2612" s="1" t="s">
        <v>19280</v>
      </c>
      <c r="C2612" s="1" t="s">
        <v>7064</v>
      </c>
      <c r="D2612" s="1" t="s">
        <v>7064</v>
      </c>
      <c r="E2612" s="1" t="s">
        <v>7063</v>
      </c>
      <c r="F2612" s="1" t="s">
        <v>14510</v>
      </c>
      <c r="G2612">
        <v>335662</v>
      </c>
      <c r="H2612">
        <v>40</v>
      </c>
      <c r="I2612" s="1" t="s">
        <v>11063</v>
      </c>
      <c r="J2612" s="11">
        <v>44729.706458333334</v>
      </c>
      <c r="K2612" s="1" t="s">
        <v>1053</v>
      </c>
      <c r="L2612" s="1">
        <v>0.51</v>
      </c>
      <c r="M2612" s="1">
        <v>0.80200000000000005</v>
      </c>
      <c r="N2612">
        <v>6</v>
      </c>
      <c r="O2612" s="1">
        <v>-5.28</v>
      </c>
      <c r="P2612">
        <v>0</v>
      </c>
      <c r="Q2612" s="1">
        <v>0.249</v>
      </c>
      <c r="R2612" s="1">
        <v>0.20799999999999999</v>
      </c>
      <c r="S2612" s="1">
        <v>0.77400000000000002</v>
      </c>
      <c r="T2612" s="1">
        <v>0.10299999999999999</v>
      </c>
      <c r="U2612" s="1">
        <v>0.16400000000000001</v>
      </c>
      <c r="V2612" s="1">
        <v>200.00899999999999</v>
      </c>
      <c r="W2612">
        <v>4</v>
      </c>
    </row>
    <row r="2613" spans="1:23" x14ac:dyDescent="0.25">
      <c r="A2613" s="1" t="s">
        <v>19283</v>
      </c>
      <c r="B2613" s="1" t="s">
        <v>19284</v>
      </c>
      <c r="C2613" s="1" t="s">
        <v>7065</v>
      </c>
      <c r="D2613" s="1" t="s">
        <v>17634</v>
      </c>
      <c r="E2613" s="1" t="s">
        <v>7066</v>
      </c>
      <c r="F2613" s="1" t="s">
        <v>17635</v>
      </c>
      <c r="G2613">
        <v>240039</v>
      </c>
      <c r="H2613">
        <v>52</v>
      </c>
      <c r="I2613" s="1" t="s">
        <v>11063</v>
      </c>
      <c r="J2613" s="11">
        <v>44729.706458333334</v>
      </c>
      <c r="K2613" s="1" t="s">
        <v>1053</v>
      </c>
      <c r="L2613" s="1">
        <v>0.41399999999999998</v>
      </c>
      <c r="M2613" s="1">
        <v>0.70799999999999996</v>
      </c>
      <c r="N2613">
        <v>0</v>
      </c>
      <c r="O2613" s="1">
        <v>-4.181</v>
      </c>
      <c r="P2613">
        <v>0</v>
      </c>
      <c r="Q2613" s="1">
        <v>0.91200000000000003</v>
      </c>
      <c r="R2613" s="1">
        <v>0.316</v>
      </c>
      <c r="S2613" s="1">
        <v>0</v>
      </c>
      <c r="T2613" s="1">
        <v>0.623</v>
      </c>
      <c r="U2613" s="1">
        <v>0.39200000000000002</v>
      </c>
      <c r="V2613" s="1">
        <v>199.9</v>
      </c>
      <c r="W2613">
        <v>4</v>
      </c>
    </row>
    <row r="2614" spans="1:23" x14ac:dyDescent="0.25">
      <c r="A2614" s="1" t="s">
        <v>19285</v>
      </c>
      <c r="B2614" s="1" t="s">
        <v>19286</v>
      </c>
      <c r="C2614" s="1" t="s">
        <v>7067</v>
      </c>
      <c r="D2614" s="1" t="s">
        <v>7067</v>
      </c>
      <c r="E2614" s="1" t="s">
        <v>7068</v>
      </c>
      <c r="F2614" s="1" t="s">
        <v>16090</v>
      </c>
      <c r="G2614">
        <v>209178</v>
      </c>
      <c r="H2614">
        <v>29</v>
      </c>
      <c r="I2614" s="1" t="s">
        <v>11063</v>
      </c>
      <c r="J2614" s="11">
        <v>44729.706458333334</v>
      </c>
      <c r="K2614" s="1" t="s">
        <v>1053</v>
      </c>
      <c r="L2614" s="1">
        <v>0.33700000000000002</v>
      </c>
      <c r="M2614" s="1">
        <v>0.47</v>
      </c>
      <c r="N2614">
        <v>11</v>
      </c>
      <c r="O2614" s="1">
        <v>-9.1590000000000007</v>
      </c>
      <c r="P2614">
        <v>1</v>
      </c>
      <c r="Q2614" s="1">
        <v>0.55500000000000005</v>
      </c>
      <c r="R2614" s="1">
        <v>0.11600000000000001</v>
      </c>
      <c r="S2614" s="1">
        <v>0.128</v>
      </c>
      <c r="T2614" s="1">
        <v>0.30499999999999999</v>
      </c>
      <c r="U2614" s="1">
        <v>0.27600000000000002</v>
      </c>
      <c r="V2614" s="1">
        <v>139.316</v>
      </c>
      <c r="W2614">
        <v>4</v>
      </c>
    </row>
    <row r="2615" spans="1:23" x14ac:dyDescent="0.25">
      <c r="A2615" s="1" t="s">
        <v>19287</v>
      </c>
      <c r="B2615" s="1" t="s">
        <v>19288</v>
      </c>
      <c r="C2615" s="1" t="s">
        <v>6778</v>
      </c>
      <c r="D2615" s="1" t="s">
        <v>19289</v>
      </c>
      <c r="E2615" s="1" t="s">
        <v>7069</v>
      </c>
      <c r="F2615" s="1" t="s">
        <v>13566</v>
      </c>
      <c r="G2615">
        <v>196521</v>
      </c>
      <c r="H2615">
        <v>0</v>
      </c>
      <c r="I2615" s="1" t="s">
        <v>11063</v>
      </c>
      <c r="J2615" s="11">
        <v>44729.706458333334</v>
      </c>
      <c r="K2615" s="1" t="s">
        <v>1053</v>
      </c>
      <c r="L2615" s="1">
        <v>0.626</v>
      </c>
      <c r="M2615" s="1">
        <v>0.83</v>
      </c>
      <c r="N2615">
        <v>1</v>
      </c>
      <c r="O2615" s="1">
        <v>-4.069</v>
      </c>
      <c r="P2615">
        <v>0</v>
      </c>
      <c r="Q2615" s="1">
        <v>0.46100000000000002</v>
      </c>
      <c r="R2615" s="1">
        <v>0.64900000000000002</v>
      </c>
      <c r="S2615" s="1">
        <v>0.128</v>
      </c>
      <c r="T2615" s="1">
        <v>0.98699999999999999</v>
      </c>
      <c r="U2615" s="1">
        <v>0.27500000000000002</v>
      </c>
      <c r="V2615" s="1">
        <v>138.148</v>
      </c>
      <c r="W2615">
        <v>4</v>
      </c>
    </row>
    <row r="2616" spans="1:23" x14ac:dyDescent="0.25">
      <c r="A2616" s="1" t="s">
        <v>19290</v>
      </c>
      <c r="B2616" s="1" t="s">
        <v>19291</v>
      </c>
      <c r="C2616" s="1" t="s">
        <v>7070</v>
      </c>
      <c r="D2616" s="1" t="s">
        <v>7070</v>
      </c>
      <c r="E2616" s="1" t="s">
        <v>7071</v>
      </c>
      <c r="F2616" s="1" t="s">
        <v>19292</v>
      </c>
      <c r="G2616">
        <v>252742</v>
      </c>
      <c r="H2616">
        <v>38</v>
      </c>
      <c r="I2616" s="1" t="s">
        <v>11063</v>
      </c>
      <c r="J2616" s="11">
        <v>44729.706458333334</v>
      </c>
      <c r="K2616" s="1" t="s">
        <v>1053</v>
      </c>
      <c r="L2616" s="1">
        <v>0.433</v>
      </c>
      <c r="M2616" s="1">
        <v>0.72399999999999998</v>
      </c>
      <c r="N2616">
        <v>4</v>
      </c>
      <c r="O2616" s="1">
        <v>-4.8040000000000003</v>
      </c>
      <c r="P2616">
        <v>0</v>
      </c>
      <c r="Q2616" s="1">
        <v>0.107</v>
      </c>
      <c r="R2616" s="1">
        <v>0.32700000000000001</v>
      </c>
      <c r="S2616" s="1">
        <v>0.13100000000000001</v>
      </c>
      <c r="T2616" s="1">
        <v>0.127</v>
      </c>
      <c r="U2616" s="1">
        <v>0.16800000000000001</v>
      </c>
      <c r="V2616" s="1">
        <v>170.16399999999999</v>
      </c>
      <c r="W2616">
        <v>4</v>
      </c>
    </row>
    <row r="2617" spans="1:23" x14ac:dyDescent="0.25">
      <c r="A2617" s="1" t="s">
        <v>19293</v>
      </c>
      <c r="B2617" s="1" t="s">
        <v>19294</v>
      </c>
      <c r="C2617" s="1" t="s">
        <v>7072</v>
      </c>
      <c r="D2617" s="1" t="s">
        <v>19295</v>
      </c>
      <c r="E2617" s="1" t="s">
        <v>7073</v>
      </c>
      <c r="F2617" s="1" t="s">
        <v>17956</v>
      </c>
      <c r="G2617">
        <v>199187</v>
      </c>
      <c r="H2617">
        <v>32</v>
      </c>
      <c r="I2617" s="1" t="s">
        <v>11063</v>
      </c>
      <c r="J2617" s="11">
        <v>44729.706458333334</v>
      </c>
      <c r="K2617" s="1" t="s">
        <v>7074</v>
      </c>
      <c r="L2617" s="1">
        <v>0.45</v>
      </c>
      <c r="M2617" s="1">
        <v>0.94799999999999995</v>
      </c>
      <c r="N2617">
        <v>9</v>
      </c>
      <c r="O2617" s="1">
        <v>-2.5030000000000001</v>
      </c>
      <c r="P2617">
        <v>0</v>
      </c>
      <c r="Q2617" s="1">
        <v>0.30199999999999999</v>
      </c>
      <c r="R2617" s="1">
        <v>0.53500000000000003</v>
      </c>
      <c r="S2617" s="1">
        <v>0.88800000000000001</v>
      </c>
      <c r="T2617" s="1">
        <v>0.88200000000000001</v>
      </c>
      <c r="U2617" s="1">
        <v>0.67400000000000004</v>
      </c>
      <c r="V2617" s="1">
        <v>89.941999999999993</v>
      </c>
      <c r="W2617">
        <v>4</v>
      </c>
    </row>
    <row r="2618" spans="1:23" x14ac:dyDescent="0.25">
      <c r="A2618" s="1" t="s">
        <v>19296</v>
      </c>
      <c r="B2618" s="1" t="s">
        <v>18267</v>
      </c>
      <c r="C2618" s="1" t="s">
        <v>7075</v>
      </c>
      <c r="D2618" s="1" t="s">
        <v>7075</v>
      </c>
      <c r="E2618" s="1" t="s">
        <v>6164</v>
      </c>
      <c r="F2618" s="1" t="s">
        <v>19297</v>
      </c>
      <c r="G2618">
        <v>192000</v>
      </c>
      <c r="H2618">
        <v>44</v>
      </c>
      <c r="I2618" s="1" t="s">
        <v>11063</v>
      </c>
      <c r="J2618" s="11">
        <v>44729.706458333334</v>
      </c>
      <c r="K2618" s="1" t="s">
        <v>1053</v>
      </c>
      <c r="L2618" s="1">
        <v>0.56399999999999995</v>
      </c>
      <c r="M2618" s="1">
        <v>0.69599999999999995</v>
      </c>
      <c r="N2618">
        <v>9</v>
      </c>
      <c r="O2618" s="1">
        <v>-6.2789999999999999</v>
      </c>
      <c r="P2618">
        <v>1</v>
      </c>
      <c r="Q2618" s="1">
        <v>0.66200000000000003</v>
      </c>
      <c r="R2618" s="1">
        <v>0.247</v>
      </c>
      <c r="S2618" s="1">
        <v>0.248</v>
      </c>
      <c r="T2618" s="1">
        <v>0.13300000000000001</v>
      </c>
      <c r="U2618" s="1">
        <v>0.20499999999999999</v>
      </c>
      <c r="V2618" s="1">
        <v>75.004000000000005</v>
      </c>
      <c r="W2618">
        <v>4</v>
      </c>
    </row>
    <row r="2619" spans="1:23" x14ac:dyDescent="0.25">
      <c r="A2619" s="1" t="s">
        <v>19298</v>
      </c>
      <c r="B2619" s="1" t="s">
        <v>19299</v>
      </c>
      <c r="C2619" s="1" t="s">
        <v>7076</v>
      </c>
      <c r="D2619" s="1" t="s">
        <v>19289</v>
      </c>
      <c r="E2619" s="1" t="s">
        <v>7077</v>
      </c>
      <c r="F2619" s="1" t="s">
        <v>13566</v>
      </c>
      <c r="G2619">
        <v>168759</v>
      </c>
      <c r="H2619">
        <v>1</v>
      </c>
      <c r="I2619" s="1" t="s">
        <v>11063</v>
      </c>
      <c r="J2619" s="11">
        <v>44729.706458333334</v>
      </c>
      <c r="K2619" s="1" t="s">
        <v>1053</v>
      </c>
      <c r="L2619" s="1">
        <v>0.745</v>
      </c>
      <c r="M2619" s="1">
        <v>0.90500000000000003</v>
      </c>
      <c r="N2619">
        <v>6</v>
      </c>
      <c r="O2619" s="1">
        <v>-5.1820000000000004</v>
      </c>
      <c r="P2619">
        <v>0</v>
      </c>
      <c r="Q2619" s="1">
        <v>0.47299999999999998</v>
      </c>
      <c r="R2619" s="1">
        <v>0.38700000000000001</v>
      </c>
      <c r="S2619" s="1">
        <v>0.14799999999999999</v>
      </c>
      <c r="T2619" s="1">
        <v>0.69899999999999995</v>
      </c>
      <c r="U2619" s="1">
        <v>0.378</v>
      </c>
      <c r="V2619" s="1">
        <v>128.03100000000001</v>
      </c>
      <c r="W2619">
        <v>4</v>
      </c>
    </row>
    <row r="2620" spans="1:23" x14ac:dyDescent="0.25">
      <c r="A2620" s="1" t="s">
        <v>19300</v>
      </c>
      <c r="B2620" s="1" t="s">
        <v>19301</v>
      </c>
      <c r="C2620" s="1" t="s">
        <v>7078</v>
      </c>
      <c r="D2620" s="1" t="s">
        <v>7078</v>
      </c>
      <c r="E2620" s="1" t="s">
        <v>7079</v>
      </c>
      <c r="F2620" s="1" t="s">
        <v>19302</v>
      </c>
      <c r="G2620">
        <v>266900</v>
      </c>
      <c r="H2620">
        <v>49</v>
      </c>
      <c r="I2620" s="1" t="s">
        <v>11063</v>
      </c>
      <c r="J2620" s="11">
        <v>44729.706458333334</v>
      </c>
      <c r="K2620" s="1" t="s">
        <v>7080</v>
      </c>
      <c r="L2620" s="1">
        <v>0.51600000000000001</v>
      </c>
      <c r="M2620" s="1">
        <v>0.78600000000000003</v>
      </c>
      <c r="N2620">
        <v>10</v>
      </c>
      <c r="O2620" s="1">
        <v>-5.2640000000000002</v>
      </c>
      <c r="P2620">
        <v>1</v>
      </c>
      <c r="Q2620" s="1">
        <v>0.41199999999999998</v>
      </c>
      <c r="R2620" s="1">
        <v>0.27900000000000003</v>
      </c>
      <c r="S2620" s="1">
        <v>0.36899999999999999</v>
      </c>
      <c r="T2620" s="1">
        <v>0.30499999999999999</v>
      </c>
      <c r="U2620" s="1">
        <v>0.16400000000000001</v>
      </c>
      <c r="V2620" s="1">
        <v>174.035</v>
      </c>
      <c r="W2620">
        <v>4</v>
      </c>
    </row>
    <row r="2621" spans="1:23" x14ac:dyDescent="0.25">
      <c r="A2621" s="1" t="s">
        <v>19303</v>
      </c>
      <c r="B2621" s="1" t="s">
        <v>19304</v>
      </c>
      <c r="C2621" s="1" t="s">
        <v>7081</v>
      </c>
      <c r="D2621" s="1" t="s">
        <v>7081</v>
      </c>
      <c r="E2621" s="1" t="s">
        <v>7082</v>
      </c>
      <c r="F2621" s="1" t="s">
        <v>19305</v>
      </c>
      <c r="G2621">
        <v>283347</v>
      </c>
      <c r="H2621">
        <v>38</v>
      </c>
      <c r="I2621" s="1" t="s">
        <v>11063</v>
      </c>
      <c r="J2621" s="11">
        <v>44729.706458333334</v>
      </c>
      <c r="K2621" s="1" t="s">
        <v>7083</v>
      </c>
      <c r="L2621" s="1">
        <v>0.45</v>
      </c>
      <c r="M2621" s="1">
        <v>0.88900000000000001</v>
      </c>
      <c r="N2621">
        <v>11</v>
      </c>
      <c r="O2621" s="1">
        <v>-3.6019999999999999</v>
      </c>
      <c r="P2621">
        <v>1</v>
      </c>
      <c r="Q2621" s="1">
        <v>0.126</v>
      </c>
      <c r="R2621" s="1">
        <v>0.14399999999999999</v>
      </c>
      <c r="S2621" s="1">
        <v>0.88500000000000001</v>
      </c>
      <c r="T2621" s="1">
        <v>0.65200000000000002</v>
      </c>
      <c r="U2621" s="1">
        <v>0.374</v>
      </c>
      <c r="V2621" s="1">
        <v>173.96899999999999</v>
      </c>
      <c r="W2621">
        <v>4</v>
      </c>
    </row>
    <row r="2622" spans="1:23" x14ac:dyDescent="0.25">
      <c r="A2622" s="1" t="s">
        <v>19306</v>
      </c>
      <c r="B2622" s="1" t="s">
        <v>19307</v>
      </c>
      <c r="C2622" s="1" t="s">
        <v>7084</v>
      </c>
      <c r="D2622" s="1" t="s">
        <v>805</v>
      </c>
      <c r="E2622" s="1" t="s">
        <v>7085</v>
      </c>
      <c r="F2622" s="1" t="s">
        <v>19308</v>
      </c>
      <c r="G2622">
        <v>321221</v>
      </c>
      <c r="H2622">
        <v>0</v>
      </c>
      <c r="I2622" s="1" t="s">
        <v>11063</v>
      </c>
      <c r="J2622" s="11">
        <v>44729.706458333334</v>
      </c>
      <c r="K2622" s="1" t="s">
        <v>7083</v>
      </c>
      <c r="L2622" s="1">
        <v>0.39500000000000002</v>
      </c>
      <c r="M2622" s="1">
        <v>0.96199999999999997</v>
      </c>
      <c r="N2622">
        <v>1</v>
      </c>
      <c r="O2622" s="1">
        <v>-5.125</v>
      </c>
      <c r="P2622">
        <v>1</v>
      </c>
      <c r="Q2622" s="1">
        <v>0.47899999999999998</v>
      </c>
      <c r="R2622" s="1">
        <v>0.84</v>
      </c>
      <c r="S2622" s="1">
        <v>0.84199999999999997</v>
      </c>
      <c r="T2622" s="1">
        <v>0.38700000000000001</v>
      </c>
      <c r="U2622" s="1">
        <v>0.53</v>
      </c>
      <c r="V2622" s="1">
        <v>174.14699999999999</v>
      </c>
      <c r="W2622">
        <v>4</v>
      </c>
    </row>
    <row r="2623" spans="1:23" x14ac:dyDescent="0.25">
      <c r="A2623" s="1" t="s">
        <v>19309</v>
      </c>
      <c r="B2623" s="1" t="s">
        <v>11484</v>
      </c>
      <c r="C2623" s="1" t="s">
        <v>7086</v>
      </c>
      <c r="D2623" s="1" t="s">
        <v>15989</v>
      </c>
      <c r="E2623" s="1" t="s">
        <v>238</v>
      </c>
      <c r="F2623" s="1" t="s">
        <v>11704</v>
      </c>
      <c r="G2623">
        <v>312946</v>
      </c>
      <c r="H2623">
        <v>0</v>
      </c>
      <c r="I2623" s="1" t="s">
        <v>11063</v>
      </c>
      <c r="J2623" s="11">
        <v>44729.706458333334</v>
      </c>
      <c r="K2623" s="1" t="s">
        <v>239</v>
      </c>
      <c r="L2623" s="1">
        <v>0.46800000000000003</v>
      </c>
      <c r="M2623" s="1">
        <v>0.70899999999999996</v>
      </c>
      <c r="N2623">
        <v>2</v>
      </c>
      <c r="O2623" s="1">
        <v>-6.0309999999999997</v>
      </c>
      <c r="P2623">
        <v>0</v>
      </c>
      <c r="Q2623" s="1">
        <v>0.126</v>
      </c>
      <c r="R2623" s="1">
        <v>0.13900000000000001</v>
      </c>
      <c r="S2623" s="1">
        <v>0.14499999999999999</v>
      </c>
      <c r="T2623" s="1">
        <v>0.73</v>
      </c>
      <c r="U2623" s="1">
        <v>0.14499999999999999</v>
      </c>
      <c r="V2623" s="1">
        <v>110.03100000000001</v>
      </c>
      <c r="W2623">
        <v>4</v>
      </c>
    </row>
    <row r="2624" spans="1:23" x14ac:dyDescent="0.25">
      <c r="A2624" s="1" t="s">
        <v>19310</v>
      </c>
      <c r="B2624" s="1" t="s">
        <v>11484</v>
      </c>
      <c r="C2624" s="1" t="s">
        <v>7087</v>
      </c>
      <c r="D2624" s="1" t="s">
        <v>19311</v>
      </c>
      <c r="E2624" s="1" t="s">
        <v>238</v>
      </c>
      <c r="F2624" s="1" t="s">
        <v>16892</v>
      </c>
      <c r="G2624">
        <v>264017</v>
      </c>
      <c r="H2624">
        <v>0</v>
      </c>
      <c r="I2624" s="1" t="s">
        <v>11063</v>
      </c>
      <c r="J2624" s="11">
        <v>44729.706458333334</v>
      </c>
      <c r="K2624" s="1" t="s">
        <v>239</v>
      </c>
      <c r="L2624" s="1">
        <v>0.69399999999999995</v>
      </c>
      <c r="M2624" s="1">
        <v>0.84399999999999997</v>
      </c>
      <c r="N2624">
        <v>1</v>
      </c>
      <c r="O2624" s="1">
        <v>-8.0250000000000004</v>
      </c>
      <c r="P2624">
        <v>0</v>
      </c>
      <c r="Q2624" s="1">
        <v>0.59799999999999998</v>
      </c>
      <c r="R2624" s="1">
        <v>0.17299999999999999</v>
      </c>
      <c r="S2624" s="1">
        <v>0.96</v>
      </c>
      <c r="T2624" s="1">
        <v>0.33700000000000002</v>
      </c>
      <c r="U2624" s="1">
        <v>0.3</v>
      </c>
      <c r="V2624" s="1">
        <v>140.029</v>
      </c>
      <c r="W2624">
        <v>4</v>
      </c>
    </row>
    <row r="2625" spans="1:23" x14ac:dyDescent="0.25">
      <c r="A2625" s="1" t="s">
        <v>19312</v>
      </c>
      <c r="B2625" s="1" t="s">
        <v>11484</v>
      </c>
      <c r="C2625" s="1" t="s">
        <v>7088</v>
      </c>
      <c r="D2625" s="1" t="s">
        <v>19313</v>
      </c>
      <c r="E2625" s="1" t="s">
        <v>238</v>
      </c>
      <c r="F2625" s="1" t="s">
        <v>19314</v>
      </c>
      <c r="G2625">
        <v>243754</v>
      </c>
      <c r="H2625">
        <v>36</v>
      </c>
      <c r="I2625" s="1" t="s">
        <v>11063</v>
      </c>
      <c r="J2625" s="11">
        <v>44729.706458333334</v>
      </c>
      <c r="K2625" s="1" t="s">
        <v>239</v>
      </c>
      <c r="L2625" s="1">
        <v>0.92400000000000004</v>
      </c>
      <c r="M2625" s="1">
        <v>0.90600000000000003</v>
      </c>
      <c r="N2625">
        <v>9</v>
      </c>
      <c r="O2625" s="1">
        <v>-2.6560000000000001</v>
      </c>
      <c r="P2625">
        <v>1</v>
      </c>
      <c r="Q2625" s="1">
        <v>0.255</v>
      </c>
      <c r="R2625" s="1">
        <v>0.379</v>
      </c>
      <c r="S2625" s="1">
        <v>0.70599999999999996</v>
      </c>
      <c r="T2625" s="1">
        <v>0.73799999999999999</v>
      </c>
      <c r="U2625" s="1">
        <v>0.124</v>
      </c>
      <c r="V2625" s="1">
        <v>128.04300000000001</v>
      </c>
      <c r="W2625">
        <v>4</v>
      </c>
    </row>
    <row r="2626" spans="1:23" x14ac:dyDescent="0.25">
      <c r="A2626" s="1" t="s">
        <v>19315</v>
      </c>
      <c r="B2626" s="1" t="s">
        <v>15796</v>
      </c>
      <c r="C2626" s="1" t="s">
        <v>3980</v>
      </c>
      <c r="D2626" s="1" t="s">
        <v>3980</v>
      </c>
      <c r="E2626" s="1" t="s">
        <v>3981</v>
      </c>
      <c r="F2626" s="1" t="s">
        <v>13700</v>
      </c>
      <c r="G2626">
        <v>307647</v>
      </c>
      <c r="H2626">
        <v>0</v>
      </c>
      <c r="I2626" s="1" t="s">
        <v>11063</v>
      </c>
      <c r="J2626" s="11">
        <v>44729.706458333334</v>
      </c>
      <c r="K2626" s="1" t="s">
        <v>3982</v>
      </c>
      <c r="L2626" s="1">
        <v>0.59299999999999997</v>
      </c>
      <c r="M2626" s="1">
        <v>0.74299999999999999</v>
      </c>
      <c r="N2626">
        <v>3</v>
      </c>
      <c r="O2626" s="1">
        <v>-2.96</v>
      </c>
      <c r="P2626">
        <v>0</v>
      </c>
      <c r="Q2626" s="1">
        <v>0.38700000000000001</v>
      </c>
      <c r="R2626" s="1">
        <v>0.151</v>
      </c>
      <c r="S2626" s="1">
        <v>0.20799999999999999</v>
      </c>
      <c r="T2626" s="1">
        <v>0.112</v>
      </c>
      <c r="U2626" s="1">
        <v>0.125</v>
      </c>
      <c r="V2626" s="1">
        <v>110.029</v>
      </c>
      <c r="W2626">
        <v>4</v>
      </c>
    </row>
    <row r="2627" spans="1:23" x14ac:dyDescent="0.25">
      <c r="A2627" s="1" t="s">
        <v>19316</v>
      </c>
      <c r="B2627" s="1" t="s">
        <v>11484</v>
      </c>
      <c r="C2627" s="1" t="s">
        <v>7089</v>
      </c>
      <c r="D2627" s="1" t="s">
        <v>15989</v>
      </c>
      <c r="E2627" s="1" t="s">
        <v>238</v>
      </c>
      <c r="F2627" s="1" t="s">
        <v>11704</v>
      </c>
      <c r="G2627">
        <v>289434</v>
      </c>
      <c r="H2627">
        <v>0</v>
      </c>
      <c r="I2627" s="1" t="s">
        <v>11063</v>
      </c>
      <c r="J2627" s="11">
        <v>44729.706458333334</v>
      </c>
      <c r="K2627" s="1" t="s">
        <v>239</v>
      </c>
      <c r="L2627" s="1">
        <v>0.41699999999999998</v>
      </c>
      <c r="M2627" s="1">
        <v>0.88100000000000001</v>
      </c>
      <c r="N2627">
        <v>5</v>
      </c>
      <c r="O2627" s="1">
        <v>-1.6279999999999999</v>
      </c>
      <c r="P2627">
        <v>0</v>
      </c>
      <c r="Q2627" s="1">
        <v>0.749</v>
      </c>
      <c r="R2627" s="1">
        <v>0.36899999999999999</v>
      </c>
      <c r="S2627" s="1">
        <v>0.79600000000000004</v>
      </c>
      <c r="T2627" s="1">
        <v>0.23699999999999999</v>
      </c>
      <c r="U2627" s="1">
        <v>0.33300000000000002</v>
      </c>
      <c r="V2627" s="1">
        <v>112.01300000000001</v>
      </c>
      <c r="W2627">
        <v>4</v>
      </c>
    </row>
    <row r="2628" spans="1:23" x14ac:dyDescent="0.25">
      <c r="A2628" s="1" t="s">
        <v>19317</v>
      </c>
      <c r="B2628" s="1" t="s">
        <v>19318</v>
      </c>
      <c r="C2628" s="1" t="s">
        <v>7090</v>
      </c>
      <c r="D2628" s="1" t="s">
        <v>15989</v>
      </c>
      <c r="E2628" s="1" t="s">
        <v>7091</v>
      </c>
      <c r="F2628" s="1" t="s">
        <v>11704</v>
      </c>
      <c r="G2628">
        <v>259683</v>
      </c>
      <c r="H2628">
        <v>0</v>
      </c>
      <c r="I2628" s="1" t="s">
        <v>11063</v>
      </c>
      <c r="J2628" s="11">
        <v>44729.706458333334</v>
      </c>
      <c r="K2628" s="1" t="s">
        <v>3982</v>
      </c>
      <c r="L2628" s="1">
        <v>0.60899999999999999</v>
      </c>
      <c r="M2628" s="1">
        <v>0.84899999999999998</v>
      </c>
      <c r="N2628">
        <v>10</v>
      </c>
      <c r="O2628" s="1">
        <v>-4.83</v>
      </c>
      <c r="P2628">
        <v>0</v>
      </c>
      <c r="Q2628" s="1">
        <v>0.41599999999999998</v>
      </c>
      <c r="R2628" s="1">
        <v>0.23599999999999999</v>
      </c>
      <c r="S2628" s="1">
        <v>0.79400000000000004</v>
      </c>
      <c r="T2628" s="1">
        <v>0.625</v>
      </c>
      <c r="U2628" s="1">
        <v>0.28799999999999998</v>
      </c>
      <c r="V2628" s="1">
        <v>109.99299999999999</v>
      </c>
      <c r="W2628">
        <v>4</v>
      </c>
    </row>
    <row r="2629" spans="1:23" x14ac:dyDescent="0.25">
      <c r="A2629" s="1" t="s">
        <v>19319</v>
      </c>
      <c r="B2629" s="1" t="s">
        <v>19320</v>
      </c>
      <c r="C2629" s="1" t="s">
        <v>7092</v>
      </c>
      <c r="D2629" s="1" t="s">
        <v>7092</v>
      </c>
      <c r="E2629" s="1" t="s">
        <v>7093</v>
      </c>
      <c r="F2629" s="1" t="s">
        <v>19321</v>
      </c>
      <c r="G2629">
        <v>228101</v>
      </c>
      <c r="H2629">
        <v>42</v>
      </c>
      <c r="I2629" s="1" t="s">
        <v>11063</v>
      </c>
      <c r="J2629" s="11">
        <v>44729.706458333334</v>
      </c>
      <c r="K2629" s="1" t="s">
        <v>50</v>
      </c>
      <c r="L2629" s="1">
        <v>0.79100000000000004</v>
      </c>
      <c r="M2629" s="1">
        <v>0.93500000000000005</v>
      </c>
      <c r="N2629">
        <v>10</v>
      </c>
      <c r="O2629" s="1">
        <v>-4.9989999999999997</v>
      </c>
      <c r="P2629">
        <v>0</v>
      </c>
      <c r="Q2629" s="1">
        <v>0.61799999999999999</v>
      </c>
      <c r="R2629" s="1">
        <v>0.23499999999999999</v>
      </c>
      <c r="S2629" s="1">
        <v>0.26100000000000001</v>
      </c>
      <c r="T2629" s="1">
        <v>0.13500000000000001</v>
      </c>
      <c r="U2629" s="1">
        <v>0.67300000000000004</v>
      </c>
      <c r="V2629" s="1">
        <v>118.006</v>
      </c>
      <c r="W2629">
        <v>4</v>
      </c>
    </row>
    <row r="2630" spans="1:23" x14ac:dyDescent="0.25">
      <c r="A2630" s="1" t="s">
        <v>19322</v>
      </c>
      <c r="B2630" s="1" t="s">
        <v>19323</v>
      </c>
      <c r="C2630" s="1" t="s">
        <v>7094</v>
      </c>
      <c r="D2630" s="1" t="s">
        <v>7094</v>
      </c>
      <c r="E2630" s="1" t="s">
        <v>7095</v>
      </c>
      <c r="F2630" s="1" t="s">
        <v>19324</v>
      </c>
      <c r="G2630">
        <v>203655</v>
      </c>
      <c r="H2630">
        <v>0</v>
      </c>
      <c r="I2630" s="1" t="s">
        <v>11063</v>
      </c>
      <c r="J2630" s="11">
        <v>44729.706458333334</v>
      </c>
      <c r="K2630" s="1" t="s">
        <v>50</v>
      </c>
      <c r="L2630" s="1">
        <v>0.66300000000000003</v>
      </c>
      <c r="M2630" s="1">
        <v>0.876</v>
      </c>
      <c r="N2630">
        <v>10</v>
      </c>
      <c r="O2630" s="1">
        <v>-4.5730000000000004</v>
      </c>
      <c r="P2630">
        <v>0</v>
      </c>
      <c r="Q2630" s="1">
        <v>0.161</v>
      </c>
      <c r="R2630" s="1">
        <v>0.71899999999999997</v>
      </c>
      <c r="S2630" s="1">
        <v>0.12</v>
      </c>
      <c r="T2630" s="1">
        <v>0.95799999999999996</v>
      </c>
      <c r="U2630" s="1">
        <v>0.71499999999999997</v>
      </c>
      <c r="V2630" s="1">
        <v>103.976</v>
      </c>
      <c r="W2630">
        <v>4</v>
      </c>
    </row>
    <row r="2631" spans="1:23" x14ac:dyDescent="0.25">
      <c r="A2631" s="1" t="s">
        <v>19325</v>
      </c>
      <c r="B2631" s="1" t="s">
        <v>11484</v>
      </c>
      <c r="C2631" s="1" t="s">
        <v>7096</v>
      </c>
      <c r="D2631" s="1" t="s">
        <v>15989</v>
      </c>
      <c r="E2631" s="1" t="s">
        <v>238</v>
      </c>
      <c r="F2631" s="1" t="s">
        <v>11704</v>
      </c>
      <c r="G2631">
        <v>229093</v>
      </c>
      <c r="H2631">
        <v>0</v>
      </c>
      <c r="I2631" s="1" t="s">
        <v>11063</v>
      </c>
      <c r="J2631" s="11">
        <v>44729.706458333334</v>
      </c>
      <c r="K2631" s="1" t="s">
        <v>239</v>
      </c>
      <c r="L2631" s="1">
        <v>0.38600000000000001</v>
      </c>
      <c r="M2631" s="1">
        <v>0.71599999999999997</v>
      </c>
      <c r="N2631">
        <v>5</v>
      </c>
      <c r="O2631" s="1">
        <v>-4.4729999999999999</v>
      </c>
      <c r="P2631">
        <v>0</v>
      </c>
      <c r="Q2631" s="1">
        <v>0.503</v>
      </c>
      <c r="R2631" s="1">
        <v>0.35099999999999998</v>
      </c>
      <c r="S2631" s="1">
        <v>0.83599999999999997</v>
      </c>
      <c r="T2631" s="1">
        <v>0.17799999999999999</v>
      </c>
      <c r="U2631" s="1">
        <v>0.13</v>
      </c>
      <c r="V2631" s="1">
        <v>110.10599999999999</v>
      </c>
      <c r="W2631">
        <v>4</v>
      </c>
    </row>
    <row r="2632" spans="1:23" x14ac:dyDescent="0.25">
      <c r="A2632" s="1" t="s">
        <v>19326</v>
      </c>
      <c r="B2632" s="1" t="s">
        <v>11351</v>
      </c>
      <c r="C2632" s="1" t="s">
        <v>1246</v>
      </c>
      <c r="D2632" s="1" t="s">
        <v>1246</v>
      </c>
      <c r="E2632" s="1" t="s">
        <v>141</v>
      </c>
      <c r="F2632" s="1" t="s">
        <v>11647</v>
      </c>
      <c r="G2632">
        <v>161712</v>
      </c>
      <c r="H2632">
        <v>37</v>
      </c>
      <c r="I2632" s="1" t="s">
        <v>11063</v>
      </c>
      <c r="J2632" s="11">
        <v>44729.706458333334</v>
      </c>
      <c r="K2632" s="1" t="s">
        <v>142</v>
      </c>
      <c r="L2632" s="1">
        <v>0.60199999999999998</v>
      </c>
      <c r="M2632" s="1">
        <v>0.92700000000000005</v>
      </c>
      <c r="N2632">
        <v>4</v>
      </c>
      <c r="O2632" s="1">
        <v>-7.4649999999999999</v>
      </c>
      <c r="P2632">
        <v>0</v>
      </c>
      <c r="Q2632" s="1">
        <v>0.376</v>
      </c>
      <c r="R2632" s="1">
        <v>0.10100000000000001</v>
      </c>
      <c r="S2632" s="1">
        <v>0.78400000000000003</v>
      </c>
      <c r="T2632" s="1">
        <v>0.67100000000000004</v>
      </c>
      <c r="U2632" s="1">
        <v>0.374</v>
      </c>
      <c r="V2632" s="1">
        <v>109.515</v>
      </c>
      <c r="W2632">
        <v>3</v>
      </c>
    </row>
    <row r="2633" spans="1:23" x14ac:dyDescent="0.25">
      <c r="A2633" s="1" t="s">
        <v>19327</v>
      </c>
      <c r="B2633" s="1" t="s">
        <v>16437</v>
      </c>
      <c r="C2633" s="1" t="s">
        <v>4502</v>
      </c>
      <c r="D2633" s="1" t="s">
        <v>4502</v>
      </c>
      <c r="E2633" s="1" t="s">
        <v>4503</v>
      </c>
      <c r="F2633" s="1" t="s">
        <v>11647</v>
      </c>
      <c r="G2633">
        <v>248000</v>
      </c>
      <c r="H2633">
        <v>32</v>
      </c>
      <c r="I2633" s="1" t="s">
        <v>11063</v>
      </c>
      <c r="J2633" s="11">
        <v>44729.706458333334</v>
      </c>
      <c r="K2633" s="1" t="s">
        <v>4504</v>
      </c>
      <c r="L2633" s="1">
        <v>0.35799999999999998</v>
      </c>
      <c r="M2633" s="1">
        <v>0.89600000000000002</v>
      </c>
      <c r="N2633">
        <v>4</v>
      </c>
      <c r="O2633" s="1">
        <v>-4.5469999999999997</v>
      </c>
      <c r="P2633">
        <v>0</v>
      </c>
      <c r="Q2633" s="1">
        <v>0.159</v>
      </c>
      <c r="R2633" s="1">
        <v>0.83</v>
      </c>
      <c r="S2633" s="1">
        <v>0.14000000000000001</v>
      </c>
      <c r="T2633" s="1">
        <v>0.372</v>
      </c>
      <c r="U2633" s="1">
        <v>0.1</v>
      </c>
      <c r="V2633" s="1">
        <v>75.191999999999993</v>
      </c>
      <c r="W2633">
        <v>4</v>
      </c>
    </row>
    <row r="2634" spans="1:23" x14ac:dyDescent="0.25">
      <c r="A2634" s="1" t="s">
        <v>19328</v>
      </c>
      <c r="B2634" s="1" t="s">
        <v>19329</v>
      </c>
      <c r="C2634" s="1" t="s">
        <v>7097</v>
      </c>
      <c r="D2634" s="1" t="s">
        <v>19330</v>
      </c>
      <c r="E2634" s="1" t="s">
        <v>7098</v>
      </c>
      <c r="F2634" s="1" t="s">
        <v>17956</v>
      </c>
      <c r="G2634">
        <v>218933</v>
      </c>
      <c r="H2634">
        <v>64</v>
      </c>
      <c r="I2634" s="1" t="s">
        <v>11063</v>
      </c>
      <c r="J2634" s="11">
        <v>44729.706458333334</v>
      </c>
      <c r="K2634" s="1" t="s">
        <v>7099</v>
      </c>
      <c r="L2634" s="1">
        <v>0.42799999999999999</v>
      </c>
      <c r="M2634" s="1">
        <v>0.65600000000000003</v>
      </c>
      <c r="N2634">
        <v>11</v>
      </c>
      <c r="O2634" s="1">
        <v>-3.7120000000000002</v>
      </c>
      <c r="P2634">
        <v>1</v>
      </c>
      <c r="Q2634" s="1">
        <v>0.75</v>
      </c>
      <c r="R2634" s="1">
        <v>0.751</v>
      </c>
      <c r="S2634" s="1">
        <v>0.18099999999999999</v>
      </c>
      <c r="T2634" s="1">
        <v>0.15</v>
      </c>
      <c r="U2634" s="1">
        <v>0.35499999999999998</v>
      </c>
      <c r="V2634" s="1">
        <v>79.647999999999996</v>
      </c>
      <c r="W2634">
        <v>4</v>
      </c>
    </row>
    <row r="2635" spans="1:23" x14ac:dyDescent="0.25">
      <c r="A2635" s="1" t="s">
        <v>19331</v>
      </c>
      <c r="B2635" s="1" t="s">
        <v>17183</v>
      </c>
      <c r="C2635" s="1" t="s">
        <v>7100</v>
      </c>
      <c r="D2635" s="1" t="s">
        <v>19332</v>
      </c>
      <c r="E2635" s="1" t="s">
        <v>5161</v>
      </c>
      <c r="F2635" s="1" t="s">
        <v>17640</v>
      </c>
      <c r="G2635">
        <v>209893</v>
      </c>
      <c r="H2635">
        <v>5</v>
      </c>
      <c r="I2635" s="1" t="s">
        <v>11063</v>
      </c>
      <c r="J2635" s="11">
        <v>44729.706458333334</v>
      </c>
      <c r="K2635" s="1" t="s">
        <v>5162</v>
      </c>
      <c r="L2635" s="1">
        <v>0.29399999999999998</v>
      </c>
      <c r="M2635" s="1">
        <v>0.505</v>
      </c>
      <c r="N2635">
        <v>3</v>
      </c>
      <c r="O2635" s="1">
        <v>-8.1059999999999999</v>
      </c>
      <c r="P2635">
        <v>1</v>
      </c>
      <c r="Q2635" s="1">
        <v>0.42</v>
      </c>
      <c r="R2635" s="1">
        <v>0.12</v>
      </c>
      <c r="S2635" s="1">
        <v>0</v>
      </c>
      <c r="T2635" s="1">
        <v>0.97699999999999998</v>
      </c>
      <c r="U2635" s="1">
        <v>0.35699999999999998</v>
      </c>
      <c r="V2635" s="1">
        <v>85.331999999999994</v>
      </c>
      <c r="W2635">
        <v>1</v>
      </c>
    </row>
    <row r="2636" spans="1:23" x14ac:dyDescent="0.25">
      <c r="A2636" s="1" t="s">
        <v>19333</v>
      </c>
      <c r="B2636" s="1" t="s">
        <v>19334</v>
      </c>
      <c r="C2636" s="1" t="s">
        <v>7101</v>
      </c>
      <c r="D2636" s="1" t="s">
        <v>7101</v>
      </c>
      <c r="E2636" s="1" t="s">
        <v>7102</v>
      </c>
      <c r="F2636" s="1" t="s">
        <v>13859</v>
      </c>
      <c r="G2636">
        <v>199413</v>
      </c>
      <c r="H2636">
        <v>0</v>
      </c>
      <c r="I2636" s="1" t="s">
        <v>11063</v>
      </c>
      <c r="J2636" s="11">
        <v>44729.706458333334</v>
      </c>
      <c r="K2636" s="1" t="s">
        <v>1040</v>
      </c>
      <c r="L2636" s="1">
        <v>0.64300000000000002</v>
      </c>
      <c r="M2636" s="1">
        <v>0.69799999999999995</v>
      </c>
      <c r="N2636">
        <v>11</v>
      </c>
      <c r="O2636" s="1">
        <v>-4.0940000000000003</v>
      </c>
      <c r="P2636">
        <v>1</v>
      </c>
      <c r="Q2636" s="1">
        <v>0.27600000000000002</v>
      </c>
      <c r="R2636" s="1">
        <v>0.41399999999999998</v>
      </c>
      <c r="S2636" s="1">
        <v>0</v>
      </c>
      <c r="T2636" s="1">
        <v>0.16900000000000001</v>
      </c>
      <c r="U2636" s="1">
        <v>0.55600000000000005</v>
      </c>
      <c r="V2636" s="1">
        <v>75.072999999999993</v>
      </c>
      <c r="W2636">
        <v>4</v>
      </c>
    </row>
    <row r="2637" spans="1:23" x14ac:dyDescent="0.25">
      <c r="A2637" s="1" t="s">
        <v>19335</v>
      </c>
      <c r="B2637" s="1" t="s">
        <v>19336</v>
      </c>
      <c r="C2637" s="1" t="s">
        <v>7103</v>
      </c>
      <c r="D2637" s="1" t="s">
        <v>19337</v>
      </c>
      <c r="E2637" s="1" t="s">
        <v>7104</v>
      </c>
      <c r="F2637" s="1" t="s">
        <v>19338</v>
      </c>
      <c r="G2637">
        <v>173986</v>
      </c>
      <c r="H2637">
        <v>85</v>
      </c>
      <c r="I2637" s="1" t="s">
        <v>11063</v>
      </c>
      <c r="J2637" s="11">
        <v>44729.706458333334</v>
      </c>
      <c r="K2637" s="1" t="s">
        <v>7105</v>
      </c>
      <c r="L2637" s="1">
        <v>0.79200000000000004</v>
      </c>
      <c r="M2637" s="1">
        <v>0.625</v>
      </c>
      <c r="N2637">
        <v>1</v>
      </c>
      <c r="O2637" s="1">
        <v>-5.609</v>
      </c>
      <c r="P2637">
        <v>1</v>
      </c>
      <c r="Q2637" s="1">
        <v>0.53600000000000003</v>
      </c>
      <c r="R2637" s="1">
        <v>0.77600000000000002</v>
      </c>
      <c r="S2637" s="1">
        <v>0.18</v>
      </c>
      <c r="T2637" s="1">
        <v>0.32900000000000001</v>
      </c>
      <c r="U2637" s="1">
        <v>0.37</v>
      </c>
      <c r="V2637" s="1">
        <v>103.967</v>
      </c>
      <c r="W2637">
        <v>4</v>
      </c>
    </row>
    <row r="2638" spans="1:23" x14ac:dyDescent="0.25">
      <c r="A2638" s="1" t="s">
        <v>19339</v>
      </c>
      <c r="B2638" s="1" t="s">
        <v>19340</v>
      </c>
      <c r="C2638" s="1" t="s">
        <v>3609</v>
      </c>
      <c r="D2638" s="1" t="s">
        <v>11422</v>
      </c>
      <c r="E2638" s="1" t="s">
        <v>7106</v>
      </c>
      <c r="F2638" s="1" t="s">
        <v>11423</v>
      </c>
      <c r="G2638">
        <v>231266</v>
      </c>
      <c r="H2638">
        <v>81</v>
      </c>
      <c r="I2638" s="1" t="s">
        <v>11063</v>
      </c>
      <c r="J2638" s="11">
        <v>44729.706458333334</v>
      </c>
      <c r="K2638" s="1" t="s">
        <v>7107</v>
      </c>
      <c r="L2638" s="1">
        <v>0.68</v>
      </c>
      <c r="M2638" s="1">
        <v>0.57799999999999996</v>
      </c>
      <c r="N2638">
        <v>10</v>
      </c>
      <c r="O2638" s="1">
        <v>-5.8040000000000003</v>
      </c>
      <c r="P2638">
        <v>1</v>
      </c>
      <c r="Q2638" s="1">
        <v>0.4</v>
      </c>
      <c r="R2638" s="1">
        <v>0.33100000000000002</v>
      </c>
      <c r="S2638" s="1">
        <v>0</v>
      </c>
      <c r="T2638" s="1">
        <v>0.13500000000000001</v>
      </c>
      <c r="U2638" s="1">
        <v>0.34100000000000003</v>
      </c>
      <c r="V2638" s="1">
        <v>145.03800000000001</v>
      </c>
      <c r="W2638">
        <v>4</v>
      </c>
    </row>
    <row r="2639" spans="1:23" x14ac:dyDescent="0.25">
      <c r="A2639" s="1" t="s">
        <v>19341</v>
      </c>
      <c r="B2639" s="1" t="s">
        <v>18344</v>
      </c>
      <c r="C2639" s="1" t="s">
        <v>6234</v>
      </c>
      <c r="D2639" s="1" t="s">
        <v>6234</v>
      </c>
      <c r="E2639" s="1" t="s">
        <v>6235</v>
      </c>
      <c r="F2639" s="1" t="s">
        <v>11798</v>
      </c>
      <c r="G2639">
        <v>221176</v>
      </c>
      <c r="H2639">
        <v>0</v>
      </c>
      <c r="I2639" s="1" t="s">
        <v>11063</v>
      </c>
      <c r="J2639" s="11">
        <v>44729.706458333334</v>
      </c>
      <c r="K2639" s="1" t="s">
        <v>6236</v>
      </c>
      <c r="L2639" s="1">
        <v>0.74099999999999999</v>
      </c>
      <c r="M2639" s="1">
        <v>0.89100000000000001</v>
      </c>
      <c r="N2639">
        <v>7</v>
      </c>
      <c r="O2639" s="1">
        <v>-2.8239999999999998</v>
      </c>
      <c r="P2639">
        <v>1</v>
      </c>
      <c r="Q2639" s="1">
        <v>0.11899999999999999</v>
      </c>
      <c r="R2639" s="1">
        <v>0.437</v>
      </c>
      <c r="S2639" s="1">
        <v>0</v>
      </c>
      <c r="T2639" s="1">
        <v>0.25600000000000001</v>
      </c>
      <c r="U2639" s="1">
        <v>0.44900000000000001</v>
      </c>
      <c r="V2639" s="1">
        <v>102.002</v>
      </c>
      <c r="W2639">
        <v>4</v>
      </c>
    </row>
    <row r="2640" spans="1:23" x14ac:dyDescent="0.25">
      <c r="A2640" s="1" t="s">
        <v>19342</v>
      </c>
      <c r="B2640" s="1" t="s">
        <v>19343</v>
      </c>
      <c r="C2640" s="1" t="s">
        <v>7108</v>
      </c>
      <c r="D2640" s="1" t="s">
        <v>7108</v>
      </c>
      <c r="E2640" s="1" t="s">
        <v>7109</v>
      </c>
      <c r="F2640" s="1" t="s">
        <v>14847</v>
      </c>
      <c r="G2640">
        <v>229184</v>
      </c>
      <c r="H2640">
        <v>73</v>
      </c>
      <c r="I2640" s="1" t="s">
        <v>11063</v>
      </c>
      <c r="J2640" s="11">
        <v>44729.706458333334</v>
      </c>
      <c r="K2640" s="1" t="s">
        <v>7110</v>
      </c>
      <c r="L2640" s="1">
        <v>0.80700000000000005</v>
      </c>
      <c r="M2640" s="1">
        <v>0.88700000000000001</v>
      </c>
      <c r="N2640">
        <v>1</v>
      </c>
      <c r="O2640" s="1">
        <v>-4.3109999999999999</v>
      </c>
      <c r="P2640">
        <v>0</v>
      </c>
      <c r="Q2640" s="1">
        <v>0.36099999999999999</v>
      </c>
      <c r="R2640" s="1">
        <v>0.16</v>
      </c>
      <c r="S2640" s="1">
        <v>0.503</v>
      </c>
      <c r="T2640" s="1">
        <v>0.81100000000000005</v>
      </c>
      <c r="U2640" s="1">
        <v>0.60599999999999998</v>
      </c>
      <c r="V2640" s="1">
        <v>122.015</v>
      </c>
      <c r="W2640">
        <v>4</v>
      </c>
    </row>
    <row r="2641" spans="1:23" x14ac:dyDescent="0.25">
      <c r="A2641" s="1" t="s">
        <v>19344</v>
      </c>
      <c r="B2641" s="1" t="s">
        <v>19345</v>
      </c>
      <c r="C2641" s="1" t="s">
        <v>7111</v>
      </c>
      <c r="D2641" s="1" t="s">
        <v>7111</v>
      </c>
      <c r="E2641" s="1" t="s">
        <v>7112</v>
      </c>
      <c r="F2641" s="1" t="s">
        <v>14124</v>
      </c>
      <c r="G2641">
        <v>195706</v>
      </c>
      <c r="H2641">
        <v>77</v>
      </c>
      <c r="I2641" s="1" t="s">
        <v>11063</v>
      </c>
      <c r="J2641" s="11">
        <v>44729.706458333334</v>
      </c>
      <c r="K2641" s="1" t="s">
        <v>7113</v>
      </c>
      <c r="L2641" s="1">
        <v>0.501</v>
      </c>
      <c r="M2641" s="1">
        <v>0.51900000000000002</v>
      </c>
      <c r="N2641">
        <v>4</v>
      </c>
      <c r="O2641" s="1">
        <v>-5.88</v>
      </c>
      <c r="P2641">
        <v>0</v>
      </c>
      <c r="Q2641" s="1">
        <v>0.40899999999999997</v>
      </c>
      <c r="R2641" s="1">
        <v>0.109</v>
      </c>
      <c r="S2641" s="1">
        <v>0</v>
      </c>
      <c r="T2641" s="1">
        <v>0.45400000000000001</v>
      </c>
      <c r="U2641" s="1">
        <v>0.16800000000000001</v>
      </c>
      <c r="V2641" s="1">
        <v>133.99</v>
      </c>
      <c r="W2641">
        <v>4</v>
      </c>
    </row>
    <row r="2642" spans="1:23" x14ac:dyDescent="0.25">
      <c r="A2642" s="1" t="s">
        <v>19346</v>
      </c>
      <c r="B2642" s="1" t="s">
        <v>18780</v>
      </c>
      <c r="C2642" s="1" t="s">
        <v>6612</v>
      </c>
      <c r="D2642" s="1" t="s">
        <v>6612</v>
      </c>
      <c r="E2642" s="1" t="s">
        <v>6613</v>
      </c>
      <c r="F2642" s="1" t="s">
        <v>16448</v>
      </c>
      <c r="G2642">
        <v>210772</v>
      </c>
      <c r="H2642">
        <v>74</v>
      </c>
      <c r="I2642" s="1" t="s">
        <v>11063</v>
      </c>
      <c r="J2642" s="11">
        <v>44729.706458333334</v>
      </c>
      <c r="K2642" s="1" t="s">
        <v>6614</v>
      </c>
      <c r="L2642" s="1">
        <v>0.65300000000000002</v>
      </c>
      <c r="M2642" s="1">
        <v>0.80900000000000005</v>
      </c>
      <c r="N2642">
        <v>0</v>
      </c>
      <c r="O2642" s="1">
        <v>-4.0570000000000004</v>
      </c>
      <c r="P2642">
        <v>1</v>
      </c>
      <c r="Q2642" s="1">
        <v>0.47399999999999998</v>
      </c>
      <c r="R2642" s="1">
        <v>0.19400000000000001</v>
      </c>
      <c r="S2642" s="1">
        <v>0</v>
      </c>
      <c r="T2642" s="1">
        <v>0.16500000000000001</v>
      </c>
      <c r="U2642" s="1">
        <v>0.55000000000000004</v>
      </c>
      <c r="V2642" s="1">
        <v>92.212999999999994</v>
      </c>
      <c r="W2642">
        <v>4</v>
      </c>
    </row>
    <row r="2643" spans="1:23" x14ac:dyDescent="0.25">
      <c r="A2643" s="1" t="s">
        <v>19347</v>
      </c>
      <c r="B2643" s="1" t="s">
        <v>19348</v>
      </c>
      <c r="C2643" s="1" t="s">
        <v>7114</v>
      </c>
      <c r="D2643" s="1" t="s">
        <v>7114</v>
      </c>
      <c r="E2643" s="1" t="s">
        <v>7115</v>
      </c>
      <c r="F2643" s="1" t="s">
        <v>14068</v>
      </c>
      <c r="G2643">
        <v>165703</v>
      </c>
      <c r="H2643">
        <v>0</v>
      </c>
      <c r="I2643" s="1" t="s">
        <v>11063</v>
      </c>
      <c r="J2643" s="11">
        <v>44729.706458333334</v>
      </c>
      <c r="K2643" s="1" t="s">
        <v>7116</v>
      </c>
      <c r="L2643" s="1">
        <v>0.59799999999999998</v>
      </c>
      <c r="M2643" s="1">
        <v>0.65200000000000002</v>
      </c>
      <c r="N2643">
        <v>6</v>
      </c>
      <c r="O2643" s="1">
        <v>-8.6460000000000008</v>
      </c>
      <c r="P2643">
        <v>0</v>
      </c>
      <c r="Q2643" s="1">
        <v>0.51600000000000001</v>
      </c>
      <c r="R2643" s="1">
        <v>0.16400000000000001</v>
      </c>
      <c r="S2643" s="1">
        <v>0.28899999999999998</v>
      </c>
      <c r="T2643" s="1">
        <v>0.41699999999999998</v>
      </c>
      <c r="U2643" s="1">
        <v>0.31900000000000001</v>
      </c>
      <c r="V2643" s="1">
        <v>112.86799999999999</v>
      </c>
      <c r="W2643">
        <v>4</v>
      </c>
    </row>
    <row r="2644" spans="1:23" x14ac:dyDescent="0.25">
      <c r="A2644" s="1" t="s">
        <v>19349</v>
      </c>
      <c r="B2644" s="1" t="s">
        <v>19350</v>
      </c>
      <c r="C2644" s="1" t="s">
        <v>7117</v>
      </c>
      <c r="D2644" s="1" t="s">
        <v>7117</v>
      </c>
      <c r="E2644" s="1" t="s">
        <v>7118</v>
      </c>
      <c r="F2644" s="1" t="s">
        <v>19351</v>
      </c>
      <c r="G2644">
        <v>200742</v>
      </c>
      <c r="H2644">
        <v>52</v>
      </c>
      <c r="I2644" s="1" t="s">
        <v>11063</v>
      </c>
      <c r="J2644" s="11">
        <v>44729.706458333334</v>
      </c>
      <c r="K2644" s="1" t="s">
        <v>7119</v>
      </c>
      <c r="L2644" s="1">
        <v>0.78</v>
      </c>
      <c r="M2644" s="1">
        <v>0.56999999999999995</v>
      </c>
      <c r="N2644">
        <v>11</v>
      </c>
      <c r="O2644" s="1">
        <v>-8.2070000000000007</v>
      </c>
      <c r="P2644">
        <v>0</v>
      </c>
      <c r="Q2644" s="1">
        <v>0.46700000000000003</v>
      </c>
      <c r="R2644" s="1">
        <v>0.218</v>
      </c>
      <c r="S2644" s="1">
        <v>0.15</v>
      </c>
      <c r="T2644" s="1">
        <v>0.95499999999999996</v>
      </c>
      <c r="U2644" s="1">
        <v>0.27700000000000002</v>
      </c>
      <c r="V2644" s="1">
        <v>124.98</v>
      </c>
      <c r="W2644">
        <v>4</v>
      </c>
    </row>
    <row r="2645" spans="1:23" x14ac:dyDescent="0.25">
      <c r="A2645" s="1" t="s">
        <v>19352</v>
      </c>
      <c r="B2645" s="1" t="s">
        <v>19353</v>
      </c>
      <c r="C2645" s="1" t="s">
        <v>7120</v>
      </c>
      <c r="D2645" s="1" t="s">
        <v>7120</v>
      </c>
      <c r="E2645" s="1" t="s">
        <v>7121</v>
      </c>
      <c r="F2645" s="1" t="s">
        <v>16056</v>
      </c>
      <c r="G2645">
        <v>198000</v>
      </c>
      <c r="H2645">
        <v>0</v>
      </c>
      <c r="I2645" s="1" t="s">
        <v>11063</v>
      </c>
      <c r="J2645" s="11">
        <v>44729.706458333334</v>
      </c>
      <c r="K2645" s="1" t="s">
        <v>6557</v>
      </c>
      <c r="L2645" s="1">
        <v>0.74299999999999999</v>
      </c>
      <c r="M2645" s="1">
        <v>0.56399999999999995</v>
      </c>
      <c r="N2645">
        <v>5</v>
      </c>
      <c r="O2645" s="1">
        <v>-8.7609999999999992</v>
      </c>
      <c r="P2645">
        <v>1</v>
      </c>
      <c r="Q2645" s="1">
        <v>0.45</v>
      </c>
      <c r="R2645" s="1">
        <v>0.29899999999999999</v>
      </c>
      <c r="S2645" s="1">
        <v>0.69299999999999995</v>
      </c>
      <c r="T2645" s="1">
        <v>0.109</v>
      </c>
      <c r="U2645" s="1">
        <v>0.505</v>
      </c>
      <c r="V2645" s="1">
        <v>120.012</v>
      </c>
      <c r="W2645">
        <v>4</v>
      </c>
    </row>
    <row r="2646" spans="1:23" x14ac:dyDescent="0.25">
      <c r="A2646" s="1" t="s">
        <v>19354</v>
      </c>
      <c r="B2646" s="1" t="s">
        <v>19355</v>
      </c>
      <c r="C2646" s="1" t="s">
        <v>7122</v>
      </c>
      <c r="D2646" s="1" t="s">
        <v>19356</v>
      </c>
      <c r="E2646" s="1" t="s">
        <v>7123</v>
      </c>
      <c r="F2646" s="1" t="s">
        <v>11597</v>
      </c>
      <c r="G2646">
        <v>158474</v>
      </c>
      <c r="H2646">
        <v>0</v>
      </c>
      <c r="I2646" s="1" t="s">
        <v>11063</v>
      </c>
      <c r="J2646" s="11">
        <v>44729.706458333334</v>
      </c>
      <c r="K2646" s="1" t="s">
        <v>7124</v>
      </c>
      <c r="L2646" s="1">
        <v>0.73099999999999998</v>
      </c>
      <c r="M2646" s="1">
        <v>0.63900000000000001</v>
      </c>
      <c r="N2646">
        <v>9</v>
      </c>
      <c r="O2646" s="1">
        <v>-6.5970000000000004</v>
      </c>
      <c r="P2646">
        <v>1</v>
      </c>
      <c r="Q2646" s="1">
        <v>0.35899999999999999</v>
      </c>
      <c r="R2646" s="1">
        <v>0.20599999999999999</v>
      </c>
      <c r="S2646" s="1">
        <v>0.129</v>
      </c>
      <c r="T2646" s="1">
        <v>0.78900000000000003</v>
      </c>
      <c r="U2646" s="1">
        <v>0.52700000000000002</v>
      </c>
      <c r="V2646" s="1">
        <v>122.08</v>
      </c>
      <c r="W2646">
        <v>4</v>
      </c>
    </row>
    <row r="2647" spans="1:23" x14ac:dyDescent="0.25">
      <c r="A2647" s="1" t="s">
        <v>19357</v>
      </c>
      <c r="B2647" s="1" t="s">
        <v>19355</v>
      </c>
      <c r="C2647" s="1" t="s">
        <v>7125</v>
      </c>
      <c r="D2647" s="1" t="s">
        <v>19356</v>
      </c>
      <c r="E2647" s="1" t="s">
        <v>7123</v>
      </c>
      <c r="F2647" s="1" t="s">
        <v>11597</v>
      </c>
      <c r="G2647">
        <v>137555</v>
      </c>
      <c r="H2647">
        <v>0</v>
      </c>
      <c r="I2647" s="1" t="s">
        <v>11063</v>
      </c>
      <c r="J2647" s="11">
        <v>44729.706458333334</v>
      </c>
      <c r="K2647" s="1" t="s">
        <v>7124</v>
      </c>
      <c r="L2647" s="1">
        <v>0.77900000000000003</v>
      </c>
      <c r="M2647" s="1">
        <v>0.52700000000000002</v>
      </c>
      <c r="N2647">
        <v>5</v>
      </c>
      <c r="O2647" s="1">
        <v>-9.9139999999999997</v>
      </c>
      <c r="P2647">
        <v>0</v>
      </c>
      <c r="Q2647" s="1">
        <v>0.33700000000000002</v>
      </c>
      <c r="R2647" s="1">
        <v>0.51300000000000001</v>
      </c>
      <c r="S2647" s="1">
        <v>0.126</v>
      </c>
      <c r="T2647" s="1">
        <v>0.21099999999999999</v>
      </c>
      <c r="U2647" s="1">
        <v>0.439</v>
      </c>
      <c r="V2647" s="1">
        <v>121.03</v>
      </c>
      <c r="W2647">
        <v>4</v>
      </c>
    </row>
    <row r="2648" spans="1:23" x14ac:dyDescent="0.25">
      <c r="A2648" s="1" t="s">
        <v>19358</v>
      </c>
      <c r="B2648" s="1" t="s">
        <v>19359</v>
      </c>
      <c r="C2648" s="1" t="s">
        <v>7126</v>
      </c>
      <c r="D2648" s="1" t="s">
        <v>19360</v>
      </c>
      <c r="E2648" s="1" t="s">
        <v>7127</v>
      </c>
      <c r="F2648" s="1" t="s">
        <v>16305</v>
      </c>
      <c r="G2648">
        <v>162425</v>
      </c>
      <c r="H2648">
        <v>0</v>
      </c>
      <c r="I2648" s="1" t="s">
        <v>11063</v>
      </c>
      <c r="J2648" s="11">
        <v>44729.706458333334</v>
      </c>
      <c r="K2648" s="1" t="s">
        <v>7128</v>
      </c>
      <c r="L2648" s="1">
        <v>0.68100000000000005</v>
      </c>
      <c r="M2648" s="1">
        <v>0.77400000000000002</v>
      </c>
      <c r="N2648">
        <v>1</v>
      </c>
      <c r="O2648" s="1">
        <v>-3.1669999999999998</v>
      </c>
      <c r="P2648">
        <v>0</v>
      </c>
      <c r="Q2648" s="1">
        <v>0.78700000000000003</v>
      </c>
      <c r="R2648" s="1">
        <v>0.99199999999999999</v>
      </c>
      <c r="S2648" s="1">
        <v>0</v>
      </c>
      <c r="T2648" s="1">
        <v>0.35</v>
      </c>
      <c r="U2648" s="1">
        <v>0.26700000000000002</v>
      </c>
      <c r="V2648" s="1">
        <v>102.92400000000001</v>
      </c>
      <c r="W2648">
        <v>4</v>
      </c>
    </row>
    <row r="2649" spans="1:23" x14ac:dyDescent="0.25">
      <c r="A2649" s="1" t="s">
        <v>19361</v>
      </c>
      <c r="B2649" s="1" t="s">
        <v>19362</v>
      </c>
      <c r="C2649" s="1" t="s">
        <v>7129</v>
      </c>
      <c r="D2649" s="1" t="s">
        <v>7129</v>
      </c>
      <c r="E2649" s="1" t="s">
        <v>7130</v>
      </c>
      <c r="F2649" s="1" t="s">
        <v>17597</v>
      </c>
      <c r="G2649">
        <v>223503</v>
      </c>
      <c r="H2649">
        <v>68</v>
      </c>
      <c r="I2649" s="1" t="s">
        <v>11063</v>
      </c>
      <c r="J2649" s="11">
        <v>44729.706458333334</v>
      </c>
      <c r="K2649" s="1" t="s">
        <v>7131</v>
      </c>
      <c r="L2649" s="1">
        <v>0.74099999999999999</v>
      </c>
      <c r="M2649" s="1">
        <v>0.66700000000000004</v>
      </c>
      <c r="N2649">
        <v>10</v>
      </c>
      <c r="O2649" s="1">
        <v>-5.4450000000000003</v>
      </c>
      <c r="P2649">
        <v>1</v>
      </c>
      <c r="Q2649" s="1">
        <v>0.13400000000000001</v>
      </c>
      <c r="R2649" s="1">
        <v>0.57499999999999996</v>
      </c>
      <c r="S2649" s="1">
        <v>0</v>
      </c>
      <c r="T2649" s="1">
        <v>0.106</v>
      </c>
      <c r="U2649" s="1">
        <v>0.59499999999999997</v>
      </c>
      <c r="V2649" s="1">
        <v>112.956</v>
      </c>
      <c r="W2649">
        <v>4</v>
      </c>
    </row>
    <row r="2650" spans="1:23" x14ac:dyDescent="0.25">
      <c r="A2650" s="1" t="s">
        <v>19363</v>
      </c>
      <c r="B2650" s="1" t="s">
        <v>19364</v>
      </c>
      <c r="C2650" s="1" t="s">
        <v>7132</v>
      </c>
      <c r="D2650" s="1" t="s">
        <v>18399</v>
      </c>
      <c r="E2650" s="1" t="s">
        <v>7133</v>
      </c>
      <c r="F2650" s="1" t="s">
        <v>11530</v>
      </c>
      <c r="G2650">
        <v>202213</v>
      </c>
      <c r="H2650">
        <v>66</v>
      </c>
      <c r="I2650" s="1" t="s">
        <v>11063</v>
      </c>
      <c r="J2650" s="11">
        <v>44729.706458333334</v>
      </c>
      <c r="K2650" s="1" t="s">
        <v>7134</v>
      </c>
      <c r="L2650" s="1">
        <v>0.68</v>
      </c>
      <c r="M2650" s="1">
        <v>0.85</v>
      </c>
      <c r="N2650">
        <v>10</v>
      </c>
      <c r="O2650" s="1">
        <v>-2.7850000000000001</v>
      </c>
      <c r="P2650">
        <v>1</v>
      </c>
      <c r="Q2650" s="1">
        <v>0.66100000000000003</v>
      </c>
      <c r="R2650" s="1">
        <v>0.20699999999999999</v>
      </c>
      <c r="S2650" s="1">
        <v>0.19800000000000001</v>
      </c>
      <c r="T2650" s="1">
        <v>0.33900000000000002</v>
      </c>
      <c r="U2650" s="1">
        <v>0.71</v>
      </c>
      <c r="V2650" s="1">
        <v>124.94199999999999</v>
      </c>
      <c r="W2650">
        <v>4</v>
      </c>
    </row>
    <row r="2651" spans="1:23" x14ac:dyDescent="0.25">
      <c r="A2651" s="1" t="s">
        <v>19365</v>
      </c>
      <c r="B2651" s="1" t="s">
        <v>11263</v>
      </c>
      <c r="C2651" s="1" t="s">
        <v>7135</v>
      </c>
      <c r="D2651" s="1" t="s">
        <v>18399</v>
      </c>
      <c r="E2651" s="1" t="s">
        <v>64</v>
      </c>
      <c r="F2651" s="1" t="s">
        <v>11530</v>
      </c>
      <c r="G2651">
        <v>229813</v>
      </c>
      <c r="H2651">
        <v>68</v>
      </c>
      <c r="I2651" s="1" t="s">
        <v>11063</v>
      </c>
      <c r="J2651" s="11">
        <v>44729.706458333334</v>
      </c>
      <c r="K2651" s="1" t="s">
        <v>65</v>
      </c>
      <c r="L2651" s="1">
        <v>0.68</v>
      </c>
      <c r="M2651" s="1">
        <v>0.94199999999999995</v>
      </c>
      <c r="N2651">
        <v>9</v>
      </c>
      <c r="O2651" s="1">
        <v>-4.2080000000000002</v>
      </c>
      <c r="P2651">
        <v>1</v>
      </c>
      <c r="Q2651" s="1">
        <v>0.63100000000000001</v>
      </c>
      <c r="R2651" s="1">
        <v>0.17499999999999999</v>
      </c>
      <c r="S2651" s="1">
        <v>0.13</v>
      </c>
      <c r="T2651" s="1">
        <v>0.11700000000000001</v>
      </c>
      <c r="U2651" s="1">
        <v>0.64700000000000002</v>
      </c>
      <c r="V2651" s="1">
        <v>123.976</v>
      </c>
      <c r="W2651">
        <v>4</v>
      </c>
    </row>
    <row r="2652" spans="1:23" x14ac:dyDescent="0.25">
      <c r="A2652" s="1" t="s">
        <v>19366</v>
      </c>
      <c r="B2652" s="1" t="s">
        <v>19367</v>
      </c>
      <c r="C2652" s="1" t="s">
        <v>7136</v>
      </c>
      <c r="D2652" s="1" t="s">
        <v>7136</v>
      </c>
      <c r="E2652" s="1" t="s">
        <v>7137</v>
      </c>
      <c r="F2652" s="1" t="s">
        <v>19368</v>
      </c>
      <c r="G2652">
        <v>183414</v>
      </c>
      <c r="H2652">
        <v>71</v>
      </c>
      <c r="I2652" s="1" t="s">
        <v>11063</v>
      </c>
      <c r="J2652" s="11">
        <v>44729.706458333334</v>
      </c>
      <c r="K2652" s="1" t="s">
        <v>7138</v>
      </c>
      <c r="L2652" s="1">
        <v>0.63200000000000001</v>
      </c>
      <c r="M2652" s="1">
        <v>0.57499999999999996</v>
      </c>
      <c r="N2652">
        <v>5</v>
      </c>
      <c r="O2652" s="1">
        <v>-6.4779999999999998</v>
      </c>
      <c r="P2652">
        <v>1</v>
      </c>
      <c r="Q2652" s="1">
        <v>0.28999999999999998</v>
      </c>
      <c r="R2652" s="1">
        <v>0.22500000000000001</v>
      </c>
      <c r="S2652" s="1">
        <v>0.18099999999999999</v>
      </c>
      <c r="T2652" s="1">
        <v>0.104</v>
      </c>
      <c r="U2652" s="1">
        <v>0.188</v>
      </c>
      <c r="V2652" s="1">
        <v>90.037000000000006</v>
      </c>
      <c r="W2652">
        <v>4</v>
      </c>
    </row>
    <row r="2653" spans="1:23" x14ac:dyDescent="0.25">
      <c r="A2653" s="1" t="s">
        <v>19369</v>
      </c>
      <c r="B2653" s="1" t="s">
        <v>19370</v>
      </c>
      <c r="C2653" s="1" t="s">
        <v>7139</v>
      </c>
      <c r="D2653" s="1" t="s">
        <v>19371</v>
      </c>
      <c r="E2653" s="1" t="s">
        <v>7140</v>
      </c>
      <c r="F2653" s="1" t="s">
        <v>19372</v>
      </c>
      <c r="G2653">
        <v>165440</v>
      </c>
      <c r="H2653">
        <v>69</v>
      </c>
      <c r="I2653" s="1" t="s">
        <v>11063</v>
      </c>
      <c r="J2653" s="11">
        <v>44729.706458333334</v>
      </c>
      <c r="K2653" s="1" t="s">
        <v>7141</v>
      </c>
      <c r="L2653" s="1">
        <v>0.60899999999999999</v>
      </c>
      <c r="M2653" s="1">
        <v>0.88500000000000001</v>
      </c>
      <c r="N2653">
        <v>0</v>
      </c>
      <c r="O2653" s="1">
        <v>-5.4690000000000003</v>
      </c>
      <c r="P2653">
        <v>1</v>
      </c>
      <c r="Q2653" s="1">
        <v>0.64200000000000002</v>
      </c>
      <c r="R2653" s="1">
        <v>0.52100000000000002</v>
      </c>
      <c r="S2653" s="1">
        <v>0.115</v>
      </c>
      <c r="T2653" s="1">
        <v>0.33600000000000002</v>
      </c>
      <c r="U2653" s="1">
        <v>0.76</v>
      </c>
      <c r="V2653" s="1">
        <v>124.959</v>
      </c>
      <c r="W2653">
        <v>4</v>
      </c>
    </row>
    <row r="2654" spans="1:23" x14ac:dyDescent="0.25">
      <c r="A2654" s="1" t="s">
        <v>19373</v>
      </c>
      <c r="B2654" s="1" t="s">
        <v>19374</v>
      </c>
      <c r="C2654" s="1" t="s">
        <v>7142</v>
      </c>
      <c r="D2654" s="1" t="s">
        <v>7142</v>
      </c>
      <c r="E2654" s="1" t="s">
        <v>7143</v>
      </c>
      <c r="F2654" s="1" t="s">
        <v>11704</v>
      </c>
      <c r="G2654">
        <v>203731</v>
      </c>
      <c r="H2654">
        <v>0</v>
      </c>
      <c r="I2654" s="1" t="s">
        <v>11063</v>
      </c>
      <c r="J2654" s="11">
        <v>44729.706458333334</v>
      </c>
      <c r="K2654" s="1" t="s">
        <v>6777</v>
      </c>
      <c r="L2654" s="1">
        <v>0.65400000000000003</v>
      </c>
      <c r="M2654" s="1">
        <v>0.83899999999999997</v>
      </c>
      <c r="N2654">
        <v>7</v>
      </c>
      <c r="O2654" s="1">
        <v>-4.2480000000000002</v>
      </c>
      <c r="P2654">
        <v>1</v>
      </c>
      <c r="Q2654" s="1">
        <v>0.437</v>
      </c>
      <c r="R2654" s="1">
        <v>0.65700000000000003</v>
      </c>
      <c r="S2654" s="1">
        <v>0.151</v>
      </c>
      <c r="T2654" s="1">
        <v>0.309</v>
      </c>
      <c r="U2654" s="1">
        <v>0.80600000000000005</v>
      </c>
      <c r="V2654" s="1">
        <v>134.018</v>
      </c>
      <c r="W2654">
        <v>4</v>
      </c>
    </row>
    <row r="2655" spans="1:23" x14ac:dyDescent="0.25">
      <c r="A2655" s="1" t="s">
        <v>19375</v>
      </c>
      <c r="B2655" s="1" t="s">
        <v>19376</v>
      </c>
      <c r="C2655" s="1" t="s">
        <v>7144</v>
      </c>
      <c r="D2655" s="1" t="s">
        <v>19377</v>
      </c>
      <c r="E2655" s="1" t="s">
        <v>7145</v>
      </c>
      <c r="F2655" s="1" t="s">
        <v>14510</v>
      </c>
      <c r="G2655">
        <v>251033</v>
      </c>
      <c r="H2655">
        <v>78</v>
      </c>
      <c r="I2655" s="1" t="s">
        <v>11063</v>
      </c>
      <c r="J2655" s="11">
        <v>44729.706458333334</v>
      </c>
      <c r="K2655" s="1" t="s">
        <v>7146</v>
      </c>
      <c r="L2655" s="1">
        <v>0.49199999999999999</v>
      </c>
      <c r="M2655" s="1">
        <v>0.27500000000000002</v>
      </c>
      <c r="N2655">
        <v>6</v>
      </c>
      <c r="O2655" s="1">
        <v>-13.4</v>
      </c>
      <c r="P2655">
        <v>0</v>
      </c>
      <c r="Q2655" s="1">
        <v>0.3</v>
      </c>
      <c r="R2655" s="1">
        <v>0.68700000000000006</v>
      </c>
      <c r="S2655" s="1">
        <v>0</v>
      </c>
      <c r="T2655" s="1">
        <v>0.10100000000000001</v>
      </c>
      <c r="U2655" s="1">
        <v>0.18</v>
      </c>
      <c r="V2655" s="1">
        <v>92.6</v>
      </c>
      <c r="W2655">
        <v>4</v>
      </c>
    </row>
    <row r="2656" spans="1:23" x14ac:dyDescent="0.25">
      <c r="A2656" s="1" t="s">
        <v>19378</v>
      </c>
      <c r="B2656" s="1" t="s">
        <v>13957</v>
      </c>
      <c r="C2656" s="1" t="s">
        <v>6297</v>
      </c>
      <c r="D2656" s="1" t="s">
        <v>18925</v>
      </c>
      <c r="E2656" s="1" t="s">
        <v>2360</v>
      </c>
      <c r="F2656" s="1" t="s">
        <v>18926</v>
      </c>
      <c r="G2656">
        <v>197436</v>
      </c>
      <c r="H2656">
        <v>82</v>
      </c>
      <c r="I2656" s="1" t="s">
        <v>11063</v>
      </c>
      <c r="J2656" s="11">
        <v>44729.706458333334</v>
      </c>
      <c r="K2656" s="1" t="s">
        <v>2361</v>
      </c>
      <c r="L2656" s="1">
        <v>0.752</v>
      </c>
      <c r="M2656" s="1">
        <v>0.505</v>
      </c>
      <c r="N2656">
        <v>9</v>
      </c>
      <c r="O2656" s="1">
        <v>-7.6210000000000004</v>
      </c>
      <c r="P2656">
        <v>1</v>
      </c>
      <c r="Q2656" s="1">
        <v>0.253</v>
      </c>
      <c r="R2656" s="1">
        <v>0.53500000000000003</v>
      </c>
      <c r="S2656" s="1">
        <v>0.255</v>
      </c>
      <c r="T2656" s="1">
        <v>0.104</v>
      </c>
      <c r="U2656" s="1">
        <v>0.41899999999999998</v>
      </c>
      <c r="V2656" s="1">
        <v>91.97</v>
      </c>
      <c r="W2656">
        <v>4</v>
      </c>
    </row>
    <row r="2657" spans="1:23" x14ac:dyDescent="0.25">
      <c r="A2657" s="1" t="s">
        <v>19379</v>
      </c>
      <c r="B2657" s="1" t="s">
        <v>19380</v>
      </c>
      <c r="C2657" s="1" t="s">
        <v>7147</v>
      </c>
      <c r="D2657" s="1" t="s">
        <v>7147</v>
      </c>
      <c r="E2657" s="1" t="s">
        <v>7148</v>
      </c>
      <c r="F2657" s="1" t="s">
        <v>19381</v>
      </c>
      <c r="G2657">
        <v>162582</v>
      </c>
      <c r="H2657">
        <v>2</v>
      </c>
      <c r="I2657" s="1" t="s">
        <v>11063</v>
      </c>
      <c r="J2657" s="11">
        <v>44729.706458333334</v>
      </c>
      <c r="K2657" s="1" t="s">
        <v>7149</v>
      </c>
      <c r="L2657" s="1">
        <v>0.59899999999999998</v>
      </c>
      <c r="M2657" s="1">
        <v>0.73299999999999998</v>
      </c>
      <c r="N2657">
        <v>11</v>
      </c>
      <c r="O2657" s="1">
        <v>-7.0579999999999998</v>
      </c>
      <c r="P2657">
        <v>1</v>
      </c>
      <c r="Q2657" s="1">
        <v>0.20300000000000001</v>
      </c>
      <c r="R2657" s="1">
        <v>0.17599999999999999</v>
      </c>
      <c r="S2657" s="1">
        <v>0</v>
      </c>
      <c r="T2657" s="1">
        <v>0.24199999999999999</v>
      </c>
      <c r="U2657" s="1">
        <v>0.53400000000000003</v>
      </c>
      <c r="V2657" s="1">
        <v>102.211</v>
      </c>
      <c r="W2657">
        <v>4</v>
      </c>
    </row>
    <row r="2658" spans="1:23" x14ac:dyDescent="0.25">
      <c r="A2658" s="1" t="s">
        <v>19382</v>
      </c>
      <c r="B2658" s="1" t="s">
        <v>19383</v>
      </c>
      <c r="C2658" s="1" t="s">
        <v>7150</v>
      </c>
      <c r="D2658" s="1" t="s">
        <v>19384</v>
      </c>
      <c r="E2658" s="1" t="s">
        <v>7151</v>
      </c>
      <c r="F2658" s="1" t="s">
        <v>16694</v>
      </c>
      <c r="G2658">
        <v>200409</v>
      </c>
      <c r="H2658">
        <v>36</v>
      </c>
      <c r="I2658" s="1" t="s">
        <v>11063</v>
      </c>
      <c r="J2658" s="11">
        <v>44729.706458333334</v>
      </c>
      <c r="K2658" s="1" t="s">
        <v>7152</v>
      </c>
      <c r="L2658" s="1">
        <v>0.5</v>
      </c>
      <c r="M2658" s="1">
        <v>0.63900000000000001</v>
      </c>
      <c r="N2658">
        <v>6</v>
      </c>
      <c r="O2658" s="1">
        <v>-5.4489999999999998</v>
      </c>
      <c r="P2658">
        <v>1</v>
      </c>
      <c r="Q2658" s="1">
        <v>0.45</v>
      </c>
      <c r="R2658" s="1">
        <v>0.435</v>
      </c>
      <c r="S2658" s="1">
        <v>0.69199999999999995</v>
      </c>
      <c r="T2658" s="1">
        <v>0.17599999999999999</v>
      </c>
      <c r="U2658" s="1">
        <v>0.29099999999999998</v>
      </c>
      <c r="V2658" s="1">
        <v>138.435</v>
      </c>
      <c r="W2658">
        <v>4</v>
      </c>
    </row>
    <row r="2659" spans="1:23" x14ac:dyDescent="0.25">
      <c r="A2659" s="1" t="s">
        <v>19385</v>
      </c>
      <c r="B2659" s="1" t="s">
        <v>19386</v>
      </c>
      <c r="C2659" s="1" t="s">
        <v>7153</v>
      </c>
      <c r="D2659" s="1" t="s">
        <v>11375</v>
      </c>
      <c r="E2659" s="1" t="s">
        <v>7154</v>
      </c>
      <c r="F2659" s="1" t="s">
        <v>19387</v>
      </c>
      <c r="G2659">
        <v>251871</v>
      </c>
      <c r="H2659">
        <v>42</v>
      </c>
      <c r="I2659" s="1" t="s">
        <v>11063</v>
      </c>
      <c r="J2659" s="11">
        <v>44729.706458333334</v>
      </c>
      <c r="K2659" s="1" t="s">
        <v>7155</v>
      </c>
      <c r="L2659" s="1">
        <v>0.19800000000000001</v>
      </c>
      <c r="M2659" s="1">
        <v>0.47699999999999998</v>
      </c>
      <c r="N2659">
        <v>1</v>
      </c>
      <c r="O2659" s="1">
        <v>-10.124000000000001</v>
      </c>
      <c r="P2659">
        <v>0</v>
      </c>
      <c r="Q2659" s="1">
        <v>0.377</v>
      </c>
      <c r="R2659" s="1">
        <v>0.501</v>
      </c>
      <c r="S2659" s="1">
        <v>0.98699999999999999</v>
      </c>
      <c r="T2659" s="1">
        <v>0.77800000000000002</v>
      </c>
      <c r="U2659" s="1">
        <v>0.94799999999999995</v>
      </c>
      <c r="V2659" s="1">
        <v>94.938999999999993</v>
      </c>
      <c r="W2659">
        <v>4</v>
      </c>
    </row>
    <row r="2660" spans="1:23" x14ac:dyDescent="0.25">
      <c r="A2660" s="1" t="s">
        <v>19388</v>
      </c>
      <c r="B2660" s="1" t="s">
        <v>19389</v>
      </c>
      <c r="C2660" s="1" t="s">
        <v>6649</v>
      </c>
      <c r="D2660" s="1" t="s">
        <v>6649</v>
      </c>
      <c r="E2660" s="1" t="s">
        <v>7156</v>
      </c>
      <c r="F2660" s="1" t="s">
        <v>19390</v>
      </c>
      <c r="G2660">
        <v>247853</v>
      </c>
      <c r="H2660">
        <v>37</v>
      </c>
      <c r="I2660" s="1" t="s">
        <v>11063</v>
      </c>
      <c r="J2660" s="11">
        <v>44729.706458333334</v>
      </c>
      <c r="K2660" s="1" t="s">
        <v>50</v>
      </c>
      <c r="L2660" s="1">
        <v>0.48699999999999999</v>
      </c>
      <c r="M2660" s="1">
        <v>0.36799999999999999</v>
      </c>
      <c r="N2660">
        <v>1</v>
      </c>
      <c r="O2660" s="1">
        <v>-11.122999999999999</v>
      </c>
      <c r="P2660">
        <v>0</v>
      </c>
      <c r="Q2660" s="1">
        <v>0.3</v>
      </c>
      <c r="R2660" s="1">
        <v>0.60799999999999998</v>
      </c>
      <c r="S2660" s="1">
        <v>0.40200000000000002</v>
      </c>
      <c r="T2660" s="1">
        <v>0.125</v>
      </c>
      <c r="U2660" s="1">
        <v>0.378</v>
      </c>
      <c r="V2660" s="1">
        <v>95.034999999999997</v>
      </c>
      <c r="W2660">
        <v>4</v>
      </c>
    </row>
    <row r="2661" spans="1:23" x14ac:dyDescent="0.25">
      <c r="A2661" s="1" t="s">
        <v>19391</v>
      </c>
      <c r="B2661" s="1" t="s">
        <v>14778</v>
      </c>
      <c r="C2661" s="1" t="s">
        <v>3064</v>
      </c>
      <c r="D2661" s="1" t="s">
        <v>3064</v>
      </c>
      <c r="E2661" s="1" t="s">
        <v>3065</v>
      </c>
      <c r="F2661" s="1" t="s">
        <v>11423</v>
      </c>
      <c r="G2661">
        <v>238991</v>
      </c>
      <c r="H2661">
        <v>0</v>
      </c>
      <c r="I2661" s="1" t="s">
        <v>11063</v>
      </c>
      <c r="J2661" s="11">
        <v>44729.706458333334</v>
      </c>
      <c r="K2661" s="1" t="s">
        <v>3066</v>
      </c>
      <c r="L2661" s="1">
        <v>0.63900000000000001</v>
      </c>
      <c r="M2661" s="1">
        <v>0.68500000000000005</v>
      </c>
      <c r="N2661">
        <v>9</v>
      </c>
      <c r="O2661" s="1">
        <v>-4.5709999999999997</v>
      </c>
      <c r="P2661">
        <v>0</v>
      </c>
      <c r="Q2661" s="1">
        <v>0.49</v>
      </c>
      <c r="R2661" s="1">
        <v>0.105</v>
      </c>
      <c r="S2661" s="1">
        <v>0</v>
      </c>
      <c r="T2661" s="1">
        <v>0.14299999999999999</v>
      </c>
      <c r="U2661" s="1">
        <v>0.36299999999999999</v>
      </c>
      <c r="V2661" s="1">
        <v>110.041</v>
      </c>
      <c r="W2661">
        <v>4</v>
      </c>
    </row>
    <row r="2662" spans="1:23" x14ac:dyDescent="0.25">
      <c r="A2662" s="1" t="s">
        <v>19392</v>
      </c>
      <c r="B2662" s="1" t="s">
        <v>14398</v>
      </c>
      <c r="C2662" s="1" t="s">
        <v>7157</v>
      </c>
      <c r="D2662" s="1" t="s">
        <v>14399</v>
      </c>
      <c r="E2662" s="1" t="s">
        <v>2740</v>
      </c>
      <c r="F2662" s="1" t="s">
        <v>14045</v>
      </c>
      <c r="G2662">
        <v>270000</v>
      </c>
      <c r="H2662">
        <v>0</v>
      </c>
      <c r="I2662" s="1" t="s">
        <v>11063</v>
      </c>
      <c r="J2662" s="11">
        <v>44729.706458333334</v>
      </c>
      <c r="K2662" s="1" t="s">
        <v>2741</v>
      </c>
      <c r="L2662" s="1">
        <v>0.69899999999999995</v>
      </c>
      <c r="M2662" s="1">
        <v>0.69199999999999995</v>
      </c>
      <c r="N2662">
        <v>6</v>
      </c>
      <c r="O2662" s="1">
        <v>-8.218</v>
      </c>
      <c r="P2662">
        <v>0</v>
      </c>
      <c r="Q2662" s="1">
        <v>0.33200000000000002</v>
      </c>
      <c r="R2662" s="1">
        <v>0.56699999999999995</v>
      </c>
      <c r="S2662" s="1">
        <v>0.161</v>
      </c>
      <c r="T2662" s="1">
        <v>0.129</v>
      </c>
      <c r="U2662" s="1">
        <v>0.60899999999999999</v>
      </c>
      <c r="V2662" s="1">
        <v>121.863</v>
      </c>
      <c r="W2662">
        <v>4</v>
      </c>
    </row>
    <row r="2663" spans="1:23" x14ac:dyDescent="0.25">
      <c r="A2663" s="1" t="s">
        <v>19393</v>
      </c>
      <c r="B2663" s="1" t="s">
        <v>13615</v>
      </c>
      <c r="C2663" s="1" t="s">
        <v>7158</v>
      </c>
      <c r="D2663" s="1" t="s">
        <v>19394</v>
      </c>
      <c r="E2663" s="1" t="s">
        <v>2062</v>
      </c>
      <c r="F2663" s="1" t="s">
        <v>15035</v>
      </c>
      <c r="G2663">
        <v>183466</v>
      </c>
      <c r="H2663">
        <v>55</v>
      </c>
      <c r="I2663" s="1" t="s">
        <v>11063</v>
      </c>
      <c r="J2663" s="11">
        <v>44729.706458333334</v>
      </c>
      <c r="K2663" s="1" t="s">
        <v>2063</v>
      </c>
      <c r="L2663" s="1">
        <v>0.47</v>
      </c>
      <c r="M2663" s="1">
        <v>0.72699999999999998</v>
      </c>
      <c r="N2663">
        <v>7</v>
      </c>
      <c r="O2663" s="1">
        <v>-5.7519999999999998</v>
      </c>
      <c r="P2663">
        <v>1</v>
      </c>
      <c r="Q2663" s="1">
        <v>0.13100000000000001</v>
      </c>
      <c r="R2663" s="1">
        <v>0.159</v>
      </c>
      <c r="S2663" s="1">
        <v>0</v>
      </c>
      <c r="T2663" s="1">
        <v>0.15</v>
      </c>
      <c r="U2663" s="1">
        <v>0.63</v>
      </c>
      <c r="V2663" s="1">
        <v>99.465000000000003</v>
      </c>
      <c r="W2663">
        <v>4</v>
      </c>
    </row>
    <row r="2664" spans="1:23" x14ac:dyDescent="0.25">
      <c r="A2664" s="1" t="s">
        <v>19395</v>
      </c>
      <c r="B2664" s="1" t="s">
        <v>19396</v>
      </c>
      <c r="C2664" s="1" t="s">
        <v>7159</v>
      </c>
      <c r="D2664" s="1" t="s">
        <v>19394</v>
      </c>
      <c r="E2664" s="1" t="s">
        <v>7160</v>
      </c>
      <c r="F2664" s="1" t="s">
        <v>15035</v>
      </c>
      <c r="G2664">
        <v>205026</v>
      </c>
      <c r="H2664">
        <v>55</v>
      </c>
      <c r="I2664" s="1" t="s">
        <v>11063</v>
      </c>
      <c r="J2664" s="11">
        <v>44729.706458333334</v>
      </c>
      <c r="K2664" s="1" t="s">
        <v>7161</v>
      </c>
      <c r="L2664" s="1">
        <v>0.48499999999999999</v>
      </c>
      <c r="M2664" s="1">
        <v>0.91</v>
      </c>
      <c r="N2664">
        <v>9</v>
      </c>
      <c r="O2664" s="1">
        <v>-2.0960000000000001</v>
      </c>
      <c r="P2664">
        <v>1</v>
      </c>
      <c r="Q2664" s="1">
        <v>0.97699999999999998</v>
      </c>
      <c r="R2664" s="1">
        <v>0.113</v>
      </c>
      <c r="S2664" s="1">
        <v>0</v>
      </c>
      <c r="T2664" s="1">
        <v>0.13800000000000001</v>
      </c>
      <c r="U2664" s="1">
        <v>0.64900000000000002</v>
      </c>
      <c r="V2664" s="1">
        <v>124.18</v>
      </c>
      <c r="W2664">
        <v>4</v>
      </c>
    </row>
    <row r="2665" spans="1:23" x14ac:dyDescent="0.25">
      <c r="A2665" s="1" t="s">
        <v>19397</v>
      </c>
      <c r="B2665" s="1" t="s">
        <v>19398</v>
      </c>
      <c r="C2665" s="1" t="s">
        <v>7162</v>
      </c>
      <c r="D2665" s="1" t="s">
        <v>19399</v>
      </c>
      <c r="E2665" s="1" t="s">
        <v>7163</v>
      </c>
      <c r="F2665" s="1" t="s">
        <v>15512</v>
      </c>
      <c r="G2665">
        <v>181040</v>
      </c>
      <c r="H2665">
        <v>47</v>
      </c>
      <c r="I2665" s="1" t="s">
        <v>11063</v>
      </c>
      <c r="J2665" s="11">
        <v>44729.706458333334</v>
      </c>
      <c r="K2665" s="1" t="s">
        <v>7164</v>
      </c>
      <c r="L2665" s="1">
        <v>0.621</v>
      </c>
      <c r="M2665" s="1">
        <v>0.89800000000000002</v>
      </c>
      <c r="N2665">
        <v>10</v>
      </c>
      <c r="O2665" s="1">
        <v>-4.569</v>
      </c>
      <c r="P2665">
        <v>1</v>
      </c>
      <c r="Q2665" s="1">
        <v>0.40100000000000002</v>
      </c>
      <c r="R2665" s="1">
        <v>0.97599999999999998</v>
      </c>
      <c r="S2665" s="1">
        <v>0.108</v>
      </c>
      <c r="T2665" s="1">
        <v>0.40400000000000003</v>
      </c>
      <c r="U2665" s="1">
        <v>0.33200000000000002</v>
      </c>
      <c r="V2665" s="1">
        <v>124.018</v>
      </c>
      <c r="W2665">
        <v>4</v>
      </c>
    </row>
    <row r="2666" spans="1:23" x14ac:dyDescent="0.25">
      <c r="A2666" s="1" t="s">
        <v>19400</v>
      </c>
      <c r="B2666" s="1" t="s">
        <v>13615</v>
      </c>
      <c r="C2666" s="1" t="s">
        <v>7165</v>
      </c>
      <c r="D2666" s="1" t="s">
        <v>19401</v>
      </c>
      <c r="E2666" s="1" t="s">
        <v>2062</v>
      </c>
      <c r="F2666" s="1" t="s">
        <v>19402</v>
      </c>
      <c r="G2666">
        <v>203133</v>
      </c>
      <c r="H2666">
        <v>64</v>
      </c>
      <c r="I2666" s="1" t="s">
        <v>11063</v>
      </c>
      <c r="J2666" s="11">
        <v>44729.706458333334</v>
      </c>
      <c r="K2666" s="1" t="s">
        <v>2063</v>
      </c>
      <c r="L2666" s="1">
        <v>0.70799999999999996</v>
      </c>
      <c r="M2666" s="1">
        <v>0.94499999999999995</v>
      </c>
      <c r="N2666">
        <v>5</v>
      </c>
      <c r="O2666" s="1">
        <v>-3.2469999999999999</v>
      </c>
      <c r="P2666">
        <v>0</v>
      </c>
      <c r="Q2666" s="1">
        <v>0.23400000000000001</v>
      </c>
      <c r="R2666" s="1">
        <v>0.104</v>
      </c>
      <c r="S2666" s="1">
        <v>0.80300000000000005</v>
      </c>
      <c r="T2666" s="1">
        <v>0.22700000000000001</v>
      </c>
      <c r="U2666" s="1">
        <v>0.54500000000000004</v>
      </c>
      <c r="V2666" s="1">
        <v>127.96</v>
      </c>
      <c r="W2666">
        <v>4</v>
      </c>
    </row>
    <row r="2667" spans="1:23" x14ac:dyDescent="0.25">
      <c r="A2667" s="1" t="s">
        <v>19403</v>
      </c>
      <c r="B2667" s="1" t="s">
        <v>13615</v>
      </c>
      <c r="C2667" s="1" t="s">
        <v>7166</v>
      </c>
      <c r="D2667" s="1" t="s">
        <v>19401</v>
      </c>
      <c r="E2667" s="1" t="s">
        <v>2062</v>
      </c>
      <c r="F2667" s="1" t="s">
        <v>19402</v>
      </c>
      <c r="G2667">
        <v>227073</v>
      </c>
      <c r="H2667">
        <v>75</v>
      </c>
      <c r="I2667" s="1" t="s">
        <v>11063</v>
      </c>
      <c r="J2667" s="11">
        <v>44729.706458333334</v>
      </c>
      <c r="K2667" s="1" t="s">
        <v>2063</v>
      </c>
      <c r="L2667" s="1">
        <v>0.50600000000000001</v>
      </c>
      <c r="M2667" s="1">
        <v>0.80500000000000005</v>
      </c>
      <c r="N2667">
        <v>1</v>
      </c>
      <c r="O2667" s="1">
        <v>-4.1189999999999998</v>
      </c>
      <c r="P2667">
        <v>1</v>
      </c>
      <c r="Q2667" s="1">
        <v>0.46899999999999997</v>
      </c>
      <c r="R2667" s="1">
        <v>0.71099999999999997</v>
      </c>
      <c r="S2667" s="1">
        <v>0.193</v>
      </c>
      <c r="T2667" s="1">
        <v>0.85599999999999998</v>
      </c>
      <c r="U2667" s="1">
        <v>0.38300000000000001</v>
      </c>
      <c r="V2667" s="1">
        <v>126.008</v>
      </c>
      <c r="W2667">
        <v>4</v>
      </c>
    </row>
    <row r="2668" spans="1:23" x14ac:dyDescent="0.25">
      <c r="A2668" s="1" t="s">
        <v>19404</v>
      </c>
      <c r="B2668" s="1" t="s">
        <v>13615</v>
      </c>
      <c r="C2668" s="1" t="s">
        <v>6938</v>
      </c>
      <c r="D2668" s="1" t="s">
        <v>19394</v>
      </c>
      <c r="E2668" s="1" t="s">
        <v>2062</v>
      </c>
      <c r="F2668" s="1" t="s">
        <v>15035</v>
      </c>
      <c r="G2668">
        <v>191293</v>
      </c>
      <c r="H2668">
        <v>69</v>
      </c>
      <c r="I2668" s="1" t="s">
        <v>11063</v>
      </c>
      <c r="J2668" s="11">
        <v>44729.706458333334</v>
      </c>
      <c r="K2668" s="1" t="s">
        <v>2063</v>
      </c>
      <c r="L2668" s="1">
        <v>0.67400000000000004</v>
      </c>
      <c r="M2668" s="1">
        <v>0.91500000000000004</v>
      </c>
      <c r="N2668">
        <v>6</v>
      </c>
      <c r="O2668" s="1">
        <v>-3.9990000000000001</v>
      </c>
      <c r="P2668">
        <v>0</v>
      </c>
      <c r="Q2668" s="1">
        <v>0.41099999999999998</v>
      </c>
      <c r="R2668" s="1">
        <v>0.28199999999999997</v>
      </c>
      <c r="S2668" s="1">
        <v>0.33700000000000002</v>
      </c>
      <c r="T2668" s="1">
        <v>0.27300000000000002</v>
      </c>
      <c r="U2668" s="1">
        <v>0.78</v>
      </c>
      <c r="V2668" s="1">
        <v>126.038</v>
      </c>
      <c r="W2668">
        <v>4</v>
      </c>
    </row>
    <row r="2669" spans="1:23" x14ac:dyDescent="0.25">
      <c r="A2669" s="1" t="s">
        <v>19405</v>
      </c>
      <c r="B2669" s="1" t="s">
        <v>19406</v>
      </c>
      <c r="C2669" s="1" t="s">
        <v>7167</v>
      </c>
      <c r="D2669" s="1" t="s">
        <v>7167</v>
      </c>
      <c r="E2669" s="1" t="s">
        <v>7168</v>
      </c>
      <c r="F2669" s="1" t="s">
        <v>17500</v>
      </c>
      <c r="G2669">
        <v>205792</v>
      </c>
      <c r="H2669">
        <v>61</v>
      </c>
      <c r="I2669" s="1" t="s">
        <v>11063</v>
      </c>
      <c r="J2669" s="11">
        <v>44729.706458333334</v>
      </c>
      <c r="K2669" s="1" t="s">
        <v>7169</v>
      </c>
      <c r="L2669" s="1">
        <v>0.65800000000000003</v>
      </c>
      <c r="M2669" s="1">
        <v>0.80400000000000005</v>
      </c>
      <c r="N2669">
        <v>0</v>
      </c>
      <c r="O2669" s="1">
        <v>-5.7350000000000003</v>
      </c>
      <c r="P2669">
        <v>1</v>
      </c>
      <c r="Q2669" s="1">
        <v>0.377</v>
      </c>
      <c r="R2669" s="1">
        <v>0.46300000000000002</v>
      </c>
      <c r="S2669" s="1">
        <v>0</v>
      </c>
      <c r="T2669" s="1">
        <v>0.17799999999999999</v>
      </c>
      <c r="U2669" s="1">
        <v>0.50800000000000001</v>
      </c>
      <c r="V2669" s="1">
        <v>120.047</v>
      </c>
      <c r="W2669">
        <v>4</v>
      </c>
    </row>
    <row r="2670" spans="1:23" x14ac:dyDescent="0.25">
      <c r="A2670" s="1" t="s">
        <v>19407</v>
      </c>
      <c r="B2670" s="1" t="s">
        <v>19408</v>
      </c>
      <c r="C2670" s="1" t="s">
        <v>7170</v>
      </c>
      <c r="D2670" s="1" t="s">
        <v>7170</v>
      </c>
      <c r="E2670" s="1" t="s">
        <v>7171</v>
      </c>
      <c r="F2670" s="1" t="s">
        <v>19409</v>
      </c>
      <c r="G2670">
        <v>172687</v>
      </c>
      <c r="H2670">
        <v>59</v>
      </c>
      <c r="I2670" s="1" t="s">
        <v>11063</v>
      </c>
      <c r="J2670" s="11">
        <v>44729.706458333334</v>
      </c>
      <c r="K2670" s="1" t="s">
        <v>7172</v>
      </c>
      <c r="L2670" s="1">
        <v>0.72099999999999997</v>
      </c>
      <c r="M2670" s="1">
        <v>0.873</v>
      </c>
      <c r="N2670">
        <v>1</v>
      </c>
      <c r="O2670" s="1">
        <v>-4.7409999999999997</v>
      </c>
      <c r="P2670">
        <v>1</v>
      </c>
      <c r="Q2670" s="1">
        <v>0.11899999999999999</v>
      </c>
      <c r="R2670" s="1">
        <v>0.78900000000000003</v>
      </c>
      <c r="S2670" s="1">
        <v>0</v>
      </c>
      <c r="T2670" s="1">
        <v>0.82399999999999995</v>
      </c>
      <c r="U2670" s="1">
        <v>0.55200000000000005</v>
      </c>
      <c r="V2670" s="1">
        <v>79.942999999999998</v>
      </c>
      <c r="W2670">
        <v>4</v>
      </c>
    </row>
    <row r="2671" spans="1:23" x14ac:dyDescent="0.25">
      <c r="A2671" s="1" t="s">
        <v>19410</v>
      </c>
      <c r="B2671" s="1" t="s">
        <v>19411</v>
      </c>
      <c r="C2671" s="1" t="s">
        <v>4701</v>
      </c>
      <c r="D2671" s="1" t="s">
        <v>4701</v>
      </c>
      <c r="E2671" s="1" t="s">
        <v>7173</v>
      </c>
      <c r="F2671" s="1" t="s">
        <v>11665</v>
      </c>
      <c r="G2671">
        <v>193511</v>
      </c>
      <c r="H2671">
        <v>64</v>
      </c>
      <c r="I2671" s="1" t="s">
        <v>11063</v>
      </c>
      <c r="J2671" s="11">
        <v>44729.706458333334</v>
      </c>
      <c r="K2671" s="1" t="s">
        <v>7174</v>
      </c>
      <c r="L2671" s="1">
        <v>0.63300000000000001</v>
      </c>
      <c r="M2671" s="1">
        <v>0.59199999999999997</v>
      </c>
      <c r="N2671">
        <v>0</v>
      </c>
      <c r="O2671" s="1">
        <v>-7.2450000000000001</v>
      </c>
      <c r="P2671">
        <v>0</v>
      </c>
      <c r="Q2671" s="1">
        <v>0.112</v>
      </c>
      <c r="R2671" s="1">
        <v>0.19700000000000001</v>
      </c>
      <c r="S2671" s="1">
        <v>0</v>
      </c>
      <c r="T2671" s="1">
        <v>0.99</v>
      </c>
      <c r="U2671" s="1">
        <v>0.67900000000000005</v>
      </c>
      <c r="V2671" s="1">
        <v>90.066000000000003</v>
      </c>
      <c r="W2671">
        <v>4</v>
      </c>
    </row>
    <row r="2672" spans="1:23" x14ac:dyDescent="0.25">
      <c r="A2672" s="1" t="s">
        <v>19412</v>
      </c>
      <c r="B2672" s="1" t="s">
        <v>14915</v>
      </c>
      <c r="C2672" s="1" t="s">
        <v>7175</v>
      </c>
      <c r="D2672" s="1" t="s">
        <v>19413</v>
      </c>
      <c r="E2672" s="1" t="s">
        <v>3192</v>
      </c>
      <c r="F2672" s="1" t="s">
        <v>11471</v>
      </c>
      <c r="G2672">
        <v>231211</v>
      </c>
      <c r="H2672">
        <v>71</v>
      </c>
      <c r="I2672" s="1" t="s">
        <v>11063</v>
      </c>
      <c r="J2672" s="11">
        <v>44729.706458333334</v>
      </c>
      <c r="K2672" s="1" t="s">
        <v>3193</v>
      </c>
      <c r="L2672" s="1">
        <v>0.55900000000000005</v>
      </c>
      <c r="M2672" s="1">
        <v>0.77700000000000002</v>
      </c>
      <c r="N2672">
        <v>1</v>
      </c>
      <c r="O2672" s="1">
        <v>-5.0309999999999997</v>
      </c>
      <c r="P2672">
        <v>1</v>
      </c>
      <c r="Q2672" s="1">
        <v>0.432</v>
      </c>
      <c r="R2672" s="1">
        <v>0.31</v>
      </c>
      <c r="S2672" s="1">
        <v>0</v>
      </c>
      <c r="T2672" s="1">
        <v>0.105</v>
      </c>
      <c r="U2672" s="1">
        <v>0.32900000000000001</v>
      </c>
      <c r="V2672" s="1">
        <v>87.016000000000005</v>
      </c>
      <c r="W2672">
        <v>4</v>
      </c>
    </row>
    <row r="2673" spans="1:23" x14ac:dyDescent="0.25">
      <c r="A2673" s="1" t="s">
        <v>19414</v>
      </c>
      <c r="B2673" s="1" t="s">
        <v>14915</v>
      </c>
      <c r="C2673" s="1" t="s">
        <v>7176</v>
      </c>
      <c r="D2673" s="1" t="s">
        <v>19415</v>
      </c>
      <c r="E2673" s="1" t="s">
        <v>3192</v>
      </c>
      <c r="F2673" s="1" t="s">
        <v>16886</v>
      </c>
      <c r="G2673">
        <v>252534</v>
      </c>
      <c r="H2673">
        <v>79</v>
      </c>
      <c r="I2673" s="1" t="s">
        <v>11063</v>
      </c>
      <c r="J2673" s="11">
        <v>44729.706458333334</v>
      </c>
      <c r="K2673" s="1" t="s">
        <v>3193</v>
      </c>
      <c r="L2673" s="1">
        <v>0.26200000000000001</v>
      </c>
      <c r="M2673" s="1">
        <v>0.60599999999999998</v>
      </c>
      <c r="N2673">
        <v>8</v>
      </c>
      <c r="O2673" s="1">
        <v>-6.6459999999999999</v>
      </c>
      <c r="P2673">
        <v>1</v>
      </c>
      <c r="Q2673" s="1">
        <v>0.48399999999999999</v>
      </c>
      <c r="R2673" s="1">
        <v>0.247</v>
      </c>
      <c r="S2673" s="1">
        <v>0</v>
      </c>
      <c r="T2673" s="1">
        <v>0.125</v>
      </c>
      <c r="U2673" s="1">
        <v>0.27500000000000002</v>
      </c>
      <c r="V2673" s="1">
        <v>189.857</v>
      </c>
      <c r="W2673">
        <v>4</v>
      </c>
    </row>
    <row r="2674" spans="1:23" x14ac:dyDescent="0.25">
      <c r="A2674" s="1" t="s">
        <v>19416</v>
      </c>
      <c r="B2674" s="1" t="s">
        <v>19417</v>
      </c>
      <c r="C2674" s="1" t="s">
        <v>7177</v>
      </c>
      <c r="D2674" s="1" t="s">
        <v>7177</v>
      </c>
      <c r="E2674" s="1" t="s">
        <v>7178</v>
      </c>
      <c r="F2674" s="1" t="s">
        <v>19418</v>
      </c>
      <c r="G2674">
        <v>186223</v>
      </c>
      <c r="H2674">
        <v>74</v>
      </c>
      <c r="I2674" s="1" t="s">
        <v>11063</v>
      </c>
      <c r="J2674" s="11">
        <v>44729.706458333334</v>
      </c>
      <c r="K2674" s="1" t="s">
        <v>7179</v>
      </c>
      <c r="L2674" s="1">
        <v>0.65700000000000003</v>
      </c>
      <c r="M2674" s="1">
        <v>0.76800000000000002</v>
      </c>
      <c r="N2674">
        <v>8</v>
      </c>
      <c r="O2674" s="1">
        <v>-4.6280000000000001</v>
      </c>
      <c r="P2674">
        <v>1</v>
      </c>
      <c r="Q2674" s="1">
        <v>0.50700000000000001</v>
      </c>
      <c r="R2674" s="1">
        <v>0.108</v>
      </c>
      <c r="S2674" s="1">
        <v>0</v>
      </c>
      <c r="T2674" s="1">
        <v>0.14399999999999999</v>
      </c>
      <c r="U2674" s="1">
        <v>0.75900000000000001</v>
      </c>
      <c r="V2674" s="1">
        <v>75.025000000000006</v>
      </c>
      <c r="W2674">
        <v>4</v>
      </c>
    </row>
    <row r="2675" spans="1:23" x14ac:dyDescent="0.25">
      <c r="A2675" s="1" t="s">
        <v>19419</v>
      </c>
      <c r="B2675" s="1" t="s">
        <v>19420</v>
      </c>
      <c r="C2675" s="1" t="s">
        <v>7180</v>
      </c>
      <c r="D2675" s="1" t="s">
        <v>7180</v>
      </c>
      <c r="E2675" s="1" t="s">
        <v>7181</v>
      </c>
      <c r="F2675" s="1" t="s">
        <v>19421</v>
      </c>
      <c r="G2675">
        <v>247520</v>
      </c>
      <c r="H2675">
        <v>62</v>
      </c>
      <c r="I2675" s="1" t="s">
        <v>11063</v>
      </c>
      <c r="J2675" s="11">
        <v>44729.706458333334</v>
      </c>
      <c r="K2675" s="1" t="s">
        <v>924</v>
      </c>
      <c r="L2675" s="1">
        <v>0.72499999999999998</v>
      </c>
      <c r="M2675" s="1">
        <v>0.68</v>
      </c>
      <c r="N2675">
        <v>8</v>
      </c>
      <c r="O2675" s="1">
        <v>-5.4649999999999999</v>
      </c>
      <c r="P2675">
        <v>1</v>
      </c>
      <c r="Q2675" s="1">
        <v>0.30599999999999999</v>
      </c>
      <c r="R2675" s="1">
        <v>0.16200000000000001</v>
      </c>
      <c r="S2675" s="1">
        <v>0.21299999999999999</v>
      </c>
      <c r="T2675" s="1">
        <v>0.158</v>
      </c>
      <c r="U2675" s="1">
        <v>0.76</v>
      </c>
      <c r="V2675" s="1">
        <v>119.93899999999999</v>
      </c>
      <c r="W2675">
        <v>4</v>
      </c>
    </row>
    <row r="2676" spans="1:23" x14ac:dyDescent="0.25">
      <c r="A2676" s="1" t="s">
        <v>19422</v>
      </c>
      <c r="B2676" s="1" t="s">
        <v>19423</v>
      </c>
      <c r="C2676" s="1" t="s">
        <v>7182</v>
      </c>
      <c r="D2676" s="1" t="s">
        <v>19424</v>
      </c>
      <c r="E2676" s="1" t="s">
        <v>7183</v>
      </c>
      <c r="F2676" s="1" t="s">
        <v>19425</v>
      </c>
      <c r="G2676">
        <v>208133</v>
      </c>
      <c r="H2676">
        <v>3</v>
      </c>
      <c r="I2676" s="1" t="s">
        <v>11063</v>
      </c>
      <c r="J2676" s="11">
        <v>44729.706458333334</v>
      </c>
      <c r="K2676" s="1" t="s">
        <v>7184</v>
      </c>
      <c r="L2676" s="1">
        <v>0.82899999999999996</v>
      </c>
      <c r="M2676" s="1">
        <v>0.51</v>
      </c>
      <c r="N2676">
        <v>5</v>
      </c>
      <c r="O2676" s="1">
        <v>-9.3339999999999996</v>
      </c>
      <c r="P2676">
        <v>0</v>
      </c>
      <c r="Q2676" s="1">
        <v>0.36899999999999999</v>
      </c>
      <c r="R2676" s="1">
        <v>0.82099999999999995</v>
      </c>
      <c r="S2676" s="1">
        <v>0.14000000000000001</v>
      </c>
      <c r="T2676" s="1">
        <v>0.82899999999999996</v>
      </c>
      <c r="U2676" s="1">
        <v>0.45</v>
      </c>
      <c r="V2676" s="1">
        <v>119.99299999999999</v>
      </c>
      <c r="W2676">
        <v>4</v>
      </c>
    </row>
    <row r="2677" spans="1:23" x14ac:dyDescent="0.25">
      <c r="A2677" s="1" t="s">
        <v>19426</v>
      </c>
      <c r="B2677" s="1" t="s">
        <v>16563</v>
      </c>
      <c r="C2677" s="1" t="s">
        <v>7185</v>
      </c>
      <c r="D2677" s="1" t="s">
        <v>7185</v>
      </c>
      <c r="E2677" s="1" t="s">
        <v>4614</v>
      </c>
      <c r="F2677" s="1" t="s">
        <v>14780</v>
      </c>
      <c r="G2677">
        <v>156839</v>
      </c>
      <c r="H2677">
        <v>46</v>
      </c>
      <c r="I2677" s="1" t="s">
        <v>11063</v>
      </c>
      <c r="J2677" s="11">
        <v>44729.706458333334</v>
      </c>
      <c r="K2677" s="1" t="s">
        <v>4615</v>
      </c>
      <c r="L2677" s="1">
        <v>0.65400000000000003</v>
      </c>
      <c r="M2677" s="1">
        <v>0.78200000000000003</v>
      </c>
      <c r="N2677">
        <v>4</v>
      </c>
      <c r="O2677" s="1">
        <v>-5.1790000000000003</v>
      </c>
      <c r="P2677">
        <v>0</v>
      </c>
      <c r="Q2677" s="1">
        <v>0.49399999999999999</v>
      </c>
      <c r="R2677" s="1">
        <v>0.66800000000000004</v>
      </c>
      <c r="S2677" s="1">
        <v>0</v>
      </c>
      <c r="T2677" s="1">
        <v>0.30299999999999999</v>
      </c>
      <c r="U2677" s="1">
        <v>0.34899999999999998</v>
      </c>
      <c r="V2677" s="1">
        <v>150.078</v>
      </c>
      <c r="W2677">
        <v>4</v>
      </c>
    </row>
    <row r="2678" spans="1:23" x14ac:dyDescent="0.25">
      <c r="A2678" s="1" t="s">
        <v>19427</v>
      </c>
      <c r="B2678" s="1" t="s">
        <v>14151</v>
      </c>
      <c r="C2678" s="1" t="s">
        <v>7186</v>
      </c>
      <c r="D2678" s="1" t="s">
        <v>16035</v>
      </c>
      <c r="E2678" s="1" t="s">
        <v>2524</v>
      </c>
      <c r="F2678" s="1" t="s">
        <v>11340</v>
      </c>
      <c r="G2678">
        <v>215826</v>
      </c>
      <c r="H2678">
        <v>23</v>
      </c>
      <c r="I2678" s="1" t="s">
        <v>11063</v>
      </c>
      <c r="J2678" s="11">
        <v>44729.706458333334</v>
      </c>
      <c r="K2678" s="1" t="s">
        <v>2525</v>
      </c>
      <c r="L2678" s="1">
        <v>0.53500000000000003</v>
      </c>
      <c r="M2678" s="1">
        <v>0.82599999999999996</v>
      </c>
      <c r="N2678">
        <v>7</v>
      </c>
      <c r="O2678" s="1">
        <v>-3.7440000000000002</v>
      </c>
      <c r="P2678">
        <v>0</v>
      </c>
      <c r="Q2678" s="1">
        <v>0.30599999999999999</v>
      </c>
      <c r="R2678" s="1">
        <v>0.26200000000000001</v>
      </c>
      <c r="S2678" s="1">
        <v>0.58899999999999997</v>
      </c>
      <c r="T2678" s="1">
        <v>0.70399999999999996</v>
      </c>
      <c r="U2678" s="1">
        <v>0.36699999999999999</v>
      </c>
      <c r="V2678" s="1">
        <v>145.899</v>
      </c>
      <c r="W2678">
        <v>4</v>
      </c>
    </row>
    <row r="2679" spans="1:23" x14ac:dyDescent="0.25">
      <c r="A2679" s="1" t="s">
        <v>19428</v>
      </c>
      <c r="B2679" s="1" t="s">
        <v>19429</v>
      </c>
      <c r="C2679" s="1" t="s">
        <v>7187</v>
      </c>
      <c r="D2679" s="1" t="s">
        <v>19430</v>
      </c>
      <c r="E2679" s="1" t="s">
        <v>7188</v>
      </c>
      <c r="F2679" s="1" t="s">
        <v>16736</v>
      </c>
      <c r="G2679">
        <v>181714</v>
      </c>
      <c r="H2679">
        <v>30</v>
      </c>
      <c r="I2679" s="1" t="s">
        <v>11063</v>
      </c>
      <c r="J2679" s="11">
        <v>44729.706458333334</v>
      </c>
      <c r="K2679" s="1" t="s">
        <v>7189</v>
      </c>
      <c r="L2679" s="1">
        <v>0.60899999999999999</v>
      </c>
      <c r="M2679" s="1">
        <v>0.55800000000000005</v>
      </c>
      <c r="N2679">
        <v>7</v>
      </c>
      <c r="O2679" s="1">
        <v>-5.9189999999999996</v>
      </c>
      <c r="P2679">
        <v>0</v>
      </c>
      <c r="Q2679" s="1">
        <v>0.54900000000000004</v>
      </c>
      <c r="R2679" s="1">
        <v>0.36699999999999999</v>
      </c>
      <c r="S2679" s="1">
        <v>0</v>
      </c>
      <c r="T2679" s="1">
        <v>0.17299999999999999</v>
      </c>
      <c r="U2679" s="1">
        <v>0.60499999999999998</v>
      </c>
      <c r="V2679" s="1">
        <v>139.91999999999999</v>
      </c>
      <c r="W2679">
        <v>4</v>
      </c>
    </row>
    <row r="2680" spans="1:23" x14ac:dyDescent="0.25">
      <c r="A2680" s="1" t="s">
        <v>19431</v>
      </c>
      <c r="B2680" s="1" t="s">
        <v>19432</v>
      </c>
      <c r="C2680" s="1" t="s">
        <v>7190</v>
      </c>
      <c r="D2680" s="1" t="s">
        <v>19430</v>
      </c>
      <c r="E2680" s="1" t="s">
        <v>7191</v>
      </c>
      <c r="F2680" s="1" t="s">
        <v>16736</v>
      </c>
      <c r="G2680">
        <v>177000</v>
      </c>
      <c r="H2680">
        <v>38</v>
      </c>
      <c r="I2680" s="1" t="s">
        <v>11063</v>
      </c>
      <c r="J2680" s="11">
        <v>44729.706458333334</v>
      </c>
      <c r="K2680" s="1" t="s">
        <v>7192</v>
      </c>
      <c r="L2680" s="1">
        <v>0.65500000000000003</v>
      </c>
      <c r="M2680" s="1">
        <v>0.56899999999999995</v>
      </c>
      <c r="N2680">
        <v>10</v>
      </c>
      <c r="O2680" s="1">
        <v>-6.8559999999999999</v>
      </c>
      <c r="P2680">
        <v>1</v>
      </c>
      <c r="Q2680" s="1">
        <v>0.55200000000000005</v>
      </c>
      <c r="R2680" s="1">
        <v>0.23699999999999999</v>
      </c>
      <c r="S2680" s="1">
        <v>0</v>
      </c>
      <c r="T2680" s="1">
        <v>0.124</v>
      </c>
      <c r="U2680" s="1">
        <v>0.30099999999999999</v>
      </c>
      <c r="V2680" s="1">
        <v>97.855000000000004</v>
      </c>
      <c r="W2680">
        <v>4</v>
      </c>
    </row>
    <row r="2681" spans="1:23" x14ac:dyDescent="0.25">
      <c r="A2681" s="1" t="s">
        <v>19433</v>
      </c>
      <c r="B2681" s="1" t="s">
        <v>19434</v>
      </c>
      <c r="C2681" s="1" t="s">
        <v>6655</v>
      </c>
      <c r="D2681" s="1" t="s">
        <v>19435</v>
      </c>
      <c r="E2681" s="1" t="s">
        <v>7193</v>
      </c>
      <c r="F2681" s="1" t="s">
        <v>18492</v>
      </c>
      <c r="G2681">
        <v>209746</v>
      </c>
      <c r="H2681">
        <v>48</v>
      </c>
      <c r="I2681" s="1" t="s">
        <v>11063</v>
      </c>
      <c r="J2681" s="11">
        <v>44729.706458333334</v>
      </c>
      <c r="K2681" s="1" t="s">
        <v>7194</v>
      </c>
      <c r="L2681" s="1">
        <v>0.68200000000000005</v>
      </c>
      <c r="M2681" s="1">
        <v>0.624</v>
      </c>
      <c r="N2681">
        <v>0</v>
      </c>
      <c r="O2681" s="1">
        <v>-7.5510000000000002</v>
      </c>
      <c r="P2681">
        <v>1</v>
      </c>
      <c r="Q2681" s="1">
        <v>0.77200000000000002</v>
      </c>
      <c r="R2681" s="1">
        <v>0.46700000000000003</v>
      </c>
      <c r="S2681" s="1">
        <v>0.26100000000000001</v>
      </c>
      <c r="T2681" s="1">
        <v>0.88600000000000001</v>
      </c>
      <c r="U2681" s="1">
        <v>0.20200000000000001</v>
      </c>
      <c r="V2681" s="1">
        <v>119.07599999999999</v>
      </c>
      <c r="W2681">
        <v>4</v>
      </c>
    </row>
    <row r="2682" spans="1:23" x14ac:dyDescent="0.25">
      <c r="A2682" s="1" t="s">
        <v>19436</v>
      </c>
      <c r="B2682" s="1" t="s">
        <v>14774</v>
      </c>
      <c r="C2682" s="1" t="s">
        <v>3061</v>
      </c>
      <c r="D2682" s="1" t="s">
        <v>14775</v>
      </c>
      <c r="E2682" s="1" t="s">
        <v>3062</v>
      </c>
      <c r="F2682" s="1" t="s">
        <v>16199</v>
      </c>
      <c r="G2682">
        <v>251813</v>
      </c>
      <c r="H2682">
        <v>0</v>
      </c>
      <c r="I2682" s="1" t="s">
        <v>11063</v>
      </c>
      <c r="J2682" s="11">
        <v>44729.706458333334</v>
      </c>
      <c r="K2682" s="1" t="s">
        <v>3063</v>
      </c>
      <c r="L2682" s="1">
        <v>0.69699999999999995</v>
      </c>
      <c r="M2682" s="1">
        <v>0.71299999999999997</v>
      </c>
      <c r="N2682">
        <v>11</v>
      </c>
      <c r="O2682" s="1">
        <v>-5.9560000000000004</v>
      </c>
      <c r="P2682">
        <v>1</v>
      </c>
      <c r="Q2682" s="1">
        <v>0.34200000000000003</v>
      </c>
      <c r="R2682" s="1">
        <v>0.4</v>
      </c>
      <c r="S2682" s="1">
        <v>0</v>
      </c>
      <c r="T2682" s="1">
        <v>0.113</v>
      </c>
      <c r="U2682" s="1">
        <v>0.45</v>
      </c>
      <c r="V2682" s="1">
        <v>123.374</v>
      </c>
      <c r="W2682">
        <v>4</v>
      </c>
    </row>
    <row r="2683" spans="1:23" x14ac:dyDescent="0.25">
      <c r="A2683" s="1" t="s">
        <v>19437</v>
      </c>
      <c r="B2683" s="1" t="s">
        <v>18392</v>
      </c>
      <c r="C2683" s="1" t="s">
        <v>3959</v>
      </c>
      <c r="D2683" s="1" t="s">
        <v>3959</v>
      </c>
      <c r="E2683" s="1" t="s">
        <v>6280</v>
      </c>
      <c r="F2683" s="1" t="s">
        <v>11426</v>
      </c>
      <c r="G2683">
        <v>216032</v>
      </c>
      <c r="H2683">
        <v>51</v>
      </c>
      <c r="I2683" s="1" t="s">
        <v>11063</v>
      </c>
      <c r="J2683" s="11">
        <v>44729.706458333334</v>
      </c>
      <c r="K2683" s="1" t="s">
        <v>921</v>
      </c>
      <c r="L2683" s="1">
        <v>0.88100000000000001</v>
      </c>
      <c r="M2683" s="1">
        <v>0.64400000000000002</v>
      </c>
      <c r="N2683">
        <v>1</v>
      </c>
      <c r="O2683" s="1">
        <v>-7.1340000000000003</v>
      </c>
      <c r="P2683">
        <v>0</v>
      </c>
      <c r="Q2683" s="1">
        <v>0.10299999999999999</v>
      </c>
      <c r="R2683" s="1">
        <v>0.64400000000000002</v>
      </c>
      <c r="S2683" s="1">
        <v>0.40899999999999997</v>
      </c>
      <c r="T2683" s="1">
        <v>0.11600000000000001</v>
      </c>
      <c r="U2683" s="1">
        <v>0.53600000000000003</v>
      </c>
      <c r="V2683" s="1">
        <v>110.026</v>
      </c>
      <c r="W2683">
        <v>4</v>
      </c>
    </row>
    <row r="2684" spans="1:23" x14ac:dyDescent="0.25">
      <c r="A2684" s="1" t="s">
        <v>19438</v>
      </c>
      <c r="B2684" s="1" t="s">
        <v>19439</v>
      </c>
      <c r="C2684" s="1" t="s">
        <v>7195</v>
      </c>
      <c r="D2684" s="1" t="s">
        <v>7195</v>
      </c>
      <c r="E2684" s="1" t="s">
        <v>7196</v>
      </c>
      <c r="F2684" s="1" t="s">
        <v>18610</v>
      </c>
      <c r="G2684">
        <v>214200</v>
      </c>
      <c r="H2684">
        <v>47</v>
      </c>
      <c r="I2684" s="1" t="s">
        <v>11063</v>
      </c>
      <c r="J2684" s="11">
        <v>44729.706458333334</v>
      </c>
      <c r="K2684" s="1" t="s">
        <v>7197</v>
      </c>
      <c r="L2684" s="1">
        <v>0.74099999999999999</v>
      </c>
      <c r="M2684" s="1">
        <v>0.54</v>
      </c>
      <c r="N2684">
        <v>5</v>
      </c>
      <c r="O2684" s="1">
        <v>-6.915</v>
      </c>
      <c r="P2684">
        <v>1</v>
      </c>
      <c r="Q2684" s="1">
        <v>0.156</v>
      </c>
      <c r="R2684" s="1">
        <v>0.25900000000000001</v>
      </c>
      <c r="S2684" s="1">
        <v>0</v>
      </c>
      <c r="T2684" s="1">
        <v>0.114</v>
      </c>
      <c r="U2684" s="1">
        <v>0.33300000000000002</v>
      </c>
      <c r="V2684" s="1">
        <v>100.048</v>
      </c>
      <c r="W2684">
        <v>4</v>
      </c>
    </row>
    <row r="2685" spans="1:23" x14ac:dyDescent="0.25">
      <c r="A2685" s="1" t="s">
        <v>19440</v>
      </c>
      <c r="B2685" s="1" t="s">
        <v>18392</v>
      </c>
      <c r="C2685" s="1" t="s">
        <v>6279</v>
      </c>
      <c r="D2685" s="1" t="s">
        <v>19435</v>
      </c>
      <c r="E2685" s="1" t="s">
        <v>6280</v>
      </c>
      <c r="F2685" s="1" t="s">
        <v>18492</v>
      </c>
      <c r="G2685">
        <v>238906</v>
      </c>
      <c r="H2685">
        <v>68</v>
      </c>
      <c r="I2685" s="1" t="s">
        <v>11063</v>
      </c>
      <c r="J2685" s="11">
        <v>44729.706458333334</v>
      </c>
      <c r="K2685" s="1" t="s">
        <v>921</v>
      </c>
      <c r="L2685" s="1">
        <v>0.78500000000000003</v>
      </c>
      <c r="M2685" s="1">
        <v>0.52500000000000002</v>
      </c>
      <c r="N2685">
        <v>6</v>
      </c>
      <c r="O2685" s="1">
        <v>-7.556</v>
      </c>
      <c r="P2685">
        <v>1</v>
      </c>
      <c r="Q2685" s="1">
        <v>0.42</v>
      </c>
      <c r="R2685" s="1">
        <v>0.66900000000000004</v>
      </c>
      <c r="S2685" s="1">
        <v>0.439</v>
      </c>
      <c r="T2685" s="1">
        <v>0.114</v>
      </c>
      <c r="U2685" s="1">
        <v>0.251</v>
      </c>
      <c r="V2685" s="1">
        <v>90.852999999999994</v>
      </c>
      <c r="W2685">
        <v>4</v>
      </c>
    </row>
    <row r="2686" spans="1:23" x14ac:dyDescent="0.25">
      <c r="A2686" s="1" t="s">
        <v>19441</v>
      </c>
      <c r="B2686" s="1" t="s">
        <v>19442</v>
      </c>
      <c r="C2686" s="1" t="s">
        <v>7198</v>
      </c>
      <c r="D2686" s="1" t="s">
        <v>7198</v>
      </c>
      <c r="E2686" s="1" t="s">
        <v>7199</v>
      </c>
      <c r="F2686" s="1" t="s">
        <v>11677</v>
      </c>
      <c r="G2686">
        <v>174800</v>
      </c>
      <c r="H2686">
        <v>77</v>
      </c>
      <c r="I2686" s="1" t="s">
        <v>11063</v>
      </c>
      <c r="J2686" s="11">
        <v>44729.706458333334</v>
      </c>
      <c r="K2686" s="1" t="s">
        <v>7200</v>
      </c>
      <c r="L2686" s="1">
        <v>0.66400000000000003</v>
      </c>
      <c r="M2686" s="1">
        <v>0.70799999999999996</v>
      </c>
      <c r="N2686">
        <v>8</v>
      </c>
      <c r="O2686" s="1">
        <v>-4.1539999999999999</v>
      </c>
      <c r="P2686">
        <v>1</v>
      </c>
      <c r="Q2686" s="1">
        <v>0.47399999999999998</v>
      </c>
      <c r="R2686" s="1">
        <v>0.33700000000000002</v>
      </c>
      <c r="S2686" s="1">
        <v>0</v>
      </c>
      <c r="T2686" s="1">
        <v>0.84099999999999997</v>
      </c>
      <c r="U2686" s="1">
        <v>0.74199999999999999</v>
      </c>
      <c r="V2686" s="1">
        <v>103.07</v>
      </c>
      <c r="W2686">
        <v>4</v>
      </c>
    </row>
    <row r="2687" spans="1:23" x14ac:dyDescent="0.25">
      <c r="A2687" s="1" t="s">
        <v>19443</v>
      </c>
      <c r="B2687" s="1" t="s">
        <v>17199</v>
      </c>
      <c r="C2687" s="1" t="s">
        <v>7201</v>
      </c>
      <c r="D2687" s="1" t="s">
        <v>19444</v>
      </c>
      <c r="E2687" s="1" t="s">
        <v>5175</v>
      </c>
      <c r="F2687" s="1" t="s">
        <v>13866</v>
      </c>
      <c r="G2687">
        <v>218773</v>
      </c>
      <c r="H2687">
        <v>71</v>
      </c>
      <c r="I2687" s="1" t="s">
        <v>11063</v>
      </c>
      <c r="J2687" s="11">
        <v>44729.706458333334</v>
      </c>
      <c r="K2687" s="1" t="s">
        <v>235</v>
      </c>
      <c r="L2687" s="1">
        <v>0.61699999999999999</v>
      </c>
      <c r="M2687" s="1">
        <v>0.75900000000000001</v>
      </c>
      <c r="N2687">
        <v>0</v>
      </c>
      <c r="O2687" s="1">
        <v>-6.7850000000000001</v>
      </c>
      <c r="P2687">
        <v>0</v>
      </c>
      <c r="Q2687" s="1">
        <v>0.67800000000000005</v>
      </c>
      <c r="R2687" s="1">
        <v>0.26</v>
      </c>
      <c r="S2687" s="1">
        <v>0</v>
      </c>
      <c r="T2687" s="1">
        <v>0.41899999999999998</v>
      </c>
      <c r="U2687" s="1">
        <v>0.32400000000000001</v>
      </c>
      <c r="V2687" s="1">
        <v>122.92400000000001</v>
      </c>
      <c r="W2687">
        <v>4</v>
      </c>
    </row>
    <row r="2688" spans="1:23" x14ac:dyDescent="0.25">
      <c r="A2688" s="1" t="s">
        <v>19445</v>
      </c>
      <c r="B2688" s="1" t="s">
        <v>17199</v>
      </c>
      <c r="C2688" s="1" t="s">
        <v>7202</v>
      </c>
      <c r="D2688" s="1" t="s">
        <v>7202</v>
      </c>
      <c r="E2688" s="1" t="s">
        <v>5175</v>
      </c>
      <c r="F2688" s="1" t="s">
        <v>11665</v>
      </c>
      <c r="G2688">
        <v>204400</v>
      </c>
      <c r="H2688">
        <v>73</v>
      </c>
      <c r="I2688" s="1" t="s">
        <v>11063</v>
      </c>
      <c r="J2688" s="11">
        <v>44729.706458333334</v>
      </c>
      <c r="K2688" s="1" t="s">
        <v>235</v>
      </c>
      <c r="L2688" s="1">
        <v>0.75600000000000001</v>
      </c>
      <c r="M2688" s="1">
        <v>0.57199999999999995</v>
      </c>
      <c r="N2688">
        <v>9</v>
      </c>
      <c r="O2688" s="1">
        <v>-7.0190000000000001</v>
      </c>
      <c r="P2688">
        <v>1</v>
      </c>
      <c r="Q2688" s="1">
        <v>0.76300000000000001</v>
      </c>
      <c r="R2688" s="1">
        <v>0.47799999999999998</v>
      </c>
      <c r="S2688" s="1">
        <v>0</v>
      </c>
      <c r="T2688" s="1">
        <v>0.85299999999999998</v>
      </c>
      <c r="U2688" s="1">
        <v>0.41699999999999998</v>
      </c>
      <c r="V2688" s="1">
        <v>102.986</v>
      </c>
      <c r="W2688">
        <v>4</v>
      </c>
    </row>
    <row r="2689" spans="1:23" x14ac:dyDescent="0.25">
      <c r="A2689" s="1" t="s">
        <v>19446</v>
      </c>
      <c r="B2689" s="1" t="s">
        <v>19447</v>
      </c>
      <c r="C2689" s="1" t="s">
        <v>7203</v>
      </c>
      <c r="D2689" s="1" t="s">
        <v>19448</v>
      </c>
      <c r="E2689" s="1" t="s">
        <v>7204</v>
      </c>
      <c r="F2689" s="1" t="s">
        <v>19381</v>
      </c>
      <c r="G2689">
        <v>210146</v>
      </c>
      <c r="H2689">
        <v>60</v>
      </c>
      <c r="I2689" s="1" t="s">
        <v>11063</v>
      </c>
      <c r="J2689" s="11">
        <v>44729.706458333334</v>
      </c>
      <c r="K2689" s="1" t="s">
        <v>3500</v>
      </c>
      <c r="L2689" s="1">
        <v>0.80300000000000005</v>
      </c>
      <c r="M2689" s="1">
        <v>0.38400000000000001</v>
      </c>
      <c r="N2689">
        <v>7</v>
      </c>
      <c r="O2689" s="1">
        <v>-6.5220000000000002</v>
      </c>
      <c r="P2689">
        <v>1</v>
      </c>
      <c r="Q2689" s="1">
        <v>0.17899999999999999</v>
      </c>
      <c r="R2689" s="1">
        <v>0.57299999999999995</v>
      </c>
      <c r="S2689" s="1">
        <v>0</v>
      </c>
      <c r="T2689" s="1">
        <v>0.19400000000000001</v>
      </c>
      <c r="U2689" s="1">
        <v>0.503</v>
      </c>
      <c r="V2689" s="1">
        <v>141.92599999999999</v>
      </c>
      <c r="W2689">
        <v>4</v>
      </c>
    </row>
    <row r="2690" spans="1:23" x14ac:dyDescent="0.25">
      <c r="A2690" s="1" t="s">
        <v>19449</v>
      </c>
      <c r="B2690" s="1" t="s">
        <v>15255</v>
      </c>
      <c r="C2690" s="1" t="s">
        <v>7205</v>
      </c>
      <c r="D2690" s="1" t="s">
        <v>19450</v>
      </c>
      <c r="E2690" s="1" t="s">
        <v>3499</v>
      </c>
      <c r="F2690" s="1" t="s">
        <v>15809</v>
      </c>
      <c r="G2690">
        <v>176320</v>
      </c>
      <c r="H2690">
        <v>21</v>
      </c>
      <c r="I2690" s="1" t="s">
        <v>11063</v>
      </c>
      <c r="J2690" s="11">
        <v>44729.706458333334</v>
      </c>
      <c r="K2690" s="1" t="s">
        <v>3500</v>
      </c>
      <c r="L2690" s="1">
        <v>0.67</v>
      </c>
      <c r="M2690" s="1">
        <v>0.41499999999999998</v>
      </c>
      <c r="N2690">
        <v>8</v>
      </c>
      <c r="O2690" s="1">
        <v>-6.8550000000000004</v>
      </c>
      <c r="P2690">
        <v>1</v>
      </c>
      <c r="Q2690" s="1">
        <v>0.78600000000000003</v>
      </c>
      <c r="R2690" s="1">
        <v>0.39</v>
      </c>
      <c r="S2690" s="1">
        <v>0</v>
      </c>
      <c r="T2690" s="1">
        <v>0.61699999999999999</v>
      </c>
      <c r="U2690" s="1">
        <v>0.44500000000000001</v>
      </c>
      <c r="V2690" s="1">
        <v>114.212</v>
      </c>
      <c r="W2690">
        <v>4</v>
      </c>
    </row>
    <row r="2691" spans="1:23" x14ac:dyDescent="0.25">
      <c r="A2691" s="1" t="s">
        <v>19451</v>
      </c>
      <c r="B2691" s="1" t="s">
        <v>19452</v>
      </c>
      <c r="C2691" s="1" t="s">
        <v>7206</v>
      </c>
      <c r="D2691" s="1" t="s">
        <v>19448</v>
      </c>
      <c r="E2691" s="1" t="s">
        <v>7207</v>
      </c>
      <c r="F2691" s="1" t="s">
        <v>19381</v>
      </c>
      <c r="G2691">
        <v>173306</v>
      </c>
      <c r="H2691">
        <v>82</v>
      </c>
      <c r="I2691" s="1" t="s">
        <v>11063</v>
      </c>
      <c r="J2691" s="11">
        <v>44729.706458333334</v>
      </c>
      <c r="K2691" s="1" t="s">
        <v>3500</v>
      </c>
      <c r="L2691" s="1">
        <v>0.51600000000000001</v>
      </c>
      <c r="M2691" s="1">
        <v>0.46700000000000003</v>
      </c>
      <c r="N2691">
        <v>0</v>
      </c>
      <c r="O2691" s="1">
        <v>-6.1840000000000002</v>
      </c>
      <c r="P2691">
        <v>1</v>
      </c>
      <c r="Q2691" s="1">
        <v>0.30199999999999999</v>
      </c>
      <c r="R2691" s="1">
        <v>0.66200000000000003</v>
      </c>
      <c r="S2691" s="1">
        <v>0</v>
      </c>
      <c r="T2691" s="1">
        <v>0.85299999999999998</v>
      </c>
      <c r="U2691" s="1">
        <v>0.38600000000000001</v>
      </c>
      <c r="V2691" s="1">
        <v>132.86099999999999</v>
      </c>
      <c r="W2691">
        <v>4</v>
      </c>
    </row>
    <row r="2692" spans="1:23" x14ac:dyDescent="0.25">
      <c r="A2692" s="1" t="s">
        <v>19453</v>
      </c>
      <c r="B2692" s="1" t="s">
        <v>19454</v>
      </c>
      <c r="C2692" s="1" t="s">
        <v>7208</v>
      </c>
      <c r="D2692" s="1" t="s">
        <v>19071</v>
      </c>
      <c r="E2692" s="1" t="s">
        <v>7209</v>
      </c>
      <c r="F2692" s="1" t="s">
        <v>16156</v>
      </c>
      <c r="G2692">
        <v>205986</v>
      </c>
      <c r="H2692">
        <v>71</v>
      </c>
      <c r="I2692" s="1" t="s">
        <v>11063</v>
      </c>
      <c r="J2692" s="11">
        <v>44729.706458333334</v>
      </c>
      <c r="K2692" s="1" t="s">
        <v>7210</v>
      </c>
      <c r="L2692" s="1">
        <v>0.69299999999999995</v>
      </c>
      <c r="M2692" s="1">
        <v>0.624</v>
      </c>
      <c r="N2692">
        <v>0</v>
      </c>
      <c r="O2692" s="1">
        <v>-7.4820000000000002</v>
      </c>
      <c r="P2692">
        <v>0</v>
      </c>
      <c r="Q2692" s="1">
        <v>0.44800000000000001</v>
      </c>
      <c r="R2692" s="1">
        <v>0.29899999999999999</v>
      </c>
      <c r="S2692" s="1">
        <v>0.76400000000000001</v>
      </c>
      <c r="T2692" s="1">
        <v>0.95499999999999996</v>
      </c>
      <c r="U2692" s="1">
        <v>0.36899999999999999</v>
      </c>
      <c r="V2692" s="1">
        <v>105.002</v>
      </c>
      <c r="W2692">
        <v>4</v>
      </c>
    </row>
    <row r="2693" spans="1:23" x14ac:dyDescent="0.25">
      <c r="A2693" s="1" t="s">
        <v>19455</v>
      </c>
      <c r="B2693" s="1" t="s">
        <v>19456</v>
      </c>
      <c r="C2693" s="1" t="s">
        <v>7211</v>
      </c>
      <c r="D2693" s="1" t="s">
        <v>7211</v>
      </c>
      <c r="E2693" s="1" t="s">
        <v>7212</v>
      </c>
      <c r="F2693" s="1" t="s">
        <v>17312</v>
      </c>
      <c r="G2693">
        <v>174860</v>
      </c>
      <c r="H2693">
        <v>1</v>
      </c>
      <c r="I2693" s="1" t="s">
        <v>11063</v>
      </c>
      <c r="J2693" s="11">
        <v>44729.706458333334</v>
      </c>
      <c r="K2693" s="1" t="s">
        <v>7213</v>
      </c>
      <c r="L2693" s="1">
        <v>0.755</v>
      </c>
      <c r="M2693" s="1">
        <v>0.625</v>
      </c>
      <c r="N2693">
        <v>2</v>
      </c>
      <c r="O2693" s="1">
        <v>-7.1139999999999999</v>
      </c>
      <c r="P2693">
        <v>1</v>
      </c>
      <c r="Q2693" s="1">
        <v>0.89600000000000002</v>
      </c>
      <c r="R2693" s="1">
        <v>0.49</v>
      </c>
      <c r="S2693" s="1">
        <v>0</v>
      </c>
      <c r="T2693" s="1">
        <v>0.157</v>
      </c>
      <c r="U2693" s="1">
        <v>0.374</v>
      </c>
      <c r="V2693" s="1">
        <v>147.02000000000001</v>
      </c>
      <c r="W2693">
        <v>4</v>
      </c>
    </row>
    <row r="2694" spans="1:23" x14ac:dyDescent="0.25">
      <c r="A2694" s="1" t="s">
        <v>19457</v>
      </c>
      <c r="B2694" s="1" t="s">
        <v>19458</v>
      </c>
      <c r="C2694" s="1" t="s">
        <v>7214</v>
      </c>
      <c r="D2694" s="1" t="s">
        <v>19459</v>
      </c>
      <c r="E2694" s="1" t="s">
        <v>7215</v>
      </c>
      <c r="F2694" s="1" t="s">
        <v>16199</v>
      </c>
      <c r="G2694">
        <v>191120</v>
      </c>
      <c r="H2694">
        <v>67</v>
      </c>
      <c r="I2694" s="1" t="s">
        <v>11063</v>
      </c>
      <c r="J2694" s="11">
        <v>44729.706458333334</v>
      </c>
      <c r="K2694" s="1" t="s">
        <v>7216</v>
      </c>
      <c r="L2694" s="1">
        <v>0.47499999999999998</v>
      </c>
      <c r="M2694" s="1">
        <v>0.84599999999999997</v>
      </c>
      <c r="N2694">
        <v>10</v>
      </c>
      <c r="O2694" s="1">
        <v>-3.3439999999999999</v>
      </c>
      <c r="P2694">
        <v>1</v>
      </c>
      <c r="Q2694" s="1">
        <v>0.28299999999999997</v>
      </c>
      <c r="R2694" s="1">
        <v>0.27500000000000002</v>
      </c>
      <c r="S2694" s="1">
        <v>0</v>
      </c>
      <c r="T2694" s="1">
        <v>0.82399999999999995</v>
      </c>
      <c r="U2694" s="1">
        <v>0.45100000000000001</v>
      </c>
      <c r="V2694" s="1">
        <v>96.036000000000001</v>
      </c>
      <c r="W2694">
        <v>4</v>
      </c>
    </row>
    <row r="2695" spans="1:23" x14ac:dyDescent="0.25">
      <c r="A2695" s="1" t="s">
        <v>19460</v>
      </c>
      <c r="B2695" s="1" t="s">
        <v>15248</v>
      </c>
      <c r="C2695" s="1" t="s">
        <v>7217</v>
      </c>
      <c r="D2695" s="1" t="s">
        <v>15253</v>
      </c>
      <c r="E2695" s="1" t="s">
        <v>3496</v>
      </c>
      <c r="F2695" s="1" t="s">
        <v>11356</v>
      </c>
      <c r="G2695">
        <v>202914</v>
      </c>
      <c r="H2695">
        <v>64</v>
      </c>
      <c r="I2695" s="1" t="s">
        <v>11063</v>
      </c>
      <c r="J2695" s="11">
        <v>44729.706458333334</v>
      </c>
      <c r="K2695" s="1" t="s">
        <v>1922</v>
      </c>
      <c r="L2695" s="1">
        <v>0.66100000000000003</v>
      </c>
      <c r="M2695" s="1">
        <v>0.65100000000000002</v>
      </c>
      <c r="N2695">
        <v>7</v>
      </c>
      <c r="O2695" s="1">
        <v>-3.7709999999999999</v>
      </c>
      <c r="P2695">
        <v>0</v>
      </c>
      <c r="Q2695" s="1">
        <v>0.499</v>
      </c>
      <c r="R2695" s="1">
        <v>0.11700000000000001</v>
      </c>
      <c r="S2695" s="1">
        <v>0.13200000000000001</v>
      </c>
      <c r="T2695" s="1">
        <v>0.56000000000000005</v>
      </c>
      <c r="U2695" s="1">
        <v>0.36799999999999999</v>
      </c>
      <c r="V2695" s="1">
        <v>87.46</v>
      </c>
      <c r="W2695">
        <v>4</v>
      </c>
    </row>
    <row r="2696" spans="1:23" x14ac:dyDescent="0.25">
      <c r="A2696" s="1" t="s">
        <v>19461</v>
      </c>
      <c r="B2696" s="1" t="s">
        <v>19462</v>
      </c>
      <c r="C2696" s="1" t="s">
        <v>7218</v>
      </c>
      <c r="D2696" s="1" t="s">
        <v>7218</v>
      </c>
      <c r="E2696" s="1" t="s">
        <v>7219</v>
      </c>
      <c r="F2696" s="1" t="s">
        <v>14364</v>
      </c>
      <c r="G2696">
        <v>220883</v>
      </c>
      <c r="H2696">
        <v>78</v>
      </c>
      <c r="I2696" s="1" t="s">
        <v>11063</v>
      </c>
      <c r="J2696" s="11">
        <v>44729.706458333334</v>
      </c>
      <c r="K2696" s="1" t="s">
        <v>7220</v>
      </c>
      <c r="L2696" s="1">
        <v>0.58399999999999996</v>
      </c>
      <c r="M2696" s="1">
        <v>0.54</v>
      </c>
      <c r="N2696">
        <v>1</v>
      </c>
      <c r="O2696" s="1">
        <v>-7.7859999999999996</v>
      </c>
      <c r="P2696">
        <v>0</v>
      </c>
      <c r="Q2696" s="1">
        <v>0.57599999999999996</v>
      </c>
      <c r="R2696" s="1">
        <v>0.89500000000000002</v>
      </c>
      <c r="S2696" s="1">
        <v>0</v>
      </c>
      <c r="T2696" s="1">
        <v>0.26100000000000001</v>
      </c>
      <c r="U2696" s="1">
        <v>0.19500000000000001</v>
      </c>
      <c r="V2696" s="1">
        <v>137.97200000000001</v>
      </c>
      <c r="W2696">
        <v>4</v>
      </c>
    </row>
    <row r="2697" spans="1:23" x14ac:dyDescent="0.25">
      <c r="A2697" s="1" t="s">
        <v>19463</v>
      </c>
      <c r="B2697" s="1" t="s">
        <v>19464</v>
      </c>
      <c r="C2697" s="1" t="s">
        <v>7221</v>
      </c>
      <c r="D2697" s="1" t="s">
        <v>7221</v>
      </c>
      <c r="E2697" s="1" t="s">
        <v>7222</v>
      </c>
      <c r="F2697" s="1" t="s">
        <v>14291</v>
      </c>
      <c r="G2697">
        <v>214846</v>
      </c>
      <c r="H2697">
        <v>88</v>
      </c>
      <c r="I2697" s="1" t="s">
        <v>11063</v>
      </c>
      <c r="J2697" s="11">
        <v>44729.706458333334</v>
      </c>
      <c r="K2697" s="1" t="s">
        <v>150</v>
      </c>
      <c r="L2697" s="1">
        <v>0.79100000000000004</v>
      </c>
      <c r="M2697" s="1">
        <v>0.86199999999999999</v>
      </c>
      <c r="N2697">
        <v>9</v>
      </c>
      <c r="O2697" s="1">
        <v>-3.24</v>
      </c>
      <c r="P2697">
        <v>0</v>
      </c>
      <c r="Q2697" s="1">
        <v>0.11</v>
      </c>
      <c r="R2697" s="1">
        <v>0.37</v>
      </c>
      <c r="S2697" s="1">
        <v>0.219</v>
      </c>
      <c r="T2697" s="1">
        <v>0.81399999999999995</v>
      </c>
      <c r="U2697" s="1">
        <v>0.59199999999999997</v>
      </c>
      <c r="V2697" s="1">
        <v>123.994</v>
      </c>
      <c r="W2697">
        <v>4</v>
      </c>
    </row>
    <row r="2698" spans="1:23" x14ac:dyDescent="0.25">
      <c r="A2698" s="1" t="s">
        <v>19465</v>
      </c>
      <c r="B2698" s="1" t="s">
        <v>15248</v>
      </c>
      <c r="C2698" s="1" t="s">
        <v>7223</v>
      </c>
      <c r="D2698" s="1" t="s">
        <v>15253</v>
      </c>
      <c r="E2698" s="1" t="s">
        <v>3496</v>
      </c>
      <c r="F2698" s="1" t="s">
        <v>11356</v>
      </c>
      <c r="G2698">
        <v>209320</v>
      </c>
      <c r="H2698">
        <v>81</v>
      </c>
      <c r="I2698" s="1" t="s">
        <v>11063</v>
      </c>
      <c r="J2698" s="11">
        <v>44729.706458333334</v>
      </c>
      <c r="K2698" s="1" t="s">
        <v>1922</v>
      </c>
      <c r="L2698" s="1">
        <v>0.76200000000000001</v>
      </c>
      <c r="M2698" s="1">
        <v>0.7</v>
      </c>
      <c r="N2698">
        <v>9</v>
      </c>
      <c r="O2698" s="1">
        <v>-6.0209999999999999</v>
      </c>
      <c r="P2698">
        <v>0</v>
      </c>
      <c r="Q2698" s="1">
        <v>0.69399999999999995</v>
      </c>
      <c r="R2698" s="1">
        <v>0.26100000000000001</v>
      </c>
      <c r="S2698" s="1">
        <v>0.156</v>
      </c>
      <c r="T2698" s="1">
        <v>0.153</v>
      </c>
      <c r="U2698" s="1">
        <v>0.60799999999999998</v>
      </c>
      <c r="V2698" s="1">
        <v>116.07299999999999</v>
      </c>
      <c r="W2698">
        <v>4</v>
      </c>
    </row>
    <row r="2699" spans="1:23" x14ac:dyDescent="0.25">
      <c r="A2699" s="1" t="s">
        <v>19466</v>
      </c>
      <c r="B2699" s="1" t="s">
        <v>15248</v>
      </c>
      <c r="C2699" s="1" t="s">
        <v>7224</v>
      </c>
      <c r="D2699" s="1" t="s">
        <v>15253</v>
      </c>
      <c r="E2699" s="1" t="s">
        <v>3496</v>
      </c>
      <c r="F2699" s="1" t="s">
        <v>11356</v>
      </c>
      <c r="G2699">
        <v>217946</v>
      </c>
      <c r="H2699">
        <v>79</v>
      </c>
      <c r="I2699" s="1" t="s">
        <v>11063</v>
      </c>
      <c r="J2699" s="11">
        <v>44729.706458333334</v>
      </c>
      <c r="K2699" s="1" t="s">
        <v>1922</v>
      </c>
      <c r="L2699" s="1">
        <v>0.83599999999999997</v>
      </c>
      <c r="M2699" s="1">
        <v>0.54400000000000004</v>
      </c>
      <c r="N2699">
        <v>7</v>
      </c>
      <c r="O2699" s="1">
        <v>-5.9749999999999996</v>
      </c>
      <c r="P2699">
        <v>1</v>
      </c>
      <c r="Q2699" s="1">
        <v>0.94299999999999995</v>
      </c>
      <c r="R2699" s="1">
        <v>0.40300000000000002</v>
      </c>
      <c r="S2699" s="1">
        <v>0</v>
      </c>
      <c r="T2699" s="1">
        <v>0.82399999999999995</v>
      </c>
      <c r="U2699" s="1">
        <v>0.51</v>
      </c>
      <c r="V2699" s="1">
        <v>97.028000000000006</v>
      </c>
      <c r="W2699">
        <v>4</v>
      </c>
    </row>
    <row r="2700" spans="1:23" x14ac:dyDescent="0.25">
      <c r="A2700" s="1" t="s">
        <v>19467</v>
      </c>
      <c r="B2700" s="1" t="s">
        <v>19468</v>
      </c>
      <c r="C2700" s="1" t="s">
        <v>7225</v>
      </c>
      <c r="D2700" s="1" t="s">
        <v>7225</v>
      </c>
      <c r="E2700" s="1" t="s">
        <v>7226</v>
      </c>
      <c r="F2700" s="1" t="s">
        <v>15536</v>
      </c>
      <c r="G2700">
        <v>184000</v>
      </c>
      <c r="H2700">
        <v>54</v>
      </c>
      <c r="I2700" s="1" t="s">
        <v>11063</v>
      </c>
      <c r="J2700" s="11">
        <v>44729.706458333334</v>
      </c>
      <c r="K2700" s="1" t="s">
        <v>7227</v>
      </c>
      <c r="L2700" s="1">
        <v>0.61</v>
      </c>
      <c r="M2700" s="1">
        <v>0.69</v>
      </c>
      <c r="N2700">
        <v>2</v>
      </c>
      <c r="O2700" s="1">
        <v>-2.6560000000000001</v>
      </c>
      <c r="P2700">
        <v>0</v>
      </c>
      <c r="Q2700" s="1">
        <v>0.91100000000000003</v>
      </c>
      <c r="R2700" s="1">
        <v>0.42199999999999999</v>
      </c>
      <c r="S2700" s="1">
        <v>0.66200000000000003</v>
      </c>
      <c r="T2700" s="1">
        <v>0.16600000000000001</v>
      </c>
      <c r="U2700" s="1">
        <v>0.318</v>
      </c>
      <c r="V2700" s="1">
        <v>179.94399999999999</v>
      </c>
      <c r="W2700">
        <v>4</v>
      </c>
    </row>
    <row r="2701" spans="1:23" x14ac:dyDescent="0.25">
      <c r="A2701" s="1" t="s">
        <v>19469</v>
      </c>
      <c r="B2701" s="1" t="s">
        <v>19470</v>
      </c>
      <c r="C2701" s="1" t="s">
        <v>7228</v>
      </c>
      <c r="D2701" s="1" t="s">
        <v>3093</v>
      </c>
      <c r="E2701" s="1" t="s">
        <v>7229</v>
      </c>
      <c r="F2701" s="1" t="s">
        <v>11423</v>
      </c>
      <c r="G2701">
        <v>202886</v>
      </c>
      <c r="H2701">
        <v>0</v>
      </c>
      <c r="I2701" s="1" t="s">
        <v>11063</v>
      </c>
      <c r="J2701" s="11">
        <v>44729.706458333334</v>
      </c>
      <c r="K2701" s="1" t="s">
        <v>7230</v>
      </c>
      <c r="L2701" s="1">
        <v>0.60799999999999998</v>
      </c>
      <c r="M2701" s="1">
        <v>0.73599999999999999</v>
      </c>
      <c r="N2701">
        <v>6</v>
      </c>
      <c r="O2701" s="1">
        <v>-6.7</v>
      </c>
      <c r="P2701">
        <v>1</v>
      </c>
      <c r="Q2701" s="1">
        <v>0.16500000000000001</v>
      </c>
      <c r="R2701" s="1">
        <v>0.51</v>
      </c>
      <c r="S2701" s="1">
        <v>0</v>
      </c>
      <c r="T2701" s="1">
        <v>0.215</v>
      </c>
      <c r="U2701" s="1">
        <v>0.48899999999999999</v>
      </c>
      <c r="V2701" s="1">
        <v>97.037999999999997</v>
      </c>
      <c r="W2701">
        <v>4</v>
      </c>
    </row>
    <row r="2702" spans="1:23" x14ac:dyDescent="0.25">
      <c r="A2702" s="1" t="s">
        <v>19471</v>
      </c>
      <c r="B2702" s="1" t="s">
        <v>19472</v>
      </c>
      <c r="C2702" s="1" t="s">
        <v>7231</v>
      </c>
      <c r="D2702" s="1" t="s">
        <v>17139</v>
      </c>
      <c r="E2702" s="1" t="s">
        <v>7232</v>
      </c>
      <c r="F2702" s="1" t="s">
        <v>14073</v>
      </c>
      <c r="G2702">
        <v>184814</v>
      </c>
      <c r="H2702">
        <v>57</v>
      </c>
      <c r="I2702" s="1" t="s">
        <v>11063</v>
      </c>
      <c r="J2702" s="11">
        <v>44729.706458333334</v>
      </c>
      <c r="K2702" s="1" t="s">
        <v>7233</v>
      </c>
      <c r="L2702" s="1">
        <v>0.57799999999999996</v>
      </c>
      <c r="M2702" s="1">
        <v>0.49099999999999999</v>
      </c>
      <c r="N2702">
        <v>11</v>
      </c>
      <c r="O2702" s="1">
        <v>-8.5440000000000005</v>
      </c>
      <c r="P2702">
        <v>0</v>
      </c>
      <c r="Q2702" s="1">
        <v>0.21</v>
      </c>
      <c r="R2702" s="1">
        <v>0.20300000000000001</v>
      </c>
      <c r="S2702" s="1">
        <v>0.378</v>
      </c>
      <c r="T2702" s="1">
        <v>0.182</v>
      </c>
      <c r="U2702" s="1">
        <v>0.64</v>
      </c>
      <c r="V2702" s="1">
        <v>98.272999999999996</v>
      </c>
      <c r="W2702">
        <v>4</v>
      </c>
    </row>
    <row r="2703" spans="1:23" x14ac:dyDescent="0.25">
      <c r="A2703" s="1" t="s">
        <v>19473</v>
      </c>
      <c r="B2703" s="1" t="s">
        <v>19474</v>
      </c>
      <c r="C2703" s="1" t="s">
        <v>7234</v>
      </c>
      <c r="D2703" s="1" t="s">
        <v>19242</v>
      </c>
      <c r="E2703" s="1" t="s">
        <v>7235</v>
      </c>
      <c r="F2703" s="1" t="s">
        <v>14552</v>
      </c>
      <c r="G2703">
        <v>196706</v>
      </c>
      <c r="H2703">
        <v>41</v>
      </c>
      <c r="I2703" s="1" t="s">
        <v>11063</v>
      </c>
      <c r="J2703" s="11">
        <v>44729.706458333334</v>
      </c>
      <c r="K2703" s="1" t="s">
        <v>7236</v>
      </c>
      <c r="L2703" s="1">
        <v>0.70799999999999996</v>
      </c>
      <c r="M2703" s="1">
        <v>0.55200000000000005</v>
      </c>
      <c r="N2703">
        <v>10</v>
      </c>
      <c r="O2703" s="1">
        <v>-5.5519999999999996</v>
      </c>
      <c r="P2703">
        <v>0</v>
      </c>
      <c r="Q2703" s="1">
        <v>0.21</v>
      </c>
      <c r="R2703" s="1">
        <v>0.92200000000000004</v>
      </c>
      <c r="S2703" s="1">
        <v>0</v>
      </c>
      <c r="T2703" s="1">
        <v>0.54100000000000004</v>
      </c>
      <c r="U2703" s="1">
        <v>0.68600000000000005</v>
      </c>
      <c r="V2703" s="1">
        <v>147.834</v>
      </c>
      <c r="W2703">
        <v>4</v>
      </c>
    </row>
    <row r="2704" spans="1:23" x14ac:dyDescent="0.25">
      <c r="A2704" s="1" t="s">
        <v>19475</v>
      </c>
      <c r="B2704" s="1" t="s">
        <v>19476</v>
      </c>
      <c r="C2704" s="1" t="s">
        <v>7237</v>
      </c>
      <c r="D2704" s="1" t="s">
        <v>17139</v>
      </c>
      <c r="E2704" s="1" t="s">
        <v>7238</v>
      </c>
      <c r="F2704" s="1" t="s">
        <v>14073</v>
      </c>
      <c r="G2704">
        <v>165618</v>
      </c>
      <c r="H2704">
        <v>62</v>
      </c>
      <c r="I2704" s="1" t="s">
        <v>11063</v>
      </c>
      <c r="J2704" s="11">
        <v>44729.706458333334</v>
      </c>
      <c r="K2704" s="1" t="s">
        <v>7239</v>
      </c>
      <c r="L2704" s="1">
        <v>0.84899999999999998</v>
      </c>
      <c r="M2704" s="1">
        <v>0.48299999999999998</v>
      </c>
      <c r="N2704">
        <v>6</v>
      </c>
      <c r="O2704" s="1">
        <v>-7.1139999999999999</v>
      </c>
      <c r="P2704">
        <v>0</v>
      </c>
      <c r="Q2704" s="1">
        <v>0.29099999999999998</v>
      </c>
      <c r="R2704" s="1">
        <v>0.443</v>
      </c>
      <c r="S2704" s="1">
        <v>0.14099999999999999</v>
      </c>
      <c r="T2704" s="1">
        <v>0.78600000000000003</v>
      </c>
      <c r="U2704" s="1">
        <v>0.28199999999999997</v>
      </c>
      <c r="V2704" s="1">
        <v>101.015</v>
      </c>
      <c r="W2704">
        <v>4</v>
      </c>
    </row>
    <row r="2705" spans="1:23" x14ac:dyDescent="0.25">
      <c r="A2705" s="1" t="s">
        <v>19477</v>
      </c>
      <c r="B2705" s="1" t="s">
        <v>19478</v>
      </c>
      <c r="C2705" s="1" t="s">
        <v>7240</v>
      </c>
      <c r="D2705" s="1" t="s">
        <v>7240</v>
      </c>
      <c r="E2705" s="1" t="s">
        <v>7241</v>
      </c>
      <c r="F2705" s="1" t="s">
        <v>11597</v>
      </c>
      <c r="G2705">
        <v>164680</v>
      </c>
      <c r="H2705">
        <v>62</v>
      </c>
      <c r="I2705" s="1" t="s">
        <v>11063</v>
      </c>
      <c r="J2705" s="11">
        <v>44729.706458333334</v>
      </c>
      <c r="K2705" s="1" t="s">
        <v>7242</v>
      </c>
      <c r="L2705" s="1">
        <v>0.82699999999999996</v>
      </c>
      <c r="M2705" s="1">
        <v>0.76900000000000002</v>
      </c>
      <c r="N2705">
        <v>7</v>
      </c>
      <c r="O2705" s="1">
        <v>-4.0579999999999998</v>
      </c>
      <c r="P2705">
        <v>1</v>
      </c>
      <c r="Q2705" s="1">
        <v>0.126</v>
      </c>
      <c r="R2705" s="1">
        <v>0.20899999999999999</v>
      </c>
      <c r="S2705" s="1">
        <v>0.95399999999999996</v>
      </c>
      <c r="T2705" s="1">
        <v>0.91</v>
      </c>
      <c r="U2705" s="1">
        <v>0.49099999999999999</v>
      </c>
      <c r="V2705" s="1">
        <v>93.986000000000004</v>
      </c>
      <c r="W2705">
        <v>4</v>
      </c>
    </row>
    <row r="2706" spans="1:23" x14ac:dyDescent="0.25">
      <c r="A2706" s="1" t="s">
        <v>19479</v>
      </c>
      <c r="B2706" s="1" t="s">
        <v>19480</v>
      </c>
      <c r="C2706" s="1" t="s">
        <v>7243</v>
      </c>
      <c r="D2706" s="1" t="s">
        <v>19435</v>
      </c>
      <c r="E2706" s="1" t="s">
        <v>7244</v>
      </c>
      <c r="F2706" s="1" t="s">
        <v>18492</v>
      </c>
      <c r="G2706">
        <v>219933</v>
      </c>
      <c r="H2706">
        <v>59</v>
      </c>
      <c r="I2706" s="1" t="s">
        <v>11063</v>
      </c>
      <c r="J2706" s="11">
        <v>44729.706458333334</v>
      </c>
      <c r="K2706" s="1" t="s">
        <v>7245</v>
      </c>
      <c r="L2706" s="1">
        <v>0.80200000000000005</v>
      </c>
      <c r="M2706" s="1">
        <v>0.371</v>
      </c>
      <c r="N2706">
        <v>6</v>
      </c>
      <c r="O2706" s="1">
        <v>-9.0869999999999997</v>
      </c>
      <c r="P2706">
        <v>0</v>
      </c>
      <c r="Q2706" s="1">
        <v>0.13100000000000001</v>
      </c>
      <c r="R2706" s="1">
        <v>0.57099999999999995</v>
      </c>
      <c r="S2706" s="1">
        <v>0.38200000000000001</v>
      </c>
      <c r="T2706" s="1">
        <v>0.108</v>
      </c>
      <c r="U2706" s="1">
        <v>0.26300000000000001</v>
      </c>
      <c r="V2706" s="1">
        <v>113.95099999999999</v>
      </c>
      <c r="W2706">
        <v>4</v>
      </c>
    </row>
    <row r="2707" spans="1:23" x14ac:dyDescent="0.25">
      <c r="A2707" s="1" t="s">
        <v>19481</v>
      </c>
      <c r="B2707" s="1" t="s">
        <v>19482</v>
      </c>
      <c r="C2707" s="1" t="s">
        <v>7246</v>
      </c>
      <c r="D2707" s="1" t="s">
        <v>7246</v>
      </c>
      <c r="E2707" s="1" t="s">
        <v>7247</v>
      </c>
      <c r="F2707" s="1" t="s">
        <v>16150</v>
      </c>
      <c r="G2707">
        <v>182373</v>
      </c>
      <c r="H2707">
        <v>39</v>
      </c>
      <c r="I2707" s="1" t="s">
        <v>11063</v>
      </c>
      <c r="J2707" s="11">
        <v>44729.706458333334</v>
      </c>
      <c r="K2707" s="1" t="s">
        <v>6985</v>
      </c>
      <c r="L2707" s="1">
        <v>0.72</v>
      </c>
      <c r="M2707" s="1">
        <v>0.91300000000000003</v>
      </c>
      <c r="N2707">
        <v>6</v>
      </c>
      <c r="O2707" s="1">
        <v>-2.665</v>
      </c>
      <c r="P2707">
        <v>0</v>
      </c>
      <c r="Q2707" s="1">
        <v>0.38200000000000001</v>
      </c>
      <c r="R2707" s="1">
        <v>0.46899999999999997</v>
      </c>
      <c r="S2707" s="1">
        <v>0.314</v>
      </c>
      <c r="T2707" s="1">
        <v>0.17499999999999999</v>
      </c>
      <c r="U2707" s="1">
        <v>0.60299999999999998</v>
      </c>
      <c r="V2707" s="1">
        <v>103.021</v>
      </c>
      <c r="W2707">
        <v>4</v>
      </c>
    </row>
    <row r="2708" spans="1:23" x14ac:dyDescent="0.25">
      <c r="A2708" s="1" t="s">
        <v>19483</v>
      </c>
      <c r="B2708" s="1" t="s">
        <v>19484</v>
      </c>
      <c r="C2708" s="1" t="s">
        <v>7248</v>
      </c>
      <c r="D2708" s="1" t="s">
        <v>19485</v>
      </c>
      <c r="E2708" s="1" t="s">
        <v>7249</v>
      </c>
      <c r="F2708" s="1" t="s">
        <v>11563</v>
      </c>
      <c r="G2708">
        <v>169973</v>
      </c>
      <c r="H2708">
        <v>75</v>
      </c>
      <c r="I2708" s="1" t="s">
        <v>11063</v>
      </c>
      <c r="J2708" s="11">
        <v>44729.706458333334</v>
      </c>
      <c r="K2708" s="1" t="s">
        <v>6758</v>
      </c>
      <c r="L2708" s="1">
        <v>0.77300000000000002</v>
      </c>
      <c r="M2708" s="1">
        <v>0.437</v>
      </c>
      <c r="N2708">
        <v>9</v>
      </c>
      <c r="O2708" s="1">
        <v>-8.2810000000000006</v>
      </c>
      <c r="P2708">
        <v>1</v>
      </c>
      <c r="Q2708" s="1">
        <v>0.96299999999999997</v>
      </c>
      <c r="R2708" s="1">
        <v>0.83599999999999997</v>
      </c>
      <c r="S2708" s="1">
        <v>0.24199999999999999</v>
      </c>
      <c r="T2708" s="1">
        <v>0.54400000000000004</v>
      </c>
      <c r="U2708" s="1">
        <v>0.70699999999999996</v>
      </c>
      <c r="V2708" s="1">
        <v>103.861</v>
      </c>
      <c r="W2708">
        <v>4</v>
      </c>
    </row>
    <row r="2709" spans="1:23" x14ac:dyDescent="0.25">
      <c r="A2709" s="1" t="s">
        <v>19486</v>
      </c>
      <c r="B2709" s="1" t="s">
        <v>19487</v>
      </c>
      <c r="C2709" s="1" t="s">
        <v>7250</v>
      </c>
      <c r="D2709" s="1" t="s">
        <v>7250</v>
      </c>
      <c r="E2709" s="1" t="s">
        <v>7251</v>
      </c>
      <c r="F2709" s="1" t="s">
        <v>14101</v>
      </c>
      <c r="G2709">
        <v>206727</v>
      </c>
      <c r="H2709">
        <v>44</v>
      </c>
      <c r="I2709" s="1" t="s">
        <v>11063</v>
      </c>
      <c r="J2709" s="11">
        <v>44729.706458333334</v>
      </c>
      <c r="K2709" s="1" t="s">
        <v>7252</v>
      </c>
      <c r="L2709" s="1">
        <v>0.432</v>
      </c>
      <c r="M2709" s="1">
        <v>0.85</v>
      </c>
      <c r="N2709">
        <v>10</v>
      </c>
      <c r="O2709" s="1">
        <v>-4.4169999999999998</v>
      </c>
      <c r="P2709">
        <v>1</v>
      </c>
      <c r="Q2709" s="1">
        <v>0.77100000000000002</v>
      </c>
      <c r="R2709" s="1">
        <v>0.501</v>
      </c>
      <c r="S2709" s="1">
        <v>0.65900000000000003</v>
      </c>
      <c r="T2709" s="1">
        <v>0.20300000000000001</v>
      </c>
      <c r="U2709" s="1">
        <v>0.109</v>
      </c>
      <c r="V2709" s="1">
        <v>82.606999999999999</v>
      </c>
      <c r="W2709">
        <v>4</v>
      </c>
    </row>
    <row r="2710" spans="1:23" x14ac:dyDescent="0.25">
      <c r="A2710" s="1" t="s">
        <v>19488</v>
      </c>
      <c r="B2710" s="1" t="s">
        <v>19489</v>
      </c>
      <c r="C2710" s="1" t="s">
        <v>7253</v>
      </c>
      <c r="D2710" s="1" t="s">
        <v>7253</v>
      </c>
      <c r="E2710" s="1" t="s">
        <v>7254</v>
      </c>
      <c r="F2710" s="1" t="s">
        <v>19490</v>
      </c>
      <c r="G2710">
        <v>166533</v>
      </c>
      <c r="H2710">
        <v>54</v>
      </c>
      <c r="I2710" s="1" t="s">
        <v>11063</v>
      </c>
      <c r="J2710" s="11">
        <v>44729.706458333334</v>
      </c>
      <c r="K2710" s="1" t="s">
        <v>7255</v>
      </c>
      <c r="L2710" s="1">
        <v>0.82799999999999996</v>
      </c>
      <c r="M2710" s="1">
        <v>0.69699999999999995</v>
      </c>
      <c r="N2710">
        <v>7</v>
      </c>
      <c r="O2710" s="1">
        <v>-7.0350000000000001</v>
      </c>
      <c r="P2710">
        <v>0</v>
      </c>
      <c r="Q2710" s="1">
        <v>0.34</v>
      </c>
      <c r="R2710" s="1">
        <v>0.58499999999999996</v>
      </c>
      <c r="S2710" s="1">
        <v>0.156</v>
      </c>
      <c r="T2710" s="1">
        <v>0.107</v>
      </c>
      <c r="U2710" s="1">
        <v>0.38700000000000001</v>
      </c>
      <c r="V2710" s="1">
        <v>122.998</v>
      </c>
      <c r="W2710">
        <v>4</v>
      </c>
    </row>
    <row r="2711" spans="1:23" x14ac:dyDescent="0.25">
      <c r="A2711" s="1" t="s">
        <v>19491</v>
      </c>
      <c r="B2711" s="1" t="s">
        <v>19492</v>
      </c>
      <c r="C2711" s="1" t="s">
        <v>7256</v>
      </c>
      <c r="D2711" s="1" t="s">
        <v>19493</v>
      </c>
      <c r="E2711" s="1" t="s">
        <v>7257</v>
      </c>
      <c r="F2711" s="1" t="s">
        <v>14767</v>
      </c>
      <c r="G2711">
        <v>222865</v>
      </c>
      <c r="H2711">
        <v>67</v>
      </c>
      <c r="I2711" s="1" t="s">
        <v>11063</v>
      </c>
      <c r="J2711" s="11">
        <v>44729.706458333334</v>
      </c>
      <c r="K2711" s="1" t="s">
        <v>7258</v>
      </c>
      <c r="L2711" s="1">
        <v>0.78300000000000003</v>
      </c>
      <c r="M2711" s="1">
        <v>0.53700000000000003</v>
      </c>
      <c r="N2711">
        <v>9</v>
      </c>
      <c r="O2711" s="1">
        <v>-2.9209999999999998</v>
      </c>
      <c r="P2711">
        <v>1</v>
      </c>
      <c r="Q2711" s="1">
        <v>0.79500000000000004</v>
      </c>
      <c r="R2711" s="1">
        <v>0.27800000000000002</v>
      </c>
      <c r="S2711" s="1">
        <v>0</v>
      </c>
      <c r="T2711" s="1">
        <v>0.22900000000000001</v>
      </c>
      <c r="U2711" s="1">
        <v>0.39300000000000002</v>
      </c>
      <c r="V2711" s="1">
        <v>113.988</v>
      </c>
      <c r="W2711">
        <v>4</v>
      </c>
    </row>
    <row r="2712" spans="1:23" x14ac:dyDescent="0.25">
      <c r="A2712" s="1" t="s">
        <v>19494</v>
      </c>
      <c r="B2712" s="1" t="s">
        <v>19495</v>
      </c>
      <c r="C2712" s="1" t="s">
        <v>7259</v>
      </c>
      <c r="D2712" s="1" t="s">
        <v>7259</v>
      </c>
      <c r="E2712" s="1" t="s">
        <v>7260</v>
      </c>
      <c r="F2712" s="1" t="s">
        <v>15363</v>
      </c>
      <c r="G2712">
        <v>152913</v>
      </c>
      <c r="H2712">
        <v>76</v>
      </c>
      <c r="I2712" s="1" t="s">
        <v>11063</v>
      </c>
      <c r="J2712" s="11">
        <v>44729.706458333334</v>
      </c>
      <c r="K2712" s="1" t="s">
        <v>7261</v>
      </c>
      <c r="L2712" s="1">
        <v>0.67700000000000005</v>
      </c>
      <c r="M2712" s="1">
        <v>0.74399999999999999</v>
      </c>
      <c r="N2712">
        <v>10</v>
      </c>
      <c r="O2712" s="1">
        <v>-6.806</v>
      </c>
      <c r="P2712">
        <v>0</v>
      </c>
      <c r="Q2712" s="1">
        <v>0.29499999999999998</v>
      </c>
      <c r="R2712" s="1">
        <v>0.40400000000000003</v>
      </c>
      <c r="S2712" s="1">
        <v>0.16</v>
      </c>
      <c r="T2712" s="1">
        <v>0.74</v>
      </c>
      <c r="U2712" s="1">
        <v>0.63100000000000001</v>
      </c>
      <c r="V2712" s="1">
        <v>124.08</v>
      </c>
      <c r="W2712">
        <v>4</v>
      </c>
    </row>
    <row r="2713" spans="1:23" x14ac:dyDescent="0.25">
      <c r="A2713" s="1" t="s">
        <v>19496</v>
      </c>
      <c r="B2713" s="1" t="s">
        <v>15553</v>
      </c>
      <c r="C2713" s="1" t="s">
        <v>7262</v>
      </c>
      <c r="D2713" s="1" t="s">
        <v>19497</v>
      </c>
      <c r="E2713" s="1" t="s">
        <v>3771</v>
      </c>
      <c r="F2713" s="1" t="s">
        <v>11434</v>
      </c>
      <c r="G2713">
        <v>185122</v>
      </c>
      <c r="H2713">
        <v>72</v>
      </c>
      <c r="I2713" s="1" t="s">
        <v>11063</v>
      </c>
      <c r="J2713" s="11">
        <v>44729.706458333334</v>
      </c>
      <c r="K2713" s="1" t="s">
        <v>3772</v>
      </c>
      <c r="L2713" s="1">
        <v>0.51400000000000001</v>
      </c>
      <c r="M2713" s="1">
        <v>0.60499999999999998</v>
      </c>
      <c r="N2713">
        <v>7</v>
      </c>
      <c r="O2713" s="1">
        <v>-5.3630000000000004</v>
      </c>
      <c r="P2713">
        <v>1</v>
      </c>
      <c r="Q2713" s="1">
        <v>0.33700000000000002</v>
      </c>
      <c r="R2713" s="1">
        <v>0.77400000000000002</v>
      </c>
      <c r="S2713" s="1">
        <v>0.29099999999999998</v>
      </c>
      <c r="T2713" s="1">
        <v>0.121</v>
      </c>
      <c r="U2713" s="1">
        <v>0.40899999999999997</v>
      </c>
      <c r="V2713" s="1">
        <v>120.89400000000001</v>
      </c>
      <c r="W2713">
        <v>4</v>
      </c>
    </row>
    <row r="2714" spans="1:23" x14ac:dyDescent="0.25">
      <c r="A2714" s="1" t="s">
        <v>19498</v>
      </c>
      <c r="B2714" s="1" t="s">
        <v>19499</v>
      </c>
      <c r="C2714" s="1" t="s">
        <v>7263</v>
      </c>
      <c r="D2714" s="1" t="s">
        <v>7263</v>
      </c>
      <c r="E2714" s="1" t="s">
        <v>7264</v>
      </c>
      <c r="F2714" s="1" t="s">
        <v>18861</v>
      </c>
      <c r="G2714">
        <v>169174</v>
      </c>
      <c r="H2714">
        <v>69</v>
      </c>
      <c r="I2714" s="1" t="s">
        <v>11063</v>
      </c>
      <c r="J2714" s="11">
        <v>44729.706458333334</v>
      </c>
      <c r="K2714" s="1" t="s">
        <v>7265</v>
      </c>
      <c r="L2714" s="1">
        <v>0.65500000000000003</v>
      </c>
      <c r="M2714" s="1">
        <v>0.56899999999999995</v>
      </c>
      <c r="N2714">
        <v>1</v>
      </c>
      <c r="O2714" s="1">
        <v>-5.0179999999999998</v>
      </c>
      <c r="P2714">
        <v>0</v>
      </c>
      <c r="Q2714" s="1">
        <v>0.34899999999999998</v>
      </c>
      <c r="R2714" s="1">
        <v>0.71599999999999997</v>
      </c>
      <c r="S2714" s="1">
        <v>0.74</v>
      </c>
      <c r="T2714" s="1">
        <v>0.13500000000000001</v>
      </c>
      <c r="U2714" s="1">
        <v>0.44</v>
      </c>
      <c r="V2714" s="1">
        <v>150.267</v>
      </c>
      <c r="W2714">
        <v>4</v>
      </c>
    </row>
    <row r="2715" spans="1:23" x14ac:dyDescent="0.25">
      <c r="A2715" s="1" t="s">
        <v>19500</v>
      </c>
      <c r="B2715" s="1" t="s">
        <v>15553</v>
      </c>
      <c r="C2715" s="1" t="s">
        <v>7266</v>
      </c>
      <c r="D2715" s="1" t="s">
        <v>19497</v>
      </c>
      <c r="E2715" s="1" t="s">
        <v>3771</v>
      </c>
      <c r="F2715" s="1" t="s">
        <v>11434</v>
      </c>
      <c r="G2715">
        <v>188850</v>
      </c>
      <c r="H2715">
        <v>66</v>
      </c>
      <c r="I2715" s="1" t="s">
        <v>11063</v>
      </c>
      <c r="J2715" s="11">
        <v>44729.706458333334</v>
      </c>
      <c r="K2715" s="1" t="s">
        <v>3772</v>
      </c>
      <c r="L2715" s="1">
        <v>0.41599999999999998</v>
      </c>
      <c r="M2715" s="1">
        <v>0.64900000000000002</v>
      </c>
      <c r="N2715">
        <v>11</v>
      </c>
      <c r="O2715" s="1">
        <v>-5.2709999999999999</v>
      </c>
      <c r="P2715">
        <v>0</v>
      </c>
      <c r="Q2715" s="1">
        <v>0.38500000000000001</v>
      </c>
      <c r="R2715" s="1">
        <v>0.65500000000000003</v>
      </c>
      <c r="S2715" s="1">
        <v>0.28199999999999997</v>
      </c>
      <c r="T2715" s="1">
        <v>0.12</v>
      </c>
      <c r="U2715" s="1">
        <v>0.47399999999999998</v>
      </c>
      <c r="V2715" s="1">
        <v>112.482</v>
      </c>
      <c r="W2715">
        <v>3</v>
      </c>
    </row>
    <row r="2716" spans="1:23" x14ac:dyDescent="0.25">
      <c r="A2716" s="1" t="s">
        <v>19501</v>
      </c>
      <c r="B2716" s="1" t="s">
        <v>15553</v>
      </c>
      <c r="C2716" s="1" t="s">
        <v>7267</v>
      </c>
      <c r="D2716" s="1" t="s">
        <v>19497</v>
      </c>
      <c r="E2716" s="1" t="s">
        <v>3771</v>
      </c>
      <c r="F2716" s="1" t="s">
        <v>11434</v>
      </c>
      <c r="G2716">
        <v>169353</v>
      </c>
      <c r="H2716">
        <v>84</v>
      </c>
      <c r="I2716" s="1" t="s">
        <v>11063</v>
      </c>
      <c r="J2716" s="11">
        <v>44729.706458333334</v>
      </c>
      <c r="K2716" s="1" t="s">
        <v>3772</v>
      </c>
      <c r="L2716" s="1">
        <v>0.65200000000000002</v>
      </c>
      <c r="M2716" s="1">
        <v>0.55700000000000005</v>
      </c>
      <c r="N2716">
        <v>1</v>
      </c>
      <c r="O2716" s="1">
        <v>-5.7140000000000004</v>
      </c>
      <c r="P2716">
        <v>0</v>
      </c>
      <c r="Q2716" s="1">
        <v>0.318</v>
      </c>
      <c r="R2716" s="1">
        <v>0.74</v>
      </c>
      <c r="S2716" s="1">
        <v>0</v>
      </c>
      <c r="T2716" s="1">
        <v>0.124</v>
      </c>
      <c r="U2716" s="1">
        <v>0.48299999999999998</v>
      </c>
      <c r="V2716" s="1">
        <v>150.07300000000001</v>
      </c>
      <c r="W2716">
        <v>4</v>
      </c>
    </row>
    <row r="2717" spans="1:23" x14ac:dyDescent="0.25">
      <c r="A2717" s="1" t="s">
        <v>19502</v>
      </c>
      <c r="B2717" s="1" t="s">
        <v>19503</v>
      </c>
      <c r="C2717" s="1" t="s">
        <v>7268</v>
      </c>
      <c r="D2717" s="1" t="s">
        <v>7268</v>
      </c>
      <c r="E2717" s="1" t="s">
        <v>7269</v>
      </c>
      <c r="F2717" s="1" t="s">
        <v>19504</v>
      </c>
      <c r="G2717">
        <v>197487</v>
      </c>
      <c r="H2717">
        <v>70</v>
      </c>
      <c r="I2717" s="1" t="s">
        <v>11063</v>
      </c>
      <c r="J2717" s="11">
        <v>44729.706458333334</v>
      </c>
      <c r="K2717" s="1" t="s">
        <v>7270</v>
      </c>
      <c r="L2717" s="1">
        <v>0.9</v>
      </c>
      <c r="M2717" s="1">
        <v>0.4</v>
      </c>
      <c r="N2717">
        <v>0</v>
      </c>
      <c r="O2717" s="1">
        <v>-8.4429999999999996</v>
      </c>
      <c r="P2717">
        <v>1</v>
      </c>
      <c r="Q2717" s="1">
        <v>0.124</v>
      </c>
      <c r="R2717" s="1">
        <v>0.501</v>
      </c>
      <c r="S2717" s="1">
        <v>0</v>
      </c>
      <c r="T2717" s="1">
        <v>0.876</v>
      </c>
      <c r="U2717" s="1">
        <v>0.33800000000000002</v>
      </c>
      <c r="V2717" s="1">
        <v>136.001</v>
      </c>
      <c r="W2717">
        <v>4</v>
      </c>
    </row>
    <row r="2718" spans="1:23" x14ac:dyDescent="0.25">
      <c r="A2718" s="1" t="s">
        <v>19505</v>
      </c>
      <c r="B2718" s="1" t="s">
        <v>19506</v>
      </c>
      <c r="C2718" s="1" t="s">
        <v>7271</v>
      </c>
      <c r="D2718" s="1" t="s">
        <v>19507</v>
      </c>
      <c r="E2718" s="1" t="s">
        <v>7272</v>
      </c>
      <c r="F2718" s="1" t="s">
        <v>16928</v>
      </c>
      <c r="G2718">
        <v>199245</v>
      </c>
      <c r="H2718">
        <v>64</v>
      </c>
      <c r="I2718" s="1" t="s">
        <v>11063</v>
      </c>
      <c r="J2718" s="11">
        <v>44729.706458333334</v>
      </c>
      <c r="K2718" s="1" t="s">
        <v>7273</v>
      </c>
      <c r="L2718" s="1">
        <v>0.70399999999999996</v>
      </c>
      <c r="M2718" s="1">
        <v>0.628</v>
      </c>
      <c r="N2718">
        <v>10</v>
      </c>
      <c r="O2718" s="1">
        <v>-7.8819999999999997</v>
      </c>
      <c r="P2718">
        <v>0</v>
      </c>
      <c r="Q2718" s="1">
        <v>0.16200000000000001</v>
      </c>
      <c r="R2718" s="1">
        <v>0.626</v>
      </c>
      <c r="S2718" s="1">
        <v>0.14899999999999999</v>
      </c>
      <c r="T2718" s="1">
        <v>0.10299999999999999</v>
      </c>
      <c r="U2718" s="1">
        <v>0.65400000000000003</v>
      </c>
      <c r="V2718" s="1">
        <v>92.004999999999995</v>
      </c>
      <c r="W2718">
        <v>4</v>
      </c>
    </row>
    <row r="2719" spans="1:23" x14ac:dyDescent="0.25">
      <c r="A2719" s="1" t="s">
        <v>19508</v>
      </c>
      <c r="B2719" s="1" t="s">
        <v>11540</v>
      </c>
      <c r="C2719" s="1" t="s">
        <v>277</v>
      </c>
      <c r="D2719" s="1" t="s">
        <v>15812</v>
      </c>
      <c r="E2719" s="1" t="s">
        <v>278</v>
      </c>
      <c r="F2719" s="1" t="s">
        <v>11542</v>
      </c>
      <c r="G2719">
        <v>255631</v>
      </c>
      <c r="H2719">
        <v>60</v>
      </c>
      <c r="I2719" s="1" t="s">
        <v>11063</v>
      </c>
      <c r="J2719" s="11">
        <v>44729.706458333334</v>
      </c>
      <c r="K2719" s="1" t="s">
        <v>279</v>
      </c>
      <c r="L2719" s="1">
        <v>0.499</v>
      </c>
      <c r="M2719" s="1">
        <v>0.73299999999999998</v>
      </c>
      <c r="N2719">
        <v>1</v>
      </c>
      <c r="O2719" s="1">
        <v>-5.4489999999999998</v>
      </c>
      <c r="P2719">
        <v>1</v>
      </c>
      <c r="Q2719" s="1">
        <v>0.17399999999999999</v>
      </c>
      <c r="R2719" s="1">
        <v>0.16</v>
      </c>
      <c r="S2719" s="1">
        <v>0.13500000000000001</v>
      </c>
      <c r="T2719" s="1">
        <v>0.89700000000000002</v>
      </c>
      <c r="U2719" s="1">
        <v>0.53700000000000003</v>
      </c>
      <c r="V2719" s="1">
        <v>121.98399999999999</v>
      </c>
      <c r="W2719">
        <v>4</v>
      </c>
    </row>
    <row r="2720" spans="1:23" x14ac:dyDescent="0.25">
      <c r="A2720" s="1" t="s">
        <v>19509</v>
      </c>
      <c r="B2720" s="1" t="s">
        <v>19510</v>
      </c>
      <c r="C2720" s="1" t="s">
        <v>7274</v>
      </c>
      <c r="D2720" s="1" t="s">
        <v>7274</v>
      </c>
      <c r="E2720" s="1" t="s">
        <v>7275</v>
      </c>
      <c r="F2720" s="1" t="s">
        <v>14558</v>
      </c>
      <c r="G2720">
        <v>192820</v>
      </c>
      <c r="H2720">
        <v>43</v>
      </c>
      <c r="I2720" s="1" t="s">
        <v>11063</v>
      </c>
      <c r="J2720" s="11">
        <v>44729.706458333334</v>
      </c>
      <c r="K2720" s="1" t="s">
        <v>7276</v>
      </c>
      <c r="L2720" s="1">
        <v>0.66700000000000004</v>
      </c>
      <c r="M2720" s="1">
        <v>0.82399999999999995</v>
      </c>
      <c r="N2720">
        <v>7</v>
      </c>
      <c r="O2720" s="1">
        <v>-4.6820000000000004</v>
      </c>
      <c r="P2720">
        <v>1</v>
      </c>
      <c r="Q2720" s="1">
        <v>0.39600000000000002</v>
      </c>
      <c r="R2720" s="1">
        <v>0.66800000000000004</v>
      </c>
      <c r="S2720" s="1">
        <v>0.49099999999999999</v>
      </c>
      <c r="T2720" s="1">
        <v>0.13100000000000001</v>
      </c>
      <c r="U2720" s="1">
        <v>0.59</v>
      </c>
      <c r="V2720" s="1">
        <v>117.01900000000001</v>
      </c>
      <c r="W2720">
        <v>4</v>
      </c>
    </row>
    <row r="2721" spans="1:23" x14ac:dyDescent="0.25">
      <c r="A2721" s="1" t="s">
        <v>19511</v>
      </c>
      <c r="B2721" s="1" t="s">
        <v>19512</v>
      </c>
      <c r="C2721" s="1" t="s">
        <v>7277</v>
      </c>
      <c r="D2721" s="1" t="s">
        <v>19513</v>
      </c>
      <c r="E2721" s="1" t="s">
        <v>7278</v>
      </c>
      <c r="F2721" s="1" t="s">
        <v>17607</v>
      </c>
      <c r="G2721">
        <v>184918</v>
      </c>
      <c r="H2721">
        <v>35</v>
      </c>
      <c r="I2721" s="1" t="s">
        <v>11063</v>
      </c>
      <c r="J2721" s="11">
        <v>44729.706458333334</v>
      </c>
      <c r="K2721" s="1" t="s">
        <v>7279</v>
      </c>
      <c r="L2721" s="1">
        <v>0.65</v>
      </c>
      <c r="M2721" s="1">
        <v>0.82699999999999996</v>
      </c>
      <c r="N2721">
        <v>8</v>
      </c>
      <c r="O2721" s="1">
        <v>-3.7919999999999998</v>
      </c>
      <c r="P2721">
        <v>1</v>
      </c>
      <c r="Q2721" s="1">
        <v>0.92600000000000005</v>
      </c>
      <c r="R2721" s="1">
        <v>0.26500000000000001</v>
      </c>
      <c r="S2721" s="1">
        <v>0.58799999999999997</v>
      </c>
      <c r="T2721" s="1">
        <v>0.16600000000000001</v>
      </c>
      <c r="U2721" s="1">
        <v>0.498</v>
      </c>
      <c r="V2721" s="1">
        <v>122.057</v>
      </c>
      <c r="W2721">
        <v>4</v>
      </c>
    </row>
    <row r="2722" spans="1:23" x14ac:dyDescent="0.25">
      <c r="A2722" s="1" t="s">
        <v>19514</v>
      </c>
      <c r="B2722" s="1" t="s">
        <v>19515</v>
      </c>
      <c r="C2722" s="1" t="s">
        <v>7280</v>
      </c>
      <c r="D2722" s="1" t="s">
        <v>7280</v>
      </c>
      <c r="E2722" s="1" t="s">
        <v>7281</v>
      </c>
      <c r="F2722" s="1" t="s">
        <v>18492</v>
      </c>
      <c r="G2722">
        <v>193103</v>
      </c>
      <c r="H2722">
        <v>64</v>
      </c>
      <c r="I2722" s="1" t="s">
        <v>11063</v>
      </c>
      <c r="J2722" s="11">
        <v>44729.706458333334</v>
      </c>
      <c r="K2722" s="1" t="s">
        <v>7276</v>
      </c>
      <c r="L2722" s="1">
        <v>0.49099999999999999</v>
      </c>
      <c r="M2722" s="1">
        <v>0.61199999999999999</v>
      </c>
      <c r="N2722">
        <v>10</v>
      </c>
      <c r="O2722" s="1">
        <v>-5.7610000000000001</v>
      </c>
      <c r="P2722">
        <v>1</v>
      </c>
      <c r="Q2722" s="1">
        <v>0.79600000000000004</v>
      </c>
      <c r="R2722" s="1">
        <v>0.69899999999999995</v>
      </c>
      <c r="S2722" s="1">
        <v>0</v>
      </c>
      <c r="T2722" s="1">
        <v>0.94599999999999995</v>
      </c>
      <c r="U2722" s="1">
        <v>0.27900000000000003</v>
      </c>
      <c r="V2722" s="1">
        <v>173.846</v>
      </c>
      <c r="W2722">
        <v>4</v>
      </c>
    </row>
    <row r="2723" spans="1:23" x14ac:dyDescent="0.25">
      <c r="A2723" s="1" t="s">
        <v>19516</v>
      </c>
      <c r="B2723" s="1" t="s">
        <v>19515</v>
      </c>
      <c r="C2723" s="1" t="s">
        <v>7282</v>
      </c>
      <c r="D2723" s="1" t="s">
        <v>7282</v>
      </c>
      <c r="E2723" s="1" t="s">
        <v>7281</v>
      </c>
      <c r="F2723" s="1" t="s">
        <v>15471</v>
      </c>
      <c r="G2723">
        <v>161520</v>
      </c>
      <c r="H2723">
        <v>51</v>
      </c>
      <c r="I2723" s="1" t="s">
        <v>11063</v>
      </c>
      <c r="J2723" s="11">
        <v>44729.706458333334</v>
      </c>
      <c r="K2723" s="1" t="s">
        <v>7276</v>
      </c>
      <c r="L2723" s="1">
        <v>0.60499999999999998</v>
      </c>
      <c r="M2723" s="1">
        <v>0.73299999999999998</v>
      </c>
      <c r="N2723">
        <v>2</v>
      </c>
      <c r="O2723" s="1">
        <v>-4.6840000000000002</v>
      </c>
      <c r="P2723">
        <v>1</v>
      </c>
      <c r="Q2723" s="1">
        <v>0.61599999999999999</v>
      </c>
      <c r="R2723" s="1">
        <v>0.124</v>
      </c>
      <c r="S2723" s="1">
        <v>0</v>
      </c>
      <c r="T2723" s="1">
        <v>0.78600000000000003</v>
      </c>
      <c r="U2723" s="1">
        <v>0.48899999999999999</v>
      </c>
      <c r="V2723" s="1">
        <v>125.029</v>
      </c>
      <c r="W2723">
        <v>4</v>
      </c>
    </row>
    <row r="2724" spans="1:23" x14ac:dyDescent="0.25">
      <c r="A2724" s="1" t="s">
        <v>19517</v>
      </c>
      <c r="B2724" s="1" t="s">
        <v>14392</v>
      </c>
      <c r="C2724" s="1" t="s">
        <v>7283</v>
      </c>
      <c r="D2724" s="1" t="s">
        <v>19518</v>
      </c>
      <c r="E2724" s="1" t="s">
        <v>2735</v>
      </c>
      <c r="F2724" s="1" t="s">
        <v>19519</v>
      </c>
      <c r="G2724">
        <v>235466</v>
      </c>
      <c r="H2724">
        <v>60</v>
      </c>
      <c r="I2724" s="1" t="s">
        <v>11063</v>
      </c>
      <c r="J2724" s="11">
        <v>44729.706458333334</v>
      </c>
      <c r="K2724" s="1" t="s">
        <v>2736</v>
      </c>
      <c r="L2724" s="1">
        <v>0.64800000000000002</v>
      </c>
      <c r="M2724" s="1">
        <v>0.67100000000000004</v>
      </c>
      <c r="N2724">
        <v>2</v>
      </c>
      <c r="O2724" s="1">
        <v>-8.49</v>
      </c>
      <c r="P2724">
        <v>1</v>
      </c>
      <c r="Q2724" s="1">
        <v>0.104</v>
      </c>
      <c r="R2724" s="1">
        <v>0.34799999999999998</v>
      </c>
      <c r="S2724" s="1">
        <v>0</v>
      </c>
      <c r="T2724" s="1">
        <v>0.376</v>
      </c>
      <c r="U2724" s="1">
        <v>0.53300000000000003</v>
      </c>
      <c r="V2724" s="1">
        <v>122.89100000000001</v>
      </c>
      <c r="W2724">
        <v>4</v>
      </c>
    </row>
    <row r="2725" spans="1:23" x14ac:dyDescent="0.25">
      <c r="A2725" s="1" t="s">
        <v>19520</v>
      </c>
      <c r="B2725" s="1" t="s">
        <v>14392</v>
      </c>
      <c r="C2725" s="1" t="s">
        <v>7284</v>
      </c>
      <c r="D2725" s="1" t="s">
        <v>19521</v>
      </c>
      <c r="E2725" s="1" t="s">
        <v>2735</v>
      </c>
      <c r="F2725" s="1" t="s">
        <v>19522</v>
      </c>
      <c r="G2725">
        <v>251440</v>
      </c>
      <c r="H2725">
        <v>0</v>
      </c>
      <c r="I2725" s="1" t="s">
        <v>11063</v>
      </c>
      <c r="J2725" s="11">
        <v>44729.706458333334</v>
      </c>
      <c r="K2725" s="1" t="s">
        <v>2736</v>
      </c>
      <c r="L2725" s="1">
        <v>0.55200000000000005</v>
      </c>
      <c r="M2725" s="1">
        <v>0.47899999999999998</v>
      </c>
      <c r="N2725">
        <v>2</v>
      </c>
      <c r="O2725" s="1">
        <v>-14.566000000000001</v>
      </c>
      <c r="P2725">
        <v>1</v>
      </c>
      <c r="Q2725" s="1">
        <v>0.30599999999999999</v>
      </c>
      <c r="R2725" s="1">
        <v>0.433</v>
      </c>
      <c r="S2725" s="1">
        <v>0.89900000000000002</v>
      </c>
      <c r="T2725" s="1">
        <v>0.11700000000000001</v>
      </c>
      <c r="U2725" s="1">
        <v>0.35199999999999998</v>
      </c>
      <c r="V2725" s="1">
        <v>159.97800000000001</v>
      </c>
      <c r="W2725">
        <v>4</v>
      </c>
    </row>
    <row r="2726" spans="1:23" x14ac:dyDescent="0.25">
      <c r="A2726" s="1" t="s">
        <v>19523</v>
      </c>
      <c r="B2726" s="1" t="s">
        <v>18142</v>
      </c>
      <c r="C2726" s="1" t="s">
        <v>7285</v>
      </c>
      <c r="D2726" s="1" t="s">
        <v>19524</v>
      </c>
      <c r="E2726" s="1" t="s">
        <v>6030</v>
      </c>
      <c r="F2726" s="1" t="s">
        <v>13931</v>
      </c>
      <c r="G2726">
        <v>187508</v>
      </c>
      <c r="H2726">
        <v>45</v>
      </c>
      <c r="I2726" s="1" t="s">
        <v>11063</v>
      </c>
      <c r="J2726" s="11">
        <v>44729.706458333334</v>
      </c>
      <c r="K2726" s="1" t="s">
        <v>6031</v>
      </c>
      <c r="L2726" s="1">
        <v>0.79200000000000004</v>
      </c>
      <c r="M2726" s="1">
        <v>0.46700000000000003</v>
      </c>
      <c r="N2726">
        <v>8</v>
      </c>
      <c r="O2726" s="1">
        <v>-6.3109999999999999</v>
      </c>
      <c r="P2726">
        <v>0</v>
      </c>
      <c r="Q2726" s="1">
        <v>0.50800000000000001</v>
      </c>
      <c r="R2726" s="1">
        <v>0.93899999999999995</v>
      </c>
      <c r="S2726" s="1">
        <v>0.16400000000000001</v>
      </c>
      <c r="T2726" s="1">
        <v>0.89700000000000002</v>
      </c>
      <c r="U2726" s="1">
        <v>0.54400000000000004</v>
      </c>
      <c r="V2726" s="1">
        <v>137.03299999999999</v>
      </c>
      <c r="W2726">
        <v>4</v>
      </c>
    </row>
    <row r="2727" spans="1:23" x14ac:dyDescent="0.25">
      <c r="A2727" s="1" t="s">
        <v>19525</v>
      </c>
      <c r="B2727" s="1" t="s">
        <v>18142</v>
      </c>
      <c r="C2727" s="1" t="s">
        <v>5025</v>
      </c>
      <c r="D2727" s="1" t="s">
        <v>19524</v>
      </c>
      <c r="E2727" s="1" t="s">
        <v>6030</v>
      </c>
      <c r="F2727" s="1" t="s">
        <v>13931</v>
      </c>
      <c r="G2727">
        <v>222733</v>
      </c>
      <c r="H2727">
        <v>43</v>
      </c>
      <c r="I2727" s="1" t="s">
        <v>11063</v>
      </c>
      <c r="J2727" s="11">
        <v>44729.706458333334</v>
      </c>
      <c r="K2727" s="1" t="s">
        <v>6031</v>
      </c>
      <c r="L2727" s="1">
        <v>0.71599999999999997</v>
      </c>
      <c r="M2727" s="1">
        <v>0.308</v>
      </c>
      <c r="N2727">
        <v>3</v>
      </c>
      <c r="O2727" s="1">
        <v>-8.6159999999999997</v>
      </c>
      <c r="P2727">
        <v>1</v>
      </c>
      <c r="Q2727" s="1">
        <v>0.33400000000000002</v>
      </c>
      <c r="R2727" s="1">
        <v>0.13500000000000001</v>
      </c>
      <c r="S2727" s="1">
        <v>0.98199999999999998</v>
      </c>
      <c r="T2727" s="1">
        <v>0.90500000000000003</v>
      </c>
      <c r="U2727" s="1">
        <v>0.255</v>
      </c>
      <c r="V2727" s="1">
        <v>137.92099999999999</v>
      </c>
      <c r="W2727">
        <v>4</v>
      </c>
    </row>
    <row r="2728" spans="1:23" x14ac:dyDescent="0.25">
      <c r="A2728" s="1" t="s">
        <v>19526</v>
      </c>
      <c r="B2728" s="1" t="s">
        <v>19527</v>
      </c>
      <c r="C2728" s="1" t="s">
        <v>3690</v>
      </c>
      <c r="D2728" s="1" t="s">
        <v>3690</v>
      </c>
      <c r="E2728" s="1" t="s">
        <v>7286</v>
      </c>
      <c r="F2728" s="1" t="s">
        <v>19528</v>
      </c>
      <c r="G2728">
        <v>234838</v>
      </c>
      <c r="H2728">
        <v>0</v>
      </c>
      <c r="I2728" s="1" t="s">
        <v>11063</v>
      </c>
      <c r="J2728" s="11">
        <v>44729.706458333334</v>
      </c>
      <c r="K2728" s="1" t="s">
        <v>7287</v>
      </c>
      <c r="L2728" s="1">
        <v>0.32600000000000001</v>
      </c>
      <c r="M2728" s="1">
        <v>0.83199999999999996</v>
      </c>
      <c r="N2728">
        <v>9</v>
      </c>
      <c r="O2728" s="1">
        <v>-3.1930000000000001</v>
      </c>
      <c r="P2728">
        <v>0</v>
      </c>
      <c r="Q2728" s="1">
        <v>0.27300000000000002</v>
      </c>
      <c r="R2728" s="1">
        <v>0.14399999999999999</v>
      </c>
      <c r="S2728" s="1">
        <v>0.22800000000000001</v>
      </c>
      <c r="T2728" s="1">
        <v>0.14399999999999999</v>
      </c>
      <c r="U2728" s="1">
        <v>0.156</v>
      </c>
      <c r="V2728" s="1">
        <v>185.471</v>
      </c>
      <c r="W2728">
        <v>4</v>
      </c>
    </row>
    <row r="2729" spans="1:23" x14ac:dyDescent="0.25">
      <c r="A2729" s="1" t="s">
        <v>19529</v>
      </c>
      <c r="B2729" s="1" t="s">
        <v>19530</v>
      </c>
      <c r="C2729" s="1" t="s">
        <v>7288</v>
      </c>
      <c r="D2729" s="1" t="s">
        <v>7288</v>
      </c>
      <c r="E2729" s="1" t="s">
        <v>7289</v>
      </c>
      <c r="F2729" s="1" t="s">
        <v>11356</v>
      </c>
      <c r="G2729">
        <v>258082</v>
      </c>
      <c r="H2729">
        <v>49</v>
      </c>
      <c r="I2729" s="1" t="s">
        <v>11063</v>
      </c>
      <c r="J2729" s="11">
        <v>44729.706458333334</v>
      </c>
      <c r="K2729" s="1" t="s">
        <v>7290</v>
      </c>
      <c r="L2729" s="1">
        <v>0.35499999999999998</v>
      </c>
      <c r="M2729" s="1">
        <v>0.85199999999999998</v>
      </c>
      <c r="N2729">
        <v>6</v>
      </c>
      <c r="O2729" s="1">
        <v>-3.9660000000000002</v>
      </c>
      <c r="P2729">
        <v>0</v>
      </c>
      <c r="Q2729" s="1">
        <v>0.63200000000000001</v>
      </c>
      <c r="R2729" s="1">
        <v>0.13400000000000001</v>
      </c>
      <c r="S2729" s="1">
        <v>0.19800000000000001</v>
      </c>
      <c r="T2729" s="1">
        <v>0.77400000000000002</v>
      </c>
      <c r="U2729" s="1">
        <v>0.17299999999999999</v>
      </c>
      <c r="V2729" s="1">
        <v>143.92500000000001</v>
      </c>
      <c r="W2729">
        <v>4</v>
      </c>
    </row>
    <row r="2730" spans="1:23" x14ac:dyDescent="0.25">
      <c r="A2730" s="1" t="s">
        <v>19531</v>
      </c>
      <c r="B2730" s="1" t="s">
        <v>19532</v>
      </c>
      <c r="C2730" s="1" t="s">
        <v>7291</v>
      </c>
      <c r="D2730" s="1" t="s">
        <v>19533</v>
      </c>
      <c r="E2730" s="1" t="s">
        <v>7292</v>
      </c>
      <c r="F2730" s="1" t="s">
        <v>14620</v>
      </c>
      <c r="G2730">
        <v>201600</v>
      </c>
      <c r="H2730">
        <v>48</v>
      </c>
      <c r="I2730" s="1" t="s">
        <v>11063</v>
      </c>
      <c r="J2730" s="11">
        <v>44729.706458333334</v>
      </c>
      <c r="K2730" s="1" t="s">
        <v>7293</v>
      </c>
      <c r="L2730" s="1">
        <v>0.49</v>
      </c>
      <c r="M2730" s="1">
        <v>0.629</v>
      </c>
      <c r="N2730">
        <v>2</v>
      </c>
      <c r="O2730" s="1">
        <v>-4.0720000000000001</v>
      </c>
      <c r="P2730">
        <v>0</v>
      </c>
      <c r="Q2730" s="1">
        <v>0.39900000000000002</v>
      </c>
      <c r="R2730" s="1">
        <v>0.73199999999999998</v>
      </c>
      <c r="S2730" s="1">
        <v>0</v>
      </c>
      <c r="T2730" s="1">
        <v>0.95699999999999996</v>
      </c>
      <c r="U2730" s="1">
        <v>0.3</v>
      </c>
      <c r="V2730" s="1">
        <v>74.966999999999999</v>
      </c>
      <c r="W2730">
        <v>4</v>
      </c>
    </row>
    <row r="2731" spans="1:23" x14ac:dyDescent="0.25">
      <c r="A2731" s="1" t="s">
        <v>19534</v>
      </c>
      <c r="B2731" s="1" t="s">
        <v>19487</v>
      </c>
      <c r="C2731" s="1" t="s">
        <v>7250</v>
      </c>
      <c r="D2731" s="1" t="s">
        <v>19533</v>
      </c>
      <c r="E2731" s="1" t="s">
        <v>7251</v>
      </c>
      <c r="F2731" s="1" t="s">
        <v>14620</v>
      </c>
      <c r="G2731">
        <v>206727</v>
      </c>
      <c r="H2731">
        <v>56</v>
      </c>
      <c r="I2731" s="1" t="s">
        <v>11063</v>
      </c>
      <c r="J2731" s="11">
        <v>44729.706458333334</v>
      </c>
      <c r="K2731" s="1" t="s">
        <v>7252</v>
      </c>
      <c r="L2731" s="1">
        <v>0.432</v>
      </c>
      <c r="M2731" s="1">
        <v>0.85</v>
      </c>
      <c r="N2731">
        <v>10</v>
      </c>
      <c r="O2731" s="1">
        <v>-4.4169999999999998</v>
      </c>
      <c r="P2731">
        <v>1</v>
      </c>
      <c r="Q2731" s="1">
        <v>0.77100000000000002</v>
      </c>
      <c r="R2731" s="1">
        <v>0.501</v>
      </c>
      <c r="S2731" s="1">
        <v>0.65900000000000003</v>
      </c>
      <c r="T2731" s="1">
        <v>0.20300000000000001</v>
      </c>
      <c r="U2731" s="1">
        <v>0.109</v>
      </c>
      <c r="V2731" s="1">
        <v>82.606999999999999</v>
      </c>
      <c r="W2731">
        <v>4</v>
      </c>
    </row>
    <row r="2732" spans="1:23" x14ac:dyDescent="0.25">
      <c r="A2732" s="1" t="s">
        <v>19535</v>
      </c>
      <c r="B2732" s="1" t="s">
        <v>18151</v>
      </c>
      <c r="C2732" s="1" t="s">
        <v>7294</v>
      </c>
      <c r="D2732" s="1" t="s">
        <v>7294</v>
      </c>
      <c r="E2732" s="1" t="s">
        <v>6040</v>
      </c>
      <c r="F2732" s="1" t="s">
        <v>13863</v>
      </c>
      <c r="G2732">
        <v>236068</v>
      </c>
      <c r="H2732">
        <v>52</v>
      </c>
      <c r="I2732" s="1" t="s">
        <v>11063</v>
      </c>
      <c r="J2732" s="11">
        <v>44729.706458333334</v>
      </c>
      <c r="K2732" s="1" t="s">
        <v>2372</v>
      </c>
      <c r="L2732" s="1">
        <v>0.314</v>
      </c>
      <c r="M2732" s="1">
        <v>0.61</v>
      </c>
      <c r="N2732">
        <v>3</v>
      </c>
      <c r="O2732" s="1">
        <v>-5.3940000000000001</v>
      </c>
      <c r="P2732">
        <v>0</v>
      </c>
      <c r="Q2732" s="1">
        <v>0.154</v>
      </c>
      <c r="R2732" s="1">
        <v>0.81200000000000006</v>
      </c>
      <c r="S2732" s="1">
        <v>0</v>
      </c>
      <c r="T2732" s="1">
        <v>0.31</v>
      </c>
      <c r="U2732" s="1">
        <v>0.45500000000000002</v>
      </c>
      <c r="V2732" s="1">
        <v>89.878</v>
      </c>
      <c r="W2732">
        <v>4</v>
      </c>
    </row>
    <row r="2733" spans="1:23" x14ac:dyDescent="0.25">
      <c r="A2733" s="1" t="s">
        <v>19536</v>
      </c>
      <c r="B2733" s="1" t="s">
        <v>19537</v>
      </c>
      <c r="C2733" s="1" t="s">
        <v>7295</v>
      </c>
      <c r="D2733" s="1" t="s">
        <v>7295</v>
      </c>
      <c r="E2733" s="1" t="s">
        <v>7296</v>
      </c>
      <c r="F2733" s="1" t="s">
        <v>19538</v>
      </c>
      <c r="G2733">
        <v>240389</v>
      </c>
      <c r="H2733">
        <v>53</v>
      </c>
      <c r="I2733" s="1" t="s">
        <v>11063</v>
      </c>
      <c r="J2733" s="11">
        <v>44729.706458333334</v>
      </c>
      <c r="K2733" s="1" t="s">
        <v>2372</v>
      </c>
      <c r="L2733" s="1">
        <v>0.434</v>
      </c>
      <c r="M2733" s="1">
        <v>0.505</v>
      </c>
      <c r="N2733">
        <v>0</v>
      </c>
      <c r="O2733" s="1">
        <v>-5.1040000000000001</v>
      </c>
      <c r="P2733">
        <v>0</v>
      </c>
      <c r="Q2733" s="1">
        <v>0.14299999999999999</v>
      </c>
      <c r="R2733" s="1">
        <v>0.58899999999999997</v>
      </c>
      <c r="S2733" s="1">
        <v>0</v>
      </c>
      <c r="T2733" s="1">
        <v>0.85899999999999999</v>
      </c>
      <c r="U2733" s="1">
        <v>0.313</v>
      </c>
      <c r="V2733" s="1">
        <v>171.346</v>
      </c>
      <c r="W2733">
        <v>4</v>
      </c>
    </row>
    <row r="2734" spans="1:23" x14ac:dyDescent="0.25">
      <c r="A2734" s="1" t="s">
        <v>19539</v>
      </c>
      <c r="B2734" s="1" t="s">
        <v>18151</v>
      </c>
      <c r="C2734" s="1" t="s">
        <v>5458</v>
      </c>
      <c r="D2734" s="1" t="s">
        <v>7295</v>
      </c>
      <c r="E2734" s="1" t="s">
        <v>6040</v>
      </c>
      <c r="F2734" s="1" t="s">
        <v>19538</v>
      </c>
      <c r="G2734">
        <v>230511</v>
      </c>
      <c r="H2734">
        <v>54</v>
      </c>
      <c r="I2734" s="1" t="s">
        <v>11063</v>
      </c>
      <c r="J2734" s="11">
        <v>44729.706458333334</v>
      </c>
      <c r="K2734" s="1" t="s">
        <v>2372</v>
      </c>
      <c r="L2734" s="1">
        <v>0.50700000000000001</v>
      </c>
      <c r="M2734" s="1">
        <v>0.436</v>
      </c>
      <c r="N2734">
        <v>11</v>
      </c>
      <c r="O2734" s="1">
        <v>-7.7560000000000002</v>
      </c>
      <c r="P2734">
        <v>0</v>
      </c>
      <c r="Q2734" s="1">
        <v>0.44</v>
      </c>
      <c r="R2734" s="1">
        <v>0.71299999999999997</v>
      </c>
      <c r="S2734" s="1">
        <v>0.16900000000000001</v>
      </c>
      <c r="T2734" s="1">
        <v>0.114</v>
      </c>
      <c r="U2734" s="1">
        <v>0.246</v>
      </c>
      <c r="V2734" s="1">
        <v>125.404</v>
      </c>
      <c r="W2734">
        <v>4</v>
      </c>
    </row>
    <row r="2735" spans="1:23" x14ac:dyDescent="0.25">
      <c r="A2735" s="1" t="s">
        <v>19540</v>
      </c>
      <c r="B2735" s="1" t="s">
        <v>19541</v>
      </c>
      <c r="C2735" s="1" t="s">
        <v>7297</v>
      </c>
      <c r="D2735" s="1" t="s">
        <v>19542</v>
      </c>
      <c r="E2735" s="1" t="s">
        <v>7298</v>
      </c>
      <c r="F2735" s="1" t="s">
        <v>15607</v>
      </c>
      <c r="G2735">
        <v>214631</v>
      </c>
      <c r="H2735">
        <v>56</v>
      </c>
      <c r="I2735" s="1" t="s">
        <v>11063</v>
      </c>
      <c r="J2735" s="11">
        <v>44729.706458333334</v>
      </c>
      <c r="K2735" s="1" t="s">
        <v>7299</v>
      </c>
      <c r="L2735" s="1">
        <v>0.38800000000000001</v>
      </c>
      <c r="M2735" s="1">
        <v>0.83599999999999997</v>
      </c>
      <c r="N2735">
        <v>7</v>
      </c>
      <c r="O2735" s="1">
        <v>-3.2690000000000001</v>
      </c>
      <c r="P2735">
        <v>1</v>
      </c>
      <c r="Q2735" s="1">
        <v>0.23100000000000001</v>
      </c>
      <c r="R2735" s="1">
        <v>0.161</v>
      </c>
      <c r="S2735" s="1">
        <v>0</v>
      </c>
      <c r="T2735" s="1">
        <v>0.93600000000000005</v>
      </c>
      <c r="U2735" s="1">
        <v>0.35299999999999998</v>
      </c>
      <c r="V2735" s="1">
        <v>76.305000000000007</v>
      </c>
      <c r="W2735">
        <v>4</v>
      </c>
    </row>
    <row r="2736" spans="1:23" x14ac:dyDescent="0.25">
      <c r="A2736" s="1" t="s">
        <v>19543</v>
      </c>
      <c r="B2736" s="1" t="s">
        <v>18151</v>
      </c>
      <c r="C2736" s="1" t="s">
        <v>4221</v>
      </c>
      <c r="D2736" s="1" t="s">
        <v>19542</v>
      </c>
      <c r="E2736" s="1" t="s">
        <v>6040</v>
      </c>
      <c r="F2736" s="1" t="s">
        <v>15607</v>
      </c>
      <c r="G2736">
        <v>274668</v>
      </c>
      <c r="H2736">
        <v>56</v>
      </c>
      <c r="I2736" s="1" t="s">
        <v>11063</v>
      </c>
      <c r="J2736" s="11">
        <v>44729.706458333334</v>
      </c>
      <c r="K2736" s="1" t="s">
        <v>2372</v>
      </c>
      <c r="L2736" s="1">
        <v>0.26100000000000001</v>
      </c>
      <c r="M2736" s="1">
        <v>0.52400000000000002</v>
      </c>
      <c r="N2736">
        <v>2</v>
      </c>
      <c r="O2736" s="1">
        <v>-6.6970000000000001</v>
      </c>
      <c r="P2736">
        <v>1</v>
      </c>
      <c r="Q2736" s="1">
        <v>0.437</v>
      </c>
      <c r="R2736" s="1">
        <v>0.61199999999999999</v>
      </c>
      <c r="S2736" s="1">
        <v>0.21099999999999999</v>
      </c>
      <c r="T2736" s="1">
        <v>0.92300000000000004</v>
      </c>
      <c r="U2736" s="1">
        <v>0.11899999999999999</v>
      </c>
      <c r="V2736" s="1">
        <v>58.883000000000003</v>
      </c>
      <c r="W2736">
        <v>3</v>
      </c>
    </row>
    <row r="2737" spans="1:23" x14ac:dyDescent="0.25">
      <c r="A2737" s="1" t="s">
        <v>19544</v>
      </c>
      <c r="B2737" s="1" t="s">
        <v>18151</v>
      </c>
      <c r="C2737" s="1" t="s">
        <v>7300</v>
      </c>
      <c r="D2737" s="1" t="s">
        <v>19545</v>
      </c>
      <c r="E2737" s="1" t="s">
        <v>6040</v>
      </c>
      <c r="F2737" s="1" t="s">
        <v>16448</v>
      </c>
      <c r="G2737">
        <v>232412</v>
      </c>
      <c r="H2737">
        <v>64</v>
      </c>
      <c r="I2737" s="1" t="s">
        <v>11063</v>
      </c>
      <c r="J2737" s="11">
        <v>44729.706458333334</v>
      </c>
      <c r="K2737" s="1" t="s">
        <v>2372</v>
      </c>
      <c r="L2737" s="1">
        <v>0.503</v>
      </c>
      <c r="M2737" s="1">
        <v>0.21199999999999999</v>
      </c>
      <c r="N2737">
        <v>0</v>
      </c>
      <c r="O2737" s="1">
        <v>-12.734999999999999</v>
      </c>
      <c r="P2737">
        <v>0</v>
      </c>
      <c r="Q2737" s="1">
        <v>0.65800000000000003</v>
      </c>
      <c r="R2737" s="1">
        <v>0.872</v>
      </c>
      <c r="S2737" s="1">
        <v>0.29299999999999998</v>
      </c>
      <c r="T2737" s="1">
        <v>0.12</v>
      </c>
      <c r="U2737" s="1">
        <v>0.185</v>
      </c>
      <c r="V2737" s="1">
        <v>118.492</v>
      </c>
      <c r="W2737">
        <v>4</v>
      </c>
    </row>
    <row r="2738" spans="1:23" x14ac:dyDescent="0.25">
      <c r="A2738" s="1" t="s">
        <v>19546</v>
      </c>
      <c r="B2738" s="1" t="s">
        <v>18151</v>
      </c>
      <c r="C2738" s="1" t="s">
        <v>7301</v>
      </c>
      <c r="D2738" s="1" t="s">
        <v>19542</v>
      </c>
      <c r="E2738" s="1" t="s">
        <v>6040</v>
      </c>
      <c r="F2738" s="1" t="s">
        <v>15607</v>
      </c>
      <c r="G2738">
        <v>296053</v>
      </c>
      <c r="H2738">
        <v>58</v>
      </c>
      <c r="I2738" s="1" t="s">
        <v>11063</v>
      </c>
      <c r="J2738" s="11">
        <v>44729.706458333334</v>
      </c>
      <c r="K2738" s="1" t="s">
        <v>2372</v>
      </c>
      <c r="L2738" s="1">
        <v>0.46800000000000003</v>
      </c>
      <c r="M2738" s="1">
        <v>0.51700000000000002</v>
      </c>
      <c r="N2738">
        <v>0</v>
      </c>
      <c r="O2738" s="1">
        <v>-7.0490000000000004</v>
      </c>
      <c r="P2738">
        <v>0</v>
      </c>
      <c r="Q2738" s="1">
        <v>0.57399999999999995</v>
      </c>
      <c r="R2738" s="1">
        <v>0.875</v>
      </c>
      <c r="S2738" s="1">
        <v>0.70499999999999996</v>
      </c>
      <c r="T2738" s="1">
        <v>0.17100000000000001</v>
      </c>
      <c r="U2738" s="1">
        <v>0.42499999999999999</v>
      </c>
      <c r="V2738" s="1">
        <v>69.281999999999996</v>
      </c>
      <c r="W2738">
        <v>4</v>
      </c>
    </row>
    <row r="2739" spans="1:23" x14ac:dyDescent="0.25">
      <c r="A2739" s="1" t="s">
        <v>19547</v>
      </c>
      <c r="B2739" s="1" t="s">
        <v>18151</v>
      </c>
      <c r="C2739" s="1" t="s">
        <v>7302</v>
      </c>
      <c r="D2739" s="1" t="s">
        <v>19542</v>
      </c>
      <c r="E2739" s="1" t="s">
        <v>6040</v>
      </c>
      <c r="F2739" s="1" t="s">
        <v>15607</v>
      </c>
      <c r="G2739">
        <v>218808</v>
      </c>
      <c r="H2739">
        <v>67</v>
      </c>
      <c r="I2739" s="1" t="s">
        <v>11063</v>
      </c>
      <c r="J2739" s="11">
        <v>44729.706458333334</v>
      </c>
      <c r="K2739" s="1" t="s">
        <v>2372</v>
      </c>
      <c r="L2739" s="1">
        <v>0.41299999999999998</v>
      </c>
      <c r="M2739" s="1">
        <v>0.52100000000000002</v>
      </c>
      <c r="N2739">
        <v>9</v>
      </c>
      <c r="O2739" s="1">
        <v>-4.4690000000000003</v>
      </c>
      <c r="P2739">
        <v>1</v>
      </c>
      <c r="Q2739" s="1">
        <v>0.46600000000000003</v>
      </c>
      <c r="R2739" s="1">
        <v>0.16200000000000001</v>
      </c>
      <c r="S2739" s="1">
        <v>0</v>
      </c>
      <c r="T2739" s="1">
        <v>0.32300000000000001</v>
      </c>
      <c r="U2739" s="1">
        <v>0.53200000000000003</v>
      </c>
      <c r="V2739" s="1">
        <v>103.39100000000001</v>
      </c>
      <c r="W2739">
        <v>4</v>
      </c>
    </row>
    <row r="2740" spans="1:23" x14ac:dyDescent="0.25">
      <c r="A2740" s="1" t="s">
        <v>19548</v>
      </c>
      <c r="B2740" s="1" t="s">
        <v>18151</v>
      </c>
      <c r="C2740" s="1" t="s">
        <v>5818</v>
      </c>
      <c r="D2740" s="1" t="s">
        <v>7295</v>
      </c>
      <c r="E2740" s="1" t="s">
        <v>6040</v>
      </c>
      <c r="F2740" s="1" t="s">
        <v>19538</v>
      </c>
      <c r="G2740">
        <v>279827</v>
      </c>
      <c r="H2740">
        <v>60</v>
      </c>
      <c r="I2740" s="1" t="s">
        <v>11063</v>
      </c>
      <c r="J2740" s="11">
        <v>44729.706458333334</v>
      </c>
      <c r="K2740" s="1" t="s">
        <v>2372</v>
      </c>
      <c r="L2740" s="1">
        <v>0.38700000000000001</v>
      </c>
      <c r="M2740" s="1">
        <v>0.374</v>
      </c>
      <c r="N2740">
        <v>0</v>
      </c>
      <c r="O2740" s="1">
        <v>-6.7430000000000003</v>
      </c>
      <c r="P2740">
        <v>1</v>
      </c>
      <c r="Q2740" s="1">
        <v>0.33200000000000002</v>
      </c>
      <c r="R2740" s="1">
        <v>0.88100000000000001</v>
      </c>
      <c r="S2740" s="1">
        <v>0</v>
      </c>
      <c r="T2740" s="1">
        <v>0.85099999999999998</v>
      </c>
      <c r="U2740" s="1">
        <v>0.39300000000000002</v>
      </c>
      <c r="V2740" s="1">
        <v>116.661</v>
      </c>
      <c r="W2740">
        <v>3</v>
      </c>
    </row>
    <row r="2741" spans="1:23" x14ac:dyDescent="0.25">
      <c r="A2741" s="1" t="s">
        <v>19549</v>
      </c>
      <c r="B2741" s="1" t="s">
        <v>18151</v>
      </c>
      <c r="C2741" s="1" t="s">
        <v>7303</v>
      </c>
      <c r="D2741" s="1" t="s">
        <v>19542</v>
      </c>
      <c r="E2741" s="1" t="s">
        <v>6040</v>
      </c>
      <c r="F2741" s="1" t="s">
        <v>15607</v>
      </c>
      <c r="G2741">
        <v>159512</v>
      </c>
      <c r="H2741">
        <v>67</v>
      </c>
      <c r="I2741" s="1" t="s">
        <v>11063</v>
      </c>
      <c r="J2741" s="11">
        <v>44729.706458333334</v>
      </c>
      <c r="K2741" s="1" t="s">
        <v>2372</v>
      </c>
      <c r="L2741" s="1">
        <v>0.61099999999999999</v>
      </c>
      <c r="M2741" s="1">
        <v>0.39</v>
      </c>
      <c r="N2741">
        <v>2</v>
      </c>
      <c r="O2741" s="1">
        <v>-5.8609999999999998</v>
      </c>
      <c r="P2741">
        <v>0</v>
      </c>
      <c r="Q2741" s="1">
        <v>0.11600000000000001</v>
      </c>
      <c r="R2741" s="1">
        <v>0.625</v>
      </c>
      <c r="S2741" s="1">
        <v>0</v>
      </c>
      <c r="T2741" s="1">
        <v>0.11799999999999999</v>
      </c>
      <c r="U2741" s="1">
        <v>0.61699999999999999</v>
      </c>
      <c r="V2741" s="1">
        <v>163.89699999999999</v>
      </c>
      <c r="W2741">
        <v>4</v>
      </c>
    </row>
    <row r="2742" spans="1:23" x14ac:dyDescent="0.25">
      <c r="A2742" s="1" t="s">
        <v>19550</v>
      </c>
      <c r="B2742" s="1" t="s">
        <v>19551</v>
      </c>
      <c r="C2742" s="1" t="s">
        <v>2997</v>
      </c>
      <c r="D2742" s="1" t="s">
        <v>2997</v>
      </c>
      <c r="E2742" s="1" t="s">
        <v>7304</v>
      </c>
      <c r="F2742" s="1" t="s">
        <v>19528</v>
      </c>
      <c r="G2742">
        <v>173496</v>
      </c>
      <c r="H2742">
        <v>43</v>
      </c>
      <c r="I2742" s="1" t="s">
        <v>11063</v>
      </c>
      <c r="J2742" s="11">
        <v>44729.706458333334</v>
      </c>
      <c r="K2742" s="1" t="s">
        <v>7305</v>
      </c>
      <c r="L2742" s="1">
        <v>0.50800000000000001</v>
      </c>
      <c r="M2742" s="1">
        <v>0.76200000000000001</v>
      </c>
      <c r="N2742">
        <v>2</v>
      </c>
      <c r="O2742" s="1">
        <v>-4.9589999999999996</v>
      </c>
      <c r="P2742">
        <v>0</v>
      </c>
      <c r="Q2742" s="1">
        <v>0.35699999999999998</v>
      </c>
      <c r="R2742" s="1">
        <v>0.72699999999999998</v>
      </c>
      <c r="S2742" s="1">
        <v>0</v>
      </c>
      <c r="T2742" s="1">
        <v>0.58599999999999997</v>
      </c>
      <c r="U2742" s="1">
        <v>0.29599999999999999</v>
      </c>
      <c r="V2742" s="1">
        <v>129.947</v>
      </c>
      <c r="W2742">
        <v>4</v>
      </c>
    </row>
    <row r="2743" spans="1:23" x14ac:dyDescent="0.25">
      <c r="A2743" s="1" t="s">
        <v>19552</v>
      </c>
      <c r="B2743" s="1" t="s">
        <v>19553</v>
      </c>
      <c r="C2743" s="1" t="s">
        <v>7306</v>
      </c>
      <c r="D2743" s="1" t="s">
        <v>19554</v>
      </c>
      <c r="E2743" s="1" t="s">
        <v>7307</v>
      </c>
      <c r="F2743" s="1" t="s">
        <v>16332</v>
      </c>
      <c r="G2743">
        <v>284262</v>
      </c>
      <c r="H2743">
        <v>44</v>
      </c>
      <c r="I2743" s="1" t="s">
        <v>11063</v>
      </c>
      <c r="J2743" s="11">
        <v>44729.706458333334</v>
      </c>
      <c r="K2743" s="1" t="s">
        <v>7308</v>
      </c>
      <c r="L2743" s="1">
        <v>0.46700000000000003</v>
      </c>
      <c r="M2743" s="1">
        <v>0.72299999999999998</v>
      </c>
      <c r="N2743">
        <v>0</v>
      </c>
      <c r="O2743" s="1">
        <v>-7.101</v>
      </c>
      <c r="P2743">
        <v>0</v>
      </c>
      <c r="Q2743" s="1">
        <v>0.53600000000000003</v>
      </c>
      <c r="R2743" s="1">
        <v>0.11700000000000001</v>
      </c>
      <c r="S2743" s="1">
        <v>0.34899999999999998</v>
      </c>
      <c r="T2743" s="1">
        <v>0.186</v>
      </c>
      <c r="U2743" s="1">
        <v>0.20699999999999999</v>
      </c>
      <c r="V2743" s="1">
        <v>139.995</v>
      </c>
      <c r="W2743">
        <v>4</v>
      </c>
    </row>
    <row r="2744" spans="1:23" x14ac:dyDescent="0.25">
      <c r="A2744" s="1" t="s">
        <v>19555</v>
      </c>
      <c r="B2744" s="1" t="s">
        <v>19556</v>
      </c>
      <c r="C2744" s="1" t="s">
        <v>7309</v>
      </c>
      <c r="D2744" s="1" t="s">
        <v>7309</v>
      </c>
      <c r="E2744" s="1" t="s">
        <v>7310</v>
      </c>
      <c r="F2744" s="1" t="s">
        <v>13644</v>
      </c>
      <c r="G2744">
        <v>229859</v>
      </c>
      <c r="H2744">
        <v>48</v>
      </c>
      <c r="I2744" s="1" t="s">
        <v>11063</v>
      </c>
      <c r="J2744" s="11">
        <v>44729.706458333334</v>
      </c>
      <c r="K2744" s="1" t="s">
        <v>7311</v>
      </c>
      <c r="L2744" s="1">
        <v>0.55800000000000005</v>
      </c>
      <c r="M2744" s="1">
        <v>0.97599999999999998</v>
      </c>
      <c r="N2744">
        <v>1</v>
      </c>
      <c r="O2744" s="1">
        <v>-3.9060000000000001</v>
      </c>
      <c r="P2744">
        <v>0</v>
      </c>
      <c r="Q2744" s="1">
        <v>0.125</v>
      </c>
      <c r="R2744" s="1">
        <v>0.316</v>
      </c>
      <c r="S2744" s="1">
        <v>0.38</v>
      </c>
      <c r="T2744" s="1">
        <v>0.16600000000000001</v>
      </c>
      <c r="U2744" s="1">
        <v>0.30099999999999999</v>
      </c>
      <c r="V2744" s="1">
        <v>142.00299999999999</v>
      </c>
      <c r="W2744">
        <v>4</v>
      </c>
    </row>
    <row r="2745" spans="1:23" x14ac:dyDescent="0.25">
      <c r="A2745" s="1" t="s">
        <v>19557</v>
      </c>
      <c r="B2745" s="1" t="s">
        <v>19558</v>
      </c>
      <c r="C2745" s="1" t="s">
        <v>7312</v>
      </c>
      <c r="D2745" s="1" t="s">
        <v>6752</v>
      </c>
      <c r="E2745" s="1" t="s">
        <v>7313</v>
      </c>
      <c r="F2745" s="1" t="s">
        <v>15092</v>
      </c>
      <c r="G2745">
        <v>225675</v>
      </c>
      <c r="H2745">
        <v>46</v>
      </c>
      <c r="I2745" s="1" t="s">
        <v>11063</v>
      </c>
      <c r="J2745" s="11">
        <v>44729.706458333334</v>
      </c>
      <c r="K2745" s="1" t="s">
        <v>7305</v>
      </c>
      <c r="L2745" s="1">
        <v>0.499</v>
      </c>
      <c r="M2745" s="1">
        <v>0.79100000000000004</v>
      </c>
      <c r="N2745">
        <v>3</v>
      </c>
      <c r="O2745" s="1">
        <v>-3.7349999999999999</v>
      </c>
      <c r="P2745">
        <v>1</v>
      </c>
      <c r="Q2745" s="1">
        <v>0.53900000000000003</v>
      </c>
      <c r="R2745" s="1">
        <v>0.68500000000000005</v>
      </c>
      <c r="S2745" s="1">
        <v>0.189</v>
      </c>
      <c r="T2745" s="1">
        <v>0.13800000000000001</v>
      </c>
      <c r="U2745" s="1">
        <v>0.25</v>
      </c>
      <c r="V2745" s="1">
        <v>99.942999999999998</v>
      </c>
      <c r="W2745">
        <v>4</v>
      </c>
    </row>
    <row r="2746" spans="1:23" x14ac:dyDescent="0.25">
      <c r="A2746" s="1" t="s">
        <v>19559</v>
      </c>
      <c r="B2746" s="1" t="s">
        <v>19560</v>
      </c>
      <c r="C2746" s="1" t="s">
        <v>7314</v>
      </c>
      <c r="D2746" s="1" t="s">
        <v>7314</v>
      </c>
      <c r="E2746" s="1" t="s">
        <v>7315</v>
      </c>
      <c r="F2746" s="1" t="s">
        <v>16754</v>
      </c>
      <c r="G2746">
        <v>297782</v>
      </c>
      <c r="H2746">
        <v>57</v>
      </c>
      <c r="I2746" s="1" t="s">
        <v>11063</v>
      </c>
      <c r="J2746" s="11">
        <v>44729.706458333334</v>
      </c>
      <c r="K2746" s="1" t="s">
        <v>5362</v>
      </c>
      <c r="L2746" s="1">
        <v>0.42199999999999999</v>
      </c>
      <c r="M2746" s="1">
        <v>0.67700000000000005</v>
      </c>
      <c r="N2746">
        <v>11</v>
      </c>
      <c r="O2746" s="1">
        <v>-5.76</v>
      </c>
      <c r="P2746">
        <v>1</v>
      </c>
      <c r="Q2746" s="1">
        <v>0.36499999999999999</v>
      </c>
      <c r="R2746" s="1">
        <v>0.251</v>
      </c>
      <c r="S2746" s="1">
        <v>0.35499999999999998</v>
      </c>
      <c r="T2746" s="1">
        <v>0.16</v>
      </c>
      <c r="U2746" s="1">
        <v>0.14599999999999999</v>
      </c>
      <c r="V2746" s="1">
        <v>150.131</v>
      </c>
      <c r="W2746">
        <v>4</v>
      </c>
    </row>
    <row r="2747" spans="1:23" x14ac:dyDescent="0.25">
      <c r="A2747" s="1" t="s">
        <v>19561</v>
      </c>
      <c r="B2747" s="1" t="s">
        <v>19562</v>
      </c>
      <c r="C2747" s="1" t="s">
        <v>2428</v>
      </c>
      <c r="D2747" s="1" t="s">
        <v>2428</v>
      </c>
      <c r="E2747" s="1" t="s">
        <v>7316</v>
      </c>
      <c r="F2747" s="1" t="s">
        <v>11696</v>
      </c>
      <c r="G2747">
        <v>271058</v>
      </c>
      <c r="H2747">
        <v>0</v>
      </c>
      <c r="I2747" s="1" t="s">
        <v>11063</v>
      </c>
      <c r="J2747" s="11">
        <v>44729.706458333334</v>
      </c>
      <c r="K2747" s="1" t="s">
        <v>7317</v>
      </c>
      <c r="L2747" s="1">
        <v>0.379</v>
      </c>
      <c r="M2747" s="1">
        <v>0.75600000000000001</v>
      </c>
      <c r="N2747">
        <v>10</v>
      </c>
      <c r="O2747" s="1">
        <v>-5.3789999999999996</v>
      </c>
      <c r="P2747">
        <v>0</v>
      </c>
      <c r="Q2747" s="1">
        <v>0.106</v>
      </c>
      <c r="R2747" s="1">
        <v>0.19</v>
      </c>
      <c r="S2747" s="1">
        <v>0.17799999999999999</v>
      </c>
      <c r="T2747" s="1">
        <v>0.186</v>
      </c>
      <c r="U2747" s="1">
        <v>0.11600000000000001</v>
      </c>
      <c r="V2747" s="1">
        <v>169.97900000000001</v>
      </c>
      <c r="W2747">
        <v>4</v>
      </c>
    </row>
    <row r="2748" spans="1:23" x14ac:dyDescent="0.25">
      <c r="A2748" s="1" t="s">
        <v>19563</v>
      </c>
      <c r="B2748" s="1" t="s">
        <v>19564</v>
      </c>
      <c r="C2748" s="1" t="s">
        <v>7318</v>
      </c>
      <c r="D2748" s="1" t="s">
        <v>5749</v>
      </c>
      <c r="E2748" s="1" t="s">
        <v>7319</v>
      </c>
      <c r="F2748" s="1" t="s">
        <v>17844</v>
      </c>
      <c r="G2748">
        <v>210884</v>
      </c>
      <c r="H2748">
        <v>50</v>
      </c>
      <c r="I2748" s="1" t="s">
        <v>11063</v>
      </c>
      <c r="J2748" s="11">
        <v>44729.706458333334</v>
      </c>
      <c r="K2748" s="1" t="s">
        <v>4983</v>
      </c>
      <c r="L2748" s="1">
        <v>0.443</v>
      </c>
      <c r="M2748" s="1">
        <v>0.72699999999999998</v>
      </c>
      <c r="N2748">
        <v>0</v>
      </c>
      <c r="O2748" s="1">
        <v>-5.1710000000000003</v>
      </c>
      <c r="P2748">
        <v>0</v>
      </c>
      <c r="Q2748" s="1">
        <v>0.98399999999999999</v>
      </c>
      <c r="R2748" s="1">
        <v>0.98699999999999999</v>
      </c>
      <c r="S2748" s="1">
        <v>0.93500000000000005</v>
      </c>
      <c r="T2748" s="1">
        <v>0.11799999999999999</v>
      </c>
      <c r="U2748" s="1">
        <v>0.42399999999999999</v>
      </c>
      <c r="V2748" s="1">
        <v>74.826999999999998</v>
      </c>
      <c r="W2748">
        <v>4</v>
      </c>
    </row>
    <row r="2749" spans="1:23" x14ac:dyDescent="0.25">
      <c r="A2749" s="1" t="s">
        <v>19565</v>
      </c>
      <c r="B2749" s="1" t="s">
        <v>19566</v>
      </c>
      <c r="C2749" s="1" t="s">
        <v>7320</v>
      </c>
      <c r="D2749" s="1" t="s">
        <v>19567</v>
      </c>
      <c r="E2749" s="1" t="s">
        <v>7321</v>
      </c>
      <c r="F2749" s="1" t="s">
        <v>15689</v>
      </c>
      <c r="G2749">
        <v>322892</v>
      </c>
      <c r="H2749">
        <v>41</v>
      </c>
      <c r="I2749" s="1" t="s">
        <v>11063</v>
      </c>
      <c r="J2749" s="11">
        <v>44729.706458333334</v>
      </c>
      <c r="K2749" s="1" t="s">
        <v>7322</v>
      </c>
      <c r="L2749" s="1">
        <v>0.224</v>
      </c>
      <c r="M2749" s="1">
        <v>0.66</v>
      </c>
      <c r="N2749">
        <v>6</v>
      </c>
      <c r="O2749" s="1">
        <v>-5.6310000000000002</v>
      </c>
      <c r="P2749">
        <v>0</v>
      </c>
      <c r="Q2749" s="1">
        <v>0.39700000000000002</v>
      </c>
      <c r="R2749" s="1">
        <v>0.41599999999999998</v>
      </c>
      <c r="S2749" s="1">
        <v>0.41699999999999998</v>
      </c>
      <c r="T2749" s="1">
        <v>0.79</v>
      </c>
      <c r="U2749" s="1">
        <v>0.14899999999999999</v>
      </c>
      <c r="V2749" s="1">
        <v>143.01599999999999</v>
      </c>
      <c r="W2749">
        <v>4</v>
      </c>
    </row>
    <row r="2750" spans="1:23" x14ac:dyDescent="0.25">
      <c r="A2750" s="1" t="s">
        <v>19568</v>
      </c>
      <c r="B2750" s="1" t="s">
        <v>19569</v>
      </c>
      <c r="C2750" s="1" t="s">
        <v>7323</v>
      </c>
      <c r="D2750" s="1" t="s">
        <v>7323</v>
      </c>
      <c r="E2750" s="1" t="s">
        <v>7324</v>
      </c>
      <c r="F2750" s="1" t="s">
        <v>19570</v>
      </c>
      <c r="G2750">
        <v>184285</v>
      </c>
      <c r="H2750">
        <v>42</v>
      </c>
      <c r="I2750" s="1" t="s">
        <v>11063</v>
      </c>
      <c r="J2750" s="11">
        <v>44729.706458333334</v>
      </c>
      <c r="K2750" s="1" t="s">
        <v>6875</v>
      </c>
      <c r="L2750" s="1">
        <v>0.71799999999999997</v>
      </c>
      <c r="M2750" s="1">
        <v>0.84299999999999997</v>
      </c>
      <c r="N2750">
        <v>9</v>
      </c>
      <c r="O2750" s="1">
        <v>-3.206</v>
      </c>
      <c r="P2750">
        <v>0</v>
      </c>
      <c r="Q2750" s="1">
        <v>0.87</v>
      </c>
      <c r="R2750" s="1">
        <v>0.85799999999999998</v>
      </c>
      <c r="S2750" s="1">
        <v>0</v>
      </c>
      <c r="T2750" s="1">
        <v>0.55200000000000005</v>
      </c>
      <c r="U2750" s="1">
        <v>0.33400000000000002</v>
      </c>
      <c r="V2750" s="1">
        <v>112.09699999999999</v>
      </c>
      <c r="W2750">
        <v>4</v>
      </c>
    </row>
    <row r="2751" spans="1:23" x14ac:dyDescent="0.25">
      <c r="A2751" s="1" t="s">
        <v>19571</v>
      </c>
      <c r="B2751" s="1" t="s">
        <v>19572</v>
      </c>
      <c r="C2751" s="1" t="s">
        <v>7325</v>
      </c>
      <c r="D2751" s="1" t="s">
        <v>7325</v>
      </c>
      <c r="E2751" s="1" t="s">
        <v>7326</v>
      </c>
      <c r="F2751" s="1" t="s">
        <v>14364</v>
      </c>
      <c r="G2751">
        <v>200827</v>
      </c>
      <c r="H2751">
        <v>33</v>
      </c>
      <c r="I2751" s="1" t="s">
        <v>11063</v>
      </c>
      <c r="J2751" s="11">
        <v>44729.706458333334</v>
      </c>
      <c r="K2751" s="1" t="s">
        <v>3994</v>
      </c>
      <c r="L2751" s="1">
        <v>0.53200000000000003</v>
      </c>
      <c r="M2751" s="1">
        <v>0.85299999999999998</v>
      </c>
      <c r="N2751">
        <v>11</v>
      </c>
      <c r="O2751" s="1">
        <v>-2.8650000000000002</v>
      </c>
      <c r="P2751">
        <v>0</v>
      </c>
      <c r="Q2751" s="1">
        <v>0.106</v>
      </c>
      <c r="R2751" s="1">
        <v>0.22800000000000001</v>
      </c>
      <c r="S2751" s="1">
        <v>0.60399999999999998</v>
      </c>
      <c r="T2751" s="1">
        <v>0.10100000000000001</v>
      </c>
      <c r="U2751" s="1">
        <v>0.55900000000000005</v>
      </c>
      <c r="V2751" s="1">
        <v>151.785</v>
      </c>
      <c r="W2751">
        <v>4</v>
      </c>
    </row>
    <row r="2752" spans="1:23" x14ac:dyDescent="0.25">
      <c r="A2752" s="1" t="s">
        <v>19573</v>
      </c>
      <c r="B2752" s="1" t="s">
        <v>19574</v>
      </c>
      <c r="C2752" s="1" t="s">
        <v>7327</v>
      </c>
      <c r="D2752" s="1" t="s">
        <v>19575</v>
      </c>
      <c r="E2752" s="1" t="s">
        <v>7328</v>
      </c>
      <c r="F2752" s="1" t="s">
        <v>19576</v>
      </c>
      <c r="G2752">
        <v>252110</v>
      </c>
      <c r="H2752">
        <v>43</v>
      </c>
      <c r="I2752" s="1" t="s">
        <v>11063</v>
      </c>
      <c r="J2752" s="11">
        <v>44729.706458333334</v>
      </c>
      <c r="K2752" s="1" t="s">
        <v>996</v>
      </c>
      <c r="L2752" s="1">
        <v>0.69099999999999995</v>
      </c>
      <c r="M2752" s="1">
        <v>0.47599999999999998</v>
      </c>
      <c r="N2752">
        <v>11</v>
      </c>
      <c r="O2752" s="1">
        <v>-7.1680000000000001</v>
      </c>
      <c r="P2752">
        <v>0</v>
      </c>
      <c r="Q2752" s="1">
        <v>0.36399999999999999</v>
      </c>
      <c r="R2752" s="1">
        <v>0.217</v>
      </c>
      <c r="S2752" s="1">
        <v>0.41399999999999998</v>
      </c>
      <c r="T2752" s="1">
        <v>0.88900000000000001</v>
      </c>
      <c r="U2752" s="1">
        <v>0.65600000000000003</v>
      </c>
      <c r="V2752" s="1">
        <v>109.015</v>
      </c>
      <c r="W2752">
        <v>4</v>
      </c>
    </row>
    <row r="2753" spans="1:23" x14ac:dyDescent="0.25">
      <c r="A2753" s="1" t="s">
        <v>19577</v>
      </c>
      <c r="B2753" s="1" t="s">
        <v>18167</v>
      </c>
      <c r="C2753" s="1" t="s">
        <v>7329</v>
      </c>
      <c r="D2753" s="1" t="s">
        <v>7329</v>
      </c>
      <c r="E2753" s="1" t="s">
        <v>6057</v>
      </c>
      <c r="F2753" s="1" t="s">
        <v>19578</v>
      </c>
      <c r="G2753">
        <v>293590</v>
      </c>
      <c r="H2753">
        <v>28</v>
      </c>
      <c r="I2753" s="1" t="s">
        <v>11063</v>
      </c>
      <c r="J2753" s="11">
        <v>44729.706458333334</v>
      </c>
      <c r="K2753" s="1" t="s">
        <v>1053</v>
      </c>
      <c r="L2753" s="1">
        <v>0.46700000000000003</v>
      </c>
      <c r="M2753" s="1">
        <v>0.68899999999999995</v>
      </c>
      <c r="N2753">
        <v>8</v>
      </c>
      <c r="O2753" s="1">
        <v>-4.1289999999999996</v>
      </c>
      <c r="P2753">
        <v>0</v>
      </c>
      <c r="Q2753" s="1">
        <v>0.86</v>
      </c>
      <c r="R2753" s="1">
        <v>0.29699999999999999</v>
      </c>
      <c r="S2753" s="1">
        <v>0.92500000000000004</v>
      </c>
      <c r="T2753" s="1">
        <v>0.11600000000000001</v>
      </c>
      <c r="U2753" s="1">
        <v>0.17799999999999999</v>
      </c>
      <c r="V2753" s="1">
        <v>107.42100000000001</v>
      </c>
      <c r="W2753">
        <v>4</v>
      </c>
    </row>
    <row r="2754" spans="1:23" x14ac:dyDescent="0.25">
      <c r="A2754" s="1" t="s">
        <v>19579</v>
      </c>
      <c r="B2754" s="1" t="s">
        <v>14003</v>
      </c>
      <c r="C2754" s="1" t="s">
        <v>7330</v>
      </c>
      <c r="D2754" s="1" t="s">
        <v>2404</v>
      </c>
      <c r="E2754" s="1" t="s">
        <v>2404</v>
      </c>
      <c r="F2754" s="1" t="s">
        <v>14004</v>
      </c>
      <c r="G2754">
        <v>260075</v>
      </c>
      <c r="H2754">
        <v>47</v>
      </c>
      <c r="I2754" s="1" t="s">
        <v>11063</v>
      </c>
      <c r="J2754" s="11">
        <v>44729.706458333334</v>
      </c>
      <c r="K2754" s="1" t="s">
        <v>2405</v>
      </c>
      <c r="L2754" s="1">
        <v>0.48199999999999998</v>
      </c>
      <c r="M2754" s="1">
        <v>0.35599999999999998</v>
      </c>
      <c r="N2754">
        <v>5</v>
      </c>
      <c r="O2754" s="1">
        <v>-6.9480000000000004</v>
      </c>
      <c r="P2754">
        <v>0</v>
      </c>
      <c r="Q2754" s="1">
        <v>0.30099999999999999</v>
      </c>
      <c r="R2754" s="1">
        <v>0.60799999999999998</v>
      </c>
      <c r="S2754" s="1">
        <v>0.61399999999999999</v>
      </c>
      <c r="T2754" s="1">
        <v>0.79500000000000004</v>
      </c>
      <c r="U2754" s="1">
        <v>0.40600000000000003</v>
      </c>
      <c r="V2754" s="1">
        <v>100.08499999999999</v>
      </c>
      <c r="W2754">
        <v>4</v>
      </c>
    </row>
    <row r="2755" spans="1:23" x14ac:dyDescent="0.25">
      <c r="A2755" s="1" t="s">
        <v>19580</v>
      </c>
      <c r="B2755" s="1" t="s">
        <v>14003</v>
      </c>
      <c r="C2755" s="1" t="s">
        <v>7331</v>
      </c>
      <c r="D2755" s="1" t="s">
        <v>19581</v>
      </c>
      <c r="E2755" s="1" t="s">
        <v>2404</v>
      </c>
      <c r="F2755" s="1" t="s">
        <v>11399</v>
      </c>
      <c r="G2755">
        <v>221721</v>
      </c>
      <c r="H2755">
        <v>44</v>
      </c>
      <c r="I2755" s="1" t="s">
        <v>11063</v>
      </c>
      <c r="J2755" s="11">
        <v>44729.706458333334</v>
      </c>
      <c r="K2755" s="1" t="s">
        <v>2405</v>
      </c>
      <c r="L2755" s="1">
        <v>0.59</v>
      </c>
      <c r="M2755" s="1">
        <v>0.621</v>
      </c>
      <c r="N2755">
        <v>4</v>
      </c>
      <c r="O2755" s="1">
        <v>-8.9870000000000001</v>
      </c>
      <c r="P2755">
        <v>0</v>
      </c>
      <c r="Q2755" s="1">
        <v>0.311</v>
      </c>
      <c r="R2755" s="1">
        <v>0.105</v>
      </c>
      <c r="S2755" s="1">
        <v>0.95099999999999996</v>
      </c>
      <c r="T2755" s="1">
        <v>0.20799999999999999</v>
      </c>
      <c r="U2755" s="1">
        <v>0.53</v>
      </c>
      <c r="V2755" s="1">
        <v>104.002</v>
      </c>
      <c r="W2755">
        <v>4</v>
      </c>
    </row>
    <row r="2756" spans="1:23" x14ac:dyDescent="0.25">
      <c r="A2756" s="1" t="s">
        <v>19582</v>
      </c>
      <c r="B2756" s="1" t="s">
        <v>14003</v>
      </c>
      <c r="C2756" s="1" t="s">
        <v>7332</v>
      </c>
      <c r="D2756" s="1" t="s">
        <v>19581</v>
      </c>
      <c r="E2756" s="1" t="s">
        <v>2404</v>
      </c>
      <c r="F2756" s="1" t="s">
        <v>11399</v>
      </c>
      <c r="G2756">
        <v>240325</v>
      </c>
      <c r="H2756">
        <v>44</v>
      </c>
      <c r="I2756" s="1" t="s">
        <v>11063</v>
      </c>
      <c r="J2756" s="11">
        <v>44729.706458333334</v>
      </c>
      <c r="K2756" s="1" t="s">
        <v>2405</v>
      </c>
      <c r="L2756" s="1">
        <v>0.60299999999999998</v>
      </c>
      <c r="M2756" s="1">
        <v>0.49199999999999999</v>
      </c>
      <c r="N2756">
        <v>6</v>
      </c>
      <c r="O2756" s="1">
        <v>-10.108000000000001</v>
      </c>
      <c r="P2756">
        <v>0</v>
      </c>
      <c r="Q2756" s="1">
        <v>0.41299999999999998</v>
      </c>
      <c r="R2756" s="1">
        <v>0.19</v>
      </c>
      <c r="S2756" s="1">
        <v>0.33500000000000002</v>
      </c>
      <c r="T2756" s="1">
        <v>0.14799999999999999</v>
      </c>
      <c r="U2756" s="1">
        <v>0.187</v>
      </c>
      <c r="V2756" s="1">
        <v>130.07499999999999</v>
      </c>
      <c r="W2756">
        <v>4</v>
      </c>
    </row>
    <row r="2757" spans="1:23" x14ac:dyDescent="0.25">
      <c r="A2757" s="1" t="s">
        <v>19583</v>
      </c>
      <c r="B2757" s="1" t="s">
        <v>19584</v>
      </c>
      <c r="C2757" s="1" t="s">
        <v>7333</v>
      </c>
      <c r="D2757" s="1" t="s">
        <v>7333</v>
      </c>
      <c r="E2757" s="1" t="s">
        <v>7334</v>
      </c>
      <c r="F2757" s="1" t="s">
        <v>19585</v>
      </c>
      <c r="G2757">
        <v>211666</v>
      </c>
      <c r="H2757">
        <v>39</v>
      </c>
      <c r="I2757" s="1" t="s">
        <v>11063</v>
      </c>
      <c r="J2757" s="11">
        <v>44729.706458333334</v>
      </c>
      <c r="K2757" s="1" t="s">
        <v>7335</v>
      </c>
      <c r="L2757" s="1">
        <v>0.39300000000000002</v>
      </c>
      <c r="M2757" s="1">
        <v>0.69499999999999995</v>
      </c>
      <c r="N2757">
        <v>7</v>
      </c>
      <c r="O2757" s="1">
        <v>-6.8869999999999996</v>
      </c>
      <c r="P2757">
        <v>0</v>
      </c>
      <c r="Q2757" s="1">
        <v>0.44400000000000001</v>
      </c>
      <c r="R2757" s="1">
        <v>0.44600000000000001</v>
      </c>
      <c r="S2757" s="1">
        <v>0.219</v>
      </c>
      <c r="T2757" s="1">
        <v>0.98599999999999999</v>
      </c>
      <c r="U2757" s="1">
        <v>0.61</v>
      </c>
      <c r="V2757" s="1">
        <v>143.91300000000001</v>
      </c>
      <c r="W2757">
        <v>4</v>
      </c>
    </row>
    <row r="2758" spans="1:23" x14ac:dyDescent="0.25">
      <c r="A2758" s="1" t="s">
        <v>19586</v>
      </c>
      <c r="B2758" s="1" t="s">
        <v>14003</v>
      </c>
      <c r="C2758" s="1" t="s">
        <v>7336</v>
      </c>
      <c r="D2758" s="1" t="s">
        <v>19581</v>
      </c>
      <c r="E2758" s="1" t="s">
        <v>2404</v>
      </c>
      <c r="F2758" s="1" t="s">
        <v>11399</v>
      </c>
      <c r="G2758">
        <v>279069</v>
      </c>
      <c r="H2758">
        <v>31</v>
      </c>
      <c r="I2758" s="1" t="s">
        <v>11063</v>
      </c>
      <c r="J2758" s="11">
        <v>44729.706458333334</v>
      </c>
      <c r="K2758" s="1" t="s">
        <v>2405</v>
      </c>
      <c r="L2758" s="1">
        <v>0.21099999999999999</v>
      </c>
      <c r="M2758" s="1">
        <v>0.28399999999999997</v>
      </c>
      <c r="N2758">
        <v>1</v>
      </c>
      <c r="O2758" s="1">
        <v>-10.317</v>
      </c>
      <c r="P2758">
        <v>1</v>
      </c>
      <c r="Q2758" s="1">
        <v>0.38500000000000001</v>
      </c>
      <c r="R2758" s="1">
        <v>0.66800000000000004</v>
      </c>
      <c r="S2758" s="1">
        <v>0.111</v>
      </c>
      <c r="T2758" s="1">
        <v>0.105</v>
      </c>
      <c r="U2758" s="1">
        <v>0.63800000000000001</v>
      </c>
      <c r="V2758" s="1">
        <v>83.905000000000001</v>
      </c>
      <c r="W2758">
        <v>4</v>
      </c>
    </row>
    <row r="2759" spans="1:23" x14ac:dyDescent="0.25">
      <c r="A2759" s="1" t="s">
        <v>19587</v>
      </c>
      <c r="B2759" s="1" t="s">
        <v>14003</v>
      </c>
      <c r="C2759" s="1" t="s">
        <v>7337</v>
      </c>
      <c r="D2759" s="1" t="s">
        <v>19581</v>
      </c>
      <c r="E2759" s="1" t="s">
        <v>2404</v>
      </c>
      <c r="F2759" s="1" t="s">
        <v>11399</v>
      </c>
      <c r="G2759">
        <v>258381</v>
      </c>
      <c r="H2759">
        <v>47</v>
      </c>
      <c r="I2759" s="1" t="s">
        <v>11063</v>
      </c>
      <c r="J2759" s="11">
        <v>44729.706458333334</v>
      </c>
      <c r="K2759" s="1" t="s">
        <v>2405</v>
      </c>
      <c r="L2759" s="1">
        <v>0.61399999999999999</v>
      </c>
      <c r="M2759" s="1">
        <v>0.50600000000000001</v>
      </c>
      <c r="N2759">
        <v>1</v>
      </c>
      <c r="O2759" s="1">
        <v>-8.8529999999999998</v>
      </c>
      <c r="P2759">
        <v>0</v>
      </c>
      <c r="Q2759" s="1">
        <v>0.33</v>
      </c>
      <c r="R2759" s="1">
        <v>0.20300000000000001</v>
      </c>
      <c r="S2759" s="1">
        <v>0.90100000000000002</v>
      </c>
      <c r="T2759" s="1">
        <v>0.13</v>
      </c>
      <c r="U2759" s="1">
        <v>0.78900000000000003</v>
      </c>
      <c r="V2759" s="1">
        <v>115.047</v>
      </c>
      <c r="W2759">
        <v>4</v>
      </c>
    </row>
    <row r="2760" spans="1:23" x14ac:dyDescent="0.25">
      <c r="A2760" s="1" t="s">
        <v>19588</v>
      </c>
      <c r="B2760" s="1" t="s">
        <v>14003</v>
      </c>
      <c r="C2760" s="1" t="s">
        <v>7338</v>
      </c>
      <c r="D2760" s="1" t="s">
        <v>19581</v>
      </c>
      <c r="E2760" s="1" t="s">
        <v>2404</v>
      </c>
      <c r="F2760" s="1" t="s">
        <v>11399</v>
      </c>
      <c r="G2760">
        <v>240774</v>
      </c>
      <c r="H2760">
        <v>59</v>
      </c>
      <c r="I2760" s="1" t="s">
        <v>11063</v>
      </c>
      <c r="J2760" s="11">
        <v>44729.706458333334</v>
      </c>
      <c r="K2760" s="1" t="s">
        <v>2405</v>
      </c>
      <c r="L2760" s="1">
        <v>0.51200000000000001</v>
      </c>
      <c r="M2760" s="1">
        <v>0.47699999999999998</v>
      </c>
      <c r="N2760">
        <v>2</v>
      </c>
      <c r="O2760" s="1">
        <v>-9.9120000000000008</v>
      </c>
      <c r="P2760">
        <v>0</v>
      </c>
      <c r="Q2760" s="1">
        <v>0.311</v>
      </c>
      <c r="R2760" s="1">
        <v>0.26</v>
      </c>
      <c r="S2760" s="1">
        <v>0.48399999999999999</v>
      </c>
      <c r="T2760" s="1">
        <v>0.11</v>
      </c>
      <c r="U2760" s="1">
        <v>0.17399999999999999</v>
      </c>
      <c r="V2760" s="1">
        <v>120.04</v>
      </c>
      <c r="W2760">
        <v>4</v>
      </c>
    </row>
    <row r="2761" spans="1:23" x14ac:dyDescent="0.25">
      <c r="A2761" s="1" t="s">
        <v>19589</v>
      </c>
      <c r="B2761" s="1" t="s">
        <v>14003</v>
      </c>
      <c r="C2761" s="1" t="s">
        <v>7339</v>
      </c>
      <c r="D2761" s="1" t="s">
        <v>19581</v>
      </c>
      <c r="E2761" s="1" t="s">
        <v>2404</v>
      </c>
      <c r="F2761" s="1" t="s">
        <v>11399</v>
      </c>
      <c r="G2761">
        <v>240082</v>
      </c>
      <c r="H2761">
        <v>38</v>
      </c>
      <c r="I2761" s="1" t="s">
        <v>11063</v>
      </c>
      <c r="J2761" s="11">
        <v>44729.706458333334</v>
      </c>
      <c r="K2761" s="1" t="s">
        <v>2405</v>
      </c>
      <c r="L2761" s="1">
        <v>0.63500000000000001</v>
      </c>
      <c r="M2761" s="1">
        <v>0.53900000000000003</v>
      </c>
      <c r="N2761">
        <v>7</v>
      </c>
      <c r="O2761" s="1">
        <v>-8.8140000000000001</v>
      </c>
      <c r="P2761">
        <v>0</v>
      </c>
      <c r="Q2761" s="1">
        <v>0.38500000000000001</v>
      </c>
      <c r="R2761" s="1">
        <v>0.12</v>
      </c>
      <c r="S2761" s="1">
        <v>0.70599999999999996</v>
      </c>
      <c r="T2761" s="1">
        <v>0.38100000000000001</v>
      </c>
      <c r="U2761" s="1">
        <v>0.16900000000000001</v>
      </c>
      <c r="V2761" s="1">
        <v>110.065</v>
      </c>
      <c r="W2761">
        <v>4</v>
      </c>
    </row>
    <row r="2762" spans="1:23" x14ac:dyDescent="0.25">
      <c r="A2762" s="1" t="s">
        <v>19590</v>
      </c>
      <c r="B2762" s="1" t="s">
        <v>19591</v>
      </c>
      <c r="C2762" s="1" t="s">
        <v>7340</v>
      </c>
      <c r="D2762" s="1" t="s">
        <v>7340</v>
      </c>
      <c r="E2762" s="1" t="s">
        <v>7341</v>
      </c>
      <c r="F2762" s="1" t="s">
        <v>14088</v>
      </c>
      <c r="G2762">
        <v>270967</v>
      </c>
      <c r="H2762">
        <v>49</v>
      </c>
      <c r="I2762" s="1" t="s">
        <v>11063</v>
      </c>
      <c r="J2762" s="11">
        <v>44729.706458333334</v>
      </c>
      <c r="K2762" s="1" t="s">
        <v>7342</v>
      </c>
      <c r="L2762" s="1">
        <v>0.501</v>
      </c>
      <c r="M2762" s="1">
        <v>0.70199999999999996</v>
      </c>
      <c r="N2762">
        <v>9</v>
      </c>
      <c r="O2762" s="1">
        <v>-6.3659999999999997</v>
      </c>
      <c r="P2762">
        <v>1</v>
      </c>
      <c r="Q2762" s="1">
        <v>0.52900000000000003</v>
      </c>
      <c r="R2762" s="1">
        <v>0.24399999999999999</v>
      </c>
      <c r="S2762" s="1">
        <v>0.69099999999999995</v>
      </c>
      <c r="T2762" s="1">
        <v>0.112</v>
      </c>
      <c r="U2762" s="1">
        <v>0.115</v>
      </c>
      <c r="V2762" s="1">
        <v>185.999</v>
      </c>
      <c r="W2762">
        <v>3</v>
      </c>
    </row>
    <row r="2763" spans="1:23" x14ac:dyDescent="0.25">
      <c r="A2763" s="1" t="s">
        <v>19592</v>
      </c>
      <c r="B2763" s="1" t="s">
        <v>19593</v>
      </c>
      <c r="C2763" s="1" t="s">
        <v>7343</v>
      </c>
      <c r="D2763" s="1" t="s">
        <v>7343</v>
      </c>
      <c r="E2763" s="1" t="s">
        <v>7344</v>
      </c>
      <c r="F2763" s="1" t="s">
        <v>19594</v>
      </c>
      <c r="G2763">
        <v>161280</v>
      </c>
      <c r="H2763">
        <v>66</v>
      </c>
      <c r="I2763" s="1" t="s">
        <v>11063</v>
      </c>
      <c r="J2763" s="11">
        <v>44729.706458333334</v>
      </c>
      <c r="K2763" s="1" t="s">
        <v>7345</v>
      </c>
      <c r="L2763" s="1">
        <v>0.76800000000000002</v>
      </c>
      <c r="M2763" s="1">
        <v>0.93300000000000005</v>
      </c>
      <c r="N2763">
        <v>2</v>
      </c>
      <c r="O2763" s="1">
        <v>-2.95</v>
      </c>
      <c r="P2763">
        <v>0</v>
      </c>
      <c r="Q2763" s="1">
        <v>0.38500000000000001</v>
      </c>
      <c r="R2763" s="1">
        <v>0.20599999999999999</v>
      </c>
      <c r="S2763" s="1">
        <v>0.91500000000000004</v>
      </c>
      <c r="T2763" s="1">
        <v>0.83299999999999996</v>
      </c>
      <c r="U2763" s="1">
        <v>0.245</v>
      </c>
      <c r="V2763" s="1">
        <v>124.996</v>
      </c>
      <c r="W2763">
        <v>4</v>
      </c>
    </row>
    <row r="2764" spans="1:23" x14ac:dyDescent="0.25">
      <c r="A2764" s="1" t="s">
        <v>19595</v>
      </c>
      <c r="B2764" s="1" t="s">
        <v>19596</v>
      </c>
      <c r="C2764" s="1" t="s">
        <v>6477</v>
      </c>
      <c r="D2764" s="1" t="s">
        <v>13673</v>
      </c>
      <c r="E2764" s="1" t="s">
        <v>7346</v>
      </c>
      <c r="F2764" s="1" t="s">
        <v>13674</v>
      </c>
      <c r="G2764">
        <v>229714</v>
      </c>
      <c r="H2764">
        <v>0</v>
      </c>
      <c r="I2764" s="1" t="s">
        <v>11063</v>
      </c>
      <c r="J2764" s="11">
        <v>44729.706458333334</v>
      </c>
      <c r="K2764" s="1" t="s">
        <v>7347</v>
      </c>
      <c r="L2764" s="1">
        <v>0.20300000000000001</v>
      </c>
      <c r="M2764" s="1">
        <v>0.74199999999999999</v>
      </c>
      <c r="N2764">
        <v>5</v>
      </c>
      <c r="O2764" s="1">
        <v>-2.2610000000000001</v>
      </c>
      <c r="P2764">
        <v>0</v>
      </c>
      <c r="Q2764" s="1">
        <v>0.371</v>
      </c>
      <c r="R2764" s="1">
        <v>0.76200000000000001</v>
      </c>
      <c r="S2764" s="1">
        <v>0.86499999999999999</v>
      </c>
      <c r="T2764" s="1">
        <v>0.33600000000000002</v>
      </c>
      <c r="U2764" s="1">
        <v>0.16300000000000001</v>
      </c>
      <c r="V2764" s="1">
        <v>139.774</v>
      </c>
      <c r="W2764">
        <v>4</v>
      </c>
    </row>
    <row r="2765" spans="1:23" x14ac:dyDescent="0.25">
      <c r="A2765" s="1" t="s">
        <v>19597</v>
      </c>
      <c r="B2765" s="1" t="s">
        <v>19598</v>
      </c>
      <c r="C2765" s="1" t="s">
        <v>7348</v>
      </c>
      <c r="D2765" s="1" t="s">
        <v>19599</v>
      </c>
      <c r="E2765" s="1" t="s">
        <v>7349</v>
      </c>
      <c r="F2765" s="1" t="s">
        <v>19600</v>
      </c>
      <c r="G2765">
        <v>295890</v>
      </c>
      <c r="H2765">
        <v>38</v>
      </c>
      <c r="I2765" s="1" t="s">
        <v>11063</v>
      </c>
      <c r="J2765" s="11">
        <v>44729.706458333334</v>
      </c>
      <c r="K2765" s="1" t="s">
        <v>7350</v>
      </c>
      <c r="L2765" s="1">
        <v>0.36299999999999999</v>
      </c>
      <c r="M2765" s="1">
        <v>0.73499999999999999</v>
      </c>
      <c r="N2765">
        <v>1</v>
      </c>
      <c r="O2765" s="1">
        <v>-3.8570000000000002</v>
      </c>
      <c r="P2765">
        <v>1</v>
      </c>
      <c r="Q2765" s="1">
        <v>0.42799999999999999</v>
      </c>
      <c r="R2765" s="1">
        <v>0.14000000000000001</v>
      </c>
      <c r="S2765" s="1">
        <v>0.11899999999999999</v>
      </c>
      <c r="T2765" s="1">
        <v>0.13</v>
      </c>
      <c r="U2765" s="1">
        <v>0.72099999999999997</v>
      </c>
      <c r="V2765" s="1">
        <v>145.55600000000001</v>
      </c>
      <c r="W2765">
        <v>4</v>
      </c>
    </row>
    <row r="2766" spans="1:23" x14ac:dyDescent="0.25">
      <c r="A2766" s="1" t="s">
        <v>19601</v>
      </c>
      <c r="B2766" s="1" t="s">
        <v>19602</v>
      </c>
      <c r="C2766" s="1" t="s">
        <v>7351</v>
      </c>
      <c r="D2766" s="1" t="s">
        <v>19603</v>
      </c>
      <c r="E2766" s="1" t="s">
        <v>7352</v>
      </c>
      <c r="F2766" s="1" t="s">
        <v>19604</v>
      </c>
      <c r="G2766">
        <v>281083</v>
      </c>
      <c r="H2766">
        <v>53</v>
      </c>
      <c r="I2766" s="1" t="s">
        <v>11063</v>
      </c>
      <c r="J2766" s="11">
        <v>44729.706458333334</v>
      </c>
      <c r="K2766" s="1" t="s">
        <v>7353</v>
      </c>
      <c r="L2766" s="1">
        <v>0.499</v>
      </c>
      <c r="M2766" s="1">
        <v>0.82599999999999996</v>
      </c>
      <c r="N2766">
        <v>9</v>
      </c>
      <c r="O2766" s="1">
        <v>-7.0819999999999999</v>
      </c>
      <c r="P2766">
        <v>0</v>
      </c>
      <c r="Q2766" s="1">
        <v>0.53400000000000003</v>
      </c>
      <c r="R2766" s="1">
        <v>0.95</v>
      </c>
      <c r="S2766" s="1">
        <v>0.28999999999999998</v>
      </c>
      <c r="T2766" s="1">
        <v>0.122</v>
      </c>
      <c r="U2766" s="1">
        <v>0.42699999999999999</v>
      </c>
      <c r="V2766" s="1">
        <v>140.00700000000001</v>
      </c>
      <c r="W2766">
        <v>4</v>
      </c>
    </row>
    <row r="2767" spans="1:23" x14ac:dyDescent="0.25">
      <c r="A2767" s="1" t="s">
        <v>19605</v>
      </c>
      <c r="B2767" s="1" t="s">
        <v>19606</v>
      </c>
      <c r="C2767" s="1" t="s">
        <v>7354</v>
      </c>
      <c r="D2767" s="1" t="s">
        <v>17917</v>
      </c>
      <c r="E2767" s="1" t="s">
        <v>7355</v>
      </c>
      <c r="F2767" s="1" t="s">
        <v>17918</v>
      </c>
      <c r="G2767">
        <v>284444</v>
      </c>
      <c r="H2767">
        <v>50</v>
      </c>
      <c r="I2767" s="1" t="s">
        <v>11063</v>
      </c>
      <c r="J2767" s="11">
        <v>44729.706458333334</v>
      </c>
      <c r="K2767" s="1" t="s">
        <v>6162</v>
      </c>
      <c r="L2767" s="1">
        <v>0.45</v>
      </c>
      <c r="M2767" s="1">
        <v>0.75600000000000001</v>
      </c>
      <c r="N2767">
        <v>1</v>
      </c>
      <c r="O2767" s="1">
        <v>-6.3070000000000004</v>
      </c>
      <c r="P2767">
        <v>0</v>
      </c>
      <c r="Q2767" s="1">
        <v>0.38900000000000001</v>
      </c>
      <c r="R2767" s="1">
        <v>0.108</v>
      </c>
      <c r="S2767" s="1">
        <v>0.20499999999999999</v>
      </c>
      <c r="T2767" s="1">
        <v>0.76200000000000001</v>
      </c>
      <c r="U2767" s="1">
        <v>0.26800000000000002</v>
      </c>
      <c r="V2767" s="1">
        <v>135.102</v>
      </c>
      <c r="W2767">
        <v>4</v>
      </c>
    </row>
    <row r="2768" spans="1:23" x14ac:dyDescent="0.25">
      <c r="A2768" s="1" t="s">
        <v>19607</v>
      </c>
      <c r="B2768" s="1" t="s">
        <v>17938</v>
      </c>
      <c r="C2768" s="1" t="s">
        <v>5833</v>
      </c>
      <c r="D2768" s="1" t="s">
        <v>5833</v>
      </c>
      <c r="E2768" s="1" t="s">
        <v>5834</v>
      </c>
      <c r="F2768" s="1" t="s">
        <v>19608</v>
      </c>
      <c r="G2768">
        <v>181733</v>
      </c>
      <c r="H2768">
        <v>44</v>
      </c>
      <c r="I2768" s="1" t="s">
        <v>11063</v>
      </c>
      <c r="J2768" s="11">
        <v>44729.706458333334</v>
      </c>
      <c r="K2768" s="1" t="s">
        <v>5835</v>
      </c>
      <c r="L2768" s="1">
        <v>0.58499999999999996</v>
      </c>
      <c r="M2768" s="1">
        <v>0.95799999999999996</v>
      </c>
      <c r="N2768">
        <v>1</v>
      </c>
      <c r="O2768" s="1">
        <v>-1.1539999999999999</v>
      </c>
      <c r="P2768">
        <v>1</v>
      </c>
      <c r="Q2768" s="1">
        <v>0.74099999999999999</v>
      </c>
      <c r="R2768" s="1">
        <v>0.107</v>
      </c>
      <c r="S2768" s="1">
        <v>0.153</v>
      </c>
      <c r="T2768" s="1">
        <v>0.252</v>
      </c>
      <c r="U2768" s="1">
        <v>0.29199999999999998</v>
      </c>
      <c r="V2768" s="1">
        <v>144.928</v>
      </c>
      <c r="W2768">
        <v>4</v>
      </c>
    </row>
    <row r="2769" spans="1:23" x14ac:dyDescent="0.25">
      <c r="A2769" s="1" t="s">
        <v>19609</v>
      </c>
      <c r="B2769" s="1" t="s">
        <v>19610</v>
      </c>
      <c r="C2769" s="1" t="s">
        <v>7356</v>
      </c>
      <c r="D2769" s="1" t="s">
        <v>11191</v>
      </c>
      <c r="E2769" s="1" t="s">
        <v>7357</v>
      </c>
      <c r="F2769" s="1" t="s">
        <v>11620</v>
      </c>
      <c r="G2769">
        <v>250285</v>
      </c>
      <c r="H2769">
        <v>74</v>
      </c>
      <c r="I2769" s="1" t="s">
        <v>11063</v>
      </c>
      <c r="J2769" s="11">
        <v>44729.706458333334</v>
      </c>
      <c r="K2769" s="1" t="s">
        <v>7358</v>
      </c>
      <c r="L2769" s="1">
        <v>0.432</v>
      </c>
      <c r="M2769" s="1">
        <v>0.78100000000000003</v>
      </c>
      <c r="N2769">
        <v>4</v>
      </c>
      <c r="O2769" s="1">
        <v>-4.0380000000000003</v>
      </c>
      <c r="P2769">
        <v>0</v>
      </c>
      <c r="Q2769" s="1">
        <v>0.56699999999999995</v>
      </c>
      <c r="R2769" s="1">
        <v>0.41</v>
      </c>
      <c r="S2769" s="1">
        <v>0.42099999999999999</v>
      </c>
      <c r="T2769" s="1">
        <v>0.78900000000000003</v>
      </c>
      <c r="U2769" s="1">
        <v>0.19700000000000001</v>
      </c>
      <c r="V2769" s="1">
        <v>139.43199999999999</v>
      </c>
      <c r="W2769">
        <v>4</v>
      </c>
    </row>
    <row r="2770" spans="1:23" x14ac:dyDescent="0.25">
      <c r="A2770" s="1" t="s">
        <v>19611</v>
      </c>
      <c r="B2770" s="1" t="s">
        <v>19612</v>
      </c>
      <c r="C2770" s="1" t="s">
        <v>7359</v>
      </c>
      <c r="D2770" s="1" t="s">
        <v>19613</v>
      </c>
      <c r="E2770" s="1" t="s">
        <v>7360</v>
      </c>
      <c r="F2770" s="1" t="s">
        <v>15512</v>
      </c>
      <c r="G2770">
        <v>213706</v>
      </c>
      <c r="H2770">
        <v>76</v>
      </c>
      <c r="I2770" s="1" t="s">
        <v>11063</v>
      </c>
      <c r="J2770" s="11">
        <v>44729.706458333334</v>
      </c>
      <c r="K2770" s="1" t="s">
        <v>7361</v>
      </c>
      <c r="L2770" s="1">
        <v>0.60299999999999998</v>
      </c>
      <c r="M2770" s="1">
        <v>0.61499999999999999</v>
      </c>
      <c r="N2770">
        <v>11</v>
      </c>
      <c r="O2770" s="1">
        <v>-4.931</v>
      </c>
      <c r="P2770">
        <v>0</v>
      </c>
      <c r="Q2770" s="1">
        <v>0.16500000000000001</v>
      </c>
      <c r="R2770" s="1">
        <v>0.79900000000000004</v>
      </c>
      <c r="S2770" s="1">
        <v>0.67200000000000004</v>
      </c>
      <c r="T2770" s="1">
        <v>0.11700000000000001</v>
      </c>
      <c r="U2770" s="1">
        <v>0.56100000000000005</v>
      </c>
      <c r="V2770" s="1">
        <v>158.65700000000001</v>
      </c>
      <c r="W2770">
        <v>4</v>
      </c>
    </row>
    <row r="2771" spans="1:23" x14ac:dyDescent="0.25">
      <c r="A2771" s="1" t="s">
        <v>19614</v>
      </c>
      <c r="B2771" s="1" t="s">
        <v>19612</v>
      </c>
      <c r="C2771" s="1" t="s">
        <v>7362</v>
      </c>
      <c r="D2771" s="1" t="s">
        <v>19613</v>
      </c>
      <c r="E2771" s="1" t="s">
        <v>7360</v>
      </c>
      <c r="F2771" s="1" t="s">
        <v>15512</v>
      </c>
      <c r="G2771">
        <v>204093</v>
      </c>
      <c r="H2771">
        <v>67</v>
      </c>
      <c r="I2771" s="1" t="s">
        <v>11063</v>
      </c>
      <c r="J2771" s="11">
        <v>44729.706458333334</v>
      </c>
      <c r="K2771" s="1" t="s">
        <v>7361</v>
      </c>
      <c r="L2771" s="1">
        <v>0.56799999999999995</v>
      </c>
      <c r="M2771" s="1">
        <v>0.70099999999999996</v>
      </c>
      <c r="N2771">
        <v>3</v>
      </c>
      <c r="O2771" s="1">
        <v>-4.5659999999999998</v>
      </c>
      <c r="P2771">
        <v>0</v>
      </c>
      <c r="Q2771" s="1">
        <v>0.42599999999999999</v>
      </c>
      <c r="R2771" s="1">
        <v>0.20899999999999999</v>
      </c>
      <c r="S2771" s="1">
        <v>0.106</v>
      </c>
      <c r="T2771" s="1">
        <v>0.76900000000000002</v>
      </c>
      <c r="U2771" s="1">
        <v>0.35299999999999998</v>
      </c>
      <c r="V2771" s="1">
        <v>89.968999999999994</v>
      </c>
      <c r="W2771">
        <v>4</v>
      </c>
    </row>
    <row r="2772" spans="1:23" x14ac:dyDescent="0.25">
      <c r="A2772" s="1" t="s">
        <v>19615</v>
      </c>
      <c r="B2772" s="1" t="s">
        <v>19612</v>
      </c>
      <c r="C2772" s="1" t="s">
        <v>7363</v>
      </c>
      <c r="D2772" s="1" t="s">
        <v>19613</v>
      </c>
      <c r="E2772" s="1" t="s">
        <v>7360</v>
      </c>
      <c r="F2772" s="1" t="s">
        <v>15512</v>
      </c>
      <c r="G2772">
        <v>175826</v>
      </c>
      <c r="H2772">
        <v>62</v>
      </c>
      <c r="I2772" s="1" t="s">
        <v>11063</v>
      </c>
      <c r="J2772" s="11">
        <v>44729.706458333334</v>
      </c>
      <c r="K2772" s="1" t="s">
        <v>7361</v>
      </c>
      <c r="L2772" s="1">
        <v>0.72499999999999998</v>
      </c>
      <c r="M2772" s="1">
        <v>0.70299999999999996</v>
      </c>
      <c r="N2772">
        <v>7</v>
      </c>
      <c r="O2772" s="1">
        <v>-4.641</v>
      </c>
      <c r="P2772">
        <v>1</v>
      </c>
      <c r="Q2772" s="1">
        <v>0.46600000000000003</v>
      </c>
      <c r="R2772" s="1">
        <v>0.63200000000000001</v>
      </c>
      <c r="S2772" s="1">
        <v>0.251</v>
      </c>
      <c r="T2772" s="1">
        <v>0.14000000000000001</v>
      </c>
      <c r="U2772" s="1">
        <v>0.63800000000000001</v>
      </c>
      <c r="V2772" s="1">
        <v>106.032</v>
      </c>
      <c r="W2772">
        <v>4</v>
      </c>
    </row>
    <row r="2773" spans="1:23" x14ac:dyDescent="0.25">
      <c r="A2773" s="1" t="s">
        <v>19616</v>
      </c>
      <c r="B2773" s="1" t="s">
        <v>19612</v>
      </c>
      <c r="C2773" s="1" t="s">
        <v>7364</v>
      </c>
      <c r="D2773" s="1" t="s">
        <v>19613</v>
      </c>
      <c r="E2773" s="1" t="s">
        <v>7360</v>
      </c>
      <c r="F2773" s="1" t="s">
        <v>15512</v>
      </c>
      <c r="G2773">
        <v>187026</v>
      </c>
      <c r="H2773">
        <v>72</v>
      </c>
      <c r="I2773" s="1" t="s">
        <v>11063</v>
      </c>
      <c r="J2773" s="11">
        <v>44729.706458333334</v>
      </c>
      <c r="K2773" s="1" t="s">
        <v>7361</v>
      </c>
      <c r="L2773" s="1">
        <v>0.69</v>
      </c>
      <c r="M2773" s="1">
        <v>0.71399999999999997</v>
      </c>
      <c r="N2773">
        <v>7</v>
      </c>
      <c r="O2773" s="1">
        <v>-5.9480000000000004</v>
      </c>
      <c r="P2773">
        <v>1</v>
      </c>
      <c r="Q2773" s="1">
        <v>0.33800000000000002</v>
      </c>
      <c r="R2773" s="1">
        <v>0.77</v>
      </c>
      <c r="S2773" s="1">
        <v>0.72299999999999998</v>
      </c>
      <c r="T2773" s="1">
        <v>0.191</v>
      </c>
      <c r="U2773" s="1">
        <v>0.48899999999999999</v>
      </c>
      <c r="V2773" s="1">
        <v>112.009</v>
      </c>
      <c r="W2773">
        <v>4</v>
      </c>
    </row>
    <row r="2774" spans="1:23" x14ac:dyDescent="0.25">
      <c r="A2774" s="1" t="s">
        <v>19617</v>
      </c>
      <c r="B2774" s="1" t="s">
        <v>19618</v>
      </c>
      <c r="C2774" s="1" t="s">
        <v>7365</v>
      </c>
      <c r="D2774" s="1" t="s">
        <v>7365</v>
      </c>
      <c r="E2774" s="1" t="s">
        <v>7366</v>
      </c>
      <c r="F2774" s="1" t="s">
        <v>16101</v>
      </c>
      <c r="G2774">
        <v>238173</v>
      </c>
      <c r="H2774">
        <v>74</v>
      </c>
      <c r="I2774" s="1" t="s">
        <v>11063</v>
      </c>
      <c r="J2774" s="11">
        <v>44729.706458333334</v>
      </c>
      <c r="K2774" s="1" t="s">
        <v>7367</v>
      </c>
      <c r="L2774" s="1">
        <v>0.58799999999999997</v>
      </c>
      <c r="M2774" s="1">
        <v>0.67</v>
      </c>
      <c r="N2774">
        <v>0</v>
      </c>
      <c r="O2774" s="1">
        <v>-6.4390000000000001</v>
      </c>
      <c r="P2774">
        <v>1</v>
      </c>
      <c r="Q2774" s="1">
        <v>0.47299999999999998</v>
      </c>
      <c r="R2774" s="1">
        <v>0.104</v>
      </c>
      <c r="S2774" s="1">
        <v>0.33300000000000002</v>
      </c>
      <c r="T2774" s="1">
        <v>0.33800000000000002</v>
      </c>
      <c r="U2774" s="1">
        <v>0.505</v>
      </c>
      <c r="V2774" s="1">
        <v>118.15900000000001</v>
      </c>
      <c r="W2774">
        <v>4</v>
      </c>
    </row>
    <row r="2775" spans="1:23" x14ac:dyDescent="0.25">
      <c r="A2775" s="1" t="s">
        <v>19619</v>
      </c>
      <c r="B2775" s="1" t="s">
        <v>14907</v>
      </c>
      <c r="C2775" s="1" t="s">
        <v>7368</v>
      </c>
      <c r="D2775" s="1" t="s">
        <v>19620</v>
      </c>
      <c r="E2775" s="1" t="s">
        <v>3184</v>
      </c>
      <c r="F2775" s="1" t="s">
        <v>19621</v>
      </c>
      <c r="G2775">
        <v>182623</v>
      </c>
      <c r="H2775">
        <v>65</v>
      </c>
      <c r="I2775" s="1" t="s">
        <v>11063</v>
      </c>
      <c r="J2775" s="11">
        <v>44729.706458333334</v>
      </c>
      <c r="K2775" s="1" t="s">
        <v>3185</v>
      </c>
      <c r="L2775" s="1">
        <v>0.57499999999999996</v>
      </c>
      <c r="M2775" s="1">
        <v>0.75800000000000001</v>
      </c>
      <c r="N2775">
        <v>1</v>
      </c>
      <c r="O2775" s="1">
        <v>-5.0289999999999999</v>
      </c>
      <c r="P2775">
        <v>0</v>
      </c>
      <c r="Q2775" s="1">
        <v>0.61799999999999999</v>
      </c>
      <c r="R2775" s="1">
        <v>0.95399999999999996</v>
      </c>
      <c r="S2775" s="1">
        <v>0</v>
      </c>
      <c r="T2775" s="1">
        <v>0.39400000000000002</v>
      </c>
      <c r="U2775" s="1">
        <v>0.49299999999999999</v>
      </c>
      <c r="V2775" s="1">
        <v>144.107</v>
      </c>
      <c r="W2775">
        <v>4</v>
      </c>
    </row>
    <row r="2776" spans="1:23" x14ac:dyDescent="0.25">
      <c r="A2776" s="1" t="s">
        <v>19622</v>
      </c>
      <c r="B2776" s="1" t="s">
        <v>19623</v>
      </c>
      <c r="C2776" s="1" t="s">
        <v>7369</v>
      </c>
      <c r="D2776" s="1" t="s">
        <v>7369</v>
      </c>
      <c r="E2776" s="1" t="s">
        <v>7370</v>
      </c>
      <c r="F2776" s="1" t="s">
        <v>17296</v>
      </c>
      <c r="G2776">
        <v>275604</v>
      </c>
      <c r="H2776">
        <v>58</v>
      </c>
      <c r="I2776" s="1" t="s">
        <v>11063</v>
      </c>
      <c r="J2776" s="11">
        <v>44729.706458333334</v>
      </c>
      <c r="K2776" s="1" t="s">
        <v>7371</v>
      </c>
      <c r="L2776" s="1">
        <v>0.74</v>
      </c>
      <c r="M2776" s="1">
        <v>0.83099999999999996</v>
      </c>
      <c r="N2776">
        <v>1</v>
      </c>
      <c r="O2776" s="1">
        <v>-3.8279999999999998</v>
      </c>
      <c r="P2776">
        <v>1</v>
      </c>
      <c r="Q2776" s="1">
        <v>0.42299999999999999</v>
      </c>
      <c r="R2776" s="1">
        <v>0.89</v>
      </c>
      <c r="S2776" s="1">
        <v>0</v>
      </c>
      <c r="T2776" s="1">
        <v>0.83699999999999997</v>
      </c>
      <c r="U2776" s="1">
        <v>0.35699999999999998</v>
      </c>
      <c r="V2776" s="1">
        <v>91.025999999999996</v>
      </c>
      <c r="W2776">
        <v>4</v>
      </c>
    </row>
    <row r="2777" spans="1:23" x14ac:dyDescent="0.25">
      <c r="A2777" s="1" t="s">
        <v>19624</v>
      </c>
      <c r="B2777" s="1" t="s">
        <v>19625</v>
      </c>
      <c r="C2777" s="1" t="s">
        <v>7372</v>
      </c>
      <c r="D2777" s="1" t="s">
        <v>7372</v>
      </c>
      <c r="E2777" s="1" t="s">
        <v>7373</v>
      </c>
      <c r="F2777" s="1" t="s">
        <v>13931</v>
      </c>
      <c r="G2777">
        <v>226012</v>
      </c>
      <c r="H2777">
        <v>0</v>
      </c>
      <c r="I2777" s="1" t="s">
        <v>11063</v>
      </c>
      <c r="J2777" s="11">
        <v>44729.706458333334</v>
      </c>
      <c r="K2777" s="1" t="s">
        <v>7374</v>
      </c>
      <c r="L2777" s="1">
        <v>0.66200000000000003</v>
      </c>
      <c r="M2777" s="1">
        <v>0.73799999999999999</v>
      </c>
      <c r="N2777">
        <v>8</v>
      </c>
      <c r="O2777" s="1">
        <v>-3.7469999999999999</v>
      </c>
      <c r="P2777">
        <v>1</v>
      </c>
      <c r="Q2777" s="1">
        <v>0.54100000000000004</v>
      </c>
      <c r="R2777" s="1">
        <v>0.64200000000000002</v>
      </c>
      <c r="S2777" s="1">
        <v>0.17399999999999999</v>
      </c>
      <c r="T2777" s="1">
        <v>0.35099999999999998</v>
      </c>
      <c r="U2777" s="1">
        <v>0.40699999999999997</v>
      </c>
      <c r="V2777" s="1">
        <v>144.988</v>
      </c>
      <c r="W2777">
        <v>4</v>
      </c>
    </row>
    <row r="2778" spans="1:23" x14ac:dyDescent="0.25">
      <c r="A2778" s="1" t="s">
        <v>19626</v>
      </c>
      <c r="B2778" s="1" t="s">
        <v>19627</v>
      </c>
      <c r="C2778" s="1" t="s">
        <v>1568</v>
      </c>
      <c r="D2778" s="1" t="s">
        <v>1568</v>
      </c>
      <c r="E2778" s="1" t="s">
        <v>7375</v>
      </c>
      <c r="F2778" s="1" t="s">
        <v>13269</v>
      </c>
      <c r="G2778">
        <v>238960</v>
      </c>
      <c r="H2778">
        <v>24</v>
      </c>
      <c r="I2778" s="1" t="s">
        <v>11063</v>
      </c>
      <c r="J2778" s="11">
        <v>44729.706458333334</v>
      </c>
      <c r="K2778" s="1" t="s">
        <v>7376</v>
      </c>
      <c r="L2778" s="1">
        <v>0.68200000000000005</v>
      </c>
      <c r="M2778" s="1">
        <v>0.624</v>
      </c>
      <c r="N2778">
        <v>8</v>
      </c>
      <c r="O2778" s="1">
        <v>-5.2389999999999999</v>
      </c>
      <c r="P2778">
        <v>0</v>
      </c>
      <c r="Q2778" s="1">
        <v>0.32400000000000001</v>
      </c>
      <c r="R2778" s="1">
        <v>0.39700000000000002</v>
      </c>
      <c r="S2778" s="1">
        <v>0.59499999999999997</v>
      </c>
      <c r="T2778" s="1">
        <v>0.318</v>
      </c>
      <c r="U2778" s="1">
        <v>0.29899999999999999</v>
      </c>
      <c r="V2778" s="1">
        <v>139.98699999999999</v>
      </c>
      <c r="W2778">
        <v>4</v>
      </c>
    </row>
    <row r="2779" spans="1:23" x14ac:dyDescent="0.25">
      <c r="A2779" s="1" t="s">
        <v>19628</v>
      </c>
      <c r="B2779" s="1" t="s">
        <v>19629</v>
      </c>
      <c r="C2779" s="1" t="s">
        <v>7377</v>
      </c>
      <c r="D2779" s="1" t="s">
        <v>19630</v>
      </c>
      <c r="E2779" s="1" t="s">
        <v>7378</v>
      </c>
      <c r="F2779" s="1" t="s">
        <v>15632</v>
      </c>
      <c r="G2779">
        <v>176117</v>
      </c>
      <c r="H2779">
        <v>37</v>
      </c>
      <c r="I2779" s="1" t="s">
        <v>11063</v>
      </c>
      <c r="J2779" s="11">
        <v>44729.706458333334</v>
      </c>
      <c r="K2779" s="1" t="s">
        <v>964</v>
      </c>
      <c r="L2779" s="1">
        <v>0.443</v>
      </c>
      <c r="M2779" s="1">
        <v>0.88200000000000001</v>
      </c>
      <c r="N2779">
        <v>1</v>
      </c>
      <c r="O2779" s="1">
        <v>-4.6230000000000002</v>
      </c>
      <c r="P2779">
        <v>1</v>
      </c>
      <c r="Q2779" s="1">
        <v>0.68</v>
      </c>
      <c r="R2779" s="1">
        <v>0.13</v>
      </c>
      <c r="S2779" s="1">
        <v>0</v>
      </c>
      <c r="T2779" s="1">
        <v>0.13</v>
      </c>
      <c r="U2779" s="1">
        <v>0.43</v>
      </c>
      <c r="V2779" s="1">
        <v>170.12299999999999</v>
      </c>
      <c r="W2779">
        <v>4</v>
      </c>
    </row>
    <row r="2780" spans="1:23" x14ac:dyDescent="0.25">
      <c r="A2780" s="1" t="s">
        <v>19631</v>
      </c>
      <c r="B2780" s="1" t="s">
        <v>19632</v>
      </c>
      <c r="C2780" s="1" t="s">
        <v>7379</v>
      </c>
      <c r="D2780" s="1" t="s">
        <v>19630</v>
      </c>
      <c r="E2780" s="1" t="s">
        <v>7380</v>
      </c>
      <c r="F2780" s="1" t="s">
        <v>15632</v>
      </c>
      <c r="G2780">
        <v>195625</v>
      </c>
      <c r="H2780">
        <v>33</v>
      </c>
      <c r="I2780" s="1" t="s">
        <v>11063</v>
      </c>
      <c r="J2780" s="11">
        <v>44729.706458333334</v>
      </c>
      <c r="K2780" s="1" t="s">
        <v>964</v>
      </c>
      <c r="L2780" s="1">
        <v>0.69899999999999995</v>
      </c>
      <c r="M2780" s="1">
        <v>0.82599999999999996</v>
      </c>
      <c r="N2780">
        <v>8</v>
      </c>
      <c r="O2780" s="1">
        <v>-4.2270000000000003</v>
      </c>
      <c r="P2780">
        <v>0</v>
      </c>
      <c r="Q2780" s="1">
        <v>0.56699999999999995</v>
      </c>
      <c r="R2780" s="1">
        <v>0.442</v>
      </c>
      <c r="S2780" s="1">
        <v>0.111</v>
      </c>
      <c r="T2780" s="1">
        <v>0.92800000000000005</v>
      </c>
      <c r="U2780" s="1">
        <v>0.35799999999999998</v>
      </c>
      <c r="V2780" s="1">
        <v>96.019000000000005</v>
      </c>
      <c r="W2780">
        <v>4</v>
      </c>
    </row>
    <row r="2781" spans="1:23" x14ac:dyDescent="0.25">
      <c r="A2781" s="1" t="s">
        <v>19633</v>
      </c>
      <c r="B2781" s="1" t="s">
        <v>19634</v>
      </c>
      <c r="C2781" s="1" t="s">
        <v>7381</v>
      </c>
      <c r="D2781" s="1" t="s">
        <v>19630</v>
      </c>
      <c r="E2781" s="1" t="s">
        <v>7382</v>
      </c>
      <c r="F2781" s="1" t="s">
        <v>15632</v>
      </c>
      <c r="G2781">
        <v>182950</v>
      </c>
      <c r="H2781">
        <v>48</v>
      </c>
      <c r="I2781" s="1" t="s">
        <v>11063</v>
      </c>
      <c r="J2781" s="11">
        <v>44729.706458333334</v>
      </c>
      <c r="K2781" s="1" t="s">
        <v>964</v>
      </c>
      <c r="L2781" s="1">
        <v>0.629</v>
      </c>
      <c r="M2781" s="1">
        <v>0.61799999999999999</v>
      </c>
      <c r="N2781">
        <v>5</v>
      </c>
      <c r="O2781" s="1">
        <v>-5.51</v>
      </c>
      <c r="P2781">
        <v>0</v>
      </c>
      <c r="Q2781" s="1">
        <v>0.91800000000000004</v>
      </c>
      <c r="R2781" s="1">
        <v>0.245</v>
      </c>
      <c r="S2781" s="1">
        <v>0</v>
      </c>
      <c r="T2781" s="1">
        <v>0.93799999999999994</v>
      </c>
      <c r="U2781" s="1">
        <v>0.64400000000000002</v>
      </c>
      <c r="V2781" s="1">
        <v>92.070999999999998</v>
      </c>
      <c r="W2781">
        <v>4</v>
      </c>
    </row>
    <row r="2782" spans="1:23" x14ac:dyDescent="0.25">
      <c r="A2782" s="1" t="s">
        <v>19635</v>
      </c>
      <c r="B2782" s="1" t="s">
        <v>19636</v>
      </c>
      <c r="C2782" s="1" t="s">
        <v>7383</v>
      </c>
      <c r="D2782" s="1" t="s">
        <v>7383</v>
      </c>
      <c r="E2782" s="1" t="s">
        <v>7384</v>
      </c>
      <c r="F2782" s="1" t="s">
        <v>19637</v>
      </c>
      <c r="G2782">
        <v>238027</v>
      </c>
      <c r="H2782">
        <v>43</v>
      </c>
      <c r="I2782" s="1" t="s">
        <v>11063</v>
      </c>
      <c r="J2782" s="11">
        <v>44729.706458333334</v>
      </c>
      <c r="K2782" s="1" t="s">
        <v>7385</v>
      </c>
      <c r="L2782" s="1">
        <v>0.59899999999999998</v>
      </c>
      <c r="M2782" s="1">
        <v>0.72099999999999997</v>
      </c>
      <c r="N2782">
        <v>1</v>
      </c>
      <c r="O2782" s="1">
        <v>-5.8680000000000003</v>
      </c>
      <c r="P2782">
        <v>0</v>
      </c>
      <c r="Q2782" s="1">
        <v>0.19600000000000001</v>
      </c>
      <c r="R2782" s="1">
        <v>0.80800000000000005</v>
      </c>
      <c r="S2782" s="1">
        <v>0.52200000000000002</v>
      </c>
      <c r="T2782" s="1">
        <v>0.27700000000000002</v>
      </c>
      <c r="U2782" s="1">
        <v>0.251</v>
      </c>
      <c r="V2782" s="1">
        <v>155.05799999999999</v>
      </c>
      <c r="W2782">
        <v>4</v>
      </c>
    </row>
    <row r="2783" spans="1:23" x14ac:dyDescent="0.25">
      <c r="A2783" s="1" t="s">
        <v>19638</v>
      </c>
      <c r="B2783" s="1" t="s">
        <v>19639</v>
      </c>
      <c r="C2783" s="1" t="s">
        <v>7386</v>
      </c>
      <c r="D2783" s="1" t="s">
        <v>7386</v>
      </c>
      <c r="E2783" s="1" t="s">
        <v>7387</v>
      </c>
      <c r="F2783" s="1" t="s">
        <v>11319</v>
      </c>
      <c r="G2783">
        <v>208424</v>
      </c>
      <c r="H2783">
        <v>0</v>
      </c>
      <c r="I2783" s="1" t="s">
        <v>11063</v>
      </c>
      <c r="J2783" s="11">
        <v>44729.706458333334</v>
      </c>
      <c r="K2783" s="1" t="s">
        <v>7388</v>
      </c>
      <c r="L2783" s="1">
        <v>0.66400000000000003</v>
      </c>
      <c r="M2783" s="1">
        <v>0.85</v>
      </c>
      <c r="N2783">
        <v>4</v>
      </c>
      <c r="O2783" s="1">
        <v>-3.504</v>
      </c>
      <c r="P2783">
        <v>0</v>
      </c>
      <c r="Q2783" s="1">
        <v>0.24299999999999999</v>
      </c>
      <c r="R2783" s="1">
        <v>0.45900000000000002</v>
      </c>
      <c r="S2783" s="1">
        <v>0.97499999999999998</v>
      </c>
      <c r="T2783" s="1">
        <v>0.215</v>
      </c>
      <c r="U2783" s="1">
        <v>0.27400000000000002</v>
      </c>
      <c r="V2783" s="1">
        <v>148.024</v>
      </c>
      <c r="W2783">
        <v>4</v>
      </c>
    </row>
    <row r="2784" spans="1:23" x14ac:dyDescent="0.25">
      <c r="A2784" s="1" t="s">
        <v>19640</v>
      </c>
      <c r="B2784" s="1" t="s">
        <v>19641</v>
      </c>
      <c r="C2784" s="1" t="s">
        <v>6477</v>
      </c>
      <c r="D2784" s="1" t="s">
        <v>19642</v>
      </c>
      <c r="E2784" s="1" t="s">
        <v>7389</v>
      </c>
      <c r="F2784" s="1" t="s">
        <v>14343</v>
      </c>
      <c r="G2784">
        <v>253098</v>
      </c>
      <c r="H2784">
        <v>41</v>
      </c>
      <c r="I2784" s="1" t="s">
        <v>11063</v>
      </c>
      <c r="J2784" s="11">
        <v>44729.706458333334</v>
      </c>
      <c r="K2784" s="1" t="s">
        <v>381</v>
      </c>
      <c r="L2784" s="1">
        <v>0.66900000000000004</v>
      </c>
      <c r="M2784" s="1">
        <v>0.68899999999999995</v>
      </c>
      <c r="N2784">
        <v>6</v>
      </c>
      <c r="O2784" s="1">
        <v>-7.2389999999999999</v>
      </c>
      <c r="P2784">
        <v>0</v>
      </c>
      <c r="Q2784" s="1">
        <v>0.58199999999999996</v>
      </c>
      <c r="R2784" s="1">
        <v>0.42499999999999999</v>
      </c>
      <c r="S2784" s="1">
        <v>0.16600000000000001</v>
      </c>
      <c r="T2784" s="1">
        <v>0.10100000000000001</v>
      </c>
      <c r="U2784" s="1">
        <v>0.99199999999999999</v>
      </c>
      <c r="V2784" s="1">
        <v>94.962000000000003</v>
      </c>
      <c r="W2784">
        <v>4</v>
      </c>
    </row>
    <row r="2785" spans="1:23" x14ac:dyDescent="0.25">
      <c r="A2785" s="1" t="s">
        <v>19643</v>
      </c>
      <c r="B2785" s="1" t="s">
        <v>19644</v>
      </c>
      <c r="C2785" s="1" t="s">
        <v>7390</v>
      </c>
      <c r="D2785" s="1" t="s">
        <v>19645</v>
      </c>
      <c r="E2785" s="1" t="s">
        <v>7391</v>
      </c>
      <c r="F2785" s="1" t="s">
        <v>17314</v>
      </c>
      <c r="G2785">
        <v>227086</v>
      </c>
      <c r="H2785">
        <v>45</v>
      </c>
      <c r="I2785" s="1" t="s">
        <v>11063</v>
      </c>
      <c r="J2785" s="11">
        <v>44729.706458333334</v>
      </c>
      <c r="K2785" s="1" t="s">
        <v>7392</v>
      </c>
      <c r="L2785" s="1">
        <v>0.6</v>
      </c>
      <c r="M2785" s="1">
        <v>0.76</v>
      </c>
      <c r="N2785">
        <v>5</v>
      </c>
      <c r="O2785" s="1">
        <v>-4.9640000000000004</v>
      </c>
      <c r="P2785">
        <v>1</v>
      </c>
      <c r="Q2785" s="1">
        <v>0.26200000000000001</v>
      </c>
      <c r="R2785" s="1">
        <v>0.85399999999999998</v>
      </c>
      <c r="S2785" s="1">
        <v>0.126</v>
      </c>
      <c r="T2785" s="1">
        <v>0.23699999999999999</v>
      </c>
      <c r="U2785" s="1">
        <v>0.42099999999999999</v>
      </c>
      <c r="V2785" s="1">
        <v>129.886</v>
      </c>
      <c r="W2785">
        <v>4</v>
      </c>
    </row>
    <row r="2786" spans="1:23" x14ac:dyDescent="0.25">
      <c r="A2786" s="1" t="s">
        <v>19646</v>
      </c>
      <c r="B2786" s="1" t="s">
        <v>19647</v>
      </c>
      <c r="C2786" s="1" t="s">
        <v>7393</v>
      </c>
      <c r="D2786" s="1" t="s">
        <v>19648</v>
      </c>
      <c r="E2786" s="1" t="s">
        <v>7394</v>
      </c>
      <c r="F2786" s="1" t="s">
        <v>13973</v>
      </c>
      <c r="G2786">
        <v>315000</v>
      </c>
      <c r="H2786">
        <v>28</v>
      </c>
      <c r="I2786" s="1" t="s">
        <v>11063</v>
      </c>
      <c r="J2786" s="11">
        <v>44729.706458333334</v>
      </c>
      <c r="K2786" s="1" t="s">
        <v>7395</v>
      </c>
      <c r="L2786" s="1">
        <v>0.59199999999999997</v>
      </c>
      <c r="M2786" s="1">
        <v>0.61299999999999999</v>
      </c>
      <c r="N2786">
        <v>1</v>
      </c>
      <c r="O2786" s="1">
        <v>-9.1389999999999993</v>
      </c>
      <c r="P2786">
        <v>1</v>
      </c>
      <c r="Q2786" s="1">
        <v>0.30199999999999999</v>
      </c>
      <c r="R2786" s="1">
        <v>0.26</v>
      </c>
      <c r="S2786" s="1">
        <v>0.14299999999999999</v>
      </c>
      <c r="T2786" s="1">
        <v>0.125</v>
      </c>
      <c r="U2786" s="1">
        <v>0.1</v>
      </c>
      <c r="V2786" s="1">
        <v>79.95</v>
      </c>
      <c r="W2786">
        <v>4</v>
      </c>
    </row>
    <row r="2787" spans="1:23" x14ac:dyDescent="0.25">
      <c r="A2787" s="1" t="s">
        <v>19649</v>
      </c>
      <c r="B2787" s="1" t="s">
        <v>19647</v>
      </c>
      <c r="C2787" s="1" t="s">
        <v>4671</v>
      </c>
      <c r="D2787" s="1" t="s">
        <v>4671</v>
      </c>
      <c r="E2787" s="1" t="s">
        <v>7394</v>
      </c>
      <c r="F2787" s="1" t="s">
        <v>16691</v>
      </c>
      <c r="G2787">
        <v>278857</v>
      </c>
      <c r="H2787">
        <v>26</v>
      </c>
      <c r="I2787" s="1" t="s">
        <v>11063</v>
      </c>
      <c r="J2787" s="11">
        <v>44729.706458333334</v>
      </c>
      <c r="K2787" s="1" t="s">
        <v>7395</v>
      </c>
      <c r="L2787" s="1">
        <v>0.51800000000000002</v>
      </c>
      <c r="M2787" s="1">
        <v>0.54200000000000004</v>
      </c>
      <c r="N2787">
        <v>0</v>
      </c>
      <c r="O2787" s="1">
        <v>-8.7010000000000005</v>
      </c>
      <c r="P2787">
        <v>1</v>
      </c>
      <c r="Q2787" s="1">
        <v>0.42599999999999999</v>
      </c>
      <c r="R2787" s="1">
        <v>0.44500000000000001</v>
      </c>
      <c r="S2787" s="1">
        <v>0.65400000000000003</v>
      </c>
      <c r="T2787" s="1">
        <v>0.82699999999999996</v>
      </c>
      <c r="U2787" s="1">
        <v>0.13300000000000001</v>
      </c>
      <c r="V2787" s="1">
        <v>104.96899999999999</v>
      </c>
      <c r="W2787">
        <v>4</v>
      </c>
    </row>
    <row r="2788" spans="1:23" x14ac:dyDescent="0.25">
      <c r="A2788" s="1" t="s">
        <v>19650</v>
      </c>
      <c r="B2788" s="1" t="s">
        <v>19651</v>
      </c>
      <c r="C2788" s="1" t="s">
        <v>7396</v>
      </c>
      <c r="D2788" s="1" t="s">
        <v>19652</v>
      </c>
      <c r="E2788" s="1" t="s">
        <v>7397</v>
      </c>
      <c r="F2788" s="1" t="s">
        <v>11563</v>
      </c>
      <c r="G2788">
        <v>267125</v>
      </c>
      <c r="H2788">
        <v>33</v>
      </c>
      <c r="I2788" s="1" t="s">
        <v>11063</v>
      </c>
      <c r="J2788" s="11">
        <v>44729.706458333334</v>
      </c>
      <c r="K2788" s="1" t="s">
        <v>7398</v>
      </c>
      <c r="L2788" s="1">
        <v>0.41199999999999998</v>
      </c>
      <c r="M2788" s="1">
        <v>0.51400000000000001</v>
      </c>
      <c r="N2788">
        <v>10</v>
      </c>
      <c r="O2788" s="1">
        <v>-8.9450000000000003</v>
      </c>
      <c r="P2788">
        <v>1</v>
      </c>
      <c r="Q2788" s="1">
        <v>0.52100000000000002</v>
      </c>
      <c r="R2788" s="1">
        <v>0.42299999999999999</v>
      </c>
      <c r="S2788" s="1">
        <v>0.189</v>
      </c>
      <c r="T2788" s="1">
        <v>0.108</v>
      </c>
      <c r="U2788" s="1">
        <v>0.13400000000000001</v>
      </c>
      <c r="V2788" s="1">
        <v>169.964</v>
      </c>
      <c r="W2788">
        <v>4</v>
      </c>
    </row>
    <row r="2789" spans="1:23" x14ac:dyDescent="0.25">
      <c r="A2789" s="1" t="s">
        <v>19653</v>
      </c>
      <c r="B2789" s="1" t="s">
        <v>19647</v>
      </c>
      <c r="C2789" s="1" t="s">
        <v>7399</v>
      </c>
      <c r="D2789" s="1" t="s">
        <v>19652</v>
      </c>
      <c r="E2789" s="1" t="s">
        <v>7394</v>
      </c>
      <c r="F2789" s="1" t="s">
        <v>11563</v>
      </c>
      <c r="G2789">
        <v>185600</v>
      </c>
      <c r="H2789">
        <v>31</v>
      </c>
      <c r="I2789" s="1" t="s">
        <v>11063</v>
      </c>
      <c r="J2789" s="11">
        <v>44729.706458333334</v>
      </c>
      <c r="K2789" s="1" t="s">
        <v>7395</v>
      </c>
      <c r="L2789" s="1">
        <v>0.54600000000000004</v>
      </c>
      <c r="M2789" s="1">
        <v>0.77200000000000002</v>
      </c>
      <c r="N2789">
        <v>6</v>
      </c>
      <c r="O2789" s="1">
        <v>-7.72</v>
      </c>
      <c r="P2789">
        <v>0</v>
      </c>
      <c r="Q2789" s="1">
        <v>0.125</v>
      </c>
      <c r="R2789" s="1">
        <v>0.22700000000000001</v>
      </c>
      <c r="S2789" s="1">
        <v>0.122</v>
      </c>
      <c r="T2789" s="1">
        <v>0.10100000000000001</v>
      </c>
      <c r="U2789" s="1">
        <v>0.156</v>
      </c>
      <c r="V2789" s="1">
        <v>150.05099999999999</v>
      </c>
      <c r="W2789">
        <v>4</v>
      </c>
    </row>
    <row r="2790" spans="1:23" x14ac:dyDescent="0.25">
      <c r="A2790" s="1" t="s">
        <v>11727</v>
      </c>
      <c r="B2790" s="1" t="s">
        <v>11728</v>
      </c>
      <c r="C2790" s="1" t="s">
        <v>430</v>
      </c>
      <c r="D2790" s="1" t="s">
        <v>11729</v>
      </c>
      <c r="E2790" s="1" t="s">
        <v>431</v>
      </c>
      <c r="F2790" s="1" t="s">
        <v>11730</v>
      </c>
      <c r="G2790">
        <v>260422</v>
      </c>
      <c r="H2790">
        <v>39</v>
      </c>
      <c r="I2790" s="1" t="s">
        <v>11063</v>
      </c>
      <c r="J2790" s="11">
        <v>44729.706458333334</v>
      </c>
      <c r="K2790" s="1" t="s">
        <v>432</v>
      </c>
      <c r="L2790" s="1">
        <v>0.72</v>
      </c>
      <c r="M2790" s="1">
        <v>0.72699999999999998</v>
      </c>
      <c r="N2790">
        <v>0</v>
      </c>
      <c r="O2790" s="1">
        <v>-3.7389999999999999</v>
      </c>
      <c r="P2790">
        <v>1</v>
      </c>
      <c r="Q2790" s="1">
        <v>0.10299999999999999</v>
      </c>
      <c r="R2790" s="1">
        <v>0.61599999999999999</v>
      </c>
      <c r="S2790" s="1">
        <v>0.11</v>
      </c>
      <c r="T2790" s="1">
        <v>0.28299999999999997</v>
      </c>
      <c r="U2790" s="1">
        <v>0.85599999999999998</v>
      </c>
      <c r="V2790" s="1">
        <v>128.03</v>
      </c>
      <c r="W2790">
        <v>4</v>
      </c>
    </row>
    <row r="2791" spans="1:23" x14ac:dyDescent="0.25">
      <c r="A2791" s="1" t="s">
        <v>19654</v>
      </c>
      <c r="B2791" s="1" t="s">
        <v>19655</v>
      </c>
      <c r="C2791" s="1" t="s">
        <v>7400</v>
      </c>
      <c r="D2791" s="1" t="s">
        <v>19656</v>
      </c>
      <c r="E2791" s="1" t="s">
        <v>7401</v>
      </c>
      <c r="F2791" s="1" t="s">
        <v>11612</v>
      </c>
      <c r="G2791">
        <v>262506</v>
      </c>
      <c r="H2791">
        <v>36</v>
      </c>
      <c r="I2791" s="1" t="s">
        <v>11063</v>
      </c>
      <c r="J2791" s="11">
        <v>44729.706458333334</v>
      </c>
      <c r="K2791" s="1" t="s">
        <v>7402</v>
      </c>
      <c r="L2791" s="1">
        <v>0.377</v>
      </c>
      <c r="M2791" s="1">
        <v>0.69499999999999995</v>
      </c>
      <c r="N2791">
        <v>11</v>
      </c>
      <c r="O2791" s="1">
        <v>-7.8940000000000001</v>
      </c>
      <c r="P2791">
        <v>0</v>
      </c>
      <c r="Q2791" s="1">
        <v>0.47599999999999998</v>
      </c>
      <c r="R2791" s="1">
        <v>0.22900000000000001</v>
      </c>
      <c r="S2791" s="1">
        <v>0.30099999999999999</v>
      </c>
      <c r="T2791" s="1">
        <v>0.94799999999999995</v>
      </c>
      <c r="U2791" s="1">
        <v>0.64500000000000002</v>
      </c>
      <c r="V2791" s="1">
        <v>127.904</v>
      </c>
      <c r="W2791">
        <v>4</v>
      </c>
    </row>
    <row r="2792" spans="1:23" x14ac:dyDescent="0.25">
      <c r="A2792" s="1" t="s">
        <v>19657</v>
      </c>
      <c r="B2792" s="1" t="s">
        <v>19658</v>
      </c>
      <c r="C2792" s="1" t="s">
        <v>7403</v>
      </c>
      <c r="D2792" s="1" t="s">
        <v>11103</v>
      </c>
      <c r="E2792" s="1" t="s">
        <v>7404</v>
      </c>
      <c r="F2792" s="1" t="s">
        <v>15756</v>
      </c>
      <c r="G2792">
        <v>254165</v>
      </c>
      <c r="H2792">
        <v>59</v>
      </c>
      <c r="I2792" s="1" t="s">
        <v>11063</v>
      </c>
      <c r="J2792" s="11">
        <v>44729.706458333334</v>
      </c>
      <c r="K2792" s="1" t="s">
        <v>7405</v>
      </c>
      <c r="L2792" s="1">
        <v>0.58799999999999997</v>
      </c>
      <c r="M2792" s="1">
        <v>0.60099999999999998</v>
      </c>
      <c r="N2792">
        <v>4</v>
      </c>
      <c r="O2792" s="1">
        <v>-5.9829999999999997</v>
      </c>
      <c r="P2792">
        <v>0</v>
      </c>
      <c r="Q2792" s="1">
        <v>0.33200000000000002</v>
      </c>
      <c r="R2792" s="1">
        <v>0.316</v>
      </c>
      <c r="S2792" s="1">
        <v>0</v>
      </c>
      <c r="T2792" s="1">
        <v>0.14799999999999999</v>
      </c>
      <c r="U2792" s="1">
        <v>0.38</v>
      </c>
      <c r="V2792" s="1">
        <v>126.06</v>
      </c>
      <c r="W2792">
        <v>3</v>
      </c>
    </row>
    <row r="2793" spans="1:23" x14ac:dyDescent="0.25">
      <c r="A2793" s="1" t="s">
        <v>19659</v>
      </c>
      <c r="B2793" s="1" t="s">
        <v>13920</v>
      </c>
      <c r="C2793" s="1" t="s">
        <v>7406</v>
      </c>
      <c r="D2793" s="1" t="s">
        <v>19660</v>
      </c>
      <c r="E2793" s="1" t="s">
        <v>2327</v>
      </c>
      <c r="F2793" s="1" t="s">
        <v>16012</v>
      </c>
      <c r="G2793">
        <v>230613</v>
      </c>
      <c r="H2793">
        <v>80</v>
      </c>
      <c r="I2793" s="1" t="s">
        <v>11063</v>
      </c>
      <c r="J2793" s="11">
        <v>44729.706458333334</v>
      </c>
      <c r="K2793" s="1" t="s">
        <v>2328</v>
      </c>
      <c r="L2793" s="1">
        <v>0.57899999999999996</v>
      </c>
      <c r="M2793" s="1">
        <v>0.73599999999999999</v>
      </c>
      <c r="N2793">
        <v>6</v>
      </c>
      <c r="O2793" s="1">
        <v>-3.863</v>
      </c>
      <c r="P2793">
        <v>0</v>
      </c>
      <c r="Q2793" s="1">
        <v>0.52700000000000002</v>
      </c>
      <c r="R2793" s="1">
        <v>0.31</v>
      </c>
      <c r="S2793" s="1">
        <v>0</v>
      </c>
      <c r="T2793" s="1">
        <v>0.19800000000000001</v>
      </c>
      <c r="U2793" s="1">
        <v>0.61299999999999999</v>
      </c>
      <c r="V2793" s="1">
        <v>127.999</v>
      </c>
      <c r="W2793">
        <v>4</v>
      </c>
    </row>
    <row r="2794" spans="1:23" x14ac:dyDescent="0.25">
      <c r="A2794" s="1" t="s">
        <v>19661</v>
      </c>
      <c r="B2794" s="1" t="s">
        <v>19662</v>
      </c>
      <c r="C2794" s="1" t="s">
        <v>7407</v>
      </c>
      <c r="D2794" s="1" t="s">
        <v>11103</v>
      </c>
      <c r="E2794" s="1" t="s">
        <v>7408</v>
      </c>
      <c r="F2794" s="1" t="s">
        <v>15756</v>
      </c>
      <c r="G2794">
        <v>171785</v>
      </c>
      <c r="H2794">
        <v>62</v>
      </c>
      <c r="I2794" s="1" t="s">
        <v>11063</v>
      </c>
      <c r="J2794" s="11">
        <v>44729.706458333334</v>
      </c>
      <c r="K2794" s="1" t="s">
        <v>7409</v>
      </c>
      <c r="L2794" s="1">
        <v>0.64800000000000002</v>
      </c>
      <c r="M2794" s="1">
        <v>0.55400000000000005</v>
      </c>
      <c r="N2794">
        <v>9</v>
      </c>
      <c r="O2794" s="1">
        <v>-7.0049999999999999</v>
      </c>
      <c r="P2794">
        <v>1</v>
      </c>
      <c r="Q2794" s="1">
        <v>0.34100000000000003</v>
      </c>
      <c r="R2794" s="1">
        <v>0.32900000000000001</v>
      </c>
      <c r="S2794" s="1">
        <v>0.25600000000000001</v>
      </c>
      <c r="T2794" s="1">
        <v>0.80300000000000005</v>
      </c>
      <c r="U2794" s="1">
        <v>0.372</v>
      </c>
      <c r="V2794" s="1">
        <v>98.045000000000002</v>
      </c>
      <c r="W2794">
        <v>4</v>
      </c>
    </row>
    <row r="2795" spans="1:23" x14ac:dyDescent="0.25">
      <c r="A2795" s="1" t="s">
        <v>19663</v>
      </c>
      <c r="B2795" s="1" t="s">
        <v>13920</v>
      </c>
      <c r="C2795" s="1" t="s">
        <v>7410</v>
      </c>
      <c r="D2795" s="1" t="s">
        <v>17197</v>
      </c>
      <c r="E2795" s="1" t="s">
        <v>2327</v>
      </c>
      <c r="F2795" s="1" t="s">
        <v>11471</v>
      </c>
      <c r="G2795">
        <v>176658</v>
      </c>
      <c r="H2795">
        <v>86</v>
      </c>
      <c r="I2795" s="1" t="s">
        <v>11063</v>
      </c>
      <c r="J2795" s="11">
        <v>44729.706458333334</v>
      </c>
      <c r="K2795" s="1" t="s">
        <v>2328</v>
      </c>
      <c r="L2795" s="1">
        <v>0.52700000000000002</v>
      </c>
      <c r="M2795" s="1">
        <v>0.83499999999999996</v>
      </c>
      <c r="N2795">
        <v>6</v>
      </c>
      <c r="O2795" s="1">
        <v>-5.298</v>
      </c>
      <c r="P2795">
        <v>1</v>
      </c>
      <c r="Q2795" s="1">
        <v>0.433</v>
      </c>
      <c r="R2795" s="1">
        <v>0.16600000000000001</v>
      </c>
      <c r="S2795" s="1">
        <v>0</v>
      </c>
      <c r="T2795" s="1">
        <v>0.249</v>
      </c>
      <c r="U2795" s="1">
        <v>0.65400000000000003</v>
      </c>
      <c r="V2795" s="1">
        <v>125.983</v>
      </c>
      <c r="W2795">
        <v>4</v>
      </c>
    </row>
    <row r="2796" spans="1:23" x14ac:dyDescent="0.25">
      <c r="A2796" s="1" t="s">
        <v>19664</v>
      </c>
      <c r="B2796" s="1" t="s">
        <v>19665</v>
      </c>
      <c r="C2796" s="1" t="s">
        <v>7411</v>
      </c>
      <c r="D2796" s="1" t="s">
        <v>17207</v>
      </c>
      <c r="E2796" s="1" t="s">
        <v>7412</v>
      </c>
      <c r="F2796" s="1" t="s">
        <v>16616</v>
      </c>
      <c r="G2796">
        <v>181672</v>
      </c>
      <c r="H2796">
        <v>78</v>
      </c>
      <c r="I2796" s="1" t="s">
        <v>11063</v>
      </c>
      <c r="J2796" s="11">
        <v>44729.706458333334</v>
      </c>
      <c r="K2796" s="1" t="s">
        <v>7413</v>
      </c>
      <c r="L2796" s="1">
        <v>0.66200000000000003</v>
      </c>
      <c r="M2796" s="1">
        <v>0.85799999999999998</v>
      </c>
      <c r="N2796">
        <v>2</v>
      </c>
      <c r="O2796" s="1">
        <v>-4.8440000000000003</v>
      </c>
      <c r="P2796">
        <v>1</v>
      </c>
      <c r="Q2796" s="1">
        <v>0.42799999999999999</v>
      </c>
      <c r="R2796" s="1">
        <v>0.16300000000000001</v>
      </c>
      <c r="S2796" s="1">
        <v>0</v>
      </c>
      <c r="T2796" s="1">
        <v>0.45600000000000002</v>
      </c>
      <c r="U2796" s="1">
        <v>0.29499999999999998</v>
      </c>
      <c r="V2796" s="1">
        <v>133.99299999999999</v>
      </c>
      <c r="W2796">
        <v>4</v>
      </c>
    </row>
    <row r="2797" spans="1:23" x14ac:dyDescent="0.25">
      <c r="A2797" s="1" t="s">
        <v>19666</v>
      </c>
      <c r="B2797" s="1" t="s">
        <v>13920</v>
      </c>
      <c r="C2797" s="1" t="s">
        <v>2326</v>
      </c>
      <c r="D2797" s="1" t="s">
        <v>13921</v>
      </c>
      <c r="E2797" s="1" t="s">
        <v>2327</v>
      </c>
      <c r="F2797" s="1" t="s">
        <v>19667</v>
      </c>
      <c r="G2797">
        <v>247426</v>
      </c>
      <c r="H2797">
        <v>19</v>
      </c>
      <c r="I2797" s="1" t="s">
        <v>11063</v>
      </c>
      <c r="J2797" s="11">
        <v>44729.706458333334</v>
      </c>
      <c r="K2797" s="1" t="s">
        <v>2328</v>
      </c>
      <c r="L2797" s="1">
        <v>0.53200000000000003</v>
      </c>
      <c r="M2797" s="1">
        <v>0.78300000000000003</v>
      </c>
      <c r="N2797">
        <v>2</v>
      </c>
      <c r="O2797" s="1">
        <v>-5.6970000000000001</v>
      </c>
      <c r="P2797">
        <v>1</v>
      </c>
      <c r="Q2797" s="1">
        <v>0.52300000000000002</v>
      </c>
      <c r="R2797" s="1">
        <v>0.38</v>
      </c>
      <c r="S2797" s="1">
        <v>0.12</v>
      </c>
      <c r="T2797" s="1">
        <v>0.161</v>
      </c>
      <c r="U2797" s="1">
        <v>0.64300000000000002</v>
      </c>
      <c r="V2797" s="1">
        <v>124.08</v>
      </c>
      <c r="W2797">
        <v>4</v>
      </c>
    </row>
    <row r="2798" spans="1:23" x14ac:dyDescent="0.25">
      <c r="A2798" s="1" t="s">
        <v>19668</v>
      </c>
      <c r="B2798" s="1" t="s">
        <v>19669</v>
      </c>
      <c r="C2798" s="1" t="s">
        <v>7414</v>
      </c>
      <c r="D2798" s="1" t="s">
        <v>7414</v>
      </c>
      <c r="E2798" s="1" t="s">
        <v>7415</v>
      </c>
      <c r="F2798" s="1" t="s">
        <v>19670</v>
      </c>
      <c r="G2798">
        <v>181581</v>
      </c>
      <c r="H2798">
        <v>32</v>
      </c>
      <c r="I2798" s="1" t="s">
        <v>11063</v>
      </c>
      <c r="J2798" s="11">
        <v>44729.706458333334</v>
      </c>
      <c r="K2798" s="1" t="s">
        <v>7416</v>
      </c>
      <c r="L2798" s="1">
        <v>0.75800000000000001</v>
      </c>
      <c r="M2798" s="1">
        <v>0.89900000000000002</v>
      </c>
      <c r="N2798">
        <v>6</v>
      </c>
      <c r="O2798" s="1">
        <v>-2.46</v>
      </c>
      <c r="P2798">
        <v>0</v>
      </c>
      <c r="Q2798" s="1">
        <v>0.54600000000000004</v>
      </c>
      <c r="R2798" s="1">
        <v>0.108</v>
      </c>
      <c r="S2798" s="1">
        <v>0.80100000000000005</v>
      </c>
      <c r="T2798" s="1">
        <v>0.17599999999999999</v>
      </c>
      <c r="U2798" s="1">
        <v>0.39100000000000001</v>
      </c>
      <c r="V2798" s="1">
        <v>128.04400000000001</v>
      </c>
      <c r="W2798">
        <v>4</v>
      </c>
    </row>
    <row r="2799" spans="1:23" x14ac:dyDescent="0.25">
      <c r="A2799" s="1" t="s">
        <v>19671</v>
      </c>
      <c r="B2799" s="1" t="s">
        <v>19672</v>
      </c>
      <c r="C2799" s="1" t="s">
        <v>7417</v>
      </c>
      <c r="D2799" s="1" t="s">
        <v>19673</v>
      </c>
      <c r="E2799" s="1" t="s">
        <v>7418</v>
      </c>
      <c r="F2799" s="1" t="s">
        <v>19674</v>
      </c>
      <c r="G2799">
        <v>206449</v>
      </c>
      <c r="H2799">
        <v>51</v>
      </c>
      <c r="I2799" s="1" t="s">
        <v>11063</v>
      </c>
      <c r="J2799" s="11">
        <v>44729.706458333334</v>
      </c>
      <c r="K2799" s="1" t="s">
        <v>7419</v>
      </c>
      <c r="L2799" s="1">
        <v>0.58399999999999996</v>
      </c>
      <c r="M2799" s="1">
        <v>0.96</v>
      </c>
      <c r="N2799">
        <v>7</v>
      </c>
      <c r="O2799" s="1">
        <v>-4.492</v>
      </c>
      <c r="P2799">
        <v>0</v>
      </c>
      <c r="Q2799" s="1">
        <v>0.379</v>
      </c>
      <c r="R2799" s="1">
        <v>0.104</v>
      </c>
      <c r="S2799" s="1">
        <v>0.51600000000000001</v>
      </c>
      <c r="T2799" s="1">
        <v>0.17499999999999999</v>
      </c>
      <c r="U2799" s="1">
        <v>0.16500000000000001</v>
      </c>
      <c r="V2799" s="1">
        <v>128.00299999999999</v>
      </c>
      <c r="W2799">
        <v>4</v>
      </c>
    </row>
    <row r="2800" spans="1:23" x14ac:dyDescent="0.25">
      <c r="A2800" s="1" t="s">
        <v>19675</v>
      </c>
      <c r="B2800" s="1" t="s">
        <v>19676</v>
      </c>
      <c r="C2800" s="1" t="s">
        <v>7420</v>
      </c>
      <c r="D2800" s="1" t="s">
        <v>7420</v>
      </c>
      <c r="E2800" s="1" t="s">
        <v>7421</v>
      </c>
      <c r="F2800" s="1" t="s">
        <v>14118</v>
      </c>
      <c r="G2800">
        <v>168000</v>
      </c>
      <c r="H2800">
        <v>33</v>
      </c>
      <c r="I2800" s="1" t="s">
        <v>11063</v>
      </c>
      <c r="J2800" s="11">
        <v>44729.706458333334</v>
      </c>
      <c r="K2800" s="1" t="s">
        <v>7422</v>
      </c>
      <c r="L2800" s="1">
        <v>0.69599999999999995</v>
      </c>
      <c r="M2800" s="1">
        <v>0.79300000000000004</v>
      </c>
      <c r="N2800">
        <v>2</v>
      </c>
      <c r="O2800" s="1">
        <v>-4.5039999999999996</v>
      </c>
      <c r="P2800">
        <v>0</v>
      </c>
      <c r="Q2800" s="1">
        <v>0.40200000000000002</v>
      </c>
      <c r="R2800" s="1">
        <v>0.11600000000000001</v>
      </c>
      <c r="S2800" s="1">
        <v>0.78300000000000003</v>
      </c>
      <c r="T2800" s="1">
        <v>0.626</v>
      </c>
      <c r="U2800" s="1">
        <v>0.374</v>
      </c>
      <c r="V2800" s="1">
        <v>110.06100000000001</v>
      </c>
      <c r="W2800">
        <v>4</v>
      </c>
    </row>
    <row r="2801" spans="1:23" x14ac:dyDescent="0.25">
      <c r="A2801" s="1" t="s">
        <v>19677</v>
      </c>
      <c r="B2801" s="1" t="s">
        <v>19678</v>
      </c>
      <c r="C2801" s="1" t="s">
        <v>7423</v>
      </c>
      <c r="D2801" s="1" t="s">
        <v>19679</v>
      </c>
      <c r="E2801" s="1" t="s">
        <v>7424</v>
      </c>
      <c r="F2801" s="1" t="s">
        <v>15035</v>
      </c>
      <c r="G2801">
        <v>156000</v>
      </c>
      <c r="H2801">
        <v>47</v>
      </c>
      <c r="I2801" s="1" t="s">
        <v>11063</v>
      </c>
      <c r="J2801" s="11">
        <v>44729.706458333334</v>
      </c>
      <c r="K2801" s="1" t="s">
        <v>7425</v>
      </c>
      <c r="L2801" s="1">
        <v>0.65200000000000002</v>
      </c>
      <c r="M2801" s="1">
        <v>0.59499999999999997</v>
      </c>
      <c r="N2801">
        <v>6</v>
      </c>
      <c r="O2801" s="1">
        <v>-6.944</v>
      </c>
      <c r="P2801">
        <v>0</v>
      </c>
      <c r="Q2801" s="1">
        <v>0.41899999999999998</v>
      </c>
      <c r="R2801" s="1">
        <v>0.16200000000000001</v>
      </c>
      <c r="S2801" s="1">
        <v>0</v>
      </c>
      <c r="T2801" s="1">
        <v>0.14799999999999999</v>
      </c>
      <c r="U2801" s="1">
        <v>0.30299999999999999</v>
      </c>
      <c r="V2801" s="1">
        <v>77.537999999999997</v>
      </c>
      <c r="W2801">
        <v>4</v>
      </c>
    </row>
    <row r="2802" spans="1:23" x14ac:dyDescent="0.25">
      <c r="A2802" s="1" t="s">
        <v>19680</v>
      </c>
      <c r="B2802" s="1" t="s">
        <v>19681</v>
      </c>
      <c r="C2802" s="1" t="s">
        <v>7426</v>
      </c>
      <c r="D2802" s="1" t="s">
        <v>19682</v>
      </c>
      <c r="E2802" s="1" t="s">
        <v>7427</v>
      </c>
      <c r="F2802" s="1" t="s">
        <v>19683</v>
      </c>
      <c r="G2802">
        <v>208316</v>
      </c>
      <c r="H2802">
        <v>68</v>
      </c>
      <c r="I2802" s="1" t="s">
        <v>11063</v>
      </c>
      <c r="J2802" s="11">
        <v>44729.706458333334</v>
      </c>
      <c r="K2802" s="1" t="s">
        <v>7428</v>
      </c>
      <c r="L2802" s="1">
        <v>0.50900000000000001</v>
      </c>
      <c r="M2802" s="1">
        <v>0.79</v>
      </c>
      <c r="N2802">
        <v>6</v>
      </c>
      <c r="O2802" s="1">
        <v>-3.782</v>
      </c>
      <c r="P2802">
        <v>0</v>
      </c>
      <c r="Q2802" s="1">
        <v>0.374</v>
      </c>
      <c r="R2802" s="1">
        <v>0.33200000000000002</v>
      </c>
      <c r="S2802" s="1">
        <v>0.66700000000000004</v>
      </c>
      <c r="T2802" s="1">
        <v>0.316</v>
      </c>
      <c r="U2802" s="1">
        <v>0.63800000000000001</v>
      </c>
      <c r="V2802" s="1">
        <v>127.946</v>
      </c>
      <c r="W2802">
        <v>4</v>
      </c>
    </row>
    <row r="2803" spans="1:23" x14ac:dyDescent="0.25">
      <c r="A2803" s="1" t="s">
        <v>19684</v>
      </c>
      <c r="B2803" s="1" t="s">
        <v>19685</v>
      </c>
      <c r="C2803" s="1" t="s">
        <v>7429</v>
      </c>
      <c r="D2803" s="1" t="s">
        <v>7429</v>
      </c>
      <c r="E2803" s="1" t="s">
        <v>7430</v>
      </c>
      <c r="F2803" s="1" t="s">
        <v>17956</v>
      </c>
      <c r="G2803">
        <v>211889</v>
      </c>
      <c r="H2803">
        <v>55</v>
      </c>
      <c r="I2803" s="1" t="s">
        <v>11063</v>
      </c>
      <c r="J2803" s="11">
        <v>44729.706458333334</v>
      </c>
      <c r="K2803" s="1" t="s">
        <v>7431</v>
      </c>
      <c r="L2803" s="1">
        <v>0.504</v>
      </c>
      <c r="M2803" s="1">
        <v>0.84699999999999998</v>
      </c>
      <c r="N2803">
        <v>7</v>
      </c>
      <c r="O2803" s="1">
        <v>-6.81</v>
      </c>
      <c r="P2803">
        <v>0</v>
      </c>
      <c r="Q2803" s="1">
        <v>0.442</v>
      </c>
      <c r="R2803" s="1">
        <v>0.434</v>
      </c>
      <c r="S2803" s="1">
        <v>0</v>
      </c>
      <c r="T2803" s="1">
        <v>0.81599999999999995</v>
      </c>
      <c r="U2803" s="1">
        <v>0.28000000000000003</v>
      </c>
      <c r="V2803" s="1">
        <v>127.854</v>
      </c>
      <c r="W2803">
        <v>4</v>
      </c>
    </row>
    <row r="2804" spans="1:23" x14ac:dyDescent="0.25">
      <c r="A2804" s="1" t="s">
        <v>19686</v>
      </c>
      <c r="B2804" s="1" t="s">
        <v>11756</v>
      </c>
      <c r="C2804" s="1" t="s">
        <v>7432</v>
      </c>
      <c r="D2804" s="1" t="s">
        <v>17254</v>
      </c>
      <c r="E2804" s="1" t="s">
        <v>452</v>
      </c>
      <c r="F2804" s="1" t="s">
        <v>11471</v>
      </c>
      <c r="G2804">
        <v>202503</v>
      </c>
      <c r="H2804">
        <v>54</v>
      </c>
      <c r="I2804" s="1" t="s">
        <v>11063</v>
      </c>
      <c r="J2804" s="11">
        <v>44729.706458333334</v>
      </c>
      <c r="K2804" s="1" t="s">
        <v>453</v>
      </c>
      <c r="L2804" s="1">
        <v>0.61099999999999999</v>
      </c>
      <c r="M2804" s="1">
        <v>0.78</v>
      </c>
      <c r="N2804">
        <v>5</v>
      </c>
      <c r="O2804" s="1">
        <v>-3.351</v>
      </c>
      <c r="P2804">
        <v>0</v>
      </c>
      <c r="Q2804" s="1">
        <v>0.36899999999999999</v>
      </c>
      <c r="R2804" s="1">
        <v>0.20499999999999999</v>
      </c>
      <c r="S2804" s="1">
        <v>0.29799999999999999</v>
      </c>
      <c r="T2804" s="1">
        <v>0.31900000000000001</v>
      </c>
      <c r="U2804" s="1">
        <v>0.58699999999999997</v>
      </c>
      <c r="V2804" s="1">
        <v>127.989</v>
      </c>
      <c r="W2804">
        <v>4</v>
      </c>
    </row>
    <row r="2805" spans="1:23" x14ac:dyDescent="0.25">
      <c r="A2805" s="1" t="s">
        <v>11755</v>
      </c>
      <c r="B2805" s="1" t="s">
        <v>11756</v>
      </c>
      <c r="C2805" s="1" t="s">
        <v>451</v>
      </c>
      <c r="D2805" s="1" t="s">
        <v>11757</v>
      </c>
      <c r="E2805" s="1" t="s">
        <v>452</v>
      </c>
      <c r="F2805" s="1" t="s">
        <v>11758</v>
      </c>
      <c r="G2805">
        <v>192866</v>
      </c>
      <c r="H2805">
        <v>56</v>
      </c>
      <c r="I2805" s="1" t="s">
        <v>11063</v>
      </c>
      <c r="J2805" s="11">
        <v>44729.706458333334</v>
      </c>
      <c r="K2805" s="1" t="s">
        <v>453</v>
      </c>
      <c r="L2805" s="1">
        <v>0.58199999999999996</v>
      </c>
      <c r="M2805" s="1">
        <v>0.89700000000000002</v>
      </c>
      <c r="N2805">
        <v>8</v>
      </c>
      <c r="O2805" s="1">
        <v>-6.298</v>
      </c>
      <c r="P2805">
        <v>1</v>
      </c>
      <c r="Q2805" s="1">
        <v>0.41499999999999998</v>
      </c>
      <c r="R2805" s="1">
        <v>0.223</v>
      </c>
      <c r="S2805" s="1">
        <v>0.19600000000000001</v>
      </c>
      <c r="T2805" s="1">
        <v>0.66400000000000003</v>
      </c>
      <c r="U2805" s="1">
        <v>0.77500000000000002</v>
      </c>
      <c r="V2805" s="1">
        <v>125.94799999999999</v>
      </c>
      <c r="W2805">
        <v>4</v>
      </c>
    </row>
    <row r="2806" spans="1:23" x14ac:dyDescent="0.25">
      <c r="A2806" s="1" t="s">
        <v>19687</v>
      </c>
      <c r="B2806" s="1" t="s">
        <v>19090</v>
      </c>
      <c r="C2806" s="1" t="s">
        <v>7433</v>
      </c>
      <c r="D2806" s="1" t="s">
        <v>19688</v>
      </c>
      <c r="E2806" s="1" t="s">
        <v>6874</v>
      </c>
      <c r="F2806" s="1" t="s">
        <v>19091</v>
      </c>
      <c r="G2806">
        <v>204609</v>
      </c>
      <c r="H2806">
        <v>38</v>
      </c>
      <c r="I2806" s="1" t="s">
        <v>11063</v>
      </c>
      <c r="J2806" s="11">
        <v>44729.706458333334</v>
      </c>
      <c r="K2806" s="1" t="s">
        <v>6875</v>
      </c>
      <c r="L2806" s="1">
        <v>0.61299999999999999</v>
      </c>
      <c r="M2806" s="1">
        <v>0.77500000000000002</v>
      </c>
      <c r="N2806">
        <v>6</v>
      </c>
      <c r="O2806" s="1">
        <v>-4.04</v>
      </c>
      <c r="P2806">
        <v>0</v>
      </c>
      <c r="Q2806" s="1">
        <v>0.40899999999999997</v>
      </c>
      <c r="R2806" s="1">
        <v>0.67800000000000005</v>
      </c>
      <c r="S2806" s="1">
        <v>0</v>
      </c>
      <c r="T2806" s="1">
        <v>0.67700000000000005</v>
      </c>
      <c r="U2806" s="1">
        <v>0.39100000000000001</v>
      </c>
      <c r="V2806" s="1">
        <v>127.90600000000001</v>
      </c>
      <c r="W2806">
        <v>4</v>
      </c>
    </row>
    <row r="2807" spans="1:23" x14ac:dyDescent="0.25">
      <c r="A2807" s="1" t="s">
        <v>19689</v>
      </c>
      <c r="B2807" s="1" t="s">
        <v>19090</v>
      </c>
      <c r="C2807" s="1" t="s">
        <v>7434</v>
      </c>
      <c r="D2807" s="1" t="s">
        <v>3282</v>
      </c>
      <c r="E2807" s="1" t="s">
        <v>6874</v>
      </c>
      <c r="F2807" s="1" t="s">
        <v>19690</v>
      </c>
      <c r="G2807">
        <v>225117</v>
      </c>
      <c r="H2807">
        <v>27</v>
      </c>
      <c r="I2807" s="1" t="s">
        <v>11063</v>
      </c>
      <c r="J2807" s="11">
        <v>44729.706458333334</v>
      </c>
      <c r="K2807" s="1" t="s">
        <v>6875</v>
      </c>
      <c r="L2807" s="1">
        <v>0.54700000000000004</v>
      </c>
      <c r="M2807" s="1">
        <v>0.746</v>
      </c>
      <c r="N2807">
        <v>6</v>
      </c>
      <c r="O2807" s="1">
        <v>-4.4569999999999999</v>
      </c>
      <c r="P2807">
        <v>0</v>
      </c>
      <c r="Q2807" s="1">
        <v>0.40600000000000003</v>
      </c>
      <c r="R2807" s="1">
        <v>0.111</v>
      </c>
      <c r="S2807" s="1">
        <v>0.249</v>
      </c>
      <c r="T2807" s="1">
        <v>0.58699999999999997</v>
      </c>
      <c r="U2807" s="1">
        <v>0.111</v>
      </c>
      <c r="V2807" s="1">
        <v>127.988</v>
      </c>
      <c r="W2807">
        <v>4</v>
      </c>
    </row>
    <row r="2808" spans="1:23" x14ac:dyDescent="0.25">
      <c r="A2808" s="1" t="s">
        <v>19691</v>
      </c>
      <c r="B2808" s="1" t="s">
        <v>19692</v>
      </c>
      <c r="C2808" s="1" t="s">
        <v>7435</v>
      </c>
      <c r="D2808" s="1" t="s">
        <v>19693</v>
      </c>
      <c r="E2808" s="1" t="s">
        <v>7436</v>
      </c>
      <c r="F2808" s="1" t="s">
        <v>11704</v>
      </c>
      <c r="G2808">
        <v>185678</v>
      </c>
      <c r="H2808">
        <v>23</v>
      </c>
      <c r="I2808" s="1" t="s">
        <v>11063</v>
      </c>
      <c r="J2808" s="11">
        <v>44729.706458333334</v>
      </c>
      <c r="K2808" s="1" t="s">
        <v>6875</v>
      </c>
      <c r="L2808" s="1">
        <v>0.629</v>
      </c>
      <c r="M2808" s="1">
        <v>0.95</v>
      </c>
      <c r="N2808">
        <v>5</v>
      </c>
      <c r="O2808" s="1">
        <v>-4.1989999999999998</v>
      </c>
      <c r="P2808">
        <v>0</v>
      </c>
      <c r="Q2808" s="1">
        <v>0.64600000000000002</v>
      </c>
      <c r="R2808" s="1">
        <v>0.75</v>
      </c>
      <c r="S2808" s="1">
        <v>0.52700000000000002</v>
      </c>
      <c r="T2808" s="1">
        <v>0.378</v>
      </c>
      <c r="U2808" s="1">
        <v>0.64300000000000002</v>
      </c>
      <c r="V2808" s="1">
        <v>128.05699999999999</v>
      </c>
      <c r="W2808">
        <v>4</v>
      </c>
    </row>
    <row r="2809" spans="1:23" x14ac:dyDescent="0.25">
      <c r="A2809" s="1" t="s">
        <v>19694</v>
      </c>
      <c r="B2809" s="1" t="s">
        <v>19695</v>
      </c>
      <c r="C2809" s="1" t="s">
        <v>7437</v>
      </c>
      <c r="D2809" s="1" t="s">
        <v>7437</v>
      </c>
      <c r="E2809" s="1" t="s">
        <v>7438</v>
      </c>
      <c r="F2809" s="1" t="s">
        <v>18225</v>
      </c>
      <c r="G2809">
        <v>236706</v>
      </c>
      <c r="H2809">
        <v>38</v>
      </c>
      <c r="I2809" s="1" t="s">
        <v>11063</v>
      </c>
      <c r="J2809" s="11">
        <v>44729.706458333334</v>
      </c>
      <c r="K2809" s="1" t="s">
        <v>7439</v>
      </c>
      <c r="L2809" s="1">
        <v>0.69899999999999995</v>
      </c>
      <c r="M2809" s="1">
        <v>0.83899999999999997</v>
      </c>
      <c r="N2809">
        <v>4</v>
      </c>
      <c r="O2809" s="1">
        <v>-5.3529999999999998</v>
      </c>
      <c r="P2809">
        <v>0</v>
      </c>
      <c r="Q2809" s="1">
        <v>0.48099999999999998</v>
      </c>
      <c r="R2809" s="1">
        <v>0.48299999999999998</v>
      </c>
      <c r="S2809" s="1">
        <v>0.65500000000000003</v>
      </c>
      <c r="T2809" s="1">
        <v>0.89700000000000002</v>
      </c>
      <c r="U2809" s="1">
        <v>0.26400000000000001</v>
      </c>
      <c r="V2809" s="1">
        <v>128.02600000000001</v>
      </c>
      <c r="W2809">
        <v>4</v>
      </c>
    </row>
    <row r="2810" spans="1:23" x14ac:dyDescent="0.25">
      <c r="A2810" s="1" t="s">
        <v>19696</v>
      </c>
      <c r="B2810" s="1" t="s">
        <v>18130</v>
      </c>
      <c r="C2810" s="1" t="s">
        <v>7440</v>
      </c>
      <c r="D2810" s="1" t="s">
        <v>7440</v>
      </c>
      <c r="E2810" s="1" t="s">
        <v>6020</v>
      </c>
      <c r="F2810" s="1" t="s">
        <v>15363</v>
      </c>
      <c r="G2810">
        <v>176618</v>
      </c>
      <c r="H2810">
        <v>44</v>
      </c>
      <c r="I2810" s="1" t="s">
        <v>11063</v>
      </c>
      <c r="J2810" s="11">
        <v>44729.706458333334</v>
      </c>
      <c r="K2810" s="1" t="s">
        <v>6021</v>
      </c>
      <c r="L2810" s="1">
        <v>0.88100000000000001</v>
      </c>
      <c r="M2810" s="1">
        <v>0.69699999999999995</v>
      </c>
      <c r="N2810">
        <v>0</v>
      </c>
      <c r="O2810" s="1">
        <v>-5.6130000000000004</v>
      </c>
      <c r="P2810">
        <v>1</v>
      </c>
      <c r="Q2810" s="1">
        <v>0.27</v>
      </c>
      <c r="R2810" s="1">
        <v>0.129</v>
      </c>
      <c r="S2810" s="1">
        <v>0.13900000000000001</v>
      </c>
      <c r="T2810" s="1">
        <v>0.83399999999999996</v>
      </c>
      <c r="U2810" s="1">
        <v>0.434</v>
      </c>
      <c r="V2810" s="1">
        <v>97.012</v>
      </c>
      <c r="W2810">
        <v>4</v>
      </c>
    </row>
    <row r="2811" spans="1:23" x14ac:dyDescent="0.25">
      <c r="A2811" s="1" t="s">
        <v>19697</v>
      </c>
      <c r="B2811" s="1" t="s">
        <v>19698</v>
      </c>
      <c r="C2811" s="1" t="s">
        <v>7441</v>
      </c>
      <c r="D2811" s="1" t="s">
        <v>7441</v>
      </c>
      <c r="E2811" s="1" t="s">
        <v>7442</v>
      </c>
      <c r="F2811" s="1" t="s">
        <v>14767</v>
      </c>
      <c r="G2811">
        <v>146997</v>
      </c>
      <c r="H2811">
        <v>54</v>
      </c>
      <c r="I2811" s="1" t="s">
        <v>11063</v>
      </c>
      <c r="J2811" s="11">
        <v>44729.706458333334</v>
      </c>
      <c r="K2811" s="1" t="s">
        <v>7443</v>
      </c>
      <c r="L2811" s="1">
        <v>0.69199999999999995</v>
      </c>
      <c r="M2811" s="1">
        <v>0.75800000000000001</v>
      </c>
      <c r="N2811">
        <v>5</v>
      </c>
      <c r="O2811" s="1">
        <v>-4.8259999999999996</v>
      </c>
      <c r="P2811">
        <v>1</v>
      </c>
      <c r="Q2811" s="1">
        <v>0.217</v>
      </c>
      <c r="R2811" s="1">
        <v>0.14000000000000001</v>
      </c>
      <c r="S2811" s="1">
        <v>0.314</v>
      </c>
      <c r="T2811" s="1">
        <v>0.92800000000000005</v>
      </c>
      <c r="U2811" s="1">
        <v>0.24099999999999999</v>
      </c>
      <c r="V2811" s="1">
        <v>84.42</v>
      </c>
      <c r="W2811">
        <v>4</v>
      </c>
    </row>
    <row r="2812" spans="1:23" x14ac:dyDescent="0.25">
      <c r="A2812" s="1" t="s">
        <v>19699</v>
      </c>
      <c r="B2812" s="1" t="s">
        <v>19700</v>
      </c>
      <c r="C2812" s="1" t="s">
        <v>7444</v>
      </c>
      <c r="D2812" s="1" t="s">
        <v>19701</v>
      </c>
      <c r="E2812" s="1" t="s">
        <v>7445</v>
      </c>
      <c r="F2812" s="1" t="s">
        <v>19702</v>
      </c>
      <c r="G2812">
        <v>270222</v>
      </c>
      <c r="H2812">
        <v>51</v>
      </c>
      <c r="I2812" s="1" t="s">
        <v>11063</v>
      </c>
      <c r="J2812" s="11">
        <v>44729.706458333334</v>
      </c>
      <c r="K2812" s="1" t="s">
        <v>7446</v>
      </c>
      <c r="L2812" s="1">
        <v>0.55600000000000005</v>
      </c>
      <c r="M2812" s="1">
        <v>0.76200000000000001</v>
      </c>
      <c r="N2812">
        <v>1</v>
      </c>
      <c r="O2812" s="1">
        <v>-1.9610000000000001</v>
      </c>
      <c r="P2812">
        <v>0</v>
      </c>
      <c r="Q2812" s="1">
        <v>0.29899999999999999</v>
      </c>
      <c r="R2812" s="1">
        <v>0.46300000000000002</v>
      </c>
      <c r="S2812" s="1">
        <v>0</v>
      </c>
      <c r="T2812" s="1">
        <v>0.95699999999999996</v>
      </c>
      <c r="U2812" s="1">
        <v>0.22500000000000001</v>
      </c>
      <c r="V2812" s="1">
        <v>135.01300000000001</v>
      </c>
      <c r="W2812">
        <v>4</v>
      </c>
    </row>
    <row r="2813" spans="1:23" x14ac:dyDescent="0.25">
      <c r="A2813" s="1" t="s">
        <v>19703</v>
      </c>
      <c r="B2813" s="1" t="s">
        <v>19704</v>
      </c>
      <c r="C2813" s="1" t="s">
        <v>7447</v>
      </c>
      <c r="D2813" s="1" t="s">
        <v>19705</v>
      </c>
      <c r="E2813" s="1" t="s">
        <v>7448</v>
      </c>
      <c r="F2813" s="1" t="s">
        <v>19706</v>
      </c>
      <c r="G2813">
        <v>233248</v>
      </c>
      <c r="H2813">
        <v>49</v>
      </c>
      <c r="I2813" s="1" t="s">
        <v>11063</v>
      </c>
      <c r="J2813" s="11">
        <v>44729.706458333334</v>
      </c>
      <c r="K2813" s="1" t="s">
        <v>7449</v>
      </c>
      <c r="L2813" s="1">
        <v>0.50900000000000001</v>
      </c>
      <c r="M2813" s="1">
        <v>0.63100000000000001</v>
      </c>
      <c r="N2813">
        <v>7</v>
      </c>
      <c r="O2813" s="1">
        <v>-6.3120000000000003</v>
      </c>
      <c r="P2813">
        <v>0</v>
      </c>
      <c r="Q2813" s="1">
        <v>0.56599999999999995</v>
      </c>
      <c r="R2813" s="1">
        <v>0.97599999999999998</v>
      </c>
      <c r="S2813" s="1">
        <v>0</v>
      </c>
      <c r="T2813" s="1">
        <v>0.57999999999999996</v>
      </c>
      <c r="U2813" s="1">
        <v>0.157</v>
      </c>
      <c r="V2813" s="1">
        <v>154.35900000000001</v>
      </c>
      <c r="W2813">
        <v>4</v>
      </c>
    </row>
    <row r="2814" spans="1:23" x14ac:dyDescent="0.25">
      <c r="A2814" s="1" t="s">
        <v>19707</v>
      </c>
      <c r="B2814" s="1" t="s">
        <v>19708</v>
      </c>
      <c r="C2814" s="1" t="s">
        <v>7450</v>
      </c>
      <c r="D2814" s="1" t="s">
        <v>7450</v>
      </c>
      <c r="E2814" s="1" t="s">
        <v>7451</v>
      </c>
      <c r="F2814" s="1" t="s">
        <v>19709</v>
      </c>
      <c r="G2814">
        <v>160596</v>
      </c>
      <c r="H2814">
        <v>49</v>
      </c>
      <c r="I2814" s="1" t="s">
        <v>11063</v>
      </c>
      <c r="J2814" s="11">
        <v>44729.706458333334</v>
      </c>
      <c r="K2814" s="1" t="s">
        <v>7443</v>
      </c>
      <c r="L2814" s="1">
        <v>0.87</v>
      </c>
      <c r="M2814" s="1">
        <v>0.502</v>
      </c>
      <c r="N2814">
        <v>5</v>
      </c>
      <c r="O2814" s="1">
        <v>-7.4969999999999999</v>
      </c>
      <c r="P2814">
        <v>0</v>
      </c>
      <c r="Q2814" s="1">
        <v>0.54900000000000004</v>
      </c>
      <c r="R2814" s="1">
        <v>0.54900000000000004</v>
      </c>
      <c r="S2814" s="1">
        <v>0.35599999999999998</v>
      </c>
      <c r="T2814" s="1">
        <v>0.91600000000000004</v>
      </c>
      <c r="U2814" s="1">
        <v>0.67300000000000004</v>
      </c>
      <c r="V2814" s="1">
        <v>82.53</v>
      </c>
      <c r="W2814">
        <v>4</v>
      </c>
    </row>
    <row r="2815" spans="1:23" x14ac:dyDescent="0.25">
      <c r="A2815" s="1" t="s">
        <v>19710</v>
      </c>
      <c r="B2815" s="1" t="s">
        <v>19711</v>
      </c>
      <c r="C2815" s="1" t="s">
        <v>7452</v>
      </c>
      <c r="D2815" s="1" t="s">
        <v>19712</v>
      </c>
      <c r="E2815" s="1" t="s">
        <v>7453</v>
      </c>
      <c r="F2815" s="1" t="s">
        <v>13677</v>
      </c>
      <c r="G2815">
        <v>217793</v>
      </c>
      <c r="H2815">
        <v>53</v>
      </c>
      <c r="I2815" s="1" t="s">
        <v>11063</v>
      </c>
      <c r="J2815" s="11">
        <v>44729.706458333334</v>
      </c>
      <c r="K2815" s="1" t="s">
        <v>7454</v>
      </c>
      <c r="L2815" s="1">
        <v>0.63200000000000001</v>
      </c>
      <c r="M2815" s="1">
        <v>0.80500000000000005</v>
      </c>
      <c r="N2815">
        <v>0</v>
      </c>
      <c r="O2815" s="1">
        <v>-5.1879999999999997</v>
      </c>
      <c r="P2815">
        <v>1</v>
      </c>
      <c r="Q2815" s="1">
        <v>0.45</v>
      </c>
      <c r="R2815" s="1">
        <v>0.64600000000000002</v>
      </c>
      <c r="S2815" s="1">
        <v>0.58299999999999996</v>
      </c>
      <c r="T2815" s="1">
        <v>0.161</v>
      </c>
      <c r="U2815" s="1">
        <v>0.42899999999999999</v>
      </c>
      <c r="V2815" s="1">
        <v>93.009</v>
      </c>
      <c r="W2815">
        <v>4</v>
      </c>
    </row>
    <row r="2816" spans="1:23" x14ac:dyDescent="0.25">
      <c r="A2816" s="1" t="s">
        <v>19713</v>
      </c>
      <c r="B2816" s="1" t="s">
        <v>19698</v>
      </c>
      <c r="C2816" s="1" t="s">
        <v>7455</v>
      </c>
      <c r="D2816" s="1" t="s">
        <v>7455</v>
      </c>
      <c r="E2816" s="1" t="s">
        <v>7442</v>
      </c>
      <c r="F2816" s="1" t="s">
        <v>14068</v>
      </c>
      <c r="G2816">
        <v>169324</v>
      </c>
      <c r="H2816">
        <v>44</v>
      </c>
      <c r="I2816" s="1" t="s">
        <v>11063</v>
      </c>
      <c r="J2816" s="11">
        <v>44729.706458333334</v>
      </c>
      <c r="K2816" s="1" t="s">
        <v>7443</v>
      </c>
      <c r="L2816" s="1">
        <v>0.89300000000000002</v>
      </c>
      <c r="M2816" s="1">
        <v>0.45600000000000002</v>
      </c>
      <c r="N2816">
        <v>9</v>
      </c>
      <c r="O2816" s="1">
        <v>-5.82</v>
      </c>
      <c r="P2816">
        <v>1</v>
      </c>
      <c r="Q2816" s="1">
        <v>0.16700000000000001</v>
      </c>
      <c r="R2816" s="1">
        <v>0.216</v>
      </c>
      <c r="S2816" s="1">
        <v>0</v>
      </c>
      <c r="T2816" s="1">
        <v>0.32600000000000001</v>
      </c>
      <c r="U2816" s="1">
        <v>0.68100000000000005</v>
      </c>
      <c r="V2816" s="1">
        <v>108.03700000000001</v>
      </c>
      <c r="W2816">
        <v>4</v>
      </c>
    </row>
    <row r="2817" spans="1:23" x14ac:dyDescent="0.25">
      <c r="A2817" s="1" t="s">
        <v>19714</v>
      </c>
      <c r="B2817" s="1" t="s">
        <v>19698</v>
      </c>
      <c r="C2817" s="1" t="s">
        <v>7456</v>
      </c>
      <c r="D2817" s="1" t="s">
        <v>7456</v>
      </c>
      <c r="E2817" s="1" t="s">
        <v>7442</v>
      </c>
      <c r="F2817" s="1" t="s">
        <v>19715</v>
      </c>
      <c r="G2817">
        <v>225882</v>
      </c>
      <c r="H2817">
        <v>56</v>
      </c>
      <c r="I2817" s="1" t="s">
        <v>11063</v>
      </c>
      <c r="J2817" s="11">
        <v>44729.706458333334</v>
      </c>
      <c r="K2817" s="1" t="s">
        <v>7443</v>
      </c>
      <c r="L2817" s="1">
        <v>0.6</v>
      </c>
      <c r="M2817" s="1">
        <v>0.41199999999999998</v>
      </c>
      <c r="N2817">
        <v>8</v>
      </c>
      <c r="O2817" s="1">
        <v>-9.343</v>
      </c>
      <c r="P2817">
        <v>1</v>
      </c>
      <c r="Q2817" s="1">
        <v>0.34399999999999997</v>
      </c>
      <c r="R2817" s="1">
        <v>0.61499999999999999</v>
      </c>
      <c r="S2817" s="1">
        <v>0.25</v>
      </c>
      <c r="T2817" s="1">
        <v>0.13400000000000001</v>
      </c>
      <c r="U2817" s="1">
        <v>0.40799999999999997</v>
      </c>
      <c r="V2817" s="1">
        <v>113.04900000000001</v>
      </c>
      <c r="W2817">
        <v>5</v>
      </c>
    </row>
    <row r="2818" spans="1:23" x14ac:dyDescent="0.25">
      <c r="A2818" s="1" t="s">
        <v>19716</v>
      </c>
      <c r="B2818" s="1" t="s">
        <v>19717</v>
      </c>
      <c r="C2818" s="1" t="s">
        <v>7457</v>
      </c>
      <c r="D2818" s="1" t="s">
        <v>7457</v>
      </c>
      <c r="E2818" s="1" t="s">
        <v>7458</v>
      </c>
      <c r="F2818" s="1" t="s">
        <v>19528</v>
      </c>
      <c r="G2818">
        <v>192320</v>
      </c>
      <c r="H2818">
        <v>42</v>
      </c>
      <c r="I2818" s="1" t="s">
        <v>11063</v>
      </c>
      <c r="J2818" s="11">
        <v>44729.706458333334</v>
      </c>
      <c r="K2818" s="1" t="s">
        <v>3765</v>
      </c>
      <c r="L2818" s="1">
        <v>0.69699999999999995</v>
      </c>
      <c r="M2818" s="1">
        <v>0.76700000000000002</v>
      </c>
      <c r="N2818">
        <v>4</v>
      </c>
      <c r="O2818" s="1">
        <v>-5.2290000000000001</v>
      </c>
      <c r="P2818">
        <v>1</v>
      </c>
      <c r="Q2818" s="1">
        <v>0.94899999999999995</v>
      </c>
      <c r="R2818" s="1">
        <v>0.36799999999999999</v>
      </c>
      <c r="S2818" s="1">
        <v>0</v>
      </c>
      <c r="T2818" s="1">
        <v>0.11899999999999999</v>
      </c>
      <c r="U2818" s="1">
        <v>0.67900000000000005</v>
      </c>
      <c r="V2818" s="1">
        <v>102.03400000000001</v>
      </c>
      <c r="W2818">
        <v>4</v>
      </c>
    </row>
    <row r="2819" spans="1:23" x14ac:dyDescent="0.25">
      <c r="A2819" s="1" t="s">
        <v>19718</v>
      </c>
      <c r="B2819" s="1" t="s">
        <v>19719</v>
      </c>
      <c r="C2819" s="1" t="s">
        <v>7459</v>
      </c>
      <c r="D2819" s="1" t="s">
        <v>19720</v>
      </c>
      <c r="E2819" s="1" t="s">
        <v>7460</v>
      </c>
      <c r="F2819" s="1" t="s">
        <v>15191</v>
      </c>
      <c r="G2819">
        <v>212626</v>
      </c>
      <c r="H2819">
        <v>46</v>
      </c>
      <c r="I2819" s="1" t="s">
        <v>11063</v>
      </c>
      <c r="J2819" s="11">
        <v>44729.706458333334</v>
      </c>
      <c r="K2819" s="1" t="s">
        <v>7461</v>
      </c>
      <c r="L2819" s="1">
        <v>0.76300000000000001</v>
      </c>
      <c r="M2819" s="1">
        <v>0.83899999999999997</v>
      </c>
      <c r="N2819">
        <v>0</v>
      </c>
      <c r="O2819" s="1">
        <v>-3.4369999999999998</v>
      </c>
      <c r="P2819">
        <v>1</v>
      </c>
      <c r="Q2819" s="1">
        <v>0.11700000000000001</v>
      </c>
      <c r="R2819" s="1">
        <v>0.42899999999999999</v>
      </c>
      <c r="S2819" s="1">
        <v>0</v>
      </c>
      <c r="T2819" s="1">
        <v>0.109</v>
      </c>
      <c r="U2819" s="1">
        <v>0.65500000000000003</v>
      </c>
      <c r="V2819" s="1">
        <v>104.977</v>
      </c>
      <c r="W2819">
        <v>4</v>
      </c>
    </row>
    <row r="2820" spans="1:23" x14ac:dyDescent="0.25">
      <c r="A2820" s="1" t="s">
        <v>19721</v>
      </c>
      <c r="B2820" s="1" t="s">
        <v>19722</v>
      </c>
      <c r="C2820" s="1" t="s">
        <v>7462</v>
      </c>
      <c r="D2820" s="1" t="s">
        <v>19723</v>
      </c>
      <c r="E2820" s="1" t="s">
        <v>7463</v>
      </c>
      <c r="F2820" s="1" t="s">
        <v>14207</v>
      </c>
      <c r="G2820">
        <v>201520</v>
      </c>
      <c r="H2820">
        <v>52</v>
      </c>
      <c r="I2820" s="1" t="s">
        <v>11063</v>
      </c>
      <c r="J2820" s="11">
        <v>44729.706458333334</v>
      </c>
      <c r="K2820" s="1" t="s">
        <v>235</v>
      </c>
      <c r="L2820" s="1">
        <v>0.498</v>
      </c>
      <c r="M2820" s="1">
        <v>0.60799999999999998</v>
      </c>
      <c r="N2820">
        <v>7</v>
      </c>
      <c r="O2820" s="1">
        <v>-5.4349999999999996</v>
      </c>
      <c r="P2820">
        <v>0</v>
      </c>
      <c r="Q2820" s="1">
        <v>0.73299999999999998</v>
      </c>
      <c r="R2820" s="1">
        <v>0.221</v>
      </c>
      <c r="S2820" s="1">
        <v>0</v>
      </c>
      <c r="T2820" s="1">
        <v>0.121</v>
      </c>
      <c r="U2820" s="1">
        <v>0.123</v>
      </c>
      <c r="V2820" s="1">
        <v>169.93600000000001</v>
      </c>
      <c r="W2820">
        <v>4</v>
      </c>
    </row>
    <row r="2821" spans="1:23" x14ac:dyDescent="0.25">
      <c r="A2821" s="1" t="s">
        <v>19724</v>
      </c>
      <c r="B2821" s="1" t="s">
        <v>19725</v>
      </c>
      <c r="C2821" s="1" t="s">
        <v>7464</v>
      </c>
      <c r="D2821" s="1" t="s">
        <v>7464</v>
      </c>
      <c r="E2821" s="1" t="s">
        <v>7465</v>
      </c>
      <c r="F2821" s="1" t="s">
        <v>15082</v>
      </c>
      <c r="G2821">
        <v>181880</v>
      </c>
      <c r="H2821">
        <v>75</v>
      </c>
      <c r="I2821" s="1" t="s">
        <v>11063</v>
      </c>
      <c r="J2821" s="11">
        <v>44729.706458333334</v>
      </c>
      <c r="K2821" s="1" t="s">
        <v>7466</v>
      </c>
      <c r="L2821" s="1">
        <v>0.72799999999999998</v>
      </c>
      <c r="M2821" s="1">
        <v>0.61599999999999999</v>
      </c>
      <c r="N2821">
        <v>4</v>
      </c>
      <c r="O2821" s="1">
        <v>-4.2380000000000004</v>
      </c>
      <c r="P2821">
        <v>1</v>
      </c>
      <c r="Q2821" s="1">
        <v>0.64500000000000002</v>
      </c>
      <c r="R2821" s="1">
        <v>0.378</v>
      </c>
      <c r="S2821" s="1">
        <v>0</v>
      </c>
      <c r="T2821" s="1">
        <v>0.105</v>
      </c>
      <c r="U2821" s="1">
        <v>0.50800000000000001</v>
      </c>
      <c r="V2821" s="1">
        <v>99.962000000000003</v>
      </c>
      <c r="W2821">
        <v>4</v>
      </c>
    </row>
    <row r="2822" spans="1:23" x14ac:dyDescent="0.25">
      <c r="A2822" s="1" t="s">
        <v>19726</v>
      </c>
      <c r="B2822" s="1" t="s">
        <v>19727</v>
      </c>
      <c r="C2822" s="1" t="s">
        <v>7467</v>
      </c>
      <c r="D2822" s="1" t="s">
        <v>7467</v>
      </c>
      <c r="E2822" s="1" t="s">
        <v>7468</v>
      </c>
      <c r="F2822" s="1" t="s">
        <v>11677</v>
      </c>
      <c r="G2822">
        <v>175362</v>
      </c>
      <c r="H2822">
        <v>38</v>
      </c>
      <c r="I2822" s="1" t="s">
        <v>11063</v>
      </c>
      <c r="J2822" s="11">
        <v>44729.706458333334</v>
      </c>
      <c r="K2822" s="1" t="s">
        <v>3233</v>
      </c>
      <c r="L2822" s="1">
        <v>0.51500000000000001</v>
      </c>
      <c r="M2822" s="1">
        <v>0.63800000000000001</v>
      </c>
      <c r="N2822">
        <v>1</v>
      </c>
      <c r="O2822" s="1">
        <v>-7.5579999999999998</v>
      </c>
      <c r="P2822">
        <v>1</v>
      </c>
      <c r="Q2822" s="1">
        <v>0.35599999999999998</v>
      </c>
      <c r="R2822" s="1">
        <v>0.191</v>
      </c>
      <c r="S2822" s="1">
        <v>0.11799999999999999</v>
      </c>
      <c r="T2822" s="1">
        <v>0.14000000000000001</v>
      </c>
      <c r="U2822" s="1">
        <v>0.38</v>
      </c>
      <c r="V2822" s="1">
        <v>160.18199999999999</v>
      </c>
      <c r="W2822">
        <v>4</v>
      </c>
    </row>
    <row r="2823" spans="1:23" x14ac:dyDescent="0.25">
      <c r="A2823" s="1" t="s">
        <v>19728</v>
      </c>
      <c r="B2823" s="1" t="s">
        <v>19729</v>
      </c>
      <c r="C2823" s="1" t="s">
        <v>7469</v>
      </c>
      <c r="D2823" s="1" t="s">
        <v>19730</v>
      </c>
      <c r="E2823" s="1" t="s">
        <v>7470</v>
      </c>
      <c r="F2823" s="1" t="s">
        <v>19731</v>
      </c>
      <c r="G2823">
        <v>209533</v>
      </c>
      <c r="H2823">
        <v>47</v>
      </c>
      <c r="I2823" s="1" t="s">
        <v>11063</v>
      </c>
      <c r="J2823" s="11">
        <v>44729.706458333334</v>
      </c>
      <c r="K2823" s="1" t="s">
        <v>7471</v>
      </c>
      <c r="L2823" s="1">
        <v>0.56200000000000006</v>
      </c>
      <c r="M2823" s="1">
        <v>0.60599999999999998</v>
      </c>
      <c r="N2823">
        <v>0</v>
      </c>
      <c r="O2823" s="1">
        <v>-6.3339999999999996</v>
      </c>
      <c r="P2823">
        <v>1</v>
      </c>
      <c r="Q2823" s="1">
        <v>0.999</v>
      </c>
      <c r="R2823" s="1">
        <v>0.26200000000000001</v>
      </c>
      <c r="S2823" s="1">
        <v>0.125</v>
      </c>
      <c r="T2823" s="1">
        <v>0.16600000000000001</v>
      </c>
      <c r="U2823" s="1">
        <v>0.29199999999999998</v>
      </c>
      <c r="V2823" s="1">
        <v>97.022999999999996</v>
      </c>
      <c r="W2823">
        <v>4</v>
      </c>
    </row>
    <row r="2824" spans="1:23" x14ac:dyDescent="0.25">
      <c r="A2824" s="1" t="s">
        <v>19732</v>
      </c>
      <c r="B2824" s="1" t="s">
        <v>14955</v>
      </c>
      <c r="C2824" s="1" t="s">
        <v>7472</v>
      </c>
      <c r="D2824" s="1" t="s">
        <v>7472</v>
      </c>
      <c r="E2824" s="1" t="s">
        <v>3232</v>
      </c>
      <c r="F2824" s="1" t="s">
        <v>19733</v>
      </c>
      <c r="G2824">
        <v>241173</v>
      </c>
      <c r="H2824">
        <v>0</v>
      </c>
      <c r="I2824" s="1" t="s">
        <v>11063</v>
      </c>
      <c r="J2824" s="11">
        <v>44729.706458333334</v>
      </c>
      <c r="K2824" s="1" t="s">
        <v>3233</v>
      </c>
      <c r="L2824" s="1">
        <v>0.61099999999999999</v>
      </c>
      <c r="M2824" s="1">
        <v>0.55600000000000005</v>
      </c>
      <c r="N2824">
        <v>1</v>
      </c>
      <c r="O2824" s="1">
        <v>-7.31</v>
      </c>
      <c r="P2824">
        <v>1</v>
      </c>
      <c r="Q2824" s="1">
        <v>0.56000000000000005</v>
      </c>
      <c r="R2824" s="1">
        <v>0.39900000000000002</v>
      </c>
      <c r="S2824" s="1">
        <v>0.22800000000000001</v>
      </c>
      <c r="T2824" s="1">
        <v>0.122</v>
      </c>
      <c r="U2824" s="1">
        <v>0.23</v>
      </c>
      <c r="V2824" s="1">
        <v>125.979</v>
      </c>
      <c r="W2824">
        <v>4</v>
      </c>
    </row>
    <row r="2825" spans="1:23" x14ac:dyDescent="0.25">
      <c r="A2825" s="1" t="s">
        <v>19734</v>
      </c>
      <c r="B2825" s="1" t="s">
        <v>19735</v>
      </c>
      <c r="C2825" s="1" t="s">
        <v>7473</v>
      </c>
      <c r="D2825" s="1" t="s">
        <v>19736</v>
      </c>
      <c r="E2825" s="1" t="s">
        <v>7474</v>
      </c>
      <c r="F2825" s="1" t="s">
        <v>19737</v>
      </c>
      <c r="G2825">
        <v>189844</v>
      </c>
      <c r="H2825">
        <v>0</v>
      </c>
      <c r="I2825" s="1" t="s">
        <v>11063</v>
      </c>
      <c r="J2825" s="11">
        <v>44729.706458333334</v>
      </c>
      <c r="K2825" s="1" t="s">
        <v>7475</v>
      </c>
      <c r="L2825" s="1">
        <v>0.7</v>
      </c>
      <c r="M2825" s="1">
        <v>0.66800000000000004</v>
      </c>
      <c r="N2825">
        <v>3</v>
      </c>
      <c r="O2825" s="1">
        <v>-6.4909999999999997</v>
      </c>
      <c r="P2825">
        <v>0</v>
      </c>
      <c r="Q2825" s="1">
        <v>0.35599999999999998</v>
      </c>
      <c r="R2825" s="1">
        <v>0.22600000000000001</v>
      </c>
      <c r="S2825" s="1">
        <v>0.313</v>
      </c>
      <c r="T2825" s="1">
        <v>0.16700000000000001</v>
      </c>
      <c r="U2825" s="1">
        <v>0.315</v>
      </c>
      <c r="V2825" s="1">
        <v>129.97200000000001</v>
      </c>
      <c r="W2825">
        <v>4</v>
      </c>
    </row>
    <row r="2826" spans="1:23" x14ac:dyDescent="0.25">
      <c r="A2826" s="1" t="s">
        <v>19738</v>
      </c>
      <c r="B2826" s="1" t="s">
        <v>19739</v>
      </c>
      <c r="C2826" s="1" t="s">
        <v>7476</v>
      </c>
      <c r="D2826" s="1" t="s">
        <v>19740</v>
      </c>
      <c r="E2826" s="1" t="s">
        <v>7477</v>
      </c>
      <c r="F2826" s="1" t="s">
        <v>15646</v>
      </c>
      <c r="G2826">
        <v>191036</v>
      </c>
      <c r="H2826">
        <v>0</v>
      </c>
      <c r="I2826" s="1" t="s">
        <v>11063</v>
      </c>
      <c r="J2826" s="11">
        <v>44729.706458333334</v>
      </c>
      <c r="K2826" s="1" t="s">
        <v>3040</v>
      </c>
      <c r="L2826" s="1">
        <v>0.65200000000000002</v>
      </c>
      <c r="M2826" s="1">
        <v>0.71499999999999997</v>
      </c>
      <c r="N2826">
        <v>0</v>
      </c>
      <c r="O2826" s="1">
        <v>-5.9189999999999996</v>
      </c>
      <c r="P2826">
        <v>1</v>
      </c>
      <c r="Q2826" s="1">
        <v>0.38800000000000001</v>
      </c>
      <c r="R2826" s="1">
        <v>0.29099999999999998</v>
      </c>
      <c r="S2826" s="1">
        <v>0</v>
      </c>
      <c r="T2826" s="1">
        <v>0.156</v>
      </c>
      <c r="U2826" s="1">
        <v>0.61799999999999999</v>
      </c>
      <c r="V2826" s="1">
        <v>97.980999999999995</v>
      </c>
      <c r="W2826">
        <v>4</v>
      </c>
    </row>
    <row r="2827" spans="1:23" x14ac:dyDescent="0.25">
      <c r="A2827" s="1" t="s">
        <v>19741</v>
      </c>
      <c r="B2827" s="1" t="s">
        <v>19742</v>
      </c>
      <c r="C2827" s="1" t="s">
        <v>7478</v>
      </c>
      <c r="D2827" s="1" t="s">
        <v>7478</v>
      </c>
      <c r="E2827" s="1" t="s">
        <v>7479</v>
      </c>
      <c r="F2827" s="1" t="s">
        <v>15638</v>
      </c>
      <c r="G2827">
        <v>179999</v>
      </c>
      <c r="H2827">
        <v>0</v>
      </c>
      <c r="I2827" s="1" t="s">
        <v>11063</v>
      </c>
      <c r="J2827" s="11">
        <v>44729.706458333334</v>
      </c>
      <c r="K2827" s="1" t="s">
        <v>7480</v>
      </c>
      <c r="L2827" s="1">
        <v>0.71699999999999997</v>
      </c>
      <c r="M2827" s="1">
        <v>0.84699999999999998</v>
      </c>
      <c r="N2827">
        <v>1</v>
      </c>
      <c r="O2827" s="1">
        <v>-6.1589999999999998</v>
      </c>
      <c r="P2827">
        <v>1</v>
      </c>
      <c r="Q2827" s="1">
        <v>0.35299999999999998</v>
      </c>
      <c r="R2827" s="1">
        <v>0.27100000000000002</v>
      </c>
      <c r="S2827" s="1">
        <v>0.104</v>
      </c>
      <c r="T2827" s="1">
        <v>0.11</v>
      </c>
      <c r="U2827" s="1">
        <v>0.41399999999999998</v>
      </c>
      <c r="V2827" s="1">
        <v>114.996</v>
      </c>
      <c r="W2827">
        <v>4</v>
      </c>
    </row>
    <row r="2828" spans="1:23" x14ac:dyDescent="0.25">
      <c r="A2828" s="1" t="s">
        <v>19743</v>
      </c>
      <c r="B2828" s="1" t="s">
        <v>19025</v>
      </c>
      <c r="C2828" s="1" t="s">
        <v>7481</v>
      </c>
      <c r="D2828" s="1" t="s">
        <v>19744</v>
      </c>
      <c r="E2828" s="1" t="s">
        <v>6817</v>
      </c>
      <c r="F2828" s="1" t="s">
        <v>19745</v>
      </c>
      <c r="G2828">
        <v>169500</v>
      </c>
      <c r="H2828">
        <v>62</v>
      </c>
      <c r="I2828" s="1" t="s">
        <v>11063</v>
      </c>
      <c r="J2828" s="11">
        <v>44729.706458333334</v>
      </c>
      <c r="K2828" s="1" t="s">
        <v>3040</v>
      </c>
      <c r="L2828" s="1">
        <v>0.76900000000000002</v>
      </c>
      <c r="M2828" s="1">
        <v>0.32300000000000001</v>
      </c>
      <c r="N2828">
        <v>3</v>
      </c>
      <c r="O2828" s="1">
        <v>-12.887</v>
      </c>
      <c r="P2828">
        <v>0</v>
      </c>
      <c r="Q2828" s="1">
        <v>0.52400000000000002</v>
      </c>
      <c r="R2828" s="1">
        <v>0.67800000000000005</v>
      </c>
      <c r="S2828" s="1">
        <v>0</v>
      </c>
      <c r="T2828" s="1">
        <v>0.11600000000000001</v>
      </c>
      <c r="U2828" s="1">
        <v>0.57399999999999995</v>
      </c>
      <c r="V2828" s="1">
        <v>94.977000000000004</v>
      </c>
      <c r="W2828">
        <v>4</v>
      </c>
    </row>
    <row r="2829" spans="1:23" x14ac:dyDescent="0.25">
      <c r="A2829" s="1" t="s">
        <v>19746</v>
      </c>
      <c r="B2829" s="1" t="s">
        <v>19025</v>
      </c>
      <c r="C2829" s="1" t="s">
        <v>7482</v>
      </c>
      <c r="D2829" s="1" t="s">
        <v>19026</v>
      </c>
      <c r="E2829" s="1" t="s">
        <v>6817</v>
      </c>
      <c r="F2829" s="1" t="s">
        <v>14717</v>
      </c>
      <c r="G2829">
        <v>170666</v>
      </c>
      <c r="H2829">
        <v>0</v>
      </c>
      <c r="I2829" s="1" t="s">
        <v>11063</v>
      </c>
      <c r="J2829" s="11">
        <v>44729.706458333334</v>
      </c>
      <c r="K2829" s="1" t="s">
        <v>3040</v>
      </c>
      <c r="L2829" s="1">
        <v>0.58399999999999996</v>
      </c>
      <c r="M2829" s="1">
        <v>0.42</v>
      </c>
      <c r="N2829">
        <v>8</v>
      </c>
      <c r="O2829" s="1">
        <v>-7.827</v>
      </c>
      <c r="P2829">
        <v>1</v>
      </c>
      <c r="Q2829" s="1">
        <v>0.32200000000000001</v>
      </c>
      <c r="R2829" s="1">
        <v>0.23599999999999999</v>
      </c>
      <c r="S2829" s="1">
        <v>0</v>
      </c>
      <c r="T2829" s="1">
        <v>0.11899999999999999</v>
      </c>
      <c r="U2829" s="1">
        <v>0.28299999999999997</v>
      </c>
      <c r="V2829" s="1">
        <v>90.051000000000002</v>
      </c>
      <c r="W2829">
        <v>4</v>
      </c>
    </row>
    <row r="2830" spans="1:23" x14ac:dyDescent="0.25">
      <c r="A2830" s="1" t="s">
        <v>19747</v>
      </c>
      <c r="B2830" s="1" t="s">
        <v>19025</v>
      </c>
      <c r="C2830" s="1" t="s">
        <v>7483</v>
      </c>
      <c r="D2830" s="1" t="s">
        <v>19748</v>
      </c>
      <c r="E2830" s="1" t="s">
        <v>6817</v>
      </c>
      <c r="F2830" s="1" t="s">
        <v>11527</v>
      </c>
      <c r="G2830">
        <v>211127</v>
      </c>
      <c r="H2830">
        <v>1</v>
      </c>
      <c r="I2830" s="1" t="s">
        <v>11063</v>
      </c>
      <c r="J2830" s="11">
        <v>44729.706458333334</v>
      </c>
      <c r="K2830" s="1" t="s">
        <v>3040</v>
      </c>
      <c r="L2830" s="1">
        <v>0.71799999999999997</v>
      </c>
      <c r="M2830" s="1">
        <v>0.80500000000000005</v>
      </c>
      <c r="N2830">
        <v>7</v>
      </c>
      <c r="O2830" s="1">
        <v>-5.2569999999999997</v>
      </c>
      <c r="P2830">
        <v>1</v>
      </c>
      <c r="Q2830" s="1">
        <v>0.32500000000000001</v>
      </c>
      <c r="R2830" s="1">
        <v>0.27900000000000003</v>
      </c>
      <c r="S2830" s="1">
        <v>0</v>
      </c>
      <c r="T2830" s="1">
        <v>0.52700000000000002</v>
      </c>
      <c r="U2830" s="1">
        <v>0.36</v>
      </c>
      <c r="V2830" s="1">
        <v>132.995</v>
      </c>
      <c r="W2830">
        <v>4</v>
      </c>
    </row>
    <row r="2831" spans="1:23" x14ac:dyDescent="0.25">
      <c r="A2831" s="1" t="s">
        <v>19749</v>
      </c>
      <c r="B2831" s="1" t="s">
        <v>19025</v>
      </c>
      <c r="C2831" s="1" t="s">
        <v>7484</v>
      </c>
      <c r="D2831" s="1" t="s">
        <v>19748</v>
      </c>
      <c r="E2831" s="1" t="s">
        <v>6817</v>
      </c>
      <c r="F2831" s="1" t="s">
        <v>11527</v>
      </c>
      <c r="G2831">
        <v>212926</v>
      </c>
      <c r="H2831">
        <v>0</v>
      </c>
      <c r="I2831" s="1" t="s">
        <v>11063</v>
      </c>
      <c r="J2831" s="11">
        <v>44729.706458333334</v>
      </c>
      <c r="K2831" s="1" t="s">
        <v>3040</v>
      </c>
      <c r="L2831" s="1">
        <v>0.66700000000000004</v>
      </c>
      <c r="M2831" s="1">
        <v>0.63500000000000001</v>
      </c>
      <c r="N2831">
        <v>11</v>
      </c>
      <c r="O2831" s="1">
        <v>-5.7610000000000001</v>
      </c>
      <c r="P2831">
        <v>0</v>
      </c>
      <c r="Q2831" s="1">
        <v>0.51800000000000002</v>
      </c>
      <c r="R2831" s="1">
        <v>0.503</v>
      </c>
      <c r="S2831" s="1">
        <v>0</v>
      </c>
      <c r="T2831" s="1">
        <v>0.36699999999999999</v>
      </c>
      <c r="U2831" s="1">
        <v>0.47799999999999998</v>
      </c>
      <c r="V2831" s="1">
        <v>98.010999999999996</v>
      </c>
      <c r="W2831">
        <v>4</v>
      </c>
    </row>
    <row r="2832" spans="1:23" x14ac:dyDescent="0.25">
      <c r="A2832" s="1" t="s">
        <v>11106</v>
      </c>
      <c r="B2832" s="1" t="s">
        <v>11107</v>
      </c>
      <c r="C2832" s="1" t="s">
        <v>7485</v>
      </c>
      <c r="D2832" s="1" t="s">
        <v>11108</v>
      </c>
      <c r="E2832" s="1" t="s">
        <v>7486</v>
      </c>
      <c r="F2832" s="1" t="s">
        <v>19528</v>
      </c>
      <c r="G2832">
        <v>195306</v>
      </c>
      <c r="H2832">
        <v>67</v>
      </c>
      <c r="I2832" s="1" t="s">
        <v>11063</v>
      </c>
      <c r="J2832" s="11">
        <v>44729.706458333334</v>
      </c>
      <c r="K2832" s="1" t="s">
        <v>7487</v>
      </c>
      <c r="L2832" s="1">
        <v>0.66100000000000003</v>
      </c>
      <c r="M2832" s="1">
        <v>0.41899999999999998</v>
      </c>
      <c r="N2832">
        <v>4</v>
      </c>
      <c r="O2832" s="1">
        <v>-9.8070000000000004</v>
      </c>
      <c r="P2832">
        <v>0</v>
      </c>
      <c r="Q2832" s="1">
        <v>0.40400000000000003</v>
      </c>
      <c r="R2832" s="1">
        <v>0.114</v>
      </c>
      <c r="S2832" s="1">
        <v>0.11899999999999999</v>
      </c>
      <c r="T2832" s="1">
        <v>0.84799999999999998</v>
      </c>
      <c r="U2832" s="1">
        <v>0.14499999999999999</v>
      </c>
      <c r="V2832" s="1">
        <v>144.97999999999999</v>
      </c>
      <c r="W2832">
        <v>4</v>
      </c>
    </row>
    <row r="2833" spans="1:23" x14ac:dyDescent="0.25">
      <c r="A2833" s="1" t="s">
        <v>19750</v>
      </c>
      <c r="B2833" s="1" t="s">
        <v>19025</v>
      </c>
      <c r="C2833" s="1" t="s">
        <v>7488</v>
      </c>
      <c r="D2833" s="1" t="s">
        <v>19751</v>
      </c>
      <c r="E2833" s="1" t="s">
        <v>6817</v>
      </c>
      <c r="F2833" s="1" t="s">
        <v>19752</v>
      </c>
      <c r="G2833">
        <v>245172</v>
      </c>
      <c r="H2833">
        <v>76</v>
      </c>
      <c r="I2833" s="1" t="s">
        <v>11063</v>
      </c>
      <c r="J2833" s="11">
        <v>44729.706458333334</v>
      </c>
      <c r="K2833" s="1" t="s">
        <v>3040</v>
      </c>
      <c r="L2833" s="1">
        <v>0.63</v>
      </c>
      <c r="M2833" s="1">
        <v>0.5</v>
      </c>
      <c r="N2833">
        <v>1</v>
      </c>
      <c r="O2833" s="1">
        <v>-8.7550000000000008</v>
      </c>
      <c r="P2833">
        <v>0</v>
      </c>
      <c r="Q2833" s="1">
        <v>0.61099999999999999</v>
      </c>
      <c r="R2833" s="1">
        <v>0.61099999999999999</v>
      </c>
      <c r="S2833" s="1">
        <v>0.40400000000000003</v>
      </c>
      <c r="T2833" s="1">
        <v>0.114</v>
      </c>
      <c r="U2833" s="1">
        <v>0.315</v>
      </c>
      <c r="V2833" s="1">
        <v>144.87100000000001</v>
      </c>
      <c r="W2833">
        <v>4</v>
      </c>
    </row>
    <row r="2834" spans="1:23" x14ac:dyDescent="0.25">
      <c r="A2834" s="1" t="s">
        <v>19753</v>
      </c>
      <c r="B2834" s="1" t="s">
        <v>19025</v>
      </c>
      <c r="C2834" s="1" t="s">
        <v>7489</v>
      </c>
      <c r="D2834" s="1" t="s">
        <v>19748</v>
      </c>
      <c r="E2834" s="1" t="s">
        <v>6817</v>
      </c>
      <c r="F2834" s="1" t="s">
        <v>11527</v>
      </c>
      <c r="G2834">
        <v>212027</v>
      </c>
      <c r="H2834">
        <v>4</v>
      </c>
      <c r="I2834" s="1" t="s">
        <v>11063</v>
      </c>
      <c r="J2834" s="11">
        <v>44729.706458333334</v>
      </c>
      <c r="K2834" s="1" t="s">
        <v>3040</v>
      </c>
      <c r="L2834" s="1">
        <v>0.745</v>
      </c>
      <c r="M2834" s="1">
        <v>0.59299999999999997</v>
      </c>
      <c r="N2834">
        <v>8</v>
      </c>
      <c r="O2834" s="1">
        <v>-6.35</v>
      </c>
      <c r="P2834">
        <v>1</v>
      </c>
      <c r="Q2834" s="1">
        <v>0.52600000000000002</v>
      </c>
      <c r="R2834" s="1">
        <v>0.52200000000000002</v>
      </c>
      <c r="S2834" s="1">
        <v>0.52500000000000002</v>
      </c>
      <c r="T2834" s="1">
        <v>0.123</v>
      </c>
      <c r="U2834" s="1">
        <v>0.17</v>
      </c>
      <c r="V2834" s="1">
        <v>111.002</v>
      </c>
      <c r="W2834">
        <v>3</v>
      </c>
    </row>
    <row r="2835" spans="1:23" x14ac:dyDescent="0.25">
      <c r="A2835" s="1" t="s">
        <v>19754</v>
      </c>
      <c r="B2835" s="1" t="s">
        <v>19755</v>
      </c>
      <c r="C2835" s="1" t="s">
        <v>7490</v>
      </c>
      <c r="D2835" s="1" t="s">
        <v>7490</v>
      </c>
      <c r="E2835" s="1" t="s">
        <v>7491</v>
      </c>
      <c r="F2835" s="1" t="s">
        <v>19756</v>
      </c>
      <c r="G2835">
        <v>181237</v>
      </c>
      <c r="H2835">
        <v>28</v>
      </c>
      <c r="I2835" s="1" t="s">
        <v>11063</v>
      </c>
      <c r="J2835" s="11">
        <v>44729.706458333334</v>
      </c>
      <c r="K2835" s="1" t="s">
        <v>50</v>
      </c>
      <c r="L2835" s="1">
        <v>0.57399999999999995</v>
      </c>
      <c r="M2835" s="1">
        <v>0.83399999999999996</v>
      </c>
      <c r="N2835">
        <v>9</v>
      </c>
      <c r="O2835" s="1">
        <v>-1.885</v>
      </c>
      <c r="P2835">
        <v>0</v>
      </c>
      <c r="Q2835" s="1">
        <v>0.247</v>
      </c>
      <c r="R2835" s="1">
        <v>0.96</v>
      </c>
      <c r="S2835" s="1">
        <v>0.67300000000000004</v>
      </c>
      <c r="T2835" s="1">
        <v>0.111</v>
      </c>
      <c r="U2835" s="1">
        <v>0.21299999999999999</v>
      </c>
      <c r="V2835" s="1">
        <v>154.881</v>
      </c>
      <c r="W2835">
        <v>4</v>
      </c>
    </row>
    <row r="2836" spans="1:23" x14ac:dyDescent="0.25">
      <c r="A2836" s="1" t="s">
        <v>19757</v>
      </c>
      <c r="B2836" s="1" t="s">
        <v>14747</v>
      </c>
      <c r="C2836" s="1" t="s">
        <v>7492</v>
      </c>
      <c r="D2836" s="1" t="s">
        <v>19758</v>
      </c>
      <c r="E2836" s="1" t="s">
        <v>3039</v>
      </c>
      <c r="F2836" s="1" t="s">
        <v>19759</v>
      </c>
      <c r="G2836">
        <v>248633</v>
      </c>
      <c r="H2836">
        <v>65</v>
      </c>
      <c r="I2836" s="1" t="s">
        <v>11063</v>
      </c>
      <c r="J2836" s="11">
        <v>44729.706458333334</v>
      </c>
      <c r="K2836" s="1" t="s">
        <v>3040</v>
      </c>
      <c r="L2836" s="1">
        <v>0.57999999999999996</v>
      </c>
      <c r="M2836" s="1">
        <v>0.69399999999999995</v>
      </c>
      <c r="N2836">
        <v>1</v>
      </c>
      <c r="O2836" s="1">
        <v>-5.45</v>
      </c>
      <c r="P2836">
        <v>0</v>
      </c>
      <c r="Q2836" s="1">
        <v>0.221</v>
      </c>
      <c r="R2836" s="1">
        <v>0.48099999999999998</v>
      </c>
      <c r="S2836" s="1">
        <v>0.11799999999999999</v>
      </c>
      <c r="T2836" s="1">
        <v>0.109</v>
      </c>
      <c r="U2836" s="1">
        <v>0.38900000000000001</v>
      </c>
      <c r="V2836" s="1">
        <v>139.751</v>
      </c>
      <c r="W2836">
        <v>4</v>
      </c>
    </row>
    <row r="2837" spans="1:23" x14ac:dyDescent="0.25">
      <c r="A2837" s="1" t="s">
        <v>19760</v>
      </c>
      <c r="B2837" s="1" t="s">
        <v>15621</v>
      </c>
      <c r="C2837" s="1" t="s">
        <v>7493</v>
      </c>
      <c r="D2837" s="1" t="s">
        <v>7493</v>
      </c>
      <c r="E2837" s="1" t="s">
        <v>3829</v>
      </c>
      <c r="F2837" s="1" t="s">
        <v>19761</v>
      </c>
      <c r="G2837">
        <v>213803</v>
      </c>
      <c r="H2837">
        <v>0</v>
      </c>
      <c r="I2837" s="1" t="s">
        <v>11063</v>
      </c>
      <c r="J2837" s="11">
        <v>44729.706458333334</v>
      </c>
      <c r="K2837" s="1" t="s">
        <v>3830</v>
      </c>
      <c r="L2837" s="1">
        <v>0.71799999999999997</v>
      </c>
      <c r="M2837" s="1">
        <v>0.72599999999999998</v>
      </c>
      <c r="N2837">
        <v>6</v>
      </c>
      <c r="O2837" s="1">
        <v>-7.2009999999999996</v>
      </c>
      <c r="P2837">
        <v>0</v>
      </c>
      <c r="Q2837" s="1">
        <v>0.46100000000000002</v>
      </c>
      <c r="R2837" s="1">
        <v>0.442</v>
      </c>
      <c r="S2837" s="1">
        <v>0</v>
      </c>
      <c r="T2837" s="1">
        <v>0.58799999999999997</v>
      </c>
      <c r="U2837" s="1">
        <v>0.73199999999999998</v>
      </c>
      <c r="V2837" s="1">
        <v>89.986000000000004</v>
      </c>
      <c r="W2837">
        <v>4</v>
      </c>
    </row>
    <row r="2838" spans="1:23" x14ac:dyDescent="0.25">
      <c r="A2838" s="1" t="s">
        <v>19762</v>
      </c>
      <c r="B2838" s="1" t="s">
        <v>19763</v>
      </c>
      <c r="C2838" s="1" t="s">
        <v>7494</v>
      </c>
      <c r="D2838" s="1" t="s">
        <v>7494</v>
      </c>
      <c r="E2838" s="1" t="s">
        <v>7495</v>
      </c>
      <c r="F2838" s="1" t="s">
        <v>17597</v>
      </c>
      <c r="G2838">
        <v>184000</v>
      </c>
      <c r="H2838">
        <v>0</v>
      </c>
      <c r="I2838" s="1" t="s">
        <v>11063</v>
      </c>
      <c r="J2838" s="11">
        <v>44729.706458333334</v>
      </c>
      <c r="K2838" s="1" t="s">
        <v>3830</v>
      </c>
      <c r="L2838" s="1">
        <v>0.56799999999999995</v>
      </c>
      <c r="M2838" s="1">
        <v>0.79</v>
      </c>
      <c r="N2838">
        <v>8</v>
      </c>
      <c r="O2838" s="1">
        <v>-4.4109999999999996</v>
      </c>
      <c r="P2838">
        <v>1</v>
      </c>
      <c r="Q2838" s="1">
        <v>0.79100000000000004</v>
      </c>
      <c r="R2838" s="1">
        <v>0.17399999999999999</v>
      </c>
      <c r="S2838" s="1">
        <v>0</v>
      </c>
      <c r="T2838" s="1">
        <v>0.26900000000000002</v>
      </c>
      <c r="U2838" s="1">
        <v>0.56599999999999995</v>
      </c>
      <c r="V2838" s="1">
        <v>109.747</v>
      </c>
      <c r="W2838">
        <v>4</v>
      </c>
    </row>
    <row r="2839" spans="1:23" x14ac:dyDescent="0.25">
      <c r="A2839" s="1" t="s">
        <v>19764</v>
      </c>
      <c r="B2839" s="1" t="s">
        <v>18507</v>
      </c>
      <c r="C2839" s="1" t="s">
        <v>7496</v>
      </c>
      <c r="D2839" s="1" t="s">
        <v>7496</v>
      </c>
      <c r="E2839" s="1" t="s">
        <v>6383</v>
      </c>
      <c r="F2839" s="1" t="s">
        <v>18230</v>
      </c>
      <c r="G2839">
        <v>181824</v>
      </c>
      <c r="H2839">
        <v>56</v>
      </c>
      <c r="I2839" s="1" t="s">
        <v>11063</v>
      </c>
      <c r="J2839" s="11">
        <v>44729.706458333334</v>
      </c>
      <c r="K2839" s="1" t="s">
        <v>256</v>
      </c>
      <c r="L2839" s="1">
        <v>0.57399999999999995</v>
      </c>
      <c r="M2839" s="1">
        <v>0.64800000000000002</v>
      </c>
      <c r="N2839">
        <v>5</v>
      </c>
      <c r="O2839" s="1">
        <v>-3.8</v>
      </c>
      <c r="P2839">
        <v>0</v>
      </c>
      <c r="Q2839" s="1">
        <v>0.27800000000000002</v>
      </c>
      <c r="R2839" s="1">
        <v>0.34699999999999998</v>
      </c>
      <c r="S2839" s="1">
        <v>0.54400000000000004</v>
      </c>
      <c r="T2839" s="1">
        <v>0.107</v>
      </c>
      <c r="U2839" s="1">
        <v>0.48799999999999999</v>
      </c>
      <c r="V2839" s="1">
        <v>147.983</v>
      </c>
      <c r="W2839">
        <v>4</v>
      </c>
    </row>
    <row r="2840" spans="1:23" x14ac:dyDescent="0.25">
      <c r="A2840" s="1" t="s">
        <v>19765</v>
      </c>
      <c r="B2840" s="1" t="s">
        <v>19766</v>
      </c>
      <c r="C2840" s="1" t="s">
        <v>7497</v>
      </c>
      <c r="D2840" s="1" t="s">
        <v>19767</v>
      </c>
      <c r="E2840" s="1" t="s">
        <v>7498</v>
      </c>
      <c r="F2840" s="1" t="s">
        <v>14630</v>
      </c>
      <c r="G2840">
        <v>218230</v>
      </c>
      <c r="H2840">
        <v>47</v>
      </c>
      <c r="I2840" s="1" t="s">
        <v>11063</v>
      </c>
      <c r="J2840" s="11">
        <v>44729.706458333334</v>
      </c>
      <c r="K2840" s="1" t="s">
        <v>7499</v>
      </c>
      <c r="L2840" s="1">
        <v>0.70499999999999996</v>
      </c>
      <c r="M2840" s="1">
        <v>0.876</v>
      </c>
      <c r="N2840">
        <v>9</v>
      </c>
      <c r="O2840" s="1">
        <v>-4.4459999999999997</v>
      </c>
      <c r="P2840">
        <v>1</v>
      </c>
      <c r="Q2840" s="1">
        <v>0.374</v>
      </c>
      <c r="R2840" s="1">
        <v>0.64300000000000002</v>
      </c>
      <c r="S2840" s="1">
        <v>0.85799999999999998</v>
      </c>
      <c r="T2840" s="1">
        <v>0.28999999999999998</v>
      </c>
      <c r="U2840" s="1">
        <v>0.58599999999999997</v>
      </c>
      <c r="V2840" s="1">
        <v>113.02</v>
      </c>
      <c r="W2840">
        <v>4</v>
      </c>
    </row>
    <row r="2841" spans="1:23" x14ac:dyDescent="0.25">
      <c r="A2841" s="1" t="s">
        <v>19768</v>
      </c>
      <c r="B2841" s="1" t="s">
        <v>19769</v>
      </c>
      <c r="C2841" s="1" t="s">
        <v>7500</v>
      </c>
      <c r="D2841" s="1" t="s">
        <v>7500</v>
      </c>
      <c r="E2841" s="1" t="s">
        <v>7501</v>
      </c>
      <c r="F2841" s="1" t="s">
        <v>18593</v>
      </c>
      <c r="G2841">
        <v>162827</v>
      </c>
      <c r="H2841">
        <v>41</v>
      </c>
      <c r="I2841" s="1" t="s">
        <v>11063</v>
      </c>
      <c r="J2841" s="11">
        <v>44729.706458333334</v>
      </c>
      <c r="K2841" s="1" t="s">
        <v>7502</v>
      </c>
      <c r="L2841" s="1">
        <v>0.53</v>
      </c>
      <c r="M2841" s="1">
        <v>0.85199999999999998</v>
      </c>
      <c r="N2841">
        <v>7</v>
      </c>
      <c r="O2841" s="1">
        <v>-4.1040000000000001</v>
      </c>
      <c r="P2841">
        <v>0</v>
      </c>
      <c r="Q2841" s="1">
        <v>0.438</v>
      </c>
      <c r="R2841" s="1">
        <v>0.26700000000000002</v>
      </c>
      <c r="S2841" s="1">
        <v>0.89500000000000002</v>
      </c>
      <c r="T2841" s="1">
        <v>0.158</v>
      </c>
      <c r="U2841" s="1">
        <v>0.74199999999999999</v>
      </c>
      <c r="V2841" s="1">
        <v>145.09399999999999</v>
      </c>
      <c r="W2841">
        <v>4</v>
      </c>
    </row>
    <row r="2842" spans="1:23" x14ac:dyDescent="0.25">
      <c r="A2842" s="1" t="s">
        <v>19770</v>
      </c>
      <c r="B2842" s="1" t="s">
        <v>19771</v>
      </c>
      <c r="C2842" s="1" t="s">
        <v>7503</v>
      </c>
      <c r="D2842" s="1" t="s">
        <v>19772</v>
      </c>
      <c r="E2842" s="1" t="s">
        <v>7504</v>
      </c>
      <c r="F2842" s="1" t="s">
        <v>15987</v>
      </c>
      <c r="G2842">
        <v>118000</v>
      </c>
      <c r="H2842">
        <v>45</v>
      </c>
      <c r="I2842" s="1" t="s">
        <v>11063</v>
      </c>
      <c r="J2842" s="11">
        <v>44729.706458333334</v>
      </c>
      <c r="K2842" s="1" t="s">
        <v>256</v>
      </c>
      <c r="L2842" s="1">
        <v>0.21199999999999999</v>
      </c>
      <c r="M2842" s="1">
        <v>0.33600000000000002</v>
      </c>
      <c r="N2842">
        <v>10</v>
      </c>
      <c r="O2842" s="1">
        <v>-8.577</v>
      </c>
      <c r="P2842">
        <v>0</v>
      </c>
      <c r="Q2842" s="1">
        <v>0.33400000000000002</v>
      </c>
      <c r="R2842" s="1">
        <v>0.35699999999999998</v>
      </c>
      <c r="S2842" s="1">
        <v>0.54100000000000004</v>
      </c>
      <c r="T2842" s="1">
        <v>0.109</v>
      </c>
      <c r="U2842" s="1">
        <v>0.72099999999999997</v>
      </c>
      <c r="V2842" s="1">
        <v>123.242</v>
      </c>
      <c r="W2842">
        <v>3</v>
      </c>
    </row>
    <row r="2843" spans="1:23" x14ac:dyDescent="0.25">
      <c r="A2843" s="1" t="s">
        <v>19773</v>
      </c>
      <c r="B2843" s="1" t="s">
        <v>19774</v>
      </c>
      <c r="C2843" s="1" t="s">
        <v>7505</v>
      </c>
      <c r="D2843" s="1" t="s">
        <v>7505</v>
      </c>
      <c r="E2843" s="1" t="s">
        <v>7506</v>
      </c>
      <c r="F2843" s="1" t="s">
        <v>15809</v>
      </c>
      <c r="G2843">
        <v>174545</v>
      </c>
      <c r="H2843">
        <v>33</v>
      </c>
      <c r="I2843" s="1" t="s">
        <v>11063</v>
      </c>
      <c r="J2843" s="11">
        <v>44729.706458333334</v>
      </c>
      <c r="K2843" s="1" t="s">
        <v>7507</v>
      </c>
      <c r="L2843" s="1">
        <v>0.63700000000000001</v>
      </c>
      <c r="M2843" s="1">
        <v>0.68200000000000005</v>
      </c>
      <c r="N2843">
        <v>7</v>
      </c>
      <c r="O2843" s="1">
        <v>-3.6840000000000002</v>
      </c>
      <c r="P2843">
        <v>1</v>
      </c>
      <c r="Q2843" s="1">
        <v>0.436</v>
      </c>
      <c r="R2843" s="1">
        <v>0.38900000000000001</v>
      </c>
      <c r="S2843" s="1">
        <v>0</v>
      </c>
      <c r="T2843" s="1">
        <v>0.105</v>
      </c>
      <c r="U2843" s="1">
        <v>0.54600000000000004</v>
      </c>
      <c r="V2843" s="1">
        <v>98.971999999999994</v>
      </c>
      <c r="W2843">
        <v>4</v>
      </c>
    </row>
    <row r="2844" spans="1:23" x14ac:dyDescent="0.25">
      <c r="A2844" s="1" t="s">
        <v>19775</v>
      </c>
      <c r="B2844" s="1" t="s">
        <v>19776</v>
      </c>
      <c r="C2844" s="1" t="s">
        <v>2184</v>
      </c>
      <c r="D2844" s="1" t="s">
        <v>2184</v>
      </c>
      <c r="E2844" s="1" t="s">
        <v>7508</v>
      </c>
      <c r="F2844" s="1" t="s">
        <v>19777</v>
      </c>
      <c r="G2844">
        <v>205500</v>
      </c>
      <c r="H2844">
        <v>65</v>
      </c>
      <c r="I2844" s="1" t="s">
        <v>11063</v>
      </c>
      <c r="J2844" s="11">
        <v>44729.706458333334</v>
      </c>
      <c r="K2844" s="1" t="s">
        <v>3288</v>
      </c>
      <c r="L2844" s="1">
        <v>0.67300000000000004</v>
      </c>
      <c r="M2844" s="1">
        <v>0.91600000000000004</v>
      </c>
      <c r="N2844">
        <v>6</v>
      </c>
      <c r="O2844" s="1">
        <v>-3.8140000000000001</v>
      </c>
      <c r="P2844">
        <v>0</v>
      </c>
      <c r="Q2844" s="1">
        <v>0.34399999999999997</v>
      </c>
      <c r="R2844" s="1">
        <v>0.65800000000000003</v>
      </c>
      <c r="S2844" s="1">
        <v>0.58699999999999997</v>
      </c>
      <c r="T2844" s="1">
        <v>0.76900000000000002</v>
      </c>
      <c r="U2844" s="1">
        <v>0.51300000000000001</v>
      </c>
      <c r="V2844" s="1">
        <v>160.02500000000001</v>
      </c>
      <c r="W2844">
        <v>3</v>
      </c>
    </row>
    <row r="2845" spans="1:23" x14ac:dyDescent="0.25">
      <c r="A2845" s="1" t="s">
        <v>19778</v>
      </c>
      <c r="B2845" s="1" t="s">
        <v>19779</v>
      </c>
      <c r="C2845" s="1" t="s">
        <v>7509</v>
      </c>
      <c r="D2845" s="1" t="s">
        <v>7509</v>
      </c>
      <c r="E2845" s="1" t="s">
        <v>7510</v>
      </c>
      <c r="F2845" s="1" t="s">
        <v>11319</v>
      </c>
      <c r="G2845">
        <v>183797</v>
      </c>
      <c r="H2845">
        <v>42</v>
      </c>
      <c r="I2845" s="1" t="s">
        <v>11063</v>
      </c>
      <c r="J2845" s="11">
        <v>44729.706458333334</v>
      </c>
      <c r="K2845" s="1" t="s">
        <v>1013</v>
      </c>
      <c r="L2845" s="1">
        <v>0.73399999999999999</v>
      </c>
      <c r="M2845" s="1">
        <v>0.69099999999999995</v>
      </c>
      <c r="N2845">
        <v>0</v>
      </c>
      <c r="O2845" s="1">
        <v>-5.3540000000000001</v>
      </c>
      <c r="P2845">
        <v>0</v>
      </c>
      <c r="Q2845" s="1">
        <v>0.17199999999999999</v>
      </c>
      <c r="R2845" s="1">
        <v>0.27100000000000002</v>
      </c>
      <c r="S2845" s="1">
        <v>0.253</v>
      </c>
      <c r="T2845" s="1">
        <v>0.33400000000000002</v>
      </c>
      <c r="U2845" s="1">
        <v>0.497</v>
      </c>
      <c r="V2845" s="1">
        <v>158.089</v>
      </c>
      <c r="W2845">
        <v>4</v>
      </c>
    </row>
    <row r="2846" spans="1:23" x14ac:dyDescent="0.25">
      <c r="A2846" s="1" t="s">
        <v>19780</v>
      </c>
      <c r="B2846" s="1" t="s">
        <v>19774</v>
      </c>
      <c r="C2846" s="1" t="s">
        <v>7511</v>
      </c>
      <c r="D2846" s="1" t="s">
        <v>7511</v>
      </c>
      <c r="E2846" s="1" t="s">
        <v>7506</v>
      </c>
      <c r="F2846" s="1" t="s">
        <v>13863</v>
      </c>
      <c r="G2846">
        <v>164571</v>
      </c>
      <c r="H2846">
        <v>48</v>
      </c>
      <c r="I2846" s="1" t="s">
        <v>11063</v>
      </c>
      <c r="J2846" s="11">
        <v>44729.706458333334</v>
      </c>
      <c r="K2846" s="1" t="s">
        <v>7507</v>
      </c>
      <c r="L2846" s="1">
        <v>0.64400000000000002</v>
      </c>
      <c r="M2846" s="1">
        <v>0.82099999999999995</v>
      </c>
      <c r="N2846">
        <v>2</v>
      </c>
      <c r="O2846" s="1">
        <v>-3.629</v>
      </c>
      <c r="P2846">
        <v>1</v>
      </c>
      <c r="Q2846" s="1">
        <v>0.30399999999999999</v>
      </c>
      <c r="R2846" s="1">
        <v>0.10199999999999999</v>
      </c>
      <c r="S2846" s="1">
        <v>0.29499999999999998</v>
      </c>
      <c r="T2846" s="1">
        <v>0.35099999999999998</v>
      </c>
      <c r="U2846" s="1">
        <v>0.15</v>
      </c>
      <c r="V2846" s="1">
        <v>105.01600000000001</v>
      </c>
      <c r="W2846">
        <v>4</v>
      </c>
    </row>
    <row r="2847" spans="1:23" x14ac:dyDescent="0.25">
      <c r="A2847" s="1" t="s">
        <v>19781</v>
      </c>
      <c r="B2847" s="1" t="s">
        <v>19782</v>
      </c>
      <c r="C2847" s="1" t="s">
        <v>3734</v>
      </c>
      <c r="D2847" s="1" t="s">
        <v>3734</v>
      </c>
      <c r="E2847" s="1" t="s">
        <v>7512</v>
      </c>
      <c r="F2847" s="1" t="s">
        <v>19783</v>
      </c>
      <c r="G2847">
        <v>187593</v>
      </c>
      <c r="H2847">
        <v>25</v>
      </c>
      <c r="I2847" s="1" t="s">
        <v>11063</v>
      </c>
      <c r="J2847" s="11">
        <v>44729.706458333334</v>
      </c>
      <c r="K2847" s="1" t="s">
        <v>7513</v>
      </c>
      <c r="L2847" s="1">
        <v>0.59899999999999998</v>
      </c>
      <c r="M2847" s="1">
        <v>0.72</v>
      </c>
      <c r="N2847">
        <v>5</v>
      </c>
      <c r="O2847" s="1">
        <v>-5.1020000000000003</v>
      </c>
      <c r="P2847">
        <v>0</v>
      </c>
      <c r="Q2847" s="1">
        <v>0.7</v>
      </c>
      <c r="R2847" s="1">
        <v>0.1</v>
      </c>
      <c r="S2847" s="1">
        <v>0</v>
      </c>
      <c r="T2847" s="1">
        <v>0.20599999999999999</v>
      </c>
      <c r="U2847" s="1">
        <v>0.249</v>
      </c>
      <c r="V2847" s="1">
        <v>79.992000000000004</v>
      </c>
      <c r="W2847">
        <v>4</v>
      </c>
    </row>
    <row r="2848" spans="1:23" x14ac:dyDescent="0.25">
      <c r="A2848" s="1" t="s">
        <v>19784</v>
      </c>
      <c r="B2848" s="1" t="s">
        <v>18973</v>
      </c>
      <c r="C2848" s="1" t="s">
        <v>7514</v>
      </c>
      <c r="D2848" s="1" t="s">
        <v>7514</v>
      </c>
      <c r="E2848" s="1" t="s">
        <v>6773</v>
      </c>
      <c r="F2848" s="1" t="s">
        <v>19785</v>
      </c>
      <c r="G2848">
        <v>242285</v>
      </c>
      <c r="H2848">
        <v>0</v>
      </c>
      <c r="I2848" s="1" t="s">
        <v>11063</v>
      </c>
      <c r="J2848" s="11">
        <v>44729.706458333334</v>
      </c>
      <c r="K2848" s="1" t="s">
        <v>6774</v>
      </c>
      <c r="L2848" s="1">
        <v>0.749</v>
      </c>
      <c r="M2848" s="1">
        <v>0.75600000000000001</v>
      </c>
      <c r="N2848">
        <v>1</v>
      </c>
      <c r="O2848" s="1">
        <v>-4.4119999999999999</v>
      </c>
      <c r="P2848">
        <v>0</v>
      </c>
      <c r="Q2848" s="1">
        <v>0.41299999999999998</v>
      </c>
      <c r="R2848" s="1">
        <v>0.40400000000000003</v>
      </c>
      <c r="S2848" s="1">
        <v>0.45100000000000001</v>
      </c>
      <c r="T2848" s="1">
        <v>0.109</v>
      </c>
      <c r="U2848" s="1">
        <v>0.186</v>
      </c>
      <c r="V2848" s="1">
        <v>104.996</v>
      </c>
      <c r="W2848">
        <v>4</v>
      </c>
    </row>
    <row r="2849" spans="1:23" x14ac:dyDescent="0.25">
      <c r="A2849" s="1" t="s">
        <v>19786</v>
      </c>
      <c r="B2849" s="1" t="s">
        <v>19787</v>
      </c>
      <c r="C2849" s="1" t="s">
        <v>7515</v>
      </c>
      <c r="D2849" s="1" t="s">
        <v>7515</v>
      </c>
      <c r="E2849" s="1" t="s">
        <v>7516</v>
      </c>
      <c r="F2849" s="1" t="s">
        <v>14620</v>
      </c>
      <c r="G2849">
        <v>217200</v>
      </c>
      <c r="H2849">
        <v>19</v>
      </c>
      <c r="I2849" s="1" t="s">
        <v>11063</v>
      </c>
      <c r="J2849" s="11">
        <v>44729.706458333334</v>
      </c>
      <c r="K2849" s="1" t="s">
        <v>6774</v>
      </c>
      <c r="L2849" s="1">
        <v>0.69199999999999995</v>
      </c>
      <c r="M2849" s="1">
        <v>0.91600000000000004</v>
      </c>
      <c r="N2849">
        <v>9</v>
      </c>
      <c r="O2849" s="1">
        <v>-3.0049999999999999</v>
      </c>
      <c r="P2849">
        <v>1</v>
      </c>
      <c r="Q2849" s="1">
        <v>0.56899999999999995</v>
      </c>
      <c r="R2849" s="1">
        <v>0.32400000000000001</v>
      </c>
      <c r="S2849" s="1">
        <v>0.27</v>
      </c>
      <c r="T2849" s="1">
        <v>0.85299999999999998</v>
      </c>
      <c r="U2849" s="1">
        <v>0.86099999999999999</v>
      </c>
      <c r="V2849" s="1">
        <v>100.004</v>
      </c>
      <c r="W2849">
        <v>4</v>
      </c>
    </row>
    <row r="2850" spans="1:23" x14ac:dyDescent="0.25">
      <c r="A2850" s="1" t="s">
        <v>19788</v>
      </c>
      <c r="B2850" s="1" t="s">
        <v>19789</v>
      </c>
      <c r="C2850" s="1" t="s">
        <v>7517</v>
      </c>
      <c r="D2850" s="1" t="s">
        <v>7517</v>
      </c>
      <c r="E2850" s="1" t="s">
        <v>7518</v>
      </c>
      <c r="F2850" s="1" t="s">
        <v>15395</v>
      </c>
      <c r="G2850">
        <v>230400</v>
      </c>
      <c r="H2850">
        <v>39</v>
      </c>
      <c r="I2850" s="1" t="s">
        <v>11063</v>
      </c>
      <c r="J2850" s="11">
        <v>44729.706458333334</v>
      </c>
      <c r="K2850" s="1" t="s">
        <v>5216</v>
      </c>
      <c r="L2850" s="1">
        <v>0.56399999999999995</v>
      </c>
      <c r="M2850" s="1">
        <v>0.93400000000000005</v>
      </c>
      <c r="N2850">
        <v>3</v>
      </c>
      <c r="O2850" s="1">
        <v>-5.1929999999999996</v>
      </c>
      <c r="P2850">
        <v>0</v>
      </c>
      <c r="Q2850" s="1">
        <v>0.38600000000000001</v>
      </c>
      <c r="R2850" s="1">
        <v>0.76400000000000001</v>
      </c>
      <c r="S2850" s="1">
        <v>0.11700000000000001</v>
      </c>
      <c r="T2850" s="1">
        <v>0.35299999999999998</v>
      </c>
      <c r="U2850" s="1">
        <v>0.47899999999999998</v>
      </c>
      <c r="V2850" s="1">
        <v>75.364999999999995</v>
      </c>
      <c r="W2850">
        <v>4</v>
      </c>
    </row>
    <row r="2851" spans="1:23" x14ac:dyDescent="0.25">
      <c r="A2851" s="1" t="s">
        <v>19790</v>
      </c>
      <c r="B2851" s="1" t="s">
        <v>19791</v>
      </c>
      <c r="C2851" s="1" t="s">
        <v>3017</v>
      </c>
      <c r="D2851" s="1" t="s">
        <v>19792</v>
      </c>
      <c r="E2851" s="1" t="s">
        <v>7519</v>
      </c>
      <c r="F2851" s="1" t="s">
        <v>14630</v>
      </c>
      <c r="G2851">
        <v>152306</v>
      </c>
      <c r="H2851">
        <v>47</v>
      </c>
      <c r="I2851" s="1" t="s">
        <v>11063</v>
      </c>
      <c r="J2851" s="11">
        <v>44729.706458333334</v>
      </c>
      <c r="K2851" s="1" t="s">
        <v>5216</v>
      </c>
      <c r="L2851" s="1">
        <v>0.747</v>
      </c>
      <c r="M2851" s="1">
        <v>0.52500000000000002</v>
      </c>
      <c r="N2851">
        <v>1</v>
      </c>
      <c r="O2851" s="1">
        <v>-7.6420000000000003</v>
      </c>
      <c r="P2851">
        <v>1</v>
      </c>
      <c r="Q2851" s="1">
        <v>0.13</v>
      </c>
      <c r="R2851" s="1">
        <v>0.65700000000000003</v>
      </c>
      <c r="S2851" s="1">
        <v>0.88500000000000001</v>
      </c>
      <c r="T2851" s="1">
        <v>0.112</v>
      </c>
      <c r="U2851" s="1">
        <v>0.433</v>
      </c>
      <c r="V2851" s="1">
        <v>85.003</v>
      </c>
      <c r="W2851">
        <v>4</v>
      </c>
    </row>
    <row r="2852" spans="1:23" x14ac:dyDescent="0.25">
      <c r="A2852" s="1" t="s">
        <v>19793</v>
      </c>
      <c r="B2852" s="1" t="s">
        <v>19794</v>
      </c>
      <c r="C2852" s="1" t="s">
        <v>7520</v>
      </c>
      <c r="D2852" s="1" t="s">
        <v>19795</v>
      </c>
      <c r="E2852" s="1" t="s">
        <v>7521</v>
      </c>
      <c r="F2852" s="1" t="s">
        <v>11391</v>
      </c>
      <c r="G2852">
        <v>181224</v>
      </c>
      <c r="H2852">
        <v>35</v>
      </c>
      <c r="I2852" s="1" t="s">
        <v>11063</v>
      </c>
      <c r="J2852" s="11">
        <v>44729.706458333334</v>
      </c>
      <c r="K2852" s="1" t="s">
        <v>5216</v>
      </c>
      <c r="L2852" s="1">
        <v>0.68300000000000005</v>
      </c>
      <c r="M2852" s="1">
        <v>0.67900000000000005</v>
      </c>
      <c r="N2852">
        <v>0</v>
      </c>
      <c r="O2852" s="1">
        <v>-5.4729999999999999</v>
      </c>
      <c r="P2852">
        <v>1</v>
      </c>
      <c r="Q2852" s="1">
        <v>0.16700000000000001</v>
      </c>
      <c r="R2852" s="1">
        <v>0.76300000000000001</v>
      </c>
      <c r="S2852" s="1">
        <v>0.433</v>
      </c>
      <c r="T2852" s="1">
        <v>0.13</v>
      </c>
      <c r="U2852" s="1">
        <v>0.40899999999999997</v>
      </c>
      <c r="V2852" s="1">
        <v>98.022999999999996</v>
      </c>
      <c r="W2852">
        <v>4</v>
      </c>
    </row>
    <row r="2853" spans="1:23" x14ac:dyDescent="0.25">
      <c r="A2853" s="1" t="s">
        <v>19796</v>
      </c>
      <c r="B2853" s="1" t="s">
        <v>19789</v>
      </c>
      <c r="C2853" s="1" t="s">
        <v>7522</v>
      </c>
      <c r="D2853" s="1" t="s">
        <v>19797</v>
      </c>
      <c r="E2853" s="1" t="s">
        <v>7518</v>
      </c>
      <c r="F2853" s="1" t="s">
        <v>19798</v>
      </c>
      <c r="G2853">
        <v>246464</v>
      </c>
      <c r="H2853">
        <v>45</v>
      </c>
      <c r="I2853" s="1" t="s">
        <v>11063</v>
      </c>
      <c r="J2853" s="11">
        <v>44729.706458333334</v>
      </c>
      <c r="K2853" s="1" t="s">
        <v>5216</v>
      </c>
      <c r="L2853" s="1">
        <v>0.57899999999999996</v>
      </c>
      <c r="M2853" s="1">
        <v>0.70699999999999996</v>
      </c>
      <c r="N2853">
        <v>6</v>
      </c>
      <c r="O2853" s="1">
        <v>-6.9470000000000001</v>
      </c>
      <c r="P2853">
        <v>1</v>
      </c>
      <c r="Q2853" s="1">
        <v>0.60799999999999998</v>
      </c>
      <c r="R2853" s="1">
        <v>0.34599999999999997</v>
      </c>
      <c r="S2853" s="1">
        <v>0.59099999999999997</v>
      </c>
      <c r="T2853" s="1">
        <v>0.42299999999999999</v>
      </c>
      <c r="U2853" s="1">
        <v>0.309</v>
      </c>
      <c r="V2853" s="1">
        <v>92.031000000000006</v>
      </c>
      <c r="W2853">
        <v>4</v>
      </c>
    </row>
    <row r="2854" spans="1:23" x14ac:dyDescent="0.25">
      <c r="A2854" s="1" t="s">
        <v>19799</v>
      </c>
      <c r="B2854" s="1" t="s">
        <v>17978</v>
      </c>
      <c r="C2854" s="1" t="s">
        <v>7523</v>
      </c>
      <c r="D2854" s="1" t="s">
        <v>7523</v>
      </c>
      <c r="E2854" s="1" t="s">
        <v>5883</v>
      </c>
      <c r="F2854" s="1" t="s">
        <v>17979</v>
      </c>
      <c r="G2854">
        <v>231724</v>
      </c>
      <c r="H2854">
        <v>0</v>
      </c>
      <c r="I2854" s="1" t="s">
        <v>11063</v>
      </c>
      <c r="J2854" s="11">
        <v>44729.706458333334</v>
      </c>
      <c r="K2854" s="1" t="s">
        <v>5884</v>
      </c>
      <c r="L2854" s="1">
        <v>0.48399999999999999</v>
      </c>
      <c r="M2854" s="1">
        <v>0.70499999999999996</v>
      </c>
      <c r="N2854">
        <v>11</v>
      </c>
      <c r="O2854" s="1">
        <v>-4.3220000000000001</v>
      </c>
      <c r="P2854">
        <v>0</v>
      </c>
      <c r="Q2854" s="1">
        <v>0.439</v>
      </c>
      <c r="R2854" s="1">
        <v>0.45200000000000001</v>
      </c>
      <c r="S2854" s="1">
        <v>0.69599999999999995</v>
      </c>
      <c r="T2854" s="1">
        <v>0.11</v>
      </c>
      <c r="U2854" s="1">
        <v>0.191</v>
      </c>
      <c r="V2854" s="1">
        <v>145.023</v>
      </c>
      <c r="W2854">
        <v>4</v>
      </c>
    </row>
    <row r="2855" spans="1:23" x14ac:dyDescent="0.25">
      <c r="A2855" s="1" t="s">
        <v>19800</v>
      </c>
      <c r="B2855" s="1" t="s">
        <v>17981</v>
      </c>
      <c r="C2855" s="1" t="s">
        <v>5885</v>
      </c>
      <c r="D2855" s="1" t="s">
        <v>17982</v>
      </c>
      <c r="E2855" s="1" t="s">
        <v>5886</v>
      </c>
      <c r="F2855" s="1" t="s">
        <v>17983</v>
      </c>
      <c r="G2855">
        <v>218482</v>
      </c>
      <c r="H2855">
        <v>0</v>
      </c>
      <c r="I2855" s="1" t="s">
        <v>11063</v>
      </c>
      <c r="J2855" s="11">
        <v>44729.706458333334</v>
      </c>
      <c r="K2855" s="1" t="s">
        <v>5887</v>
      </c>
      <c r="L2855" s="1">
        <v>0.61099999999999999</v>
      </c>
      <c r="M2855" s="1">
        <v>0.57199999999999995</v>
      </c>
      <c r="N2855">
        <v>9</v>
      </c>
      <c r="O2855" s="1">
        <v>-5.74</v>
      </c>
      <c r="P2855">
        <v>0</v>
      </c>
      <c r="Q2855" s="1">
        <v>0.437</v>
      </c>
      <c r="R2855" s="1">
        <v>0.27500000000000002</v>
      </c>
      <c r="S2855" s="1">
        <v>0.88300000000000001</v>
      </c>
      <c r="T2855" s="1">
        <v>0.91700000000000004</v>
      </c>
      <c r="U2855" s="1">
        <v>0.23699999999999999</v>
      </c>
      <c r="V2855" s="1">
        <v>145.01900000000001</v>
      </c>
      <c r="W2855">
        <v>4</v>
      </c>
    </row>
    <row r="2856" spans="1:23" x14ac:dyDescent="0.25">
      <c r="A2856" s="1" t="s">
        <v>19801</v>
      </c>
      <c r="B2856" s="1" t="s">
        <v>19802</v>
      </c>
      <c r="C2856" s="1" t="s">
        <v>7524</v>
      </c>
      <c r="D2856" s="1" t="s">
        <v>7524</v>
      </c>
      <c r="E2856" s="1" t="s">
        <v>7525</v>
      </c>
      <c r="F2856" s="1" t="s">
        <v>19803</v>
      </c>
      <c r="G2856">
        <v>252800</v>
      </c>
      <c r="H2856">
        <v>0</v>
      </c>
      <c r="I2856" s="1" t="s">
        <v>11063</v>
      </c>
      <c r="J2856" s="11">
        <v>44729.706458333334</v>
      </c>
      <c r="K2856" s="1" t="s">
        <v>5887</v>
      </c>
      <c r="L2856" s="1">
        <v>0.55400000000000005</v>
      </c>
      <c r="M2856" s="1">
        <v>0.872</v>
      </c>
      <c r="N2856">
        <v>8</v>
      </c>
      <c r="O2856" s="1">
        <v>-4.2279999999999998</v>
      </c>
      <c r="P2856">
        <v>1</v>
      </c>
      <c r="Q2856" s="1">
        <v>0.58799999999999997</v>
      </c>
      <c r="R2856" s="1">
        <v>0.16900000000000001</v>
      </c>
      <c r="S2856" s="1">
        <v>0.13500000000000001</v>
      </c>
      <c r="T2856" s="1">
        <v>0.11700000000000001</v>
      </c>
      <c r="U2856" s="1">
        <v>0.16400000000000001</v>
      </c>
      <c r="V2856" s="1">
        <v>149.935</v>
      </c>
      <c r="W2856">
        <v>4</v>
      </c>
    </row>
    <row r="2857" spans="1:23" x14ac:dyDescent="0.25">
      <c r="A2857" s="1" t="s">
        <v>19804</v>
      </c>
      <c r="B2857" s="1" t="s">
        <v>17987</v>
      </c>
      <c r="C2857" s="1" t="s">
        <v>5890</v>
      </c>
      <c r="D2857" s="1" t="s">
        <v>5890</v>
      </c>
      <c r="E2857" s="1" t="s">
        <v>5891</v>
      </c>
      <c r="F2857" s="1" t="s">
        <v>19805</v>
      </c>
      <c r="G2857">
        <v>211666</v>
      </c>
      <c r="H2857">
        <v>23</v>
      </c>
      <c r="I2857" s="1" t="s">
        <v>11063</v>
      </c>
      <c r="J2857" s="11">
        <v>44729.706458333334</v>
      </c>
      <c r="K2857" s="1" t="s">
        <v>5887</v>
      </c>
      <c r="L2857" s="1">
        <v>0.53700000000000003</v>
      </c>
      <c r="M2857" s="1">
        <v>0.69699999999999995</v>
      </c>
      <c r="N2857">
        <v>1</v>
      </c>
      <c r="O2857" s="1">
        <v>-4.58</v>
      </c>
      <c r="P2857">
        <v>0</v>
      </c>
      <c r="Q2857" s="1">
        <v>0.38500000000000001</v>
      </c>
      <c r="R2857" s="1">
        <v>0.13200000000000001</v>
      </c>
      <c r="S2857" s="1">
        <v>0</v>
      </c>
      <c r="T2857" s="1">
        <v>0.104</v>
      </c>
      <c r="U2857" s="1">
        <v>0.22800000000000001</v>
      </c>
      <c r="V2857" s="1">
        <v>144.00899999999999</v>
      </c>
      <c r="W2857">
        <v>4</v>
      </c>
    </row>
    <row r="2858" spans="1:23" x14ac:dyDescent="0.25">
      <c r="A2858" s="1" t="s">
        <v>19806</v>
      </c>
      <c r="B2858" s="1" t="s">
        <v>17985</v>
      </c>
      <c r="C2858" s="1" t="s">
        <v>5888</v>
      </c>
      <c r="D2858" s="1" t="s">
        <v>5888</v>
      </c>
      <c r="E2858" s="1" t="s">
        <v>5889</v>
      </c>
      <c r="F2858" s="1" t="s">
        <v>14620</v>
      </c>
      <c r="G2858">
        <v>192000</v>
      </c>
      <c r="H2858">
        <v>0</v>
      </c>
      <c r="I2858" s="1" t="s">
        <v>11063</v>
      </c>
      <c r="J2858" s="11">
        <v>44729.706458333334</v>
      </c>
      <c r="K2858" s="1" t="s">
        <v>5887</v>
      </c>
      <c r="L2858" s="1">
        <v>0.47899999999999998</v>
      </c>
      <c r="M2858" s="1">
        <v>0.746</v>
      </c>
      <c r="N2858">
        <v>4</v>
      </c>
      <c r="O2858" s="1" t="s">
        <v>3681</v>
      </c>
      <c r="P2858">
        <v>1</v>
      </c>
      <c r="Q2858" s="1">
        <v>0.17799999999999999</v>
      </c>
      <c r="R2858" s="1">
        <v>0.91400000000000003</v>
      </c>
      <c r="S2858" s="1">
        <v>0.33800000000000002</v>
      </c>
      <c r="T2858" s="1">
        <v>0.11700000000000001</v>
      </c>
      <c r="U2858" s="1">
        <v>0.32200000000000001</v>
      </c>
      <c r="V2858" s="1">
        <v>159.99</v>
      </c>
      <c r="W2858">
        <v>4</v>
      </c>
    </row>
    <row r="2859" spans="1:23" x14ac:dyDescent="0.25">
      <c r="A2859" s="1" t="s">
        <v>19807</v>
      </c>
      <c r="B2859" s="1" t="s">
        <v>18528</v>
      </c>
      <c r="C2859" s="1" t="s">
        <v>5774</v>
      </c>
      <c r="D2859" s="1" t="s">
        <v>5774</v>
      </c>
      <c r="E2859" s="1" t="s">
        <v>6401</v>
      </c>
      <c r="F2859" s="1" t="s">
        <v>16406</v>
      </c>
      <c r="G2859">
        <v>237793</v>
      </c>
      <c r="H2859">
        <v>70</v>
      </c>
      <c r="I2859" s="1" t="s">
        <v>11063</v>
      </c>
      <c r="J2859" s="11">
        <v>44729.706458333334</v>
      </c>
      <c r="K2859" s="1" t="s">
        <v>960</v>
      </c>
      <c r="L2859" s="1">
        <v>0.34899999999999998</v>
      </c>
      <c r="M2859" s="1">
        <v>0.44600000000000001</v>
      </c>
      <c r="N2859">
        <v>1</v>
      </c>
      <c r="O2859" s="1">
        <v>-11.327</v>
      </c>
      <c r="P2859">
        <v>1</v>
      </c>
      <c r="Q2859" s="1">
        <v>0.52200000000000002</v>
      </c>
      <c r="R2859" s="1">
        <v>0.82699999999999996</v>
      </c>
      <c r="S2859" s="1">
        <v>0.72199999999999998</v>
      </c>
      <c r="T2859" s="1">
        <v>0.80800000000000005</v>
      </c>
      <c r="U2859" s="1">
        <v>0.14099999999999999</v>
      </c>
      <c r="V2859" s="1">
        <v>79.337999999999994</v>
      </c>
      <c r="W2859">
        <v>4</v>
      </c>
    </row>
    <row r="2860" spans="1:23" x14ac:dyDescent="0.25">
      <c r="A2860" s="1" t="s">
        <v>19808</v>
      </c>
      <c r="B2860" s="1" t="s">
        <v>19809</v>
      </c>
      <c r="C2860" s="1" t="s">
        <v>7526</v>
      </c>
      <c r="D2860" s="1" t="s">
        <v>7526</v>
      </c>
      <c r="E2860" s="1" t="s">
        <v>7527</v>
      </c>
      <c r="F2860" s="1" t="s">
        <v>19810</v>
      </c>
      <c r="G2860">
        <v>228031</v>
      </c>
      <c r="H2860">
        <v>0</v>
      </c>
      <c r="I2860" s="1" t="s">
        <v>11063</v>
      </c>
      <c r="J2860" s="11">
        <v>44729.706458333334</v>
      </c>
      <c r="K2860" s="1" t="s">
        <v>50</v>
      </c>
      <c r="L2860" s="1">
        <v>0.60299999999999998</v>
      </c>
      <c r="M2860" s="1">
        <v>0.72099999999999997</v>
      </c>
      <c r="N2860">
        <v>0</v>
      </c>
      <c r="O2860" s="1">
        <v>-3.843</v>
      </c>
      <c r="P2860">
        <v>1</v>
      </c>
      <c r="Q2860" s="1">
        <v>0.496</v>
      </c>
      <c r="R2860" s="1">
        <v>0.47199999999999998</v>
      </c>
      <c r="S2860" s="1">
        <v>0</v>
      </c>
      <c r="T2860" s="1">
        <v>0.82499999999999996</v>
      </c>
      <c r="U2860" s="1">
        <v>0.155</v>
      </c>
      <c r="V2860" s="1">
        <v>96.899000000000001</v>
      </c>
      <c r="W2860">
        <v>4</v>
      </c>
    </row>
    <row r="2861" spans="1:23" x14ac:dyDescent="0.25">
      <c r="A2861" s="1" t="s">
        <v>19811</v>
      </c>
      <c r="B2861" s="1" t="s">
        <v>19812</v>
      </c>
      <c r="C2861" s="1" t="s">
        <v>483</v>
      </c>
      <c r="D2861" s="1" t="s">
        <v>19813</v>
      </c>
      <c r="E2861" s="1" t="s">
        <v>7528</v>
      </c>
      <c r="F2861" s="1" t="s">
        <v>19814</v>
      </c>
      <c r="G2861">
        <v>204120</v>
      </c>
      <c r="H2861">
        <v>49</v>
      </c>
      <c r="I2861" s="1" t="s">
        <v>11063</v>
      </c>
      <c r="J2861" s="11">
        <v>44729.706458333334</v>
      </c>
      <c r="K2861" s="1" t="s">
        <v>7529</v>
      </c>
      <c r="L2861" s="1">
        <v>0.57699999999999996</v>
      </c>
      <c r="M2861" s="1">
        <v>0.70599999999999996</v>
      </c>
      <c r="N2861">
        <v>0</v>
      </c>
      <c r="O2861" s="1">
        <v>-7.4210000000000003</v>
      </c>
      <c r="P2861">
        <v>0</v>
      </c>
      <c r="Q2861" s="1">
        <v>0.40400000000000003</v>
      </c>
      <c r="R2861" s="1">
        <v>0.14699999999999999</v>
      </c>
      <c r="S2861" s="1">
        <v>0.25600000000000001</v>
      </c>
      <c r="T2861" s="1">
        <v>0.128</v>
      </c>
      <c r="U2861" s="1">
        <v>0.45800000000000002</v>
      </c>
      <c r="V2861" s="1">
        <v>129.97399999999999</v>
      </c>
      <c r="W2861">
        <v>4</v>
      </c>
    </row>
    <row r="2862" spans="1:23" x14ac:dyDescent="0.25">
      <c r="A2862" s="1" t="s">
        <v>19815</v>
      </c>
      <c r="B2862" s="1" t="s">
        <v>19816</v>
      </c>
      <c r="C2862" s="1" t="s">
        <v>7530</v>
      </c>
      <c r="D2862" s="1" t="s">
        <v>7530</v>
      </c>
      <c r="E2862" s="1" t="s">
        <v>7531</v>
      </c>
      <c r="F2862" s="1" t="s">
        <v>19817</v>
      </c>
      <c r="G2862">
        <v>391285</v>
      </c>
      <c r="H2862">
        <v>35</v>
      </c>
      <c r="I2862" s="1" t="s">
        <v>11063</v>
      </c>
      <c r="J2862" s="11">
        <v>44729.706458333334</v>
      </c>
      <c r="K2862" s="1" t="s">
        <v>3203</v>
      </c>
      <c r="L2862" s="1">
        <v>0.35299999999999998</v>
      </c>
      <c r="M2862" s="1">
        <v>0.61899999999999999</v>
      </c>
      <c r="N2862">
        <v>0</v>
      </c>
      <c r="O2862" s="1">
        <v>-8.0210000000000008</v>
      </c>
      <c r="P2862">
        <v>0</v>
      </c>
      <c r="Q2862" s="1">
        <v>0.36599999999999999</v>
      </c>
      <c r="R2862" s="1">
        <v>0.19500000000000001</v>
      </c>
      <c r="S2862" s="1">
        <v>0.124</v>
      </c>
      <c r="T2862" s="1">
        <v>0.125</v>
      </c>
      <c r="U2862" s="1">
        <v>0.78600000000000003</v>
      </c>
      <c r="V2862" s="1">
        <v>140.024</v>
      </c>
      <c r="W2862">
        <v>4</v>
      </c>
    </row>
    <row r="2863" spans="1:23" x14ac:dyDescent="0.25">
      <c r="A2863" s="1" t="s">
        <v>19818</v>
      </c>
      <c r="B2863" s="1" t="s">
        <v>14925</v>
      </c>
      <c r="C2863" s="1" t="s">
        <v>7532</v>
      </c>
      <c r="D2863" s="1" t="s">
        <v>7532</v>
      </c>
      <c r="E2863" s="1" t="s">
        <v>3202</v>
      </c>
      <c r="F2863" s="1" t="s">
        <v>19810</v>
      </c>
      <c r="G2863">
        <v>218625</v>
      </c>
      <c r="H2863">
        <v>35</v>
      </c>
      <c r="I2863" s="1" t="s">
        <v>11063</v>
      </c>
      <c r="J2863" s="11">
        <v>44729.706458333334</v>
      </c>
      <c r="K2863" s="1" t="s">
        <v>3203</v>
      </c>
      <c r="L2863" s="1">
        <v>0.39700000000000002</v>
      </c>
      <c r="M2863" s="1">
        <v>0.73399999999999999</v>
      </c>
      <c r="N2863">
        <v>8</v>
      </c>
      <c r="O2863" s="1">
        <v>-6.6769999999999996</v>
      </c>
      <c r="P2863">
        <v>0</v>
      </c>
      <c r="Q2863" s="1">
        <v>0.62</v>
      </c>
      <c r="R2863" s="1">
        <v>0.129</v>
      </c>
      <c r="S2863" s="1">
        <v>0.23400000000000001</v>
      </c>
      <c r="T2863" s="1">
        <v>0.17399999999999999</v>
      </c>
      <c r="U2863" s="1">
        <v>0.26400000000000001</v>
      </c>
      <c r="V2863" s="1">
        <v>75.058000000000007</v>
      </c>
      <c r="W2863">
        <v>4</v>
      </c>
    </row>
    <row r="2864" spans="1:23" x14ac:dyDescent="0.25">
      <c r="A2864" s="1" t="s">
        <v>19819</v>
      </c>
      <c r="B2864" s="1" t="s">
        <v>19820</v>
      </c>
      <c r="C2864" s="1" t="s">
        <v>7533</v>
      </c>
      <c r="D2864" s="1" t="s">
        <v>7533</v>
      </c>
      <c r="E2864" s="1" t="s">
        <v>7534</v>
      </c>
      <c r="F2864" s="1" t="s">
        <v>19821</v>
      </c>
      <c r="G2864">
        <v>267857</v>
      </c>
      <c r="H2864">
        <v>34</v>
      </c>
      <c r="I2864" s="1" t="s">
        <v>11063</v>
      </c>
      <c r="J2864" s="11">
        <v>44729.706458333334</v>
      </c>
      <c r="K2864" s="1" t="s">
        <v>7535</v>
      </c>
      <c r="L2864" s="1">
        <v>0.51500000000000001</v>
      </c>
      <c r="M2864" s="1">
        <v>0.69399999999999995</v>
      </c>
      <c r="N2864">
        <v>1</v>
      </c>
      <c r="O2864" s="1">
        <v>-4.375</v>
      </c>
      <c r="P2864">
        <v>1</v>
      </c>
      <c r="Q2864" s="1">
        <v>0.312</v>
      </c>
      <c r="R2864" s="1">
        <v>0.84899999999999998</v>
      </c>
      <c r="S2864" s="1">
        <v>0.53100000000000003</v>
      </c>
      <c r="T2864" s="1">
        <v>0.69</v>
      </c>
      <c r="U2864" s="1">
        <v>0.27200000000000002</v>
      </c>
      <c r="V2864" s="1">
        <v>139.94999999999999</v>
      </c>
      <c r="W2864">
        <v>4</v>
      </c>
    </row>
    <row r="2865" spans="1:23" x14ac:dyDescent="0.25">
      <c r="A2865" s="1" t="s">
        <v>19822</v>
      </c>
      <c r="B2865" s="1" t="s">
        <v>19823</v>
      </c>
      <c r="C2865" s="1" t="s">
        <v>7536</v>
      </c>
      <c r="D2865" s="1" t="s">
        <v>7536</v>
      </c>
      <c r="E2865" s="1" t="s">
        <v>7537</v>
      </c>
      <c r="F2865" s="1" t="s">
        <v>19824</v>
      </c>
      <c r="G2865">
        <v>406178</v>
      </c>
      <c r="H2865">
        <v>37</v>
      </c>
      <c r="I2865" s="1" t="s">
        <v>11063</v>
      </c>
      <c r="J2865" s="11">
        <v>44729.706458333334</v>
      </c>
      <c r="K2865" s="1" t="s">
        <v>3203</v>
      </c>
      <c r="L2865" s="1">
        <v>0.45500000000000002</v>
      </c>
      <c r="M2865" s="1">
        <v>0.66600000000000004</v>
      </c>
      <c r="N2865">
        <v>7</v>
      </c>
      <c r="O2865" s="1">
        <v>-7.4909999999999997</v>
      </c>
      <c r="P2865">
        <v>1</v>
      </c>
      <c r="Q2865" s="1">
        <v>0.53500000000000003</v>
      </c>
      <c r="R2865" s="1">
        <v>0.95199999999999996</v>
      </c>
      <c r="S2865" s="1">
        <v>0</v>
      </c>
      <c r="T2865" s="1">
        <v>0.10100000000000001</v>
      </c>
      <c r="U2865" s="1">
        <v>0.14000000000000001</v>
      </c>
      <c r="V2865" s="1">
        <v>140.11699999999999</v>
      </c>
      <c r="W2865">
        <v>4</v>
      </c>
    </row>
    <row r="2866" spans="1:23" x14ac:dyDescent="0.25">
      <c r="A2866" s="1" t="s">
        <v>19825</v>
      </c>
      <c r="B2866" s="1" t="s">
        <v>14925</v>
      </c>
      <c r="C2866" s="1" t="s">
        <v>7538</v>
      </c>
      <c r="D2866" s="1" t="s">
        <v>7538</v>
      </c>
      <c r="E2866" s="1" t="s">
        <v>3202</v>
      </c>
      <c r="F2866" s="1" t="s">
        <v>19824</v>
      </c>
      <c r="G2866">
        <v>298332</v>
      </c>
      <c r="H2866">
        <v>39</v>
      </c>
      <c r="I2866" s="1" t="s">
        <v>11063</v>
      </c>
      <c r="J2866" s="11">
        <v>44729.706458333334</v>
      </c>
      <c r="K2866" s="1" t="s">
        <v>3203</v>
      </c>
      <c r="L2866" s="1">
        <v>0.52200000000000002</v>
      </c>
      <c r="M2866" s="1">
        <v>0.624</v>
      </c>
      <c r="N2866">
        <v>11</v>
      </c>
      <c r="O2866" s="1">
        <v>-5.2389999999999999</v>
      </c>
      <c r="P2866">
        <v>0</v>
      </c>
      <c r="Q2866" s="1">
        <v>0.32900000000000001</v>
      </c>
      <c r="R2866" s="1">
        <v>0.89800000000000002</v>
      </c>
      <c r="S2866" s="1">
        <v>0.97</v>
      </c>
      <c r="T2866" s="1">
        <v>0.64</v>
      </c>
      <c r="U2866" s="1">
        <v>0.33800000000000002</v>
      </c>
      <c r="V2866" s="1">
        <v>140.017</v>
      </c>
      <c r="W2866">
        <v>4</v>
      </c>
    </row>
    <row r="2867" spans="1:23" x14ac:dyDescent="0.25">
      <c r="A2867" s="1" t="s">
        <v>19826</v>
      </c>
      <c r="B2867" s="1" t="s">
        <v>14925</v>
      </c>
      <c r="C2867" s="1" t="s">
        <v>7539</v>
      </c>
      <c r="D2867" s="1" t="s">
        <v>19827</v>
      </c>
      <c r="E2867" s="1" t="s">
        <v>3202</v>
      </c>
      <c r="F2867" s="1" t="s">
        <v>19828</v>
      </c>
      <c r="G2867">
        <v>252590</v>
      </c>
      <c r="H2867">
        <v>47</v>
      </c>
      <c r="I2867" s="1" t="s">
        <v>11063</v>
      </c>
      <c r="J2867" s="11">
        <v>44729.706458333334</v>
      </c>
      <c r="K2867" s="1" t="s">
        <v>3203</v>
      </c>
      <c r="L2867" s="1">
        <v>0.33500000000000002</v>
      </c>
      <c r="M2867" s="1">
        <v>0.88800000000000001</v>
      </c>
      <c r="N2867">
        <v>0</v>
      </c>
      <c r="O2867" s="1">
        <v>-5.3949999999999996</v>
      </c>
      <c r="P2867">
        <v>0</v>
      </c>
      <c r="Q2867" s="1">
        <v>0.88700000000000001</v>
      </c>
      <c r="R2867" s="1">
        <v>0.14000000000000001</v>
      </c>
      <c r="S2867" s="1">
        <v>0.60399999999999998</v>
      </c>
      <c r="T2867" s="1">
        <v>0.17100000000000001</v>
      </c>
      <c r="U2867" s="1">
        <v>0.14899999999999999</v>
      </c>
      <c r="V2867" s="1">
        <v>139.77000000000001</v>
      </c>
      <c r="W2867">
        <v>4</v>
      </c>
    </row>
    <row r="2868" spans="1:23" x14ac:dyDescent="0.25">
      <c r="A2868" s="1" t="s">
        <v>19829</v>
      </c>
      <c r="B2868" s="1" t="s">
        <v>19830</v>
      </c>
      <c r="C2868" s="1" t="s">
        <v>7540</v>
      </c>
      <c r="D2868" s="1" t="s">
        <v>7540</v>
      </c>
      <c r="E2868" s="1" t="s">
        <v>7541</v>
      </c>
      <c r="F2868" s="1" t="s">
        <v>16294</v>
      </c>
      <c r="G2868">
        <v>245200</v>
      </c>
      <c r="H2868">
        <v>46</v>
      </c>
      <c r="I2868" s="1" t="s">
        <v>11063</v>
      </c>
      <c r="J2868" s="11">
        <v>44729.706458333334</v>
      </c>
      <c r="K2868" s="1" t="s">
        <v>7542</v>
      </c>
      <c r="L2868" s="1">
        <v>0.49099999999999999</v>
      </c>
      <c r="M2868" s="1">
        <v>0.68400000000000005</v>
      </c>
      <c r="N2868">
        <v>0</v>
      </c>
      <c r="O2868" s="1">
        <v>-8.1449999999999996</v>
      </c>
      <c r="P2868">
        <v>1</v>
      </c>
      <c r="Q2868" s="1">
        <v>0.46200000000000002</v>
      </c>
      <c r="R2868" s="1">
        <v>0.249</v>
      </c>
      <c r="S2868" s="1">
        <v>0.17199999999999999</v>
      </c>
      <c r="T2868" s="1">
        <v>0.82299999999999995</v>
      </c>
      <c r="U2868" s="1">
        <v>0.14699999999999999</v>
      </c>
      <c r="V2868" s="1">
        <v>150.12899999999999</v>
      </c>
      <c r="W2868">
        <v>4</v>
      </c>
    </row>
    <row r="2869" spans="1:23" x14ac:dyDescent="0.25">
      <c r="A2869" s="1" t="s">
        <v>19831</v>
      </c>
      <c r="B2869" s="1" t="s">
        <v>19832</v>
      </c>
      <c r="C2869" s="1" t="s">
        <v>3599</v>
      </c>
      <c r="D2869" s="1" t="s">
        <v>19246</v>
      </c>
      <c r="E2869" s="1" t="s">
        <v>7543</v>
      </c>
      <c r="F2869" s="1" t="s">
        <v>19247</v>
      </c>
      <c r="G2869">
        <v>361525</v>
      </c>
      <c r="H2869">
        <v>42</v>
      </c>
      <c r="I2869" s="1" t="s">
        <v>11063</v>
      </c>
      <c r="J2869" s="11">
        <v>44729.706458333334</v>
      </c>
      <c r="K2869" s="1" t="s">
        <v>6035</v>
      </c>
      <c r="L2869" s="1">
        <v>0.626</v>
      </c>
      <c r="M2869" s="1">
        <v>0.76600000000000001</v>
      </c>
      <c r="N2869">
        <v>6</v>
      </c>
      <c r="O2869" s="1">
        <v>-4.2679999999999998</v>
      </c>
      <c r="P2869">
        <v>0</v>
      </c>
      <c r="Q2869" s="1">
        <v>0.53400000000000003</v>
      </c>
      <c r="R2869" s="1">
        <v>0.26300000000000001</v>
      </c>
      <c r="S2869" s="1">
        <v>0.70799999999999996</v>
      </c>
      <c r="T2869" s="1">
        <v>0.77</v>
      </c>
      <c r="U2869" s="1">
        <v>0.42</v>
      </c>
      <c r="V2869" s="1">
        <v>135.017</v>
      </c>
      <c r="W2869">
        <v>4</v>
      </c>
    </row>
    <row r="2870" spans="1:23" x14ac:dyDescent="0.25">
      <c r="A2870" s="1" t="s">
        <v>19833</v>
      </c>
      <c r="B2870" s="1" t="s">
        <v>18328</v>
      </c>
      <c r="C2870" s="1" t="s">
        <v>6220</v>
      </c>
      <c r="D2870" s="1" t="s">
        <v>18329</v>
      </c>
      <c r="E2870" s="1" t="s">
        <v>6221</v>
      </c>
      <c r="F2870" s="1" t="s">
        <v>14620</v>
      </c>
      <c r="G2870">
        <v>195825</v>
      </c>
      <c r="H2870">
        <v>0</v>
      </c>
      <c r="I2870" s="1" t="s">
        <v>11063</v>
      </c>
      <c r="J2870" s="11">
        <v>44729.706458333334</v>
      </c>
      <c r="K2870" s="1" t="s">
        <v>6222</v>
      </c>
      <c r="L2870" s="1">
        <v>0.64800000000000002</v>
      </c>
      <c r="M2870" s="1">
        <v>0.72599999999999998</v>
      </c>
      <c r="N2870">
        <v>6</v>
      </c>
      <c r="O2870" s="1">
        <v>-6.8529999999999998</v>
      </c>
      <c r="P2870">
        <v>0</v>
      </c>
      <c r="Q2870" s="1">
        <v>0.35</v>
      </c>
      <c r="R2870" s="1">
        <v>0.217</v>
      </c>
      <c r="S2870" s="1">
        <v>0.51700000000000002</v>
      </c>
      <c r="T2870" s="1">
        <v>0.124</v>
      </c>
      <c r="U2870" s="1">
        <v>0.26</v>
      </c>
      <c r="V2870" s="1">
        <v>129.95099999999999</v>
      </c>
      <c r="W2870">
        <v>4</v>
      </c>
    </row>
    <row r="2871" spans="1:23" x14ac:dyDescent="0.25">
      <c r="A2871" s="1" t="s">
        <v>19834</v>
      </c>
      <c r="B2871" s="1" t="s">
        <v>19835</v>
      </c>
      <c r="C2871" s="1" t="s">
        <v>7544</v>
      </c>
      <c r="D2871" s="1" t="s">
        <v>19836</v>
      </c>
      <c r="E2871" s="1" t="s">
        <v>7545</v>
      </c>
      <c r="F2871" s="1" t="s">
        <v>18183</v>
      </c>
      <c r="G2871">
        <v>313984</v>
      </c>
      <c r="H2871">
        <v>14</v>
      </c>
      <c r="I2871" s="1" t="s">
        <v>11063</v>
      </c>
      <c r="J2871" s="11">
        <v>44729.706458333334</v>
      </c>
      <c r="K2871" s="1" t="s">
        <v>4722</v>
      </c>
      <c r="L2871" s="1">
        <v>0.23400000000000001</v>
      </c>
      <c r="M2871" s="1">
        <v>0.77600000000000002</v>
      </c>
      <c r="N2871">
        <v>6</v>
      </c>
      <c r="O2871" s="1">
        <v>-5.1289999999999996</v>
      </c>
      <c r="P2871">
        <v>1</v>
      </c>
      <c r="Q2871" s="1">
        <v>0.46600000000000003</v>
      </c>
      <c r="R2871" s="1">
        <v>0.157</v>
      </c>
      <c r="S2871" s="1">
        <v>0.13900000000000001</v>
      </c>
      <c r="T2871" s="1">
        <v>0.124</v>
      </c>
      <c r="U2871" s="1">
        <v>0.16300000000000001</v>
      </c>
      <c r="V2871" s="1">
        <v>147.28700000000001</v>
      </c>
      <c r="W2871">
        <v>4</v>
      </c>
    </row>
    <row r="2872" spans="1:23" x14ac:dyDescent="0.25">
      <c r="A2872" s="1" t="s">
        <v>19837</v>
      </c>
      <c r="B2872" s="1" t="s">
        <v>19838</v>
      </c>
      <c r="C2872" s="1" t="s">
        <v>7546</v>
      </c>
      <c r="D2872" s="1" t="s">
        <v>19839</v>
      </c>
      <c r="E2872" s="1" t="s">
        <v>7547</v>
      </c>
      <c r="F2872" s="1" t="s">
        <v>15297</v>
      </c>
      <c r="G2872">
        <v>202025</v>
      </c>
      <c r="H2872">
        <v>0</v>
      </c>
      <c r="I2872" s="1" t="s">
        <v>11063</v>
      </c>
      <c r="J2872" s="11">
        <v>44729.706458333334</v>
      </c>
      <c r="K2872" s="1" t="s">
        <v>7548</v>
      </c>
      <c r="L2872" s="1">
        <v>0.48599999999999999</v>
      </c>
      <c r="M2872" s="1">
        <v>0.751</v>
      </c>
      <c r="N2872">
        <v>1</v>
      </c>
      <c r="O2872" s="1">
        <v>-4.8010000000000002</v>
      </c>
      <c r="P2872">
        <v>1</v>
      </c>
      <c r="Q2872" s="1">
        <v>0.29799999999999999</v>
      </c>
      <c r="R2872" s="1">
        <v>0.24</v>
      </c>
      <c r="S2872" s="1">
        <v>0.21099999999999999</v>
      </c>
      <c r="T2872" s="1">
        <v>0.23499999999999999</v>
      </c>
      <c r="U2872" s="1">
        <v>0.20799999999999999</v>
      </c>
      <c r="V2872" s="1">
        <v>157.96600000000001</v>
      </c>
      <c r="W2872">
        <v>4</v>
      </c>
    </row>
    <row r="2873" spans="1:23" x14ac:dyDescent="0.25">
      <c r="A2873" s="1" t="s">
        <v>19840</v>
      </c>
      <c r="B2873" s="1" t="s">
        <v>19841</v>
      </c>
      <c r="C2873" s="1" t="s">
        <v>7549</v>
      </c>
      <c r="D2873" s="1" t="s">
        <v>7549</v>
      </c>
      <c r="E2873" s="1" t="s">
        <v>7550</v>
      </c>
      <c r="F2873" s="1" t="s">
        <v>11399</v>
      </c>
      <c r="G2873">
        <v>182654</v>
      </c>
      <c r="H2873">
        <v>54</v>
      </c>
      <c r="I2873" s="1" t="s">
        <v>11063</v>
      </c>
      <c r="J2873" s="11">
        <v>44729.706458333334</v>
      </c>
      <c r="K2873" s="1" t="s">
        <v>463</v>
      </c>
      <c r="L2873" s="1">
        <v>0.753</v>
      </c>
      <c r="M2873" s="1">
        <v>0.61599999999999999</v>
      </c>
      <c r="N2873">
        <v>10</v>
      </c>
      <c r="O2873" s="1">
        <v>-6.9</v>
      </c>
      <c r="P2873">
        <v>0</v>
      </c>
      <c r="Q2873" s="1">
        <v>0.38700000000000001</v>
      </c>
      <c r="R2873" s="1">
        <v>0.3</v>
      </c>
      <c r="S2873" s="1">
        <v>0.111</v>
      </c>
      <c r="T2873" s="1">
        <v>0.108</v>
      </c>
      <c r="U2873" s="1">
        <v>0.308</v>
      </c>
      <c r="V2873" s="1">
        <v>112.99</v>
      </c>
      <c r="W2873">
        <v>4</v>
      </c>
    </row>
    <row r="2874" spans="1:23" x14ac:dyDescent="0.25">
      <c r="A2874" s="1" t="s">
        <v>19842</v>
      </c>
      <c r="B2874" s="1" t="s">
        <v>19843</v>
      </c>
      <c r="C2874" s="1" t="s">
        <v>7551</v>
      </c>
      <c r="D2874" s="1" t="s">
        <v>19844</v>
      </c>
      <c r="E2874" s="1" t="s">
        <v>7552</v>
      </c>
      <c r="F2874" s="1" t="s">
        <v>13677</v>
      </c>
      <c r="G2874">
        <v>184563</v>
      </c>
      <c r="H2874">
        <v>0</v>
      </c>
      <c r="I2874" s="1" t="s">
        <v>11063</v>
      </c>
      <c r="J2874" s="11">
        <v>44729.706458333334</v>
      </c>
      <c r="K2874" s="1" t="s">
        <v>3819</v>
      </c>
      <c r="L2874" s="1">
        <v>0.56699999999999995</v>
      </c>
      <c r="M2874" s="1">
        <v>0.76100000000000001</v>
      </c>
      <c r="N2874">
        <v>7</v>
      </c>
      <c r="O2874" s="1">
        <v>-5.2530000000000001</v>
      </c>
      <c r="P2874">
        <v>0</v>
      </c>
      <c r="Q2874" s="1">
        <v>0.44400000000000001</v>
      </c>
      <c r="R2874" s="1">
        <v>0.54400000000000004</v>
      </c>
      <c r="S2874" s="1">
        <v>0</v>
      </c>
      <c r="T2874" s="1">
        <v>0.123</v>
      </c>
      <c r="U2874" s="1">
        <v>0.32900000000000001</v>
      </c>
      <c r="V2874" s="1">
        <v>142.00399999999999</v>
      </c>
      <c r="W2874">
        <v>4</v>
      </c>
    </row>
    <row r="2875" spans="1:23" x14ac:dyDescent="0.25">
      <c r="A2875" s="1" t="s">
        <v>19845</v>
      </c>
      <c r="B2875" s="1" t="s">
        <v>19846</v>
      </c>
      <c r="C2875" s="1" t="s">
        <v>7553</v>
      </c>
      <c r="D2875" s="1" t="s">
        <v>19847</v>
      </c>
      <c r="E2875" s="1" t="s">
        <v>7554</v>
      </c>
      <c r="F2875" s="1" t="s">
        <v>19848</v>
      </c>
      <c r="G2875">
        <v>146440</v>
      </c>
      <c r="H2875">
        <v>14</v>
      </c>
      <c r="I2875" s="1" t="s">
        <v>11063</v>
      </c>
      <c r="J2875" s="11">
        <v>44729.706458333334</v>
      </c>
      <c r="K2875" s="1" t="s">
        <v>50</v>
      </c>
      <c r="L2875" s="1">
        <v>0.76</v>
      </c>
      <c r="M2875" s="1">
        <v>0.79100000000000004</v>
      </c>
      <c r="N2875">
        <v>9</v>
      </c>
      <c r="O2875" s="1">
        <v>-8.1010000000000009</v>
      </c>
      <c r="P2875">
        <v>0</v>
      </c>
      <c r="Q2875" s="1">
        <v>0.39100000000000001</v>
      </c>
      <c r="R2875" s="1">
        <v>0.16800000000000001</v>
      </c>
      <c r="S2875" s="1">
        <v>0.79900000000000004</v>
      </c>
      <c r="T2875" s="1">
        <v>0.72299999999999998</v>
      </c>
      <c r="U2875" s="1">
        <v>0.48399999999999999</v>
      </c>
      <c r="V2875" s="1">
        <v>118.032</v>
      </c>
      <c r="W2875">
        <v>4</v>
      </c>
    </row>
    <row r="2876" spans="1:23" x14ac:dyDescent="0.25">
      <c r="A2876" s="1" t="s">
        <v>19849</v>
      </c>
      <c r="B2876" s="1" t="s">
        <v>15527</v>
      </c>
      <c r="C2876" s="1" t="s">
        <v>6080</v>
      </c>
      <c r="D2876" s="1" t="s">
        <v>6080</v>
      </c>
      <c r="E2876" s="1" t="s">
        <v>3748</v>
      </c>
      <c r="F2876" s="1" t="s">
        <v>17081</v>
      </c>
      <c r="G2876">
        <v>224001</v>
      </c>
      <c r="H2876">
        <v>37</v>
      </c>
      <c r="I2876" s="1" t="s">
        <v>11063</v>
      </c>
      <c r="J2876" s="11">
        <v>44729.706458333334</v>
      </c>
      <c r="K2876" s="1" t="s">
        <v>3749</v>
      </c>
      <c r="L2876" s="1">
        <v>0.52200000000000002</v>
      </c>
      <c r="M2876" s="1">
        <v>0.76300000000000001</v>
      </c>
      <c r="N2876">
        <v>2</v>
      </c>
      <c r="O2876" s="1">
        <v>-6.234</v>
      </c>
      <c r="P2876">
        <v>1</v>
      </c>
      <c r="Q2876" s="1">
        <v>0.42499999999999999</v>
      </c>
      <c r="R2876" s="1">
        <v>0.19900000000000001</v>
      </c>
      <c r="S2876" s="1">
        <v>0.86599999999999999</v>
      </c>
      <c r="T2876" s="1">
        <v>0.106</v>
      </c>
      <c r="U2876" s="1">
        <v>0.97699999999999998</v>
      </c>
      <c r="V2876" s="1">
        <v>150.02199999999999</v>
      </c>
      <c r="W2876">
        <v>4</v>
      </c>
    </row>
    <row r="2877" spans="1:23" x14ac:dyDescent="0.25">
      <c r="A2877" s="1" t="s">
        <v>19850</v>
      </c>
      <c r="B2877" s="1" t="s">
        <v>19851</v>
      </c>
      <c r="C2877" s="1" t="s">
        <v>7555</v>
      </c>
      <c r="D2877" s="1" t="s">
        <v>19852</v>
      </c>
      <c r="E2877" s="1" t="s">
        <v>7556</v>
      </c>
      <c r="F2877" s="1" t="s">
        <v>19853</v>
      </c>
      <c r="G2877">
        <v>172500</v>
      </c>
      <c r="H2877">
        <v>45</v>
      </c>
      <c r="I2877" s="1" t="s">
        <v>11063</v>
      </c>
      <c r="J2877" s="11">
        <v>44729.706458333334</v>
      </c>
      <c r="K2877" s="1" t="s">
        <v>50</v>
      </c>
      <c r="L2877" s="1">
        <v>0.63500000000000001</v>
      </c>
      <c r="M2877" s="1">
        <v>0.65800000000000003</v>
      </c>
      <c r="N2877">
        <v>4</v>
      </c>
      <c r="O2877" s="1">
        <v>-5.8920000000000003</v>
      </c>
      <c r="P2877">
        <v>0</v>
      </c>
      <c r="Q2877" s="1">
        <v>0.57499999999999996</v>
      </c>
      <c r="R2877" s="1">
        <v>0.377</v>
      </c>
      <c r="S2877" s="1">
        <v>0</v>
      </c>
      <c r="T2877" s="1">
        <v>0.14899999999999999</v>
      </c>
      <c r="U2877" s="1">
        <v>0.23699999999999999</v>
      </c>
      <c r="V2877" s="1">
        <v>125.928</v>
      </c>
      <c r="W2877">
        <v>4</v>
      </c>
    </row>
    <row r="2878" spans="1:23" x14ac:dyDescent="0.25">
      <c r="A2878" s="1" t="s">
        <v>19854</v>
      </c>
      <c r="B2878" s="1" t="s">
        <v>16284</v>
      </c>
      <c r="C2878" s="1" t="s">
        <v>7557</v>
      </c>
      <c r="D2878" s="1" t="s">
        <v>7557</v>
      </c>
      <c r="E2878" s="1" t="s">
        <v>4386</v>
      </c>
      <c r="F2878" s="1" t="s">
        <v>18492</v>
      </c>
      <c r="G2878">
        <v>205295</v>
      </c>
      <c r="H2878">
        <v>53</v>
      </c>
      <c r="I2878" s="1" t="s">
        <v>11063</v>
      </c>
      <c r="J2878" s="11">
        <v>44729.706458333334</v>
      </c>
      <c r="K2878" s="1" t="s">
        <v>4387</v>
      </c>
      <c r="L2878" s="1">
        <v>0.59799999999999998</v>
      </c>
      <c r="M2878" s="1">
        <v>0.41499999999999998</v>
      </c>
      <c r="N2878">
        <v>6</v>
      </c>
      <c r="O2878" s="1">
        <v>-7.0810000000000004</v>
      </c>
      <c r="P2878">
        <v>1</v>
      </c>
      <c r="Q2878" s="1">
        <v>0.66800000000000004</v>
      </c>
      <c r="R2878" s="1">
        <v>0.19900000000000001</v>
      </c>
      <c r="S2878" s="1">
        <v>0</v>
      </c>
      <c r="T2878" s="1">
        <v>0.111</v>
      </c>
      <c r="U2878" s="1">
        <v>0.29899999999999999</v>
      </c>
      <c r="V2878" s="1">
        <v>120.151</v>
      </c>
      <c r="W2878">
        <v>4</v>
      </c>
    </row>
    <row r="2879" spans="1:23" x14ac:dyDescent="0.25">
      <c r="A2879" s="1" t="s">
        <v>19855</v>
      </c>
      <c r="B2879" s="1" t="s">
        <v>19856</v>
      </c>
      <c r="C2879" s="1" t="s">
        <v>7558</v>
      </c>
      <c r="D2879" s="1" t="s">
        <v>19857</v>
      </c>
      <c r="E2879" s="1" t="s">
        <v>7559</v>
      </c>
      <c r="F2879" s="1" t="s">
        <v>11577</v>
      </c>
      <c r="G2879">
        <v>217126</v>
      </c>
      <c r="H2879">
        <v>54</v>
      </c>
      <c r="I2879" s="1" t="s">
        <v>11063</v>
      </c>
      <c r="J2879" s="11">
        <v>44729.706458333334</v>
      </c>
      <c r="K2879" s="1" t="s">
        <v>7560</v>
      </c>
      <c r="L2879" s="1">
        <v>0.69699999999999995</v>
      </c>
      <c r="M2879" s="1">
        <v>0.65900000000000003</v>
      </c>
      <c r="N2879">
        <v>10</v>
      </c>
      <c r="O2879" s="1">
        <v>-5.5439999999999996</v>
      </c>
      <c r="P2879">
        <v>1</v>
      </c>
      <c r="Q2879" s="1">
        <v>0.104</v>
      </c>
      <c r="R2879" s="1">
        <v>0.217</v>
      </c>
      <c r="S2879" s="1">
        <v>0</v>
      </c>
      <c r="T2879" s="1">
        <v>0.254</v>
      </c>
      <c r="U2879" s="1">
        <v>0.49</v>
      </c>
      <c r="V2879" s="1">
        <v>150.941</v>
      </c>
      <c r="W2879">
        <v>4</v>
      </c>
    </row>
    <row r="2880" spans="1:23" x14ac:dyDescent="0.25">
      <c r="A2880" s="1" t="s">
        <v>19858</v>
      </c>
      <c r="B2880" s="1" t="s">
        <v>16284</v>
      </c>
      <c r="C2880" s="1" t="s">
        <v>7561</v>
      </c>
      <c r="D2880" s="1" t="s">
        <v>7561</v>
      </c>
      <c r="E2880" s="1" t="s">
        <v>4386</v>
      </c>
      <c r="F2880" s="1" t="s">
        <v>14841</v>
      </c>
      <c r="G2880">
        <v>155351</v>
      </c>
      <c r="H2880">
        <v>53</v>
      </c>
      <c r="I2880" s="1" t="s">
        <v>11063</v>
      </c>
      <c r="J2880" s="11">
        <v>44729.706458333334</v>
      </c>
      <c r="K2880" s="1" t="s">
        <v>4387</v>
      </c>
      <c r="L2880" s="1">
        <v>0.91800000000000004</v>
      </c>
      <c r="M2880" s="1">
        <v>0.60199999999999998</v>
      </c>
      <c r="N2880">
        <v>1</v>
      </c>
      <c r="O2880" s="1">
        <v>-8.891</v>
      </c>
      <c r="P2880">
        <v>1</v>
      </c>
      <c r="Q2880" s="1">
        <v>0.60299999999999998</v>
      </c>
      <c r="R2880" s="1">
        <v>0.73199999999999998</v>
      </c>
      <c r="S2880" s="1">
        <v>0.19400000000000001</v>
      </c>
      <c r="T2880" s="1">
        <v>0.41699999999999998</v>
      </c>
      <c r="U2880" s="1">
        <v>0.81</v>
      </c>
      <c r="V2880" s="1">
        <v>110.996</v>
      </c>
      <c r="W2880">
        <v>4</v>
      </c>
    </row>
    <row r="2881" spans="1:23" x14ac:dyDescent="0.25">
      <c r="A2881" s="1" t="s">
        <v>19859</v>
      </c>
      <c r="B2881" s="1" t="s">
        <v>13965</v>
      </c>
      <c r="C2881" s="1" t="s">
        <v>7562</v>
      </c>
      <c r="D2881" s="1" t="s">
        <v>19860</v>
      </c>
      <c r="E2881" s="1" t="s">
        <v>2369</v>
      </c>
      <c r="F2881" s="1" t="s">
        <v>19861</v>
      </c>
      <c r="G2881">
        <v>224746</v>
      </c>
      <c r="H2881">
        <v>39</v>
      </c>
      <c r="I2881" s="1" t="s">
        <v>11063</v>
      </c>
      <c r="J2881" s="11">
        <v>44729.706458333334</v>
      </c>
      <c r="K2881" s="1" t="s">
        <v>2370</v>
      </c>
      <c r="L2881" s="1">
        <v>0.745</v>
      </c>
      <c r="M2881" s="1">
        <v>0.3</v>
      </c>
      <c r="N2881">
        <v>0</v>
      </c>
      <c r="O2881" s="1">
        <v>-12.403</v>
      </c>
      <c r="P2881">
        <v>1</v>
      </c>
      <c r="Q2881" s="1">
        <v>0.151</v>
      </c>
      <c r="R2881" s="1">
        <v>0.80800000000000005</v>
      </c>
      <c r="S2881" s="1">
        <v>0</v>
      </c>
      <c r="T2881" s="1">
        <v>0.14199999999999999</v>
      </c>
      <c r="U2881" s="1">
        <v>0.42099999999999999</v>
      </c>
      <c r="V2881" s="1">
        <v>117.88500000000001</v>
      </c>
      <c r="W2881">
        <v>4</v>
      </c>
    </row>
    <row r="2882" spans="1:23" x14ac:dyDescent="0.25">
      <c r="A2882" s="1" t="s">
        <v>19862</v>
      </c>
      <c r="B2882" s="1" t="s">
        <v>13965</v>
      </c>
      <c r="C2882" s="1" t="s">
        <v>7563</v>
      </c>
      <c r="D2882" s="1" t="s">
        <v>7563</v>
      </c>
      <c r="E2882" s="1" t="s">
        <v>2369</v>
      </c>
      <c r="F2882" s="1" t="s">
        <v>11669</v>
      </c>
      <c r="G2882">
        <v>164704</v>
      </c>
      <c r="H2882">
        <v>38</v>
      </c>
      <c r="I2882" s="1" t="s">
        <v>11063</v>
      </c>
      <c r="J2882" s="11">
        <v>44729.706458333334</v>
      </c>
      <c r="K2882" s="1" t="s">
        <v>2370</v>
      </c>
      <c r="L2882" s="1">
        <v>0.59</v>
      </c>
      <c r="M2882" s="1">
        <v>0.25900000000000001</v>
      </c>
      <c r="N2882">
        <v>11</v>
      </c>
      <c r="O2882" s="1">
        <v>-12.308999999999999</v>
      </c>
      <c r="P2882">
        <v>1</v>
      </c>
      <c r="Q2882" s="1">
        <v>0.41699999999999998</v>
      </c>
      <c r="R2882" s="1">
        <v>0.72699999999999998</v>
      </c>
      <c r="S2882" s="1">
        <v>0.113</v>
      </c>
      <c r="T2882" s="1">
        <v>0.114</v>
      </c>
      <c r="U2882" s="1">
        <v>0.46400000000000002</v>
      </c>
      <c r="V2882" s="1">
        <v>180.148</v>
      </c>
      <c r="W2882">
        <v>4</v>
      </c>
    </row>
    <row r="2883" spans="1:23" x14ac:dyDescent="0.25">
      <c r="A2883" s="1" t="s">
        <v>19863</v>
      </c>
      <c r="B2883" s="1" t="s">
        <v>13965</v>
      </c>
      <c r="C2883" s="1" t="s">
        <v>2345</v>
      </c>
      <c r="D2883" s="1" t="s">
        <v>19860</v>
      </c>
      <c r="E2883" s="1" t="s">
        <v>2369</v>
      </c>
      <c r="F2883" s="1" t="s">
        <v>19861</v>
      </c>
      <c r="G2883">
        <v>217413</v>
      </c>
      <c r="H2883">
        <v>44</v>
      </c>
      <c r="I2883" s="1" t="s">
        <v>11063</v>
      </c>
      <c r="J2883" s="11">
        <v>44729.706458333334</v>
      </c>
      <c r="K2883" s="1" t="s">
        <v>2370</v>
      </c>
      <c r="L2883" s="1">
        <v>0.67600000000000005</v>
      </c>
      <c r="M2883" s="1">
        <v>0.40500000000000003</v>
      </c>
      <c r="N2883">
        <v>5</v>
      </c>
      <c r="O2883" s="1">
        <v>-8.2720000000000002</v>
      </c>
      <c r="P2883">
        <v>1</v>
      </c>
      <c r="Q2883" s="1">
        <v>0.376</v>
      </c>
      <c r="R2883" s="1">
        <v>0.73199999999999998</v>
      </c>
      <c r="S2883" s="1">
        <v>0.58799999999999997</v>
      </c>
      <c r="T2883" s="1">
        <v>0.10299999999999999</v>
      </c>
      <c r="U2883" s="1">
        <v>0.20799999999999999</v>
      </c>
      <c r="V2883" s="1">
        <v>139.97499999999999</v>
      </c>
      <c r="W2883">
        <v>4</v>
      </c>
    </row>
    <row r="2884" spans="1:23" x14ac:dyDescent="0.25">
      <c r="A2884" s="1" t="s">
        <v>19864</v>
      </c>
      <c r="B2884" s="1" t="s">
        <v>13965</v>
      </c>
      <c r="C2884" s="1" t="s">
        <v>7564</v>
      </c>
      <c r="D2884" s="1" t="s">
        <v>7564</v>
      </c>
      <c r="E2884" s="1" t="s">
        <v>2369</v>
      </c>
      <c r="F2884" s="1" t="s">
        <v>16101</v>
      </c>
      <c r="G2884">
        <v>217167</v>
      </c>
      <c r="H2884">
        <v>50</v>
      </c>
      <c r="I2884" s="1" t="s">
        <v>11063</v>
      </c>
      <c r="J2884" s="11">
        <v>44729.706458333334</v>
      </c>
      <c r="K2884" s="1" t="s">
        <v>2370</v>
      </c>
      <c r="L2884" s="1">
        <v>0.68400000000000005</v>
      </c>
      <c r="M2884" s="1">
        <v>0.25900000000000001</v>
      </c>
      <c r="N2884">
        <v>4</v>
      </c>
      <c r="O2884" s="1">
        <v>-11.053000000000001</v>
      </c>
      <c r="P2884">
        <v>0</v>
      </c>
      <c r="Q2884" s="1">
        <v>0.49</v>
      </c>
      <c r="R2884" s="1">
        <v>0.74299999999999999</v>
      </c>
      <c r="S2884" s="1">
        <v>0</v>
      </c>
      <c r="T2884" s="1">
        <v>0.751</v>
      </c>
      <c r="U2884" s="1">
        <v>0.51500000000000001</v>
      </c>
      <c r="V2884" s="1">
        <v>138.01400000000001</v>
      </c>
      <c r="W2884">
        <v>4</v>
      </c>
    </row>
    <row r="2885" spans="1:23" x14ac:dyDescent="0.25">
      <c r="A2885" s="1" t="s">
        <v>19865</v>
      </c>
      <c r="B2885" s="1" t="s">
        <v>13965</v>
      </c>
      <c r="C2885" s="1" t="s">
        <v>7565</v>
      </c>
      <c r="D2885" s="1" t="s">
        <v>19860</v>
      </c>
      <c r="E2885" s="1" t="s">
        <v>2369</v>
      </c>
      <c r="F2885" s="1" t="s">
        <v>19861</v>
      </c>
      <c r="G2885">
        <v>192200</v>
      </c>
      <c r="H2885">
        <v>50</v>
      </c>
      <c r="I2885" s="1" t="s">
        <v>11063</v>
      </c>
      <c r="J2885" s="11">
        <v>44729.706458333334</v>
      </c>
      <c r="K2885" s="1" t="s">
        <v>2370</v>
      </c>
      <c r="L2885" s="1">
        <v>0.749</v>
      </c>
      <c r="M2885" s="1">
        <v>0.41899999999999998</v>
      </c>
      <c r="N2885">
        <v>5</v>
      </c>
      <c r="O2885" s="1">
        <v>-9.41</v>
      </c>
      <c r="P2885">
        <v>1</v>
      </c>
      <c r="Q2885" s="1">
        <v>0.71899999999999997</v>
      </c>
      <c r="R2885" s="1">
        <v>0.52800000000000002</v>
      </c>
      <c r="S2885" s="1">
        <v>0.78500000000000003</v>
      </c>
      <c r="T2885" s="1">
        <v>0.113</v>
      </c>
      <c r="U2885" s="1">
        <v>0.27900000000000003</v>
      </c>
      <c r="V2885" s="1">
        <v>120.166</v>
      </c>
      <c r="W2885">
        <v>4</v>
      </c>
    </row>
    <row r="2886" spans="1:23" x14ac:dyDescent="0.25">
      <c r="A2886" s="1" t="s">
        <v>19866</v>
      </c>
      <c r="B2886" s="1" t="s">
        <v>13965</v>
      </c>
      <c r="C2886" s="1" t="s">
        <v>3770</v>
      </c>
      <c r="D2886" s="1" t="s">
        <v>3770</v>
      </c>
      <c r="E2886" s="1" t="s">
        <v>2369</v>
      </c>
      <c r="F2886" s="1" t="s">
        <v>14073</v>
      </c>
      <c r="G2886">
        <v>191001</v>
      </c>
      <c r="H2886">
        <v>72</v>
      </c>
      <c r="I2886" s="1" t="s">
        <v>11063</v>
      </c>
      <c r="J2886" s="11">
        <v>44729.706458333334</v>
      </c>
      <c r="K2886" s="1" t="s">
        <v>2370</v>
      </c>
      <c r="L2886" s="1">
        <v>0.68100000000000005</v>
      </c>
      <c r="M2886" s="1">
        <v>0.29199999999999998</v>
      </c>
      <c r="N2886">
        <v>11</v>
      </c>
      <c r="O2886" s="1">
        <v>-9.5990000000000002</v>
      </c>
      <c r="P2886">
        <v>1</v>
      </c>
      <c r="Q2886" s="1">
        <v>0.48299999999999998</v>
      </c>
      <c r="R2886" s="1">
        <v>0.74299999999999999</v>
      </c>
      <c r="S2886" s="1">
        <v>0</v>
      </c>
      <c r="T2886" s="1">
        <v>0.97399999999999998</v>
      </c>
      <c r="U2886" s="1">
        <v>0.16200000000000001</v>
      </c>
      <c r="V2886" s="1">
        <v>64.001999999999995</v>
      </c>
      <c r="W2886">
        <v>4</v>
      </c>
    </row>
    <row r="2887" spans="1:23" x14ac:dyDescent="0.25">
      <c r="A2887" s="1" t="s">
        <v>19867</v>
      </c>
      <c r="B2887" s="1" t="s">
        <v>13965</v>
      </c>
      <c r="C2887" s="1" t="s">
        <v>7566</v>
      </c>
      <c r="D2887" s="1" t="s">
        <v>7566</v>
      </c>
      <c r="E2887" s="1" t="s">
        <v>2369</v>
      </c>
      <c r="F2887" s="1" t="s">
        <v>17312</v>
      </c>
      <c r="G2887">
        <v>167625</v>
      </c>
      <c r="H2887">
        <v>45</v>
      </c>
      <c r="I2887" s="1" t="s">
        <v>11063</v>
      </c>
      <c r="J2887" s="11">
        <v>44729.706458333334</v>
      </c>
      <c r="K2887" s="1" t="s">
        <v>2370</v>
      </c>
      <c r="L2887" s="1">
        <v>0.64600000000000002</v>
      </c>
      <c r="M2887" s="1">
        <v>0.371</v>
      </c>
      <c r="N2887">
        <v>1</v>
      </c>
      <c r="O2887" s="1">
        <v>-8.6449999999999996</v>
      </c>
      <c r="P2887">
        <v>0</v>
      </c>
      <c r="Q2887" s="1">
        <v>0.57499999999999996</v>
      </c>
      <c r="R2887" s="1">
        <v>0.31900000000000001</v>
      </c>
      <c r="S2887" s="1">
        <v>0</v>
      </c>
      <c r="T2887" s="1">
        <v>0.218</v>
      </c>
      <c r="U2887" s="1">
        <v>0.24</v>
      </c>
      <c r="V2887" s="1">
        <v>81.096000000000004</v>
      </c>
      <c r="W2887">
        <v>4</v>
      </c>
    </row>
    <row r="2888" spans="1:23" x14ac:dyDescent="0.25">
      <c r="A2888" s="1" t="s">
        <v>19868</v>
      </c>
      <c r="B2888" s="1" t="s">
        <v>14312</v>
      </c>
      <c r="C2888" s="1" t="s">
        <v>7567</v>
      </c>
      <c r="D2888" s="1" t="s">
        <v>7567</v>
      </c>
      <c r="E2888" s="1" t="s">
        <v>2667</v>
      </c>
      <c r="F2888" s="1" t="s">
        <v>14552</v>
      </c>
      <c r="G2888">
        <v>213626</v>
      </c>
      <c r="H2888">
        <v>0</v>
      </c>
      <c r="I2888" s="1" t="s">
        <v>11063</v>
      </c>
      <c r="J2888" s="11">
        <v>44729.706458333334</v>
      </c>
      <c r="K2888" s="1" t="s">
        <v>2668</v>
      </c>
      <c r="L2888" s="1">
        <v>0.68300000000000005</v>
      </c>
      <c r="M2888" s="1">
        <v>0.64700000000000002</v>
      </c>
      <c r="N2888">
        <v>2</v>
      </c>
      <c r="O2888" s="1">
        <v>-6.36</v>
      </c>
      <c r="P2888">
        <v>1</v>
      </c>
      <c r="Q2888" s="1">
        <v>0.371</v>
      </c>
      <c r="R2888" s="1">
        <v>0.24399999999999999</v>
      </c>
      <c r="S2888" s="1">
        <v>0.115</v>
      </c>
      <c r="T2888" s="1">
        <v>0.73299999999999998</v>
      </c>
      <c r="U2888" s="1">
        <v>0.35099999999999998</v>
      </c>
      <c r="V2888" s="1">
        <v>91.040999999999997</v>
      </c>
      <c r="W2888">
        <v>4</v>
      </c>
    </row>
    <row r="2889" spans="1:23" x14ac:dyDescent="0.25">
      <c r="A2889" s="1" t="s">
        <v>19869</v>
      </c>
      <c r="B2889" s="1" t="s">
        <v>19870</v>
      </c>
      <c r="C2889" s="1" t="s">
        <v>7568</v>
      </c>
      <c r="D2889" s="1" t="s">
        <v>16830</v>
      </c>
      <c r="E2889" s="1" t="s">
        <v>7569</v>
      </c>
      <c r="F2889" s="1" t="s">
        <v>14558</v>
      </c>
      <c r="G2889">
        <v>219066</v>
      </c>
      <c r="H2889">
        <v>59</v>
      </c>
      <c r="I2889" s="1" t="s">
        <v>11063</v>
      </c>
      <c r="J2889" s="11">
        <v>44729.706458333334</v>
      </c>
      <c r="K2889" s="1" t="s">
        <v>2668</v>
      </c>
      <c r="L2889" s="1">
        <v>0.71799999999999997</v>
      </c>
      <c r="M2889" s="1">
        <v>0.16600000000000001</v>
      </c>
      <c r="N2889">
        <v>6</v>
      </c>
      <c r="O2889" s="1">
        <v>-15.82</v>
      </c>
      <c r="P2889">
        <v>0</v>
      </c>
      <c r="Q2889" s="1">
        <v>0.34399999999999997</v>
      </c>
      <c r="R2889" s="1">
        <v>0.88700000000000001</v>
      </c>
      <c r="S2889" s="1">
        <v>0.216</v>
      </c>
      <c r="T2889" s="1">
        <v>0.13100000000000001</v>
      </c>
      <c r="U2889" s="1">
        <v>0.23699999999999999</v>
      </c>
      <c r="V2889" s="1">
        <v>97.947000000000003</v>
      </c>
      <c r="W2889">
        <v>4</v>
      </c>
    </row>
    <row r="2890" spans="1:23" x14ac:dyDescent="0.25">
      <c r="A2890" s="1" t="s">
        <v>19871</v>
      </c>
      <c r="B2890" s="1" t="s">
        <v>15348</v>
      </c>
      <c r="C2890" s="1" t="s">
        <v>4855</v>
      </c>
      <c r="D2890" s="1" t="s">
        <v>4855</v>
      </c>
      <c r="E2890" s="1" t="s">
        <v>3586</v>
      </c>
      <c r="F2890" s="1" t="s">
        <v>18597</v>
      </c>
      <c r="G2890">
        <v>219173</v>
      </c>
      <c r="H2890">
        <v>0</v>
      </c>
      <c r="I2890" s="1" t="s">
        <v>11063</v>
      </c>
      <c r="J2890" s="11">
        <v>44729.706458333334</v>
      </c>
      <c r="K2890" s="1" t="s">
        <v>3587</v>
      </c>
      <c r="L2890" s="1">
        <v>0.46</v>
      </c>
      <c r="M2890" s="1">
        <v>0.83399999999999996</v>
      </c>
      <c r="N2890">
        <v>2</v>
      </c>
      <c r="O2890" s="1">
        <v>-15.095000000000001</v>
      </c>
      <c r="P2890">
        <v>1</v>
      </c>
      <c r="Q2890" s="1">
        <v>0.433</v>
      </c>
      <c r="R2890" s="1">
        <v>0.90900000000000003</v>
      </c>
      <c r="S2890" s="1">
        <v>0.19800000000000001</v>
      </c>
      <c r="T2890" s="1">
        <v>0.112</v>
      </c>
      <c r="U2890" s="1">
        <v>0.21</v>
      </c>
      <c r="V2890" s="1">
        <v>98.328999999999994</v>
      </c>
      <c r="W2890">
        <v>4</v>
      </c>
    </row>
    <row r="2891" spans="1:23" x14ac:dyDescent="0.25">
      <c r="A2891" s="1" t="s">
        <v>19872</v>
      </c>
      <c r="B2891" s="1" t="s">
        <v>15484</v>
      </c>
      <c r="C2891" s="1" t="s">
        <v>7570</v>
      </c>
      <c r="D2891" s="1" t="s">
        <v>19873</v>
      </c>
      <c r="E2891" s="1" t="s">
        <v>3708</v>
      </c>
      <c r="F2891" s="1" t="s">
        <v>17547</v>
      </c>
      <c r="G2891">
        <v>279000</v>
      </c>
      <c r="H2891">
        <v>49</v>
      </c>
      <c r="I2891" s="1" t="s">
        <v>11063</v>
      </c>
      <c r="J2891" s="11">
        <v>44729.706458333334</v>
      </c>
      <c r="K2891" s="1" t="s">
        <v>3709</v>
      </c>
      <c r="L2891" s="1">
        <v>0.58899999999999997</v>
      </c>
      <c r="M2891" s="1">
        <v>0.71299999999999997</v>
      </c>
      <c r="N2891">
        <v>10</v>
      </c>
      <c r="O2891" s="1">
        <v>-3.7559999999999998</v>
      </c>
      <c r="P2891">
        <v>0</v>
      </c>
      <c r="Q2891" s="1">
        <v>0.97599999999999998</v>
      </c>
      <c r="R2891" s="1">
        <v>0.33100000000000002</v>
      </c>
      <c r="S2891" s="1">
        <v>0.41099999999999998</v>
      </c>
      <c r="T2891" s="1">
        <v>0.17799999999999999</v>
      </c>
      <c r="U2891" s="1">
        <v>0.54700000000000004</v>
      </c>
      <c r="V2891" s="1">
        <v>92.018000000000001</v>
      </c>
      <c r="W2891">
        <v>4</v>
      </c>
    </row>
    <row r="2892" spans="1:23" x14ac:dyDescent="0.25">
      <c r="A2892" s="1" t="s">
        <v>19874</v>
      </c>
      <c r="B2892" s="1" t="s">
        <v>19875</v>
      </c>
      <c r="C2892" s="1" t="s">
        <v>7571</v>
      </c>
      <c r="D2892" s="1" t="s">
        <v>19873</v>
      </c>
      <c r="E2892" s="1" t="s">
        <v>7572</v>
      </c>
      <c r="F2892" s="1" t="s">
        <v>17547</v>
      </c>
      <c r="G2892">
        <v>266106</v>
      </c>
      <c r="H2892">
        <v>50</v>
      </c>
      <c r="I2892" s="1" t="s">
        <v>11063</v>
      </c>
      <c r="J2892" s="11">
        <v>44729.706458333334</v>
      </c>
      <c r="K2892" s="1" t="s">
        <v>7573</v>
      </c>
      <c r="L2892" s="1">
        <v>0.621</v>
      </c>
      <c r="M2892" s="1">
        <v>0.74</v>
      </c>
      <c r="N2892">
        <v>8</v>
      </c>
      <c r="O2892" s="1">
        <v>-6.9249999999999998</v>
      </c>
      <c r="P2892">
        <v>1</v>
      </c>
      <c r="Q2892" s="1">
        <v>0.34</v>
      </c>
      <c r="R2892" s="1">
        <v>0.24399999999999999</v>
      </c>
      <c r="S2892" s="1">
        <v>0.219</v>
      </c>
      <c r="T2892" s="1">
        <v>0.17399999999999999</v>
      </c>
      <c r="U2892" s="1">
        <v>0.34899999999999998</v>
      </c>
      <c r="V2892" s="1">
        <v>119.99299999999999</v>
      </c>
      <c r="W2892">
        <v>4</v>
      </c>
    </row>
    <row r="2893" spans="1:23" x14ac:dyDescent="0.25">
      <c r="A2893" s="1" t="s">
        <v>19876</v>
      </c>
      <c r="B2893" s="1" t="s">
        <v>15484</v>
      </c>
      <c r="C2893" s="1" t="s">
        <v>7574</v>
      </c>
      <c r="D2893" s="1" t="s">
        <v>19873</v>
      </c>
      <c r="E2893" s="1" t="s">
        <v>3708</v>
      </c>
      <c r="F2893" s="1" t="s">
        <v>17547</v>
      </c>
      <c r="G2893">
        <v>298980</v>
      </c>
      <c r="H2893">
        <v>47</v>
      </c>
      <c r="I2893" s="1" t="s">
        <v>11063</v>
      </c>
      <c r="J2893" s="11">
        <v>44729.706458333334</v>
      </c>
      <c r="K2893" s="1" t="s">
        <v>3709</v>
      </c>
      <c r="L2893" s="1">
        <v>0.215</v>
      </c>
      <c r="M2893" s="1">
        <v>0.437</v>
      </c>
      <c r="N2893">
        <v>2</v>
      </c>
      <c r="O2893" s="1">
        <v>-8.1029999999999998</v>
      </c>
      <c r="P2893">
        <v>1</v>
      </c>
      <c r="Q2893" s="1">
        <v>0.309</v>
      </c>
      <c r="R2893" s="1">
        <v>0.20599999999999999</v>
      </c>
      <c r="S2893" s="1">
        <v>0.57599999999999996</v>
      </c>
      <c r="T2893" s="1">
        <v>0.69599999999999995</v>
      </c>
      <c r="U2893" s="1">
        <v>0.44500000000000001</v>
      </c>
      <c r="V2893" s="1">
        <v>127.595</v>
      </c>
      <c r="W2893">
        <v>4</v>
      </c>
    </row>
    <row r="2894" spans="1:23" x14ac:dyDescent="0.25">
      <c r="A2894" s="1" t="s">
        <v>19877</v>
      </c>
      <c r="B2894" s="1" t="s">
        <v>15484</v>
      </c>
      <c r="C2894" s="1" t="s">
        <v>7575</v>
      </c>
      <c r="D2894" s="1" t="s">
        <v>19873</v>
      </c>
      <c r="E2894" s="1" t="s">
        <v>3708</v>
      </c>
      <c r="F2894" s="1" t="s">
        <v>17547</v>
      </c>
      <c r="G2894">
        <v>328506</v>
      </c>
      <c r="H2894">
        <v>64</v>
      </c>
      <c r="I2894" s="1" t="s">
        <v>11063</v>
      </c>
      <c r="J2894" s="11">
        <v>44729.706458333334</v>
      </c>
      <c r="K2894" s="1" t="s">
        <v>3709</v>
      </c>
      <c r="L2894" s="1">
        <v>0.44400000000000001</v>
      </c>
      <c r="M2894" s="1">
        <v>0.35</v>
      </c>
      <c r="N2894">
        <v>9</v>
      </c>
      <c r="O2894" s="1">
        <v>-7.194</v>
      </c>
      <c r="P2894">
        <v>1</v>
      </c>
      <c r="Q2894" s="1">
        <v>0.48299999999999998</v>
      </c>
      <c r="R2894" s="1">
        <v>0.45300000000000001</v>
      </c>
      <c r="S2894" s="1">
        <v>0.109</v>
      </c>
      <c r="T2894" s="1">
        <v>0.82399999999999995</v>
      </c>
      <c r="U2894" s="1">
        <v>0.97299999999999998</v>
      </c>
      <c r="V2894" s="1">
        <v>95.978999999999999</v>
      </c>
      <c r="W2894">
        <v>3</v>
      </c>
    </row>
    <row r="2895" spans="1:23" x14ac:dyDescent="0.25">
      <c r="A2895" s="1" t="s">
        <v>19878</v>
      </c>
      <c r="B2895" s="1" t="s">
        <v>19879</v>
      </c>
      <c r="C2895" s="1" t="s">
        <v>7576</v>
      </c>
      <c r="D2895" s="1" t="s">
        <v>19873</v>
      </c>
      <c r="E2895" s="1" t="s">
        <v>7577</v>
      </c>
      <c r="F2895" s="1" t="s">
        <v>17547</v>
      </c>
      <c r="G2895">
        <v>368373</v>
      </c>
      <c r="H2895">
        <v>55</v>
      </c>
      <c r="I2895" s="1" t="s">
        <v>11063</v>
      </c>
      <c r="J2895" s="11">
        <v>44729.706458333334</v>
      </c>
      <c r="K2895" s="1" t="s">
        <v>7578</v>
      </c>
      <c r="L2895" s="1">
        <v>0.496</v>
      </c>
      <c r="M2895" s="1">
        <v>0.55000000000000004</v>
      </c>
      <c r="N2895">
        <v>2</v>
      </c>
      <c r="O2895" s="1">
        <v>-5.4180000000000001</v>
      </c>
      <c r="P2895">
        <v>1</v>
      </c>
      <c r="Q2895" s="1">
        <v>0.34</v>
      </c>
      <c r="R2895" s="1">
        <v>0.755</v>
      </c>
      <c r="S2895" s="1">
        <v>0.122</v>
      </c>
      <c r="T2895" s="1">
        <v>0.81399999999999995</v>
      </c>
      <c r="U2895" s="1">
        <v>0.14399999999999999</v>
      </c>
      <c r="V2895" s="1">
        <v>90.036000000000001</v>
      </c>
      <c r="W2895">
        <v>4</v>
      </c>
    </row>
    <row r="2896" spans="1:23" x14ac:dyDescent="0.25">
      <c r="A2896" s="1" t="s">
        <v>19880</v>
      </c>
      <c r="B2896" s="1" t="s">
        <v>15484</v>
      </c>
      <c r="C2896" s="1" t="s">
        <v>7579</v>
      </c>
      <c r="D2896" s="1" t="s">
        <v>19873</v>
      </c>
      <c r="E2896" s="1" t="s">
        <v>3708</v>
      </c>
      <c r="F2896" s="1" t="s">
        <v>17547</v>
      </c>
      <c r="G2896">
        <v>350690</v>
      </c>
      <c r="H2896">
        <v>60</v>
      </c>
      <c r="I2896" s="1" t="s">
        <v>11063</v>
      </c>
      <c r="J2896" s="11">
        <v>44729.706458333334</v>
      </c>
      <c r="K2896" s="1" t="s">
        <v>3709</v>
      </c>
      <c r="L2896" s="1">
        <v>0.47</v>
      </c>
      <c r="M2896" s="1">
        <v>0.70599999999999996</v>
      </c>
      <c r="N2896">
        <v>0</v>
      </c>
      <c r="O2896" s="1">
        <v>-4.9020000000000001</v>
      </c>
      <c r="P2896">
        <v>0</v>
      </c>
      <c r="Q2896" s="1">
        <v>0.32200000000000001</v>
      </c>
      <c r="R2896" s="1">
        <v>0.34</v>
      </c>
      <c r="S2896" s="1">
        <v>0.13100000000000001</v>
      </c>
      <c r="T2896" s="1">
        <v>0.72599999999999998</v>
      </c>
      <c r="U2896" s="1">
        <v>0.32700000000000001</v>
      </c>
      <c r="V2896" s="1">
        <v>88.519000000000005</v>
      </c>
      <c r="W2896">
        <v>4</v>
      </c>
    </row>
    <row r="2897" spans="1:23" x14ac:dyDescent="0.25">
      <c r="A2897" s="1" t="s">
        <v>19881</v>
      </c>
      <c r="B2897" s="1" t="s">
        <v>19882</v>
      </c>
      <c r="C2897" s="1" t="s">
        <v>7580</v>
      </c>
      <c r="D2897" s="1" t="s">
        <v>7580</v>
      </c>
      <c r="E2897" s="1" t="s">
        <v>7581</v>
      </c>
      <c r="F2897" s="1" t="s">
        <v>15536</v>
      </c>
      <c r="G2897">
        <v>218964</v>
      </c>
      <c r="H2897">
        <v>65</v>
      </c>
      <c r="I2897" s="1" t="s">
        <v>11063</v>
      </c>
      <c r="J2897" s="11">
        <v>44729.706458333334</v>
      </c>
      <c r="K2897" s="1" t="s">
        <v>7582</v>
      </c>
      <c r="L2897" s="1">
        <v>0.27600000000000002</v>
      </c>
      <c r="M2897" s="1">
        <v>0.79600000000000004</v>
      </c>
      <c r="N2897">
        <v>0</v>
      </c>
      <c r="O2897" s="1">
        <v>-4.4989999999999997</v>
      </c>
      <c r="P2897">
        <v>1</v>
      </c>
      <c r="Q2897" s="1">
        <v>0.57899999999999996</v>
      </c>
      <c r="R2897" s="1">
        <v>0.29299999999999998</v>
      </c>
      <c r="S2897" s="1">
        <v>0</v>
      </c>
      <c r="T2897" s="1">
        <v>0.184</v>
      </c>
      <c r="U2897" s="1">
        <v>0.26</v>
      </c>
      <c r="V2897" s="1">
        <v>199.52600000000001</v>
      </c>
      <c r="W2897">
        <v>4</v>
      </c>
    </row>
    <row r="2898" spans="1:23" x14ac:dyDescent="0.25">
      <c r="A2898" s="1" t="s">
        <v>19883</v>
      </c>
      <c r="B2898" s="1" t="s">
        <v>13508</v>
      </c>
      <c r="C2898" s="1" t="s">
        <v>7583</v>
      </c>
      <c r="D2898" s="1" t="s">
        <v>7583</v>
      </c>
      <c r="E2898" s="1" t="s">
        <v>1978</v>
      </c>
      <c r="F2898" s="1" t="s">
        <v>16332</v>
      </c>
      <c r="G2898">
        <v>213543</v>
      </c>
      <c r="H2898">
        <v>63</v>
      </c>
      <c r="I2898" s="1" t="s">
        <v>11063</v>
      </c>
      <c r="J2898" s="11">
        <v>44729.706458333334</v>
      </c>
      <c r="K2898" s="1" t="s">
        <v>1979</v>
      </c>
      <c r="L2898" s="1">
        <v>0.55600000000000005</v>
      </c>
      <c r="M2898" s="1">
        <v>0.52900000000000003</v>
      </c>
      <c r="N2898">
        <v>2</v>
      </c>
      <c r="O2898" s="1">
        <v>-4.4640000000000004</v>
      </c>
      <c r="P2898">
        <v>1</v>
      </c>
      <c r="Q2898" s="1">
        <v>0.25</v>
      </c>
      <c r="R2898" s="1">
        <v>0.4</v>
      </c>
      <c r="S2898" s="1">
        <v>0</v>
      </c>
      <c r="T2898" s="1">
        <v>0.26800000000000002</v>
      </c>
      <c r="U2898" s="1">
        <v>0.308</v>
      </c>
      <c r="V2898" s="1">
        <v>89.887</v>
      </c>
      <c r="W2898">
        <v>4</v>
      </c>
    </row>
    <row r="2899" spans="1:23" x14ac:dyDescent="0.25">
      <c r="A2899" s="1" t="s">
        <v>19884</v>
      </c>
      <c r="B2899" s="1" t="s">
        <v>13508</v>
      </c>
      <c r="C2899" s="1" t="s">
        <v>7584</v>
      </c>
      <c r="D2899" s="1" t="s">
        <v>7584</v>
      </c>
      <c r="E2899" s="1" t="s">
        <v>1978</v>
      </c>
      <c r="F2899" s="1" t="s">
        <v>11669</v>
      </c>
      <c r="G2899">
        <v>190931</v>
      </c>
      <c r="H2899">
        <v>67</v>
      </c>
      <c r="I2899" s="1" t="s">
        <v>11063</v>
      </c>
      <c r="J2899" s="11">
        <v>44729.706458333334</v>
      </c>
      <c r="K2899" s="1" t="s">
        <v>1979</v>
      </c>
      <c r="L2899" s="1">
        <v>0.66500000000000004</v>
      </c>
      <c r="M2899" s="1">
        <v>0.69899999999999995</v>
      </c>
      <c r="N2899">
        <v>11</v>
      </c>
      <c r="O2899" s="1">
        <v>-5.2649999999999997</v>
      </c>
      <c r="P2899">
        <v>1</v>
      </c>
      <c r="Q2899" s="1">
        <v>0.57799999999999996</v>
      </c>
      <c r="R2899" s="1">
        <v>0.42299999999999999</v>
      </c>
      <c r="S2899" s="1">
        <v>0</v>
      </c>
      <c r="T2899" s="1">
        <v>0.96899999999999997</v>
      </c>
      <c r="U2899" s="1">
        <v>0.58499999999999996</v>
      </c>
      <c r="V2899" s="1">
        <v>124.896</v>
      </c>
      <c r="W2899">
        <v>4</v>
      </c>
    </row>
    <row r="2900" spans="1:23" x14ac:dyDescent="0.25">
      <c r="A2900" s="1" t="s">
        <v>19885</v>
      </c>
      <c r="B2900" s="1" t="s">
        <v>13508</v>
      </c>
      <c r="C2900" s="1" t="s">
        <v>7585</v>
      </c>
      <c r="D2900" s="1" t="s">
        <v>1959</v>
      </c>
      <c r="E2900" s="1" t="s">
        <v>1978</v>
      </c>
      <c r="F2900" s="1" t="s">
        <v>14368</v>
      </c>
      <c r="G2900">
        <v>201122</v>
      </c>
      <c r="H2900">
        <v>78</v>
      </c>
      <c r="I2900" s="1" t="s">
        <v>11063</v>
      </c>
      <c r="J2900" s="11">
        <v>44729.706458333334</v>
      </c>
      <c r="K2900" s="1" t="s">
        <v>1979</v>
      </c>
      <c r="L2900" s="1">
        <v>0.69399999999999995</v>
      </c>
      <c r="M2900" s="1">
        <v>0.71199999999999997</v>
      </c>
      <c r="N2900">
        <v>7</v>
      </c>
      <c r="O2900" s="1">
        <v>-3.923</v>
      </c>
      <c r="P2900">
        <v>0</v>
      </c>
      <c r="Q2900" s="1">
        <v>0.46</v>
      </c>
      <c r="R2900" s="1">
        <v>0.13200000000000001</v>
      </c>
      <c r="S2900" s="1">
        <v>0</v>
      </c>
      <c r="T2900" s="1">
        <v>0.21099999999999999</v>
      </c>
      <c r="U2900" s="1">
        <v>0.79900000000000004</v>
      </c>
      <c r="V2900" s="1">
        <v>98.022999999999996</v>
      </c>
      <c r="W2900">
        <v>4</v>
      </c>
    </row>
    <row r="2901" spans="1:23" x14ac:dyDescent="0.25">
      <c r="A2901" s="1" t="s">
        <v>19886</v>
      </c>
      <c r="B2901" s="1" t="s">
        <v>14974</v>
      </c>
      <c r="C2901" s="1" t="s">
        <v>7586</v>
      </c>
      <c r="D2901" s="1" t="s">
        <v>7336</v>
      </c>
      <c r="E2901" s="1" t="s">
        <v>3250</v>
      </c>
      <c r="F2901" s="1" t="s">
        <v>14894</v>
      </c>
      <c r="G2901">
        <v>213426</v>
      </c>
      <c r="H2901">
        <v>0</v>
      </c>
      <c r="I2901" s="1" t="s">
        <v>11063</v>
      </c>
      <c r="J2901" s="11">
        <v>44729.706458333334</v>
      </c>
      <c r="K2901" s="1" t="s">
        <v>235</v>
      </c>
      <c r="L2901" s="1">
        <v>0.71099999999999997</v>
      </c>
      <c r="M2901" s="1">
        <v>0.73599999999999999</v>
      </c>
      <c r="N2901">
        <v>7</v>
      </c>
      <c r="O2901" s="1">
        <v>-5.9589999999999996</v>
      </c>
      <c r="P2901">
        <v>1</v>
      </c>
      <c r="Q2901" s="1">
        <v>0.104</v>
      </c>
      <c r="R2901" s="1">
        <v>0.315</v>
      </c>
      <c r="S2901" s="1">
        <v>0.63700000000000001</v>
      </c>
      <c r="T2901" s="1">
        <v>0.73099999999999998</v>
      </c>
      <c r="U2901" s="1">
        <v>0.71699999999999997</v>
      </c>
      <c r="V2901" s="1">
        <v>106.01</v>
      </c>
      <c r="W2901">
        <v>4</v>
      </c>
    </row>
    <row r="2902" spans="1:23" x14ac:dyDescent="0.25">
      <c r="A2902" s="1" t="s">
        <v>19887</v>
      </c>
      <c r="B2902" s="1" t="s">
        <v>14974</v>
      </c>
      <c r="C2902" s="1" t="s">
        <v>7587</v>
      </c>
      <c r="D2902" s="1" t="s">
        <v>7336</v>
      </c>
      <c r="E2902" s="1" t="s">
        <v>3250</v>
      </c>
      <c r="F2902" s="1" t="s">
        <v>14894</v>
      </c>
      <c r="G2902">
        <v>217906</v>
      </c>
      <c r="H2902">
        <v>0</v>
      </c>
      <c r="I2902" s="1" t="s">
        <v>11063</v>
      </c>
      <c r="J2902" s="11">
        <v>44729.706458333334</v>
      </c>
      <c r="K2902" s="1" t="s">
        <v>235</v>
      </c>
      <c r="L2902" s="1">
        <v>0.75700000000000001</v>
      </c>
      <c r="M2902" s="1">
        <v>0.88400000000000001</v>
      </c>
      <c r="N2902">
        <v>10</v>
      </c>
      <c r="O2902" s="1">
        <v>-5.4880000000000004</v>
      </c>
      <c r="P2902">
        <v>0</v>
      </c>
      <c r="Q2902" s="1">
        <v>0.40400000000000003</v>
      </c>
      <c r="R2902" s="1">
        <v>0.79500000000000004</v>
      </c>
      <c r="S2902" s="1">
        <v>0.58699999999999997</v>
      </c>
      <c r="T2902" s="1">
        <v>0.97299999999999998</v>
      </c>
      <c r="U2902" s="1">
        <v>0.39800000000000002</v>
      </c>
      <c r="V2902" s="1">
        <v>120.012</v>
      </c>
      <c r="W2902">
        <v>4</v>
      </c>
    </row>
    <row r="2903" spans="1:23" x14ac:dyDescent="0.25">
      <c r="A2903" s="1" t="s">
        <v>19888</v>
      </c>
      <c r="B2903" s="1" t="s">
        <v>14974</v>
      </c>
      <c r="C2903" s="1" t="s">
        <v>7588</v>
      </c>
      <c r="D2903" s="1" t="s">
        <v>7336</v>
      </c>
      <c r="E2903" s="1" t="s">
        <v>3250</v>
      </c>
      <c r="F2903" s="1" t="s">
        <v>14894</v>
      </c>
      <c r="G2903">
        <v>200680</v>
      </c>
      <c r="H2903">
        <v>0</v>
      </c>
      <c r="I2903" s="1" t="s">
        <v>11063</v>
      </c>
      <c r="J2903" s="11">
        <v>44729.706458333334</v>
      </c>
      <c r="K2903" s="1" t="s">
        <v>235</v>
      </c>
      <c r="L2903" s="1">
        <v>0.81100000000000005</v>
      </c>
      <c r="M2903" s="1">
        <v>0.499</v>
      </c>
      <c r="N2903">
        <v>5</v>
      </c>
      <c r="O2903" s="1">
        <v>-7.1609999999999996</v>
      </c>
      <c r="P2903">
        <v>0</v>
      </c>
      <c r="Q2903" s="1">
        <v>0.11799999999999999</v>
      </c>
      <c r="R2903" s="1">
        <v>0.14699999999999999</v>
      </c>
      <c r="S2903" s="1">
        <v>0.24399999999999999</v>
      </c>
      <c r="T2903" s="1">
        <v>0.34200000000000003</v>
      </c>
      <c r="U2903" s="1">
        <v>0.46600000000000003</v>
      </c>
      <c r="V2903" s="1">
        <v>111.01600000000001</v>
      </c>
      <c r="W2903">
        <v>4</v>
      </c>
    </row>
    <row r="2904" spans="1:23" x14ac:dyDescent="0.25">
      <c r="A2904" s="1" t="s">
        <v>19889</v>
      </c>
      <c r="B2904" s="1" t="s">
        <v>19890</v>
      </c>
      <c r="C2904" s="1" t="s">
        <v>2869</v>
      </c>
      <c r="D2904" s="1" t="s">
        <v>7336</v>
      </c>
      <c r="E2904" s="1" t="s">
        <v>7589</v>
      </c>
      <c r="F2904" s="1" t="s">
        <v>14894</v>
      </c>
      <c r="G2904">
        <v>221280</v>
      </c>
      <c r="H2904">
        <v>0</v>
      </c>
      <c r="I2904" s="1" t="s">
        <v>11063</v>
      </c>
      <c r="J2904" s="11">
        <v>44729.706458333334</v>
      </c>
      <c r="K2904" s="1" t="s">
        <v>7590</v>
      </c>
      <c r="L2904" s="1">
        <v>0.60699999999999998</v>
      </c>
      <c r="M2904" s="1">
        <v>0.67300000000000004</v>
      </c>
      <c r="N2904">
        <v>5</v>
      </c>
      <c r="O2904" s="1">
        <v>-6.484</v>
      </c>
      <c r="P2904">
        <v>0</v>
      </c>
      <c r="Q2904" s="1">
        <v>0.61099999999999999</v>
      </c>
      <c r="R2904" s="1">
        <v>0.18099999999999999</v>
      </c>
      <c r="S2904" s="1">
        <v>0</v>
      </c>
      <c r="T2904" s="1">
        <v>0.69</v>
      </c>
      <c r="U2904" s="1">
        <v>0.215</v>
      </c>
      <c r="V2904" s="1">
        <v>88.951999999999998</v>
      </c>
      <c r="W2904">
        <v>4</v>
      </c>
    </row>
    <row r="2905" spans="1:23" x14ac:dyDescent="0.25">
      <c r="A2905" s="1" t="s">
        <v>19891</v>
      </c>
      <c r="B2905" s="1" t="s">
        <v>14974</v>
      </c>
      <c r="C2905" s="1" t="s">
        <v>7587</v>
      </c>
      <c r="D2905" s="1" t="s">
        <v>19892</v>
      </c>
      <c r="E2905" s="1" t="s">
        <v>3250</v>
      </c>
      <c r="F2905" s="1" t="s">
        <v>14894</v>
      </c>
      <c r="G2905">
        <v>217906</v>
      </c>
      <c r="H2905">
        <v>65</v>
      </c>
      <c r="I2905" s="1" t="s">
        <v>11063</v>
      </c>
      <c r="J2905" s="11">
        <v>44729.706458333334</v>
      </c>
      <c r="K2905" s="1" t="s">
        <v>235</v>
      </c>
      <c r="L2905" s="1">
        <v>0.75700000000000001</v>
      </c>
      <c r="M2905" s="1">
        <v>0.88400000000000001</v>
      </c>
      <c r="N2905">
        <v>10</v>
      </c>
      <c r="O2905" s="1">
        <v>-5.4880000000000004</v>
      </c>
      <c r="P2905">
        <v>0</v>
      </c>
      <c r="Q2905" s="1">
        <v>0.40400000000000003</v>
      </c>
      <c r="R2905" s="1">
        <v>0.79500000000000004</v>
      </c>
      <c r="S2905" s="1">
        <v>0.58699999999999997</v>
      </c>
      <c r="T2905" s="1">
        <v>0.97299999999999998</v>
      </c>
      <c r="U2905" s="1">
        <v>0.39800000000000002</v>
      </c>
      <c r="V2905" s="1">
        <v>120.012</v>
      </c>
      <c r="W2905">
        <v>4</v>
      </c>
    </row>
    <row r="2906" spans="1:23" x14ac:dyDescent="0.25">
      <c r="A2906" s="1" t="s">
        <v>19893</v>
      </c>
      <c r="B2906" s="1" t="s">
        <v>14974</v>
      </c>
      <c r="C2906" s="1" t="s">
        <v>7588</v>
      </c>
      <c r="D2906" s="1" t="s">
        <v>19892</v>
      </c>
      <c r="E2906" s="1" t="s">
        <v>3250</v>
      </c>
      <c r="F2906" s="1" t="s">
        <v>14894</v>
      </c>
      <c r="G2906">
        <v>200680</v>
      </c>
      <c r="H2906">
        <v>68</v>
      </c>
      <c r="I2906" s="1" t="s">
        <v>11063</v>
      </c>
      <c r="J2906" s="11">
        <v>44729.706458333334</v>
      </c>
      <c r="K2906" s="1" t="s">
        <v>235</v>
      </c>
      <c r="L2906" s="1">
        <v>0.81100000000000005</v>
      </c>
      <c r="M2906" s="1">
        <v>0.499</v>
      </c>
      <c r="N2906">
        <v>5</v>
      </c>
      <c r="O2906" s="1">
        <v>-7.1609999999999996</v>
      </c>
      <c r="P2906">
        <v>0</v>
      </c>
      <c r="Q2906" s="1">
        <v>0.11799999999999999</v>
      </c>
      <c r="R2906" s="1">
        <v>0.14699999999999999</v>
      </c>
      <c r="S2906" s="1">
        <v>0.24399999999999999</v>
      </c>
      <c r="T2906" s="1">
        <v>0.34200000000000003</v>
      </c>
      <c r="U2906" s="1">
        <v>0.46600000000000003</v>
      </c>
      <c r="V2906" s="1">
        <v>111.01600000000001</v>
      </c>
      <c r="W2906">
        <v>4</v>
      </c>
    </row>
    <row r="2907" spans="1:23" x14ac:dyDescent="0.25">
      <c r="A2907" s="1" t="s">
        <v>19894</v>
      </c>
      <c r="B2907" s="1" t="s">
        <v>19895</v>
      </c>
      <c r="C2907" s="1" t="s">
        <v>7591</v>
      </c>
      <c r="D2907" s="1" t="s">
        <v>7591</v>
      </c>
      <c r="E2907" s="1" t="s">
        <v>7592</v>
      </c>
      <c r="F2907" s="1" t="s">
        <v>18516</v>
      </c>
      <c r="G2907">
        <v>186112</v>
      </c>
      <c r="H2907">
        <v>70</v>
      </c>
      <c r="I2907" s="1" t="s">
        <v>11063</v>
      </c>
      <c r="J2907" s="11">
        <v>44729.706458333334</v>
      </c>
      <c r="K2907" s="1" t="s">
        <v>7593</v>
      </c>
      <c r="L2907" s="1">
        <v>0.70799999999999996</v>
      </c>
      <c r="M2907" s="1">
        <v>0.61799999999999999</v>
      </c>
      <c r="N2907">
        <v>2</v>
      </c>
      <c r="O2907" s="1">
        <v>-4.4240000000000004</v>
      </c>
      <c r="P2907">
        <v>1</v>
      </c>
      <c r="Q2907" s="1">
        <v>0.59199999999999997</v>
      </c>
      <c r="R2907" s="1">
        <v>0.20399999999999999</v>
      </c>
      <c r="S2907" s="1">
        <v>0.68100000000000005</v>
      </c>
      <c r="T2907" s="1">
        <v>0.62</v>
      </c>
      <c r="U2907" s="1">
        <v>0.26500000000000001</v>
      </c>
      <c r="V2907" s="1">
        <v>123.01300000000001</v>
      </c>
      <c r="W2907">
        <v>4</v>
      </c>
    </row>
    <row r="2908" spans="1:23" x14ac:dyDescent="0.25">
      <c r="A2908" s="1" t="s">
        <v>19896</v>
      </c>
      <c r="B2908" s="1" t="s">
        <v>14974</v>
      </c>
      <c r="C2908" s="1" t="s">
        <v>7594</v>
      </c>
      <c r="D2908" s="1" t="s">
        <v>7594</v>
      </c>
      <c r="E2908" s="1" t="s">
        <v>3250</v>
      </c>
      <c r="F2908" s="1" t="s">
        <v>19897</v>
      </c>
      <c r="G2908">
        <v>214647</v>
      </c>
      <c r="H2908">
        <v>67</v>
      </c>
      <c r="I2908" s="1" t="s">
        <v>11063</v>
      </c>
      <c r="J2908" s="11">
        <v>44729.706458333334</v>
      </c>
      <c r="K2908" s="1" t="s">
        <v>235</v>
      </c>
      <c r="L2908" s="1">
        <v>0.96499999999999997</v>
      </c>
      <c r="M2908" s="1">
        <v>0.41399999999999998</v>
      </c>
      <c r="N2908">
        <v>1</v>
      </c>
      <c r="O2908" s="1">
        <v>-6.4080000000000004</v>
      </c>
      <c r="P2908">
        <v>1</v>
      </c>
      <c r="Q2908" s="1">
        <v>0.71299999999999997</v>
      </c>
      <c r="R2908" s="1">
        <v>0.189</v>
      </c>
      <c r="S2908" s="1">
        <v>0</v>
      </c>
      <c r="T2908" s="1">
        <v>0.76700000000000002</v>
      </c>
      <c r="U2908" s="1">
        <v>0.72799999999999998</v>
      </c>
      <c r="V2908" s="1">
        <v>121.032</v>
      </c>
      <c r="W2908">
        <v>4</v>
      </c>
    </row>
    <row r="2909" spans="1:23" x14ac:dyDescent="0.25">
      <c r="A2909" s="1" t="s">
        <v>19898</v>
      </c>
      <c r="B2909" s="1" t="s">
        <v>14974</v>
      </c>
      <c r="C2909" s="1" t="s">
        <v>7595</v>
      </c>
      <c r="D2909" s="1" t="s">
        <v>19899</v>
      </c>
      <c r="E2909" s="1" t="s">
        <v>3250</v>
      </c>
      <c r="F2909" s="1" t="s">
        <v>19900</v>
      </c>
      <c r="G2909">
        <v>207904</v>
      </c>
      <c r="H2909">
        <v>74</v>
      </c>
      <c r="I2909" s="1" t="s">
        <v>11063</v>
      </c>
      <c r="J2909" s="11">
        <v>44729.706458333334</v>
      </c>
      <c r="K2909" s="1" t="s">
        <v>235</v>
      </c>
      <c r="L2909" s="1">
        <v>0.60099999999999998</v>
      </c>
      <c r="M2909" s="1">
        <v>0.72399999999999998</v>
      </c>
      <c r="N2909">
        <v>6</v>
      </c>
      <c r="O2909" s="1">
        <v>-4.8559999999999999</v>
      </c>
      <c r="P2909">
        <v>1</v>
      </c>
      <c r="Q2909" s="1">
        <v>0.48599999999999999</v>
      </c>
      <c r="R2909" s="1">
        <v>0.94499999999999995</v>
      </c>
      <c r="S2909" s="1">
        <v>0.16800000000000001</v>
      </c>
      <c r="T2909" s="1">
        <v>0.12</v>
      </c>
      <c r="U2909" s="1">
        <v>0.50800000000000001</v>
      </c>
      <c r="V2909" s="1">
        <v>102.06100000000001</v>
      </c>
      <c r="W2909">
        <v>4</v>
      </c>
    </row>
    <row r="2910" spans="1:23" x14ac:dyDescent="0.25">
      <c r="A2910" s="1" t="s">
        <v>19901</v>
      </c>
      <c r="B2910" s="1" t="s">
        <v>19902</v>
      </c>
      <c r="C2910" s="1" t="s">
        <v>7596</v>
      </c>
      <c r="D2910" s="1" t="s">
        <v>19903</v>
      </c>
      <c r="E2910" s="1" t="s">
        <v>7597</v>
      </c>
      <c r="F2910" s="1" t="s">
        <v>15530</v>
      </c>
      <c r="G2910">
        <v>226973</v>
      </c>
      <c r="H2910">
        <v>74</v>
      </c>
      <c r="I2910" s="1" t="s">
        <v>11063</v>
      </c>
      <c r="J2910" s="11">
        <v>44729.706458333334</v>
      </c>
      <c r="K2910" s="1" t="s">
        <v>235</v>
      </c>
      <c r="L2910" s="1">
        <v>0.63700000000000001</v>
      </c>
      <c r="M2910" s="1">
        <v>0.71299999999999997</v>
      </c>
      <c r="N2910">
        <v>0</v>
      </c>
      <c r="O2910" s="1">
        <v>-4.3330000000000002</v>
      </c>
      <c r="P2910">
        <v>1</v>
      </c>
      <c r="Q2910" s="1">
        <v>0.747</v>
      </c>
      <c r="R2910" s="1">
        <v>0.18099999999999999</v>
      </c>
      <c r="S2910" s="1">
        <v>0.63700000000000001</v>
      </c>
      <c r="T2910" s="1">
        <v>0.13700000000000001</v>
      </c>
      <c r="U2910" s="1">
        <v>0.24299999999999999</v>
      </c>
      <c r="V2910" s="1">
        <v>129.923</v>
      </c>
      <c r="W2910">
        <v>4</v>
      </c>
    </row>
    <row r="2911" spans="1:23" x14ac:dyDescent="0.25">
      <c r="A2911" s="1" t="s">
        <v>19904</v>
      </c>
      <c r="B2911" s="1" t="s">
        <v>19905</v>
      </c>
      <c r="C2911" s="1" t="s">
        <v>7598</v>
      </c>
      <c r="D2911" s="1" t="s">
        <v>19903</v>
      </c>
      <c r="E2911" s="1" t="s">
        <v>7599</v>
      </c>
      <c r="F2911" s="1" t="s">
        <v>15530</v>
      </c>
      <c r="G2911">
        <v>217306</v>
      </c>
      <c r="H2911">
        <v>81</v>
      </c>
      <c r="I2911" s="1" t="s">
        <v>11063</v>
      </c>
      <c r="J2911" s="11">
        <v>44729.706458333334</v>
      </c>
      <c r="K2911" s="1" t="s">
        <v>7600</v>
      </c>
      <c r="L2911" s="1">
        <v>0.76500000000000001</v>
      </c>
      <c r="M2911" s="1">
        <v>0.52300000000000002</v>
      </c>
      <c r="N2911">
        <v>2</v>
      </c>
      <c r="O2911" s="1">
        <v>-4.3330000000000002</v>
      </c>
      <c r="P2911">
        <v>1</v>
      </c>
      <c r="Q2911" s="1">
        <v>0.3</v>
      </c>
      <c r="R2911" s="1">
        <v>0.184</v>
      </c>
      <c r="S2911" s="1">
        <v>0.35599999999999998</v>
      </c>
      <c r="T2911" s="1">
        <v>0.13200000000000001</v>
      </c>
      <c r="U2911" s="1">
        <v>0.39400000000000002</v>
      </c>
      <c r="V2911" s="1">
        <v>104.988</v>
      </c>
      <c r="W2911">
        <v>4</v>
      </c>
    </row>
    <row r="2912" spans="1:23" x14ac:dyDescent="0.25">
      <c r="A2912" s="1" t="s">
        <v>19906</v>
      </c>
      <c r="B2912" s="1" t="s">
        <v>19907</v>
      </c>
      <c r="C2912" s="1" t="s">
        <v>3849</v>
      </c>
      <c r="D2912" s="1" t="s">
        <v>19908</v>
      </c>
      <c r="E2912" s="1" t="s">
        <v>7601</v>
      </c>
      <c r="F2912" s="1" t="s">
        <v>16196</v>
      </c>
      <c r="G2912">
        <v>185000</v>
      </c>
      <c r="H2912">
        <v>64</v>
      </c>
      <c r="I2912" s="1" t="s">
        <v>11063</v>
      </c>
      <c r="J2912" s="11">
        <v>44729.706458333334</v>
      </c>
      <c r="K2912" s="1" t="s">
        <v>1071</v>
      </c>
      <c r="L2912" s="1">
        <v>0.60099999999999998</v>
      </c>
      <c r="M2912" s="1">
        <v>0.81899999999999995</v>
      </c>
      <c r="N2912">
        <v>10</v>
      </c>
      <c r="O2912" s="1">
        <v>-3.835</v>
      </c>
      <c r="P2912">
        <v>1</v>
      </c>
      <c r="Q2912" s="1">
        <v>0.10100000000000001</v>
      </c>
      <c r="R2912" s="1">
        <v>0.19700000000000001</v>
      </c>
      <c r="S2912" s="1">
        <v>0</v>
      </c>
      <c r="T2912" s="1">
        <v>0.161</v>
      </c>
      <c r="U2912" s="1">
        <v>0.21</v>
      </c>
      <c r="V2912" s="1">
        <v>170.11699999999999</v>
      </c>
      <c r="W2912">
        <v>4</v>
      </c>
    </row>
    <row r="2913" spans="1:23" x14ac:dyDescent="0.25">
      <c r="A2913" s="1" t="s">
        <v>19909</v>
      </c>
      <c r="B2913" s="1" t="s">
        <v>19910</v>
      </c>
      <c r="C2913" s="1" t="s">
        <v>7602</v>
      </c>
      <c r="D2913" s="1" t="s">
        <v>19911</v>
      </c>
      <c r="E2913" s="1" t="s">
        <v>7603</v>
      </c>
      <c r="F2913" s="1" t="s">
        <v>19912</v>
      </c>
      <c r="G2913">
        <v>202804</v>
      </c>
      <c r="H2913">
        <v>72</v>
      </c>
      <c r="I2913" s="1" t="s">
        <v>11063</v>
      </c>
      <c r="J2913" s="11">
        <v>44729.706458333334</v>
      </c>
      <c r="K2913" s="1" t="s">
        <v>7604</v>
      </c>
      <c r="L2913" s="1">
        <v>0.65300000000000002</v>
      </c>
      <c r="M2913" s="1">
        <v>0.71799999999999997</v>
      </c>
      <c r="N2913">
        <v>3</v>
      </c>
      <c r="O2913" s="1">
        <v>-5.2320000000000002</v>
      </c>
      <c r="P2913">
        <v>0</v>
      </c>
      <c r="Q2913" s="1">
        <v>0.21299999999999999</v>
      </c>
      <c r="R2913" s="1">
        <v>0.41299999999999998</v>
      </c>
      <c r="S2913" s="1">
        <v>0</v>
      </c>
      <c r="T2913" s="1">
        <v>0.53700000000000003</v>
      </c>
      <c r="U2913" s="1">
        <v>0.216</v>
      </c>
      <c r="V2913" s="1">
        <v>82.034000000000006</v>
      </c>
      <c r="W2913">
        <v>4</v>
      </c>
    </row>
    <row r="2914" spans="1:23" x14ac:dyDescent="0.25">
      <c r="A2914" s="1" t="s">
        <v>19913</v>
      </c>
      <c r="B2914" s="1" t="s">
        <v>19914</v>
      </c>
      <c r="C2914" s="1" t="s">
        <v>7605</v>
      </c>
      <c r="D2914" s="1" t="s">
        <v>19915</v>
      </c>
      <c r="E2914" s="1" t="s">
        <v>7606</v>
      </c>
      <c r="F2914" s="1" t="s">
        <v>16196</v>
      </c>
      <c r="G2914">
        <v>239293</v>
      </c>
      <c r="H2914">
        <v>72</v>
      </c>
      <c r="I2914" s="1" t="s">
        <v>11063</v>
      </c>
      <c r="J2914" s="11">
        <v>44729.706458333334</v>
      </c>
      <c r="K2914" s="1" t="s">
        <v>7607</v>
      </c>
      <c r="L2914" s="1">
        <v>0.69699999999999995</v>
      </c>
      <c r="M2914" s="1">
        <v>0.69099999999999995</v>
      </c>
      <c r="N2914">
        <v>2</v>
      </c>
      <c r="O2914" s="1">
        <v>-4.7569999999999997</v>
      </c>
      <c r="P2914">
        <v>1</v>
      </c>
      <c r="Q2914" s="1">
        <v>0.14599999999999999</v>
      </c>
      <c r="R2914" s="1">
        <v>0.214</v>
      </c>
      <c r="S2914" s="1">
        <v>0</v>
      </c>
      <c r="T2914" s="1">
        <v>0.185</v>
      </c>
      <c r="U2914" s="1">
        <v>0.30499999999999999</v>
      </c>
      <c r="V2914" s="1">
        <v>137.85300000000001</v>
      </c>
      <c r="W2914">
        <v>4</v>
      </c>
    </row>
    <row r="2915" spans="1:23" x14ac:dyDescent="0.25">
      <c r="A2915" s="1" t="s">
        <v>19916</v>
      </c>
      <c r="B2915" s="1" t="s">
        <v>19917</v>
      </c>
      <c r="C2915" s="1" t="s">
        <v>7608</v>
      </c>
      <c r="D2915" s="1" t="s">
        <v>19918</v>
      </c>
      <c r="E2915" s="1" t="s">
        <v>7609</v>
      </c>
      <c r="F2915" s="1" t="s">
        <v>14357</v>
      </c>
      <c r="G2915">
        <v>251466</v>
      </c>
      <c r="H2915">
        <v>78</v>
      </c>
      <c r="I2915" s="1" t="s">
        <v>11063</v>
      </c>
      <c r="J2915" s="11">
        <v>44729.706458333334</v>
      </c>
      <c r="K2915" s="1" t="s">
        <v>7610</v>
      </c>
      <c r="L2915" s="1">
        <v>0.75600000000000001</v>
      </c>
      <c r="M2915" s="1">
        <v>0.67400000000000004</v>
      </c>
      <c r="N2915">
        <v>0</v>
      </c>
      <c r="O2915" s="1">
        <v>-6.5179999999999998</v>
      </c>
      <c r="P2915">
        <v>0</v>
      </c>
      <c r="Q2915" s="1">
        <v>0.95899999999999996</v>
      </c>
      <c r="R2915" s="1">
        <v>0.184</v>
      </c>
      <c r="S2915" s="1">
        <v>0</v>
      </c>
      <c r="T2915" s="1">
        <v>0.158</v>
      </c>
      <c r="U2915" s="1">
        <v>0.38900000000000001</v>
      </c>
      <c r="V2915" s="1">
        <v>111.995</v>
      </c>
      <c r="W2915">
        <v>4</v>
      </c>
    </row>
    <row r="2916" spans="1:23" x14ac:dyDescent="0.25">
      <c r="A2916" s="1" t="s">
        <v>19919</v>
      </c>
      <c r="B2916" s="1" t="s">
        <v>19920</v>
      </c>
      <c r="C2916" s="1" t="s">
        <v>7611</v>
      </c>
      <c r="D2916" s="1" t="s">
        <v>19921</v>
      </c>
      <c r="E2916" s="1" t="s">
        <v>7612</v>
      </c>
      <c r="F2916" s="1" t="s">
        <v>17613</v>
      </c>
      <c r="G2916">
        <v>239986</v>
      </c>
      <c r="H2916">
        <v>0</v>
      </c>
      <c r="I2916" s="1" t="s">
        <v>11063</v>
      </c>
      <c r="J2916" s="11">
        <v>44729.706458333334</v>
      </c>
      <c r="K2916" s="1" t="s">
        <v>7613</v>
      </c>
      <c r="L2916" s="1">
        <v>0.79</v>
      </c>
      <c r="M2916" s="1">
        <v>0.67700000000000005</v>
      </c>
      <c r="N2916">
        <v>7</v>
      </c>
      <c r="O2916" s="1">
        <v>-5.27</v>
      </c>
      <c r="P2916">
        <v>1</v>
      </c>
      <c r="Q2916" s="1">
        <v>0.104</v>
      </c>
      <c r="R2916" s="1">
        <v>0.151</v>
      </c>
      <c r="S2916" s="1">
        <v>0.106</v>
      </c>
      <c r="T2916" s="1">
        <v>0.16900000000000001</v>
      </c>
      <c r="U2916" s="1">
        <v>0.75</v>
      </c>
      <c r="V2916" s="1">
        <v>160.001</v>
      </c>
      <c r="W2916">
        <v>4</v>
      </c>
    </row>
    <row r="2917" spans="1:23" x14ac:dyDescent="0.25">
      <c r="A2917" s="1" t="s">
        <v>19922</v>
      </c>
      <c r="B2917" s="1" t="s">
        <v>19923</v>
      </c>
      <c r="C2917" s="1" t="s">
        <v>7614</v>
      </c>
      <c r="D2917" s="1" t="s">
        <v>19924</v>
      </c>
      <c r="E2917" s="1" t="s">
        <v>7615</v>
      </c>
      <c r="F2917" s="1" t="s">
        <v>14633</v>
      </c>
      <c r="G2917">
        <v>188600</v>
      </c>
      <c r="H2917">
        <v>66</v>
      </c>
      <c r="I2917" s="1" t="s">
        <v>11063</v>
      </c>
      <c r="J2917" s="11">
        <v>44729.706458333334</v>
      </c>
      <c r="K2917" s="1" t="s">
        <v>7616</v>
      </c>
      <c r="L2917" s="1">
        <v>0.82399999999999995</v>
      </c>
      <c r="M2917" s="1">
        <v>0.58399999999999996</v>
      </c>
      <c r="N2917">
        <v>10</v>
      </c>
      <c r="O2917" s="1">
        <v>-7.0979999999999999</v>
      </c>
      <c r="P2917">
        <v>0</v>
      </c>
      <c r="Q2917" s="1">
        <v>0.221</v>
      </c>
      <c r="R2917" s="1">
        <v>0.71799999999999997</v>
      </c>
      <c r="S2917" s="1">
        <v>0</v>
      </c>
      <c r="T2917" s="1">
        <v>0.106</v>
      </c>
      <c r="U2917" s="1">
        <v>0.219</v>
      </c>
      <c r="V2917" s="1">
        <v>139.965</v>
      </c>
      <c r="W2917">
        <v>4</v>
      </c>
    </row>
    <row r="2918" spans="1:23" x14ac:dyDescent="0.25">
      <c r="A2918" s="1" t="s">
        <v>19925</v>
      </c>
      <c r="B2918" s="1" t="s">
        <v>19926</v>
      </c>
      <c r="C2918" s="1" t="s">
        <v>7617</v>
      </c>
      <c r="D2918" s="1" t="s">
        <v>19924</v>
      </c>
      <c r="E2918" s="1" t="s">
        <v>7618</v>
      </c>
      <c r="F2918" s="1" t="s">
        <v>14633</v>
      </c>
      <c r="G2918">
        <v>204746</v>
      </c>
      <c r="H2918">
        <v>69</v>
      </c>
      <c r="I2918" s="1" t="s">
        <v>11063</v>
      </c>
      <c r="J2918" s="11">
        <v>44729.706458333334</v>
      </c>
      <c r="K2918" s="1" t="s">
        <v>7619</v>
      </c>
      <c r="L2918" s="1">
        <v>0.66700000000000004</v>
      </c>
      <c r="M2918" s="1">
        <v>0.74099999999999999</v>
      </c>
      <c r="N2918">
        <v>1</v>
      </c>
      <c r="O2918" s="1">
        <v>-4.0990000000000002</v>
      </c>
      <c r="P2918">
        <v>1</v>
      </c>
      <c r="Q2918" s="1">
        <v>0.378</v>
      </c>
      <c r="R2918" s="1">
        <v>0.42499999999999999</v>
      </c>
      <c r="S2918" s="1">
        <v>0</v>
      </c>
      <c r="T2918" s="1">
        <v>0.76100000000000001</v>
      </c>
      <c r="U2918" s="1">
        <v>0.42199999999999999</v>
      </c>
      <c r="V2918" s="1">
        <v>149.90799999999999</v>
      </c>
      <c r="W2918">
        <v>4</v>
      </c>
    </row>
    <row r="2919" spans="1:23" x14ac:dyDescent="0.25">
      <c r="A2919" s="1" t="s">
        <v>19927</v>
      </c>
      <c r="B2919" s="1" t="s">
        <v>19928</v>
      </c>
      <c r="C2919" s="1" t="s">
        <v>7620</v>
      </c>
      <c r="D2919" s="1" t="s">
        <v>19921</v>
      </c>
      <c r="E2919" s="1" t="s">
        <v>7621</v>
      </c>
      <c r="F2919" s="1" t="s">
        <v>17613</v>
      </c>
      <c r="G2919">
        <v>245386</v>
      </c>
      <c r="H2919">
        <v>0</v>
      </c>
      <c r="I2919" s="1" t="s">
        <v>11063</v>
      </c>
      <c r="J2919" s="11">
        <v>44729.706458333334</v>
      </c>
      <c r="K2919" s="1" t="s">
        <v>7622</v>
      </c>
      <c r="L2919" s="1">
        <v>0.69399999999999995</v>
      </c>
      <c r="M2919" s="1">
        <v>0.75900000000000001</v>
      </c>
      <c r="N2919">
        <v>10</v>
      </c>
      <c r="O2919" s="1">
        <v>-5.6669999999999998</v>
      </c>
      <c r="P2919">
        <v>0</v>
      </c>
      <c r="Q2919" s="1">
        <v>0.39800000000000002</v>
      </c>
      <c r="R2919" s="1">
        <v>0.13700000000000001</v>
      </c>
      <c r="S2919" s="1">
        <v>0</v>
      </c>
      <c r="T2919" s="1">
        <v>0.16700000000000001</v>
      </c>
      <c r="U2919" s="1">
        <v>0.77</v>
      </c>
      <c r="V2919" s="1">
        <v>140.05500000000001</v>
      </c>
      <c r="W2919">
        <v>4</v>
      </c>
    </row>
    <row r="2920" spans="1:23" x14ac:dyDescent="0.25">
      <c r="A2920" s="1" t="s">
        <v>19929</v>
      </c>
      <c r="B2920" s="1" t="s">
        <v>19930</v>
      </c>
      <c r="C2920" s="1" t="s">
        <v>7623</v>
      </c>
      <c r="D2920" s="1" t="s">
        <v>19931</v>
      </c>
      <c r="E2920" s="1" t="s">
        <v>7624</v>
      </c>
      <c r="F2920" s="1" t="s">
        <v>18134</v>
      </c>
      <c r="G2920">
        <v>212066</v>
      </c>
      <c r="H2920">
        <v>58</v>
      </c>
      <c r="I2920" s="1" t="s">
        <v>11063</v>
      </c>
      <c r="J2920" s="11">
        <v>44729.706458333334</v>
      </c>
      <c r="K2920" s="1" t="s">
        <v>7625</v>
      </c>
      <c r="L2920" s="1">
        <v>0.69399999999999995</v>
      </c>
      <c r="M2920" s="1">
        <v>0.70199999999999996</v>
      </c>
      <c r="N2920">
        <v>9</v>
      </c>
      <c r="O2920" s="1">
        <v>-5.4770000000000003</v>
      </c>
      <c r="P2920">
        <v>1</v>
      </c>
      <c r="Q2920" s="1">
        <v>0.94599999999999995</v>
      </c>
      <c r="R2920" s="1">
        <v>0.123</v>
      </c>
      <c r="S2920" s="1">
        <v>0</v>
      </c>
      <c r="T2920" s="1">
        <v>0.75800000000000001</v>
      </c>
      <c r="U2920" s="1">
        <v>0.308</v>
      </c>
      <c r="V2920" s="1">
        <v>79.959000000000003</v>
      </c>
      <c r="W2920">
        <v>4</v>
      </c>
    </row>
    <row r="2921" spans="1:23" x14ac:dyDescent="0.25">
      <c r="A2921" s="1" t="s">
        <v>19932</v>
      </c>
      <c r="B2921" s="1" t="s">
        <v>19933</v>
      </c>
      <c r="C2921" s="1" t="s">
        <v>6626</v>
      </c>
      <c r="D2921" s="1" t="s">
        <v>19934</v>
      </c>
      <c r="E2921" s="1" t="s">
        <v>7626</v>
      </c>
      <c r="F2921" s="1" t="s">
        <v>18088</v>
      </c>
      <c r="G2921">
        <v>209213</v>
      </c>
      <c r="H2921">
        <v>76</v>
      </c>
      <c r="I2921" s="1" t="s">
        <v>11063</v>
      </c>
      <c r="J2921" s="11">
        <v>44729.706458333334</v>
      </c>
      <c r="K2921" s="1" t="s">
        <v>7627</v>
      </c>
      <c r="L2921" s="1">
        <v>0.51300000000000001</v>
      </c>
      <c r="M2921" s="1">
        <v>0.66100000000000003</v>
      </c>
      <c r="N2921">
        <v>5</v>
      </c>
      <c r="O2921" s="1">
        <v>-6.4189999999999996</v>
      </c>
      <c r="P2921">
        <v>1</v>
      </c>
      <c r="Q2921" s="1">
        <v>0.24</v>
      </c>
      <c r="R2921" s="1">
        <v>0.161</v>
      </c>
      <c r="S2921" s="1">
        <v>0</v>
      </c>
      <c r="T2921" s="1">
        <v>0.246</v>
      </c>
      <c r="U2921" s="1">
        <v>0.17899999999999999</v>
      </c>
      <c r="V2921" s="1">
        <v>94.790999999999997</v>
      </c>
      <c r="W2921">
        <v>4</v>
      </c>
    </row>
    <row r="2922" spans="1:23" x14ac:dyDescent="0.25">
      <c r="A2922" s="1" t="s">
        <v>19935</v>
      </c>
      <c r="B2922" s="1" t="s">
        <v>19933</v>
      </c>
      <c r="C2922" s="1" t="s">
        <v>7628</v>
      </c>
      <c r="D2922" s="1" t="s">
        <v>7628</v>
      </c>
      <c r="E2922" s="1" t="s">
        <v>7626</v>
      </c>
      <c r="F2922" s="1" t="s">
        <v>19936</v>
      </c>
      <c r="G2922">
        <v>248040</v>
      </c>
      <c r="H2922">
        <v>75</v>
      </c>
      <c r="I2922" s="1" t="s">
        <v>11063</v>
      </c>
      <c r="J2922" s="11">
        <v>44729.706458333334</v>
      </c>
      <c r="K2922" s="1" t="s">
        <v>7627</v>
      </c>
      <c r="L2922" s="1">
        <v>0.78900000000000003</v>
      </c>
      <c r="M2922" s="1">
        <v>0.78600000000000003</v>
      </c>
      <c r="N2922">
        <v>2</v>
      </c>
      <c r="O2922" s="1">
        <v>-4.7880000000000003</v>
      </c>
      <c r="P2922">
        <v>1</v>
      </c>
      <c r="Q2922" s="1">
        <v>0.29699999999999999</v>
      </c>
      <c r="R2922" s="1">
        <v>0.59599999999999997</v>
      </c>
      <c r="S2922" s="1">
        <v>0</v>
      </c>
      <c r="T2922" s="1">
        <v>0.997</v>
      </c>
      <c r="U2922" s="1">
        <v>0.39</v>
      </c>
      <c r="V2922" s="1">
        <v>119.95699999999999</v>
      </c>
      <c r="W2922">
        <v>4</v>
      </c>
    </row>
    <row r="2923" spans="1:23" x14ac:dyDescent="0.25">
      <c r="A2923" s="1" t="s">
        <v>19937</v>
      </c>
      <c r="B2923" s="1" t="s">
        <v>19933</v>
      </c>
      <c r="C2923" s="1" t="s">
        <v>3054</v>
      </c>
      <c r="D2923" s="1" t="s">
        <v>19934</v>
      </c>
      <c r="E2923" s="1" t="s">
        <v>7626</v>
      </c>
      <c r="F2923" s="1" t="s">
        <v>18088</v>
      </c>
      <c r="G2923">
        <v>212120</v>
      </c>
      <c r="H2923">
        <v>80</v>
      </c>
      <c r="I2923" s="1" t="s">
        <v>11063</v>
      </c>
      <c r="J2923" s="11">
        <v>44729.706458333334</v>
      </c>
      <c r="K2923" s="1" t="s">
        <v>7627</v>
      </c>
      <c r="L2923" s="1">
        <v>0.66200000000000003</v>
      </c>
      <c r="M2923" s="1">
        <v>0.71399999999999997</v>
      </c>
      <c r="N2923">
        <v>5</v>
      </c>
      <c r="O2923" s="1">
        <v>-5.68</v>
      </c>
      <c r="P2923">
        <v>0</v>
      </c>
      <c r="Q2923" s="1">
        <v>0.121</v>
      </c>
      <c r="R2923" s="1">
        <v>0.312</v>
      </c>
      <c r="S2923" s="1">
        <v>0</v>
      </c>
      <c r="T2923" s="1">
        <v>0.17899999999999999</v>
      </c>
      <c r="U2923" s="1">
        <v>0.46400000000000002</v>
      </c>
      <c r="V2923" s="1">
        <v>147.99700000000001</v>
      </c>
      <c r="W2923">
        <v>4</v>
      </c>
    </row>
    <row r="2924" spans="1:23" x14ac:dyDescent="0.25">
      <c r="A2924" s="1" t="s">
        <v>19938</v>
      </c>
      <c r="B2924" s="1" t="s">
        <v>19939</v>
      </c>
      <c r="C2924" s="1" t="s">
        <v>7629</v>
      </c>
      <c r="D2924" s="1" t="s">
        <v>7629</v>
      </c>
      <c r="E2924" s="1" t="s">
        <v>7630</v>
      </c>
      <c r="F2924" s="1" t="s">
        <v>13726</v>
      </c>
      <c r="G2924">
        <v>299294</v>
      </c>
      <c r="H2924">
        <v>49</v>
      </c>
      <c r="I2924" s="1" t="s">
        <v>11063</v>
      </c>
      <c r="J2924" s="11">
        <v>44729.706458333334</v>
      </c>
      <c r="K2924" s="1" t="s">
        <v>1994</v>
      </c>
      <c r="L2924" s="1">
        <v>0.53800000000000003</v>
      </c>
      <c r="M2924" s="1">
        <v>0.77</v>
      </c>
      <c r="N2924">
        <v>7</v>
      </c>
      <c r="O2924" s="1">
        <v>-3.9239999999999999</v>
      </c>
      <c r="P2924">
        <v>0</v>
      </c>
      <c r="Q2924" s="1">
        <v>0.10299999999999999</v>
      </c>
      <c r="R2924" s="1">
        <v>0.216</v>
      </c>
      <c r="S2924" s="1">
        <v>0.16500000000000001</v>
      </c>
      <c r="T2924" s="1">
        <v>0.35499999999999998</v>
      </c>
      <c r="U2924" s="1">
        <v>0.23499999999999999</v>
      </c>
      <c r="V2924" s="1">
        <v>170.035</v>
      </c>
      <c r="W2924">
        <v>4</v>
      </c>
    </row>
    <row r="2925" spans="1:23" x14ac:dyDescent="0.25">
      <c r="A2925" s="1" t="s">
        <v>19940</v>
      </c>
      <c r="B2925" s="1" t="s">
        <v>19939</v>
      </c>
      <c r="C2925" s="1" t="s">
        <v>2184</v>
      </c>
      <c r="D2925" s="1" t="s">
        <v>2184</v>
      </c>
      <c r="E2925" s="1" t="s">
        <v>7630</v>
      </c>
      <c r="F2925" s="1" t="s">
        <v>19941</v>
      </c>
      <c r="G2925">
        <v>320393</v>
      </c>
      <c r="H2925">
        <v>54</v>
      </c>
      <c r="I2925" s="1" t="s">
        <v>11063</v>
      </c>
      <c r="J2925" s="11">
        <v>44729.706458333334</v>
      </c>
      <c r="K2925" s="1" t="s">
        <v>1994</v>
      </c>
      <c r="L2925" s="1">
        <v>0.51100000000000001</v>
      </c>
      <c r="M2925" s="1">
        <v>0.88500000000000001</v>
      </c>
      <c r="N2925">
        <v>5</v>
      </c>
      <c r="O2925" s="1">
        <v>-3.2589999999999999</v>
      </c>
      <c r="P2925">
        <v>0</v>
      </c>
      <c r="Q2925" s="1">
        <v>0.28699999999999998</v>
      </c>
      <c r="R2925" s="1">
        <v>0.47899999999999998</v>
      </c>
      <c r="S2925" s="1">
        <v>0.64500000000000002</v>
      </c>
      <c r="T2925" s="1">
        <v>0.115</v>
      </c>
      <c r="U2925" s="1">
        <v>0.34300000000000003</v>
      </c>
      <c r="V2925" s="1">
        <v>170.00200000000001</v>
      </c>
      <c r="W2925">
        <v>4</v>
      </c>
    </row>
    <row r="2926" spans="1:23" x14ac:dyDescent="0.25">
      <c r="A2926" s="1" t="s">
        <v>19942</v>
      </c>
      <c r="B2926" s="1" t="s">
        <v>19943</v>
      </c>
      <c r="C2926" s="1" t="s">
        <v>7631</v>
      </c>
      <c r="D2926" s="1" t="s">
        <v>19944</v>
      </c>
      <c r="E2926" s="1" t="s">
        <v>7632</v>
      </c>
      <c r="F2926" s="1" t="s">
        <v>19945</v>
      </c>
      <c r="G2926">
        <v>215172</v>
      </c>
      <c r="H2926">
        <v>38</v>
      </c>
      <c r="I2926" s="1" t="s">
        <v>11063</v>
      </c>
      <c r="J2926" s="11">
        <v>44729.706458333334</v>
      </c>
      <c r="K2926" s="1" t="s">
        <v>4517</v>
      </c>
      <c r="L2926" s="1">
        <v>0.40699999999999997</v>
      </c>
      <c r="M2926" s="1">
        <v>0.57899999999999996</v>
      </c>
      <c r="N2926">
        <v>5</v>
      </c>
      <c r="O2926" s="1">
        <v>-6.5129999999999999</v>
      </c>
      <c r="P2926">
        <v>0</v>
      </c>
      <c r="Q2926" s="1">
        <v>0.373</v>
      </c>
      <c r="R2926" s="1">
        <v>0.499</v>
      </c>
      <c r="S2926" s="1">
        <v>0.121</v>
      </c>
      <c r="T2926" s="1">
        <v>0.161</v>
      </c>
      <c r="U2926" s="1">
        <v>0.20200000000000001</v>
      </c>
      <c r="V2926" s="1">
        <v>173.9</v>
      </c>
      <c r="W2926">
        <v>4</v>
      </c>
    </row>
    <row r="2927" spans="1:23" x14ac:dyDescent="0.25">
      <c r="A2927" s="1" t="s">
        <v>19946</v>
      </c>
      <c r="B2927" s="1" t="s">
        <v>19947</v>
      </c>
      <c r="C2927" s="1" t="s">
        <v>7633</v>
      </c>
      <c r="D2927" s="1" t="s">
        <v>7633</v>
      </c>
      <c r="E2927" s="1" t="s">
        <v>7634</v>
      </c>
      <c r="F2927" s="1" t="s">
        <v>19948</v>
      </c>
      <c r="G2927">
        <v>222068</v>
      </c>
      <c r="H2927">
        <v>41</v>
      </c>
      <c r="I2927" s="1" t="s">
        <v>11063</v>
      </c>
      <c r="J2927" s="11">
        <v>44729.706458333334</v>
      </c>
      <c r="K2927" s="1" t="s">
        <v>2228</v>
      </c>
      <c r="L2927" s="1">
        <v>0.44700000000000001</v>
      </c>
      <c r="M2927" s="1">
        <v>0.86499999999999999</v>
      </c>
      <c r="N2927">
        <v>10</v>
      </c>
      <c r="O2927" s="1">
        <v>-3.9990000000000001</v>
      </c>
      <c r="P2927">
        <v>0</v>
      </c>
      <c r="Q2927" s="1">
        <v>0.46899999999999997</v>
      </c>
      <c r="R2927" s="1">
        <v>0.41199999999999998</v>
      </c>
      <c r="S2927" s="1">
        <v>0.107</v>
      </c>
      <c r="T2927" s="1">
        <v>0.93100000000000005</v>
      </c>
      <c r="U2927" s="1">
        <v>0.63100000000000001</v>
      </c>
      <c r="V2927" s="1">
        <v>173.96799999999999</v>
      </c>
      <c r="W2927">
        <v>4</v>
      </c>
    </row>
    <row r="2928" spans="1:23" x14ac:dyDescent="0.25">
      <c r="A2928" s="1" t="s">
        <v>19949</v>
      </c>
      <c r="B2928" s="1" t="s">
        <v>19950</v>
      </c>
      <c r="C2928" s="1" t="s">
        <v>7635</v>
      </c>
      <c r="D2928" s="1" t="s">
        <v>7635</v>
      </c>
      <c r="E2928" s="1" t="s">
        <v>7636</v>
      </c>
      <c r="F2928" s="1" t="s">
        <v>19951</v>
      </c>
      <c r="G2928">
        <v>212288</v>
      </c>
      <c r="H2928">
        <v>51</v>
      </c>
      <c r="I2928" s="1" t="s">
        <v>11063</v>
      </c>
      <c r="J2928" s="11">
        <v>44729.706458333334</v>
      </c>
      <c r="K2928" s="1" t="s">
        <v>2228</v>
      </c>
      <c r="L2928" s="1">
        <v>0.32500000000000001</v>
      </c>
      <c r="M2928" s="1">
        <v>0.66300000000000003</v>
      </c>
      <c r="N2928">
        <v>11</v>
      </c>
      <c r="O2928" s="1">
        <v>-5.8689999999999998</v>
      </c>
      <c r="P2928">
        <v>0</v>
      </c>
      <c r="Q2928" s="1">
        <v>0.74</v>
      </c>
      <c r="R2928" s="1">
        <v>0.313</v>
      </c>
      <c r="S2928" s="1">
        <v>0.10100000000000001</v>
      </c>
      <c r="T2928" s="1">
        <v>0.73699999999999999</v>
      </c>
      <c r="U2928" s="1">
        <v>0.14699999999999999</v>
      </c>
      <c r="V2928" s="1">
        <v>174.04</v>
      </c>
      <c r="W2928">
        <v>4</v>
      </c>
    </row>
    <row r="2929" spans="1:23" x14ac:dyDescent="0.25">
      <c r="A2929" s="1" t="s">
        <v>19952</v>
      </c>
      <c r="B2929" s="1" t="s">
        <v>19953</v>
      </c>
      <c r="C2929" s="1" t="s">
        <v>7637</v>
      </c>
      <c r="D2929" s="1" t="s">
        <v>7637</v>
      </c>
      <c r="E2929" s="1" t="s">
        <v>7638</v>
      </c>
      <c r="F2929" s="1" t="s">
        <v>18597</v>
      </c>
      <c r="G2929">
        <v>189788</v>
      </c>
      <c r="H2929">
        <v>30</v>
      </c>
      <c r="I2929" s="1" t="s">
        <v>11063</v>
      </c>
      <c r="J2929" s="11">
        <v>44729.706458333334</v>
      </c>
      <c r="K2929" s="1" t="s">
        <v>5221</v>
      </c>
      <c r="L2929" s="1">
        <v>0.41</v>
      </c>
      <c r="M2929" s="1">
        <v>0.76</v>
      </c>
      <c r="N2929">
        <v>11</v>
      </c>
      <c r="O2929" s="1">
        <v>-5.1210000000000004</v>
      </c>
      <c r="P2929">
        <v>1</v>
      </c>
      <c r="Q2929" s="1">
        <v>0.48399999999999999</v>
      </c>
      <c r="R2929" s="1">
        <v>0.11700000000000001</v>
      </c>
      <c r="S2929" s="1">
        <v>0</v>
      </c>
      <c r="T2929" s="1">
        <v>0.185</v>
      </c>
      <c r="U2929" s="1">
        <v>0.18</v>
      </c>
      <c r="V2929" s="1">
        <v>166.048</v>
      </c>
      <c r="W2929">
        <v>4</v>
      </c>
    </row>
    <row r="2930" spans="1:23" x14ac:dyDescent="0.25">
      <c r="A2930" s="1" t="s">
        <v>19954</v>
      </c>
      <c r="B2930" s="1" t="s">
        <v>19955</v>
      </c>
      <c r="C2930" s="1" t="s">
        <v>7639</v>
      </c>
      <c r="D2930" s="1" t="s">
        <v>7639</v>
      </c>
      <c r="E2930" s="1" t="s">
        <v>7640</v>
      </c>
      <c r="F2930" s="1" t="s">
        <v>19956</v>
      </c>
      <c r="G2930">
        <v>222631</v>
      </c>
      <c r="H2930">
        <v>41</v>
      </c>
      <c r="I2930" s="1" t="s">
        <v>11063</v>
      </c>
      <c r="J2930" s="11">
        <v>44729.706458333334</v>
      </c>
      <c r="K2930" s="1" t="s">
        <v>7641</v>
      </c>
      <c r="L2930" s="1">
        <v>0.40699999999999997</v>
      </c>
      <c r="M2930" s="1">
        <v>0.88500000000000001</v>
      </c>
      <c r="N2930">
        <v>11</v>
      </c>
      <c r="O2930" s="1">
        <v>-4.1500000000000004</v>
      </c>
      <c r="P2930">
        <v>0</v>
      </c>
      <c r="Q2930" s="1">
        <v>0.16800000000000001</v>
      </c>
      <c r="R2930" s="1">
        <v>0.498</v>
      </c>
      <c r="S2930" s="1">
        <v>0.28399999999999997</v>
      </c>
      <c r="T2930" s="1">
        <v>0.34599999999999997</v>
      </c>
      <c r="U2930" s="1">
        <v>0.46300000000000002</v>
      </c>
      <c r="V2930" s="1">
        <v>75.995000000000005</v>
      </c>
      <c r="W2930">
        <v>4</v>
      </c>
    </row>
    <row r="2931" spans="1:23" x14ac:dyDescent="0.25">
      <c r="A2931" s="1" t="s">
        <v>19957</v>
      </c>
      <c r="B2931" s="1" t="s">
        <v>19958</v>
      </c>
      <c r="C2931" s="1" t="s">
        <v>7642</v>
      </c>
      <c r="D2931" s="1" t="s">
        <v>19959</v>
      </c>
      <c r="E2931" s="1" t="s">
        <v>7643</v>
      </c>
      <c r="F2931" s="1" t="s">
        <v>18488</v>
      </c>
      <c r="G2931">
        <v>301500</v>
      </c>
      <c r="H2931">
        <v>42</v>
      </c>
      <c r="I2931" s="1" t="s">
        <v>11063</v>
      </c>
      <c r="J2931" s="11">
        <v>44729.706458333334</v>
      </c>
      <c r="K2931" s="1" t="s">
        <v>5159</v>
      </c>
      <c r="L2931" s="1">
        <v>0.47</v>
      </c>
      <c r="M2931" s="1">
        <v>0.85199999999999998</v>
      </c>
      <c r="N2931">
        <v>4</v>
      </c>
      <c r="O2931" s="1">
        <v>-4.6210000000000004</v>
      </c>
      <c r="P2931">
        <v>1</v>
      </c>
      <c r="Q2931" s="1">
        <v>0.23699999999999999</v>
      </c>
      <c r="R2931" s="1">
        <v>0.11899999999999999</v>
      </c>
      <c r="S2931" s="1">
        <v>0.23200000000000001</v>
      </c>
      <c r="T2931" s="1">
        <v>0.128</v>
      </c>
      <c r="U2931" s="1">
        <v>0.19800000000000001</v>
      </c>
      <c r="V2931" s="1">
        <v>160.02000000000001</v>
      </c>
      <c r="W2931">
        <v>4</v>
      </c>
    </row>
    <row r="2932" spans="1:23" x14ac:dyDescent="0.25">
      <c r="A2932" s="1" t="s">
        <v>19960</v>
      </c>
      <c r="B2932" s="1" t="s">
        <v>19961</v>
      </c>
      <c r="C2932" s="1" t="s">
        <v>7644</v>
      </c>
      <c r="D2932" s="1" t="s">
        <v>7644</v>
      </c>
      <c r="E2932" s="1" t="s">
        <v>7645</v>
      </c>
      <c r="F2932" s="1" t="s">
        <v>16525</v>
      </c>
      <c r="G2932">
        <v>278400</v>
      </c>
      <c r="H2932">
        <v>52</v>
      </c>
      <c r="I2932" s="1" t="s">
        <v>11063</v>
      </c>
      <c r="J2932" s="11">
        <v>44729.706458333334</v>
      </c>
      <c r="K2932" s="1" t="s">
        <v>7646</v>
      </c>
      <c r="L2932" s="1">
        <v>0.42699999999999999</v>
      </c>
      <c r="M2932" s="1">
        <v>0.83599999999999997</v>
      </c>
      <c r="N2932">
        <v>5</v>
      </c>
      <c r="O2932" s="1">
        <v>-3.323</v>
      </c>
      <c r="P2932">
        <v>0</v>
      </c>
      <c r="Q2932" s="1">
        <v>0.46600000000000003</v>
      </c>
      <c r="R2932" s="1">
        <v>0.45600000000000002</v>
      </c>
      <c r="S2932" s="1">
        <v>0.23799999999999999</v>
      </c>
      <c r="T2932" s="1">
        <v>0.36899999999999999</v>
      </c>
      <c r="U2932" s="1">
        <v>0.248</v>
      </c>
      <c r="V2932" s="1">
        <v>150.12799999999999</v>
      </c>
      <c r="W2932">
        <v>4</v>
      </c>
    </row>
    <row r="2933" spans="1:23" x14ac:dyDescent="0.25">
      <c r="A2933" s="1" t="s">
        <v>19962</v>
      </c>
      <c r="B2933" s="1" t="s">
        <v>19963</v>
      </c>
      <c r="C2933" s="1" t="s">
        <v>4761</v>
      </c>
      <c r="D2933" s="1" t="s">
        <v>4761</v>
      </c>
      <c r="E2933" s="1" t="s">
        <v>7647</v>
      </c>
      <c r="F2933" s="1" t="s">
        <v>19964</v>
      </c>
      <c r="G2933">
        <v>178285</v>
      </c>
      <c r="H2933">
        <v>39</v>
      </c>
      <c r="I2933" s="1" t="s">
        <v>11063</v>
      </c>
      <c r="J2933" s="11">
        <v>44729.706458333334</v>
      </c>
      <c r="K2933" s="1" t="s">
        <v>7648</v>
      </c>
      <c r="L2933" s="1">
        <v>0.746</v>
      </c>
      <c r="M2933" s="1">
        <v>0.9</v>
      </c>
      <c r="N2933">
        <v>9</v>
      </c>
      <c r="O2933" s="1">
        <v>-3.9729999999999999</v>
      </c>
      <c r="P2933">
        <v>0</v>
      </c>
      <c r="Q2933" s="1">
        <v>0.11799999999999999</v>
      </c>
      <c r="R2933" s="1">
        <v>0.74199999999999999</v>
      </c>
      <c r="S2933" s="1">
        <v>0.317</v>
      </c>
      <c r="T2933" s="1">
        <v>0.121</v>
      </c>
      <c r="U2933" s="1">
        <v>0.28599999999999998</v>
      </c>
      <c r="V2933" s="1">
        <v>140.02099999999999</v>
      </c>
      <c r="W2933">
        <v>4</v>
      </c>
    </row>
    <row r="2934" spans="1:23" x14ac:dyDescent="0.25">
      <c r="A2934" s="1" t="s">
        <v>19965</v>
      </c>
      <c r="B2934" s="1" t="s">
        <v>19966</v>
      </c>
      <c r="C2934" s="1" t="s">
        <v>7649</v>
      </c>
      <c r="D2934" s="1" t="s">
        <v>19967</v>
      </c>
      <c r="E2934" s="1" t="s">
        <v>7650</v>
      </c>
      <c r="F2934" s="1" t="s">
        <v>19968</v>
      </c>
      <c r="G2934">
        <v>388875</v>
      </c>
      <c r="H2934">
        <v>20</v>
      </c>
      <c r="I2934" s="1" t="s">
        <v>11063</v>
      </c>
      <c r="J2934" s="11">
        <v>44729.706458333334</v>
      </c>
      <c r="K2934" s="1" t="s">
        <v>7651</v>
      </c>
      <c r="L2934" s="1">
        <v>0.48099999999999998</v>
      </c>
      <c r="M2934" s="1">
        <v>0.71699999999999997</v>
      </c>
      <c r="N2934">
        <v>5</v>
      </c>
      <c r="O2934" s="1">
        <v>-4.6219999999999999</v>
      </c>
      <c r="P2934">
        <v>1</v>
      </c>
      <c r="Q2934" s="1">
        <v>0.36</v>
      </c>
      <c r="R2934" s="1">
        <v>0.29499999999999998</v>
      </c>
      <c r="S2934" s="1">
        <v>0.20899999999999999</v>
      </c>
      <c r="T2934" s="1">
        <v>0.27700000000000002</v>
      </c>
      <c r="U2934" s="1">
        <v>0.89400000000000002</v>
      </c>
      <c r="V2934" s="1">
        <v>140.02000000000001</v>
      </c>
      <c r="W2934">
        <v>4</v>
      </c>
    </row>
    <row r="2935" spans="1:23" x14ac:dyDescent="0.25">
      <c r="A2935" s="1" t="s">
        <v>19969</v>
      </c>
      <c r="B2935" s="1" t="s">
        <v>19970</v>
      </c>
      <c r="C2935" s="1" t="s">
        <v>7652</v>
      </c>
      <c r="D2935" s="1" t="s">
        <v>1461</v>
      </c>
      <c r="E2935" s="1" t="s">
        <v>7653</v>
      </c>
      <c r="F2935" s="1" t="s">
        <v>19971</v>
      </c>
      <c r="G2935">
        <v>231640</v>
      </c>
      <c r="H2935">
        <v>40</v>
      </c>
      <c r="I2935" s="1" t="s">
        <v>11063</v>
      </c>
      <c r="J2935" s="11">
        <v>44729.706458333334</v>
      </c>
      <c r="K2935" s="1" t="s">
        <v>7654</v>
      </c>
      <c r="L2935" s="1">
        <v>0.70499999999999996</v>
      </c>
      <c r="M2935" s="1">
        <v>0.92400000000000004</v>
      </c>
      <c r="N2935">
        <v>9</v>
      </c>
      <c r="O2935" s="1">
        <v>-2.9750000000000001</v>
      </c>
      <c r="P2935">
        <v>0</v>
      </c>
      <c r="Q2935" s="1">
        <v>0.438</v>
      </c>
      <c r="R2935" s="1">
        <v>0.46800000000000003</v>
      </c>
      <c r="S2935" s="1">
        <v>0.46600000000000003</v>
      </c>
      <c r="T2935" s="1">
        <v>0.57299999999999995</v>
      </c>
      <c r="U2935" s="1">
        <v>0.307</v>
      </c>
      <c r="V2935" s="1">
        <v>128.066</v>
      </c>
      <c r="W2935">
        <v>4</v>
      </c>
    </row>
    <row r="2936" spans="1:23" x14ac:dyDescent="0.25">
      <c r="A2936" s="1" t="s">
        <v>19972</v>
      </c>
      <c r="B2936" s="1" t="s">
        <v>19966</v>
      </c>
      <c r="C2936" s="1" t="s">
        <v>3191</v>
      </c>
      <c r="D2936" s="1" t="s">
        <v>19973</v>
      </c>
      <c r="E2936" s="1" t="s">
        <v>7650</v>
      </c>
      <c r="F2936" s="1" t="s">
        <v>13744</v>
      </c>
      <c r="G2936">
        <v>248275</v>
      </c>
      <c r="H2936">
        <v>39</v>
      </c>
      <c r="I2936" s="1" t="s">
        <v>11063</v>
      </c>
      <c r="J2936" s="11">
        <v>44729.706458333334</v>
      </c>
      <c r="K2936" s="1" t="s">
        <v>7651</v>
      </c>
      <c r="L2936" s="1">
        <v>0.65700000000000003</v>
      </c>
      <c r="M2936" s="1">
        <v>0.84699999999999998</v>
      </c>
      <c r="N2936">
        <v>9</v>
      </c>
      <c r="O2936" s="1">
        <v>-6.4349999999999996</v>
      </c>
      <c r="P2936">
        <v>0</v>
      </c>
      <c r="Q2936" s="1">
        <v>0.41699999999999998</v>
      </c>
      <c r="R2936" s="1">
        <v>0.247</v>
      </c>
      <c r="S2936" s="1">
        <v>0.32500000000000001</v>
      </c>
      <c r="T2936" s="1">
        <v>0.105</v>
      </c>
      <c r="U2936" s="1">
        <v>0.28999999999999998</v>
      </c>
      <c r="V2936" s="1">
        <v>144.93700000000001</v>
      </c>
      <c r="W2936">
        <v>4</v>
      </c>
    </row>
    <row r="2937" spans="1:23" x14ac:dyDescent="0.25">
      <c r="A2937" s="1" t="s">
        <v>19974</v>
      </c>
      <c r="B2937" s="1" t="s">
        <v>11271</v>
      </c>
      <c r="C2937" s="1" t="s">
        <v>7655</v>
      </c>
      <c r="D2937" s="1" t="s">
        <v>15110</v>
      </c>
      <c r="E2937" s="1" t="s">
        <v>73</v>
      </c>
      <c r="F2937" s="1" t="s">
        <v>11587</v>
      </c>
      <c r="G2937">
        <v>410897</v>
      </c>
      <c r="H2937">
        <v>49</v>
      </c>
      <c r="I2937" s="1" t="s">
        <v>11063</v>
      </c>
      <c r="J2937" s="11">
        <v>44729.706458333334</v>
      </c>
      <c r="K2937" s="1" t="s">
        <v>74</v>
      </c>
      <c r="L2937" s="1">
        <v>0.65400000000000003</v>
      </c>
      <c r="M2937" s="1">
        <v>0.73699999999999999</v>
      </c>
      <c r="N2937">
        <v>0</v>
      </c>
      <c r="O2937" s="1">
        <v>-6.4349999999999996</v>
      </c>
      <c r="P2937">
        <v>1</v>
      </c>
      <c r="Q2937" s="1">
        <v>0.108</v>
      </c>
      <c r="R2937" s="1">
        <v>0.35499999999999998</v>
      </c>
      <c r="S2937" s="1">
        <v>0.27300000000000002</v>
      </c>
      <c r="T2937" s="1">
        <v>0.80700000000000005</v>
      </c>
      <c r="U2937" s="1">
        <v>0.223</v>
      </c>
      <c r="V2937" s="1">
        <v>127.001</v>
      </c>
      <c r="W2937">
        <v>4</v>
      </c>
    </row>
    <row r="2938" spans="1:23" x14ac:dyDescent="0.25">
      <c r="A2938" s="1" t="s">
        <v>19975</v>
      </c>
      <c r="B2938" s="1" t="s">
        <v>19976</v>
      </c>
      <c r="C2938" s="1" t="s">
        <v>7656</v>
      </c>
      <c r="D2938" s="1" t="s">
        <v>19977</v>
      </c>
      <c r="E2938" s="1" t="s">
        <v>7657</v>
      </c>
      <c r="F2938" s="1" t="s">
        <v>19978</v>
      </c>
      <c r="G2938">
        <v>206460</v>
      </c>
      <c r="H2938">
        <v>32</v>
      </c>
      <c r="I2938" s="1" t="s">
        <v>11063</v>
      </c>
      <c r="J2938" s="11">
        <v>44729.706458333334</v>
      </c>
      <c r="K2938" s="1" t="s">
        <v>7658</v>
      </c>
      <c r="L2938" s="1">
        <v>0.73599999999999999</v>
      </c>
      <c r="M2938" s="1">
        <v>0.92900000000000005</v>
      </c>
      <c r="N2938">
        <v>7</v>
      </c>
      <c r="O2938" s="1">
        <v>-5.89</v>
      </c>
      <c r="P2938">
        <v>0</v>
      </c>
      <c r="Q2938" s="1">
        <v>0.67400000000000004</v>
      </c>
      <c r="R2938" s="1">
        <v>0.23699999999999999</v>
      </c>
      <c r="S2938" s="1">
        <v>0.111</v>
      </c>
      <c r="T2938" s="1">
        <v>0.40200000000000002</v>
      </c>
      <c r="U2938" s="1">
        <v>0.65800000000000003</v>
      </c>
      <c r="V2938" s="1">
        <v>125.03</v>
      </c>
      <c r="W2938">
        <v>4</v>
      </c>
    </row>
    <row r="2939" spans="1:23" x14ac:dyDescent="0.25">
      <c r="A2939" s="1" t="s">
        <v>19979</v>
      </c>
      <c r="B2939" s="1" t="s">
        <v>15112</v>
      </c>
      <c r="C2939" s="1" t="s">
        <v>7659</v>
      </c>
      <c r="D2939" s="1" t="s">
        <v>3370</v>
      </c>
      <c r="E2939" s="1" t="s">
        <v>3371</v>
      </c>
      <c r="F2939" s="1" t="s">
        <v>14014</v>
      </c>
      <c r="G2939">
        <v>163246</v>
      </c>
      <c r="H2939">
        <v>64</v>
      </c>
      <c r="I2939" s="1" t="s">
        <v>11063</v>
      </c>
      <c r="J2939" s="11">
        <v>44729.706458333334</v>
      </c>
      <c r="K2939" s="1" t="s">
        <v>3372</v>
      </c>
      <c r="L2939" s="1">
        <v>0.73299999999999998</v>
      </c>
      <c r="M2939" s="1">
        <v>0.67300000000000004</v>
      </c>
      <c r="N2939">
        <v>9</v>
      </c>
      <c r="O2939" s="1">
        <v>-6.5720000000000001</v>
      </c>
      <c r="P2939">
        <v>0</v>
      </c>
      <c r="Q2939" s="1">
        <v>0.33300000000000002</v>
      </c>
      <c r="R2939" s="1">
        <v>0.13200000000000001</v>
      </c>
      <c r="S2939" s="1">
        <v>0.49</v>
      </c>
      <c r="T2939" s="1">
        <v>0.16</v>
      </c>
      <c r="U2939" s="1">
        <v>0.63600000000000001</v>
      </c>
      <c r="V2939" s="1">
        <v>125.06100000000001</v>
      </c>
      <c r="W2939">
        <v>4</v>
      </c>
    </row>
    <row r="2940" spans="1:23" x14ac:dyDescent="0.25">
      <c r="A2940" s="1" t="s">
        <v>19980</v>
      </c>
      <c r="B2940" s="1" t="s">
        <v>11271</v>
      </c>
      <c r="C2940" s="1" t="s">
        <v>7660</v>
      </c>
      <c r="D2940" s="1" t="s">
        <v>15110</v>
      </c>
      <c r="E2940" s="1" t="s">
        <v>73</v>
      </c>
      <c r="F2940" s="1" t="s">
        <v>11587</v>
      </c>
      <c r="G2940">
        <v>410096</v>
      </c>
      <c r="H2940">
        <v>64</v>
      </c>
      <c r="I2940" s="1" t="s">
        <v>11063</v>
      </c>
      <c r="J2940" s="11">
        <v>44729.706458333334</v>
      </c>
      <c r="K2940" s="1" t="s">
        <v>74</v>
      </c>
      <c r="L2940" s="1">
        <v>0.72299999999999998</v>
      </c>
      <c r="M2940" s="1">
        <v>0.80600000000000005</v>
      </c>
      <c r="N2940">
        <v>0</v>
      </c>
      <c r="O2940" s="1">
        <v>-4.9889999999999999</v>
      </c>
      <c r="P2940">
        <v>1</v>
      </c>
      <c r="Q2940" s="1">
        <v>0.52100000000000002</v>
      </c>
      <c r="R2940" s="1">
        <v>0.66600000000000004</v>
      </c>
      <c r="S2940" s="1">
        <v>0.876</v>
      </c>
      <c r="T2940" s="1">
        <v>0.27600000000000002</v>
      </c>
      <c r="U2940" s="1">
        <v>0.53900000000000003</v>
      </c>
      <c r="V2940" s="1">
        <v>124.976</v>
      </c>
      <c r="W2940">
        <v>4</v>
      </c>
    </row>
    <row r="2941" spans="1:23" x14ac:dyDescent="0.25">
      <c r="A2941" s="1" t="s">
        <v>19981</v>
      </c>
      <c r="B2941" s="1" t="s">
        <v>11271</v>
      </c>
      <c r="C2941" s="1" t="s">
        <v>7655</v>
      </c>
      <c r="D2941" s="1" t="s">
        <v>7655</v>
      </c>
      <c r="E2941" s="1" t="s">
        <v>73</v>
      </c>
      <c r="F2941" s="1" t="s">
        <v>19982</v>
      </c>
      <c r="G2941">
        <v>213337</v>
      </c>
      <c r="H2941">
        <v>66</v>
      </c>
      <c r="I2941" s="1" t="s">
        <v>11063</v>
      </c>
      <c r="J2941" s="11">
        <v>44729.706458333334</v>
      </c>
      <c r="K2941" s="1" t="s">
        <v>74</v>
      </c>
      <c r="L2941" s="1">
        <v>0.50700000000000001</v>
      </c>
      <c r="M2941" s="1">
        <v>0.66500000000000004</v>
      </c>
      <c r="N2941">
        <v>0</v>
      </c>
      <c r="O2941" s="1">
        <v>-7.5979999999999999</v>
      </c>
      <c r="P2941">
        <v>1</v>
      </c>
      <c r="Q2941" s="1">
        <v>0.47399999999999998</v>
      </c>
      <c r="R2941" s="1">
        <v>0.14399999999999999</v>
      </c>
      <c r="S2941" s="1">
        <v>0</v>
      </c>
      <c r="T2941" s="1">
        <v>0.75900000000000001</v>
      </c>
      <c r="U2941" s="1">
        <v>0.4</v>
      </c>
      <c r="V2941" s="1">
        <v>126.879</v>
      </c>
      <c r="W2941">
        <v>4</v>
      </c>
    </row>
    <row r="2942" spans="1:23" x14ac:dyDescent="0.25">
      <c r="A2942" s="1" t="s">
        <v>19983</v>
      </c>
      <c r="B2942" s="1" t="s">
        <v>18308</v>
      </c>
      <c r="C2942" s="1" t="s">
        <v>7661</v>
      </c>
      <c r="D2942" s="1" t="s">
        <v>6204</v>
      </c>
      <c r="E2942" s="1" t="s">
        <v>6205</v>
      </c>
      <c r="F2942" s="1" t="s">
        <v>19984</v>
      </c>
      <c r="G2942">
        <v>212862</v>
      </c>
      <c r="H2942">
        <v>79</v>
      </c>
      <c r="I2942" s="1" t="s">
        <v>11063</v>
      </c>
      <c r="J2942" s="11">
        <v>44729.706458333334</v>
      </c>
      <c r="K2942" s="1" t="s">
        <v>6206</v>
      </c>
      <c r="L2942" s="1">
        <v>0.61199999999999999</v>
      </c>
      <c r="M2942" s="1">
        <v>0.84</v>
      </c>
      <c r="N2942">
        <v>11</v>
      </c>
      <c r="O2942" s="1">
        <v>-3.145</v>
      </c>
      <c r="P2942">
        <v>0</v>
      </c>
      <c r="Q2942" s="1">
        <v>0.50900000000000001</v>
      </c>
      <c r="R2942" s="1">
        <v>0.112</v>
      </c>
      <c r="S2942" s="1">
        <v>0</v>
      </c>
      <c r="T2942" s="1">
        <v>0.11600000000000001</v>
      </c>
      <c r="U2942" s="1">
        <v>0.438</v>
      </c>
      <c r="V2942" s="1">
        <v>129.042</v>
      </c>
      <c r="W2942">
        <v>4</v>
      </c>
    </row>
    <row r="2943" spans="1:23" x14ac:dyDescent="0.25">
      <c r="A2943" s="1" t="s">
        <v>19985</v>
      </c>
      <c r="B2943" s="1" t="s">
        <v>14392</v>
      </c>
      <c r="C2943" s="1" t="s">
        <v>7662</v>
      </c>
      <c r="D2943" s="1" t="s">
        <v>19986</v>
      </c>
      <c r="E2943" s="1" t="s">
        <v>2735</v>
      </c>
      <c r="F2943" s="1" t="s">
        <v>19987</v>
      </c>
      <c r="G2943">
        <v>328680</v>
      </c>
      <c r="H2943">
        <v>63</v>
      </c>
      <c r="I2943" s="1" t="s">
        <v>11063</v>
      </c>
      <c r="J2943" s="11">
        <v>44729.706458333334</v>
      </c>
      <c r="K2943" s="1" t="s">
        <v>2736</v>
      </c>
      <c r="L2943" s="1">
        <v>0.80600000000000005</v>
      </c>
      <c r="M2943" s="1">
        <v>0.7</v>
      </c>
      <c r="N2943">
        <v>0</v>
      </c>
      <c r="O2943" s="1">
        <v>-5.2690000000000001</v>
      </c>
      <c r="P2943">
        <v>0</v>
      </c>
      <c r="Q2943" s="1">
        <v>0.752</v>
      </c>
      <c r="R2943" s="1">
        <v>0.19600000000000001</v>
      </c>
      <c r="S2943" s="1">
        <v>0.89100000000000001</v>
      </c>
      <c r="T2943" s="1">
        <v>0.26700000000000002</v>
      </c>
      <c r="U2943" s="1">
        <v>0.89200000000000002</v>
      </c>
      <c r="V2943" s="1">
        <v>111.215</v>
      </c>
      <c r="W2943">
        <v>4</v>
      </c>
    </row>
    <row r="2944" spans="1:23" x14ac:dyDescent="0.25">
      <c r="A2944" s="1" t="s">
        <v>19988</v>
      </c>
      <c r="B2944" s="1" t="s">
        <v>14392</v>
      </c>
      <c r="C2944" s="1" t="s">
        <v>7663</v>
      </c>
      <c r="D2944" s="1" t="s">
        <v>19989</v>
      </c>
      <c r="E2944" s="1" t="s">
        <v>2735</v>
      </c>
      <c r="F2944" s="1" t="s">
        <v>19990</v>
      </c>
      <c r="G2944">
        <v>212546</v>
      </c>
      <c r="H2944">
        <v>60</v>
      </c>
      <c r="I2944" s="1" t="s">
        <v>11063</v>
      </c>
      <c r="J2944" s="11">
        <v>44729.706458333334</v>
      </c>
      <c r="K2944" s="1" t="s">
        <v>2736</v>
      </c>
      <c r="L2944" s="1">
        <v>0.624</v>
      </c>
      <c r="M2944" s="1">
        <v>0.91100000000000003</v>
      </c>
      <c r="N2944">
        <v>7</v>
      </c>
      <c r="O2944" s="1">
        <v>-7.4820000000000002</v>
      </c>
      <c r="P2944">
        <v>1</v>
      </c>
      <c r="Q2944" s="1">
        <v>0.52400000000000002</v>
      </c>
      <c r="R2944" s="1">
        <v>0.32900000000000001</v>
      </c>
      <c r="S2944" s="1">
        <v>0.86099999999999999</v>
      </c>
      <c r="T2944" s="1">
        <v>0.72699999999999998</v>
      </c>
      <c r="U2944" s="1">
        <v>0.13500000000000001</v>
      </c>
      <c r="V2944" s="1">
        <v>122.902</v>
      </c>
      <c r="W2944">
        <v>4</v>
      </c>
    </row>
    <row r="2945" spans="1:23" x14ac:dyDescent="0.25">
      <c r="A2945" s="1" t="s">
        <v>19991</v>
      </c>
      <c r="B2945" s="1" t="s">
        <v>14392</v>
      </c>
      <c r="C2945" s="1" t="s">
        <v>7664</v>
      </c>
      <c r="D2945" s="1" t="s">
        <v>19992</v>
      </c>
      <c r="E2945" s="1" t="s">
        <v>2735</v>
      </c>
      <c r="F2945" s="1" t="s">
        <v>19993</v>
      </c>
      <c r="G2945">
        <v>287840</v>
      </c>
      <c r="H2945">
        <v>40</v>
      </c>
      <c r="I2945" s="1" t="s">
        <v>11063</v>
      </c>
      <c r="J2945" s="11">
        <v>44729.706458333334</v>
      </c>
      <c r="K2945" s="1" t="s">
        <v>2736</v>
      </c>
      <c r="L2945" s="1">
        <v>0.70199999999999996</v>
      </c>
      <c r="M2945" s="1">
        <v>0.56699999999999995</v>
      </c>
      <c r="N2945">
        <v>7</v>
      </c>
      <c r="O2945" s="1">
        <v>-5.468</v>
      </c>
      <c r="P2945">
        <v>1</v>
      </c>
      <c r="Q2945" s="1">
        <v>0.89700000000000002</v>
      </c>
      <c r="R2945" s="1">
        <v>0.60399999999999998</v>
      </c>
      <c r="S2945" s="1">
        <v>0.70599999999999996</v>
      </c>
      <c r="T2945" s="1">
        <v>0.1</v>
      </c>
      <c r="U2945" s="1">
        <v>0.70499999999999996</v>
      </c>
      <c r="V2945" s="1">
        <v>115.316</v>
      </c>
      <c r="W2945">
        <v>4</v>
      </c>
    </row>
    <row r="2946" spans="1:23" x14ac:dyDescent="0.25">
      <c r="A2946" s="1" t="s">
        <v>19994</v>
      </c>
      <c r="B2946" s="1" t="s">
        <v>14392</v>
      </c>
      <c r="C2946" s="1" t="s">
        <v>7665</v>
      </c>
      <c r="D2946" s="1" t="s">
        <v>19992</v>
      </c>
      <c r="E2946" s="1" t="s">
        <v>2735</v>
      </c>
      <c r="F2946" s="1" t="s">
        <v>19993</v>
      </c>
      <c r="G2946">
        <v>287720</v>
      </c>
      <c r="H2946">
        <v>58</v>
      </c>
      <c r="I2946" s="1" t="s">
        <v>11063</v>
      </c>
      <c r="J2946" s="11">
        <v>44729.706458333334</v>
      </c>
      <c r="K2946" s="1" t="s">
        <v>2736</v>
      </c>
      <c r="L2946" s="1">
        <v>0.59</v>
      </c>
      <c r="M2946" s="1">
        <v>0.78700000000000003</v>
      </c>
      <c r="N2946">
        <v>7</v>
      </c>
      <c r="O2946" s="1">
        <v>-5.766</v>
      </c>
      <c r="P2946">
        <v>1</v>
      </c>
      <c r="Q2946" s="1">
        <v>0.51200000000000001</v>
      </c>
      <c r="R2946" s="1">
        <v>0.69399999999999995</v>
      </c>
      <c r="S2946" s="1">
        <v>0.84499999999999997</v>
      </c>
      <c r="T2946" s="1">
        <v>0.29299999999999998</v>
      </c>
      <c r="U2946" s="1">
        <v>0.59799999999999998</v>
      </c>
      <c r="V2946" s="1">
        <v>111.926</v>
      </c>
      <c r="W2946">
        <v>4</v>
      </c>
    </row>
    <row r="2947" spans="1:23" x14ac:dyDescent="0.25">
      <c r="A2947" s="1" t="s">
        <v>19995</v>
      </c>
      <c r="B2947" s="1" t="s">
        <v>14392</v>
      </c>
      <c r="C2947" s="1" t="s">
        <v>7666</v>
      </c>
      <c r="D2947" s="1" t="s">
        <v>19992</v>
      </c>
      <c r="E2947" s="1" t="s">
        <v>2735</v>
      </c>
      <c r="F2947" s="1" t="s">
        <v>19993</v>
      </c>
      <c r="G2947">
        <v>284280</v>
      </c>
      <c r="H2947">
        <v>55</v>
      </c>
      <c r="I2947" s="1" t="s">
        <v>11063</v>
      </c>
      <c r="J2947" s="11">
        <v>44729.706458333334</v>
      </c>
      <c r="K2947" s="1" t="s">
        <v>2736</v>
      </c>
      <c r="L2947" s="1">
        <v>0.81200000000000006</v>
      </c>
      <c r="M2947" s="1">
        <v>0.51600000000000001</v>
      </c>
      <c r="N2947">
        <v>9</v>
      </c>
      <c r="O2947" s="1">
        <v>-6.9630000000000001</v>
      </c>
      <c r="P2947">
        <v>1</v>
      </c>
      <c r="Q2947" s="1">
        <v>0.224</v>
      </c>
      <c r="R2947" s="1">
        <v>0.36899999999999999</v>
      </c>
      <c r="S2947" s="1">
        <v>0.109</v>
      </c>
      <c r="T2947" s="1">
        <v>0.99099999999999999</v>
      </c>
      <c r="U2947" s="1">
        <v>0.63300000000000001</v>
      </c>
      <c r="V2947" s="1">
        <v>127.498</v>
      </c>
      <c r="W2947">
        <v>4</v>
      </c>
    </row>
    <row r="2948" spans="1:23" x14ac:dyDescent="0.25">
      <c r="A2948" s="1" t="s">
        <v>19996</v>
      </c>
      <c r="B2948" s="1" t="s">
        <v>14392</v>
      </c>
      <c r="C2948" s="1" t="s">
        <v>7667</v>
      </c>
      <c r="D2948" s="1" t="s">
        <v>19521</v>
      </c>
      <c r="E2948" s="1" t="s">
        <v>2735</v>
      </c>
      <c r="F2948" s="1" t="s">
        <v>19522</v>
      </c>
      <c r="G2948">
        <v>197826</v>
      </c>
      <c r="H2948">
        <v>0</v>
      </c>
      <c r="I2948" s="1" t="s">
        <v>11063</v>
      </c>
      <c r="J2948" s="11">
        <v>44729.706458333334</v>
      </c>
      <c r="K2948" s="1" t="s">
        <v>2736</v>
      </c>
      <c r="L2948" s="1">
        <v>0.42299999999999999</v>
      </c>
      <c r="M2948" s="1">
        <v>0.82299999999999995</v>
      </c>
      <c r="N2948">
        <v>1</v>
      </c>
      <c r="O2948" s="1">
        <v>-9.1449999999999996</v>
      </c>
      <c r="P2948">
        <v>0</v>
      </c>
      <c r="Q2948" s="1">
        <v>0.41399999999999998</v>
      </c>
      <c r="R2948" s="1">
        <v>0.154</v>
      </c>
      <c r="S2948" s="1">
        <v>0.83599999999999997</v>
      </c>
      <c r="T2948" s="1">
        <v>0.36099999999999999</v>
      </c>
      <c r="U2948" s="1">
        <v>0.45500000000000002</v>
      </c>
      <c r="V2948" s="1">
        <v>101.988</v>
      </c>
      <c r="W2948">
        <v>4</v>
      </c>
    </row>
    <row r="2949" spans="1:23" x14ac:dyDescent="0.25">
      <c r="A2949" s="1" t="s">
        <v>19997</v>
      </c>
      <c r="B2949" s="1" t="s">
        <v>14392</v>
      </c>
      <c r="C2949" s="1" t="s">
        <v>7668</v>
      </c>
      <c r="D2949" s="1" t="s">
        <v>19521</v>
      </c>
      <c r="E2949" s="1" t="s">
        <v>2735</v>
      </c>
      <c r="F2949" s="1" t="s">
        <v>19522</v>
      </c>
      <c r="G2949">
        <v>156480</v>
      </c>
      <c r="H2949">
        <v>0</v>
      </c>
      <c r="I2949" s="1" t="s">
        <v>11063</v>
      </c>
      <c r="J2949" s="11">
        <v>44729.706458333334</v>
      </c>
      <c r="K2949" s="1" t="s">
        <v>2736</v>
      </c>
      <c r="L2949" s="1">
        <v>0.37</v>
      </c>
      <c r="M2949" s="1">
        <v>0.44700000000000001</v>
      </c>
      <c r="N2949">
        <v>2</v>
      </c>
      <c r="O2949" s="1">
        <v>-11.355</v>
      </c>
      <c r="P2949">
        <v>1</v>
      </c>
      <c r="Q2949" s="1">
        <v>0.27800000000000002</v>
      </c>
      <c r="R2949" s="1">
        <v>0.46600000000000003</v>
      </c>
      <c r="S2949" s="1">
        <v>0.753</v>
      </c>
      <c r="T2949" s="1">
        <v>0.30399999999999999</v>
      </c>
      <c r="U2949" s="1">
        <v>0.38900000000000001</v>
      </c>
      <c r="V2949" s="1">
        <v>195.94800000000001</v>
      </c>
      <c r="W2949">
        <v>4</v>
      </c>
    </row>
    <row r="2950" spans="1:23" x14ac:dyDescent="0.25">
      <c r="A2950" s="1" t="s">
        <v>19998</v>
      </c>
      <c r="B2950" s="1" t="s">
        <v>14392</v>
      </c>
      <c r="C2950" s="1" t="s">
        <v>7669</v>
      </c>
      <c r="D2950" s="1" t="s">
        <v>19521</v>
      </c>
      <c r="E2950" s="1" t="s">
        <v>2735</v>
      </c>
      <c r="F2950" s="1" t="s">
        <v>19522</v>
      </c>
      <c r="G2950">
        <v>82613</v>
      </c>
      <c r="H2950">
        <v>0</v>
      </c>
      <c r="I2950" s="1" t="s">
        <v>11063</v>
      </c>
      <c r="J2950" s="11">
        <v>44729.706458333334</v>
      </c>
      <c r="K2950" s="1" t="s">
        <v>2736</v>
      </c>
      <c r="L2950" s="1">
        <v>0.27600000000000002</v>
      </c>
      <c r="M2950" s="1">
        <v>0.63400000000000001</v>
      </c>
      <c r="N2950">
        <v>11</v>
      </c>
      <c r="O2950" s="1">
        <v>-10.119</v>
      </c>
      <c r="P2950">
        <v>0</v>
      </c>
      <c r="Q2950" s="1">
        <v>0.30199999999999999</v>
      </c>
      <c r="R2950" s="1">
        <v>0.47099999999999997</v>
      </c>
      <c r="S2950" s="1">
        <v>0.96599999999999997</v>
      </c>
      <c r="T2950" s="1">
        <v>0.16400000000000001</v>
      </c>
      <c r="U2950" s="1">
        <v>0.23699999999999999</v>
      </c>
      <c r="V2950" s="1">
        <v>179.97499999999999</v>
      </c>
      <c r="W2950">
        <v>4</v>
      </c>
    </row>
    <row r="2951" spans="1:23" x14ac:dyDescent="0.25">
      <c r="A2951" s="1" t="s">
        <v>19999</v>
      </c>
      <c r="B2951" s="1" t="s">
        <v>14392</v>
      </c>
      <c r="C2951" s="1" t="s">
        <v>7670</v>
      </c>
      <c r="D2951" s="1" t="s">
        <v>19521</v>
      </c>
      <c r="E2951" s="1" t="s">
        <v>2735</v>
      </c>
      <c r="F2951" s="1" t="s">
        <v>19522</v>
      </c>
      <c r="G2951">
        <v>104120</v>
      </c>
      <c r="H2951">
        <v>0</v>
      </c>
      <c r="I2951" s="1" t="s">
        <v>11063</v>
      </c>
      <c r="J2951" s="11">
        <v>44729.706458333334</v>
      </c>
      <c r="K2951" s="1" t="s">
        <v>2736</v>
      </c>
      <c r="L2951" s="1">
        <v>0.53600000000000003</v>
      </c>
      <c r="M2951" s="1">
        <v>0.61599999999999999</v>
      </c>
      <c r="N2951">
        <v>1</v>
      </c>
      <c r="O2951" s="1">
        <v>-10.019</v>
      </c>
      <c r="P2951">
        <v>1</v>
      </c>
      <c r="Q2951" s="1">
        <v>0.48799999999999999</v>
      </c>
      <c r="R2951" s="1">
        <v>0.159</v>
      </c>
      <c r="S2951" s="1">
        <v>0.77300000000000002</v>
      </c>
      <c r="T2951" s="1">
        <v>0.19500000000000001</v>
      </c>
      <c r="U2951" s="1">
        <v>0.10100000000000001</v>
      </c>
      <c r="V2951" s="1">
        <v>119.988</v>
      </c>
      <c r="W2951">
        <v>4</v>
      </c>
    </row>
    <row r="2952" spans="1:23" x14ac:dyDescent="0.25">
      <c r="A2952" s="1" t="s">
        <v>20000</v>
      </c>
      <c r="B2952" s="1" t="s">
        <v>14392</v>
      </c>
      <c r="C2952" s="1" t="s">
        <v>7671</v>
      </c>
      <c r="D2952" s="1" t="s">
        <v>19521</v>
      </c>
      <c r="E2952" s="1" t="s">
        <v>2735</v>
      </c>
      <c r="F2952" s="1" t="s">
        <v>19522</v>
      </c>
      <c r="G2952">
        <v>205450</v>
      </c>
      <c r="H2952">
        <v>0</v>
      </c>
      <c r="I2952" s="1" t="s">
        <v>11063</v>
      </c>
      <c r="J2952" s="11">
        <v>44729.706458333334</v>
      </c>
      <c r="K2952" s="1" t="s">
        <v>2736</v>
      </c>
      <c r="L2952" s="1">
        <v>0.54300000000000004</v>
      </c>
      <c r="M2952" s="1">
        <v>0.502</v>
      </c>
      <c r="N2952">
        <v>9</v>
      </c>
      <c r="O2952" s="1">
        <v>-14.792999999999999</v>
      </c>
      <c r="P2952">
        <v>1</v>
      </c>
      <c r="Q2952" s="1">
        <v>0.41299999999999998</v>
      </c>
      <c r="R2952" s="1">
        <v>0.43099999999999999</v>
      </c>
      <c r="S2952" s="1">
        <v>0.73</v>
      </c>
      <c r="T2952" s="1">
        <v>0.10199999999999999</v>
      </c>
      <c r="U2952" s="1">
        <v>0.56599999999999995</v>
      </c>
      <c r="V2952" s="1">
        <v>99.989000000000004</v>
      </c>
      <c r="W2952">
        <v>4</v>
      </c>
    </row>
    <row r="2953" spans="1:23" x14ac:dyDescent="0.25">
      <c r="A2953" s="1" t="s">
        <v>20001</v>
      </c>
      <c r="B2953" s="1" t="s">
        <v>14392</v>
      </c>
      <c r="C2953" s="1" t="s">
        <v>7672</v>
      </c>
      <c r="D2953" s="1" t="s">
        <v>19521</v>
      </c>
      <c r="E2953" s="1" t="s">
        <v>2735</v>
      </c>
      <c r="F2953" s="1" t="s">
        <v>19522</v>
      </c>
      <c r="G2953">
        <v>137640</v>
      </c>
      <c r="H2953">
        <v>0</v>
      </c>
      <c r="I2953" s="1" t="s">
        <v>11063</v>
      </c>
      <c r="J2953" s="11">
        <v>44729.706458333334</v>
      </c>
      <c r="K2953" s="1" t="s">
        <v>2736</v>
      </c>
      <c r="L2953" s="1">
        <v>0.498</v>
      </c>
      <c r="M2953" s="1">
        <v>0.65</v>
      </c>
      <c r="N2953">
        <v>9</v>
      </c>
      <c r="O2953" s="1">
        <v>-14.715</v>
      </c>
      <c r="P2953">
        <v>1</v>
      </c>
      <c r="Q2953" s="1">
        <v>0.45100000000000001</v>
      </c>
      <c r="R2953" s="1">
        <v>0.48</v>
      </c>
      <c r="S2953" s="1">
        <v>0.81499999999999995</v>
      </c>
      <c r="T2953" s="1">
        <v>0.995</v>
      </c>
      <c r="U2953" s="1">
        <v>0.35899999999999999</v>
      </c>
      <c r="V2953" s="1">
        <v>90.021000000000001</v>
      </c>
      <c r="W2953">
        <v>4</v>
      </c>
    </row>
    <row r="2954" spans="1:23" x14ac:dyDescent="0.25">
      <c r="A2954" s="1" t="s">
        <v>20002</v>
      </c>
      <c r="B2954" s="1" t="s">
        <v>14392</v>
      </c>
      <c r="C2954" s="1" t="s">
        <v>7673</v>
      </c>
      <c r="D2954" s="1" t="s">
        <v>19521</v>
      </c>
      <c r="E2954" s="1" t="s">
        <v>2735</v>
      </c>
      <c r="F2954" s="1" t="s">
        <v>19522</v>
      </c>
      <c r="G2954">
        <v>95226</v>
      </c>
      <c r="H2954">
        <v>0</v>
      </c>
      <c r="I2954" s="1" t="s">
        <v>11063</v>
      </c>
      <c r="J2954" s="11">
        <v>44729.706458333334</v>
      </c>
      <c r="K2954" s="1" t="s">
        <v>2736</v>
      </c>
      <c r="L2954" s="1">
        <v>0.54200000000000004</v>
      </c>
      <c r="M2954" s="1">
        <v>0.77600000000000002</v>
      </c>
      <c r="N2954">
        <v>0</v>
      </c>
      <c r="O2954" s="1">
        <v>-17.678999999999998</v>
      </c>
      <c r="P2954">
        <v>0</v>
      </c>
      <c r="Q2954" s="1">
        <v>0.46300000000000002</v>
      </c>
      <c r="R2954" s="1">
        <v>0.91400000000000003</v>
      </c>
      <c r="S2954" s="1">
        <v>0.88400000000000001</v>
      </c>
      <c r="T2954" s="1">
        <v>0.26200000000000001</v>
      </c>
      <c r="U2954" s="1">
        <v>0.22900000000000001</v>
      </c>
      <c r="V2954" s="1">
        <v>106.005</v>
      </c>
      <c r="W2954">
        <v>4</v>
      </c>
    </row>
    <row r="2955" spans="1:23" x14ac:dyDescent="0.25">
      <c r="A2955" s="1" t="s">
        <v>20003</v>
      </c>
      <c r="B2955" s="1" t="s">
        <v>20004</v>
      </c>
      <c r="C2955" s="1" t="s">
        <v>7670</v>
      </c>
      <c r="D2955" s="1" t="s">
        <v>20005</v>
      </c>
      <c r="E2955" s="1" t="s">
        <v>7674</v>
      </c>
      <c r="F2955" s="1" t="s">
        <v>14255</v>
      </c>
      <c r="G2955">
        <v>262240</v>
      </c>
      <c r="H2955">
        <v>0</v>
      </c>
      <c r="I2955" s="1" t="s">
        <v>11063</v>
      </c>
      <c r="J2955" s="11">
        <v>44729.706458333334</v>
      </c>
      <c r="K2955" s="1" t="s">
        <v>7675</v>
      </c>
      <c r="L2955" s="1">
        <v>0.504</v>
      </c>
      <c r="M2955" s="1">
        <v>0.51</v>
      </c>
      <c r="N2955">
        <v>8</v>
      </c>
      <c r="O2955" s="1">
        <v>-7.6740000000000004</v>
      </c>
      <c r="P2955">
        <v>1</v>
      </c>
      <c r="Q2955" s="1">
        <v>0.71799999999999997</v>
      </c>
      <c r="R2955" s="1">
        <v>0.66200000000000003</v>
      </c>
      <c r="S2955" s="1">
        <v>0.26300000000000001</v>
      </c>
      <c r="T2955" s="1">
        <v>0.106</v>
      </c>
      <c r="U2955" s="1">
        <v>0.17</v>
      </c>
      <c r="V2955" s="1">
        <v>97.072999999999993</v>
      </c>
      <c r="W2955">
        <v>4</v>
      </c>
    </row>
    <row r="2956" spans="1:23" x14ac:dyDescent="0.25">
      <c r="A2956" s="1" t="s">
        <v>20006</v>
      </c>
      <c r="B2956" s="1" t="s">
        <v>14392</v>
      </c>
      <c r="C2956" s="1" t="s">
        <v>7676</v>
      </c>
      <c r="D2956" s="1" t="s">
        <v>19989</v>
      </c>
      <c r="E2956" s="1" t="s">
        <v>2735</v>
      </c>
      <c r="F2956" s="1" t="s">
        <v>19990</v>
      </c>
      <c r="G2956">
        <v>232666</v>
      </c>
      <c r="H2956">
        <v>69</v>
      </c>
      <c r="I2956" s="1" t="s">
        <v>11063</v>
      </c>
      <c r="J2956" s="11">
        <v>44729.706458333334</v>
      </c>
      <c r="K2956" s="1" t="s">
        <v>2736</v>
      </c>
      <c r="L2956" s="1">
        <v>0.875</v>
      </c>
      <c r="M2956" s="1">
        <v>0.47499999999999998</v>
      </c>
      <c r="N2956">
        <v>9</v>
      </c>
      <c r="O2956" s="1">
        <v>-12.673</v>
      </c>
      <c r="P2956">
        <v>0</v>
      </c>
      <c r="Q2956" s="1">
        <v>0.98599999999999999</v>
      </c>
      <c r="R2956" s="1">
        <v>0.44</v>
      </c>
      <c r="S2956" s="1">
        <v>0.72</v>
      </c>
      <c r="T2956" s="1">
        <v>0.46</v>
      </c>
      <c r="U2956" s="1">
        <v>0.38400000000000001</v>
      </c>
      <c r="V2956" s="1">
        <v>99.957999999999998</v>
      </c>
      <c r="W2956">
        <v>4</v>
      </c>
    </row>
    <row r="2957" spans="1:23" x14ac:dyDescent="0.25">
      <c r="A2957" s="1" t="s">
        <v>11069</v>
      </c>
      <c r="B2957" s="1" t="s">
        <v>11070</v>
      </c>
      <c r="C2957" s="1" t="s">
        <v>7677</v>
      </c>
      <c r="D2957" s="1" t="s">
        <v>11071</v>
      </c>
      <c r="E2957" s="1" t="s">
        <v>7678</v>
      </c>
      <c r="F2957" s="1" t="s">
        <v>11621</v>
      </c>
      <c r="G2957">
        <v>251293</v>
      </c>
      <c r="H2957">
        <v>62</v>
      </c>
      <c r="I2957" s="1" t="s">
        <v>11063</v>
      </c>
      <c r="J2957" s="11">
        <v>44729.706458333334</v>
      </c>
      <c r="K2957" s="1" t="s">
        <v>7679</v>
      </c>
      <c r="L2957" s="1">
        <v>0.80400000000000005</v>
      </c>
      <c r="M2957" s="1">
        <v>0.45100000000000001</v>
      </c>
      <c r="N2957">
        <v>6</v>
      </c>
      <c r="O2957" s="1">
        <v>-8.2070000000000007</v>
      </c>
      <c r="P2957">
        <v>1</v>
      </c>
      <c r="Q2957" s="1">
        <v>0.94899999999999995</v>
      </c>
      <c r="R2957" s="1">
        <v>0.38800000000000001</v>
      </c>
      <c r="S2957" s="1">
        <v>0.217</v>
      </c>
      <c r="T2957" s="1">
        <v>0.92400000000000004</v>
      </c>
      <c r="U2957" s="1">
        <v>0.19</v>
      </c>
      <c r="V2957" s="1">
        <v>178.06100000000001</v>
      </c>
      <c r="W2957">
        <v>4</v>
      </c>
    </row>
    <row r="2958" spans="1:23" x14ac:dyDescent="0.25">
      <c r="A2958" s="1" t="s">
        <v>20007</v>
      </c>
      <c r="B2958" s="1" t="s">
        <v>14392</v>
      </c>
      <c r="C2958" s="1" t="s">
        <v>7680</v>
      </c>
      <c r="D2958" s="1" t="s">
        <v>19986</v>
      </c>
      <c r="E2958" s="1" t="s">
        <v>2735</v>
      </c>
      <c r="F2958" s="1" t="s">
        <v>19987</v>
      </c>
      <c r="G2958">
        <v>429533</v>
      </c>
      <c r="H2958">
        <v>75</v>
      </c>
      <c r="I2958" s="1" t="s">
        <v>11063</v>
      </c>
      <c r="J2958" s="11">
        <v>44729.706458333334</v>
      </c>
      <c r="K2958" s="1" t="s">
        <v>2736</v>
      </c>
      <c r="L2958" s="1">
        <v>0.95599999999999996</v>
      </c>
      <c r="M2958" s="1">
        <v>0.79500000000000004</v>
      </c>
      <c r="N2958">
        <v>7</v>
      </c>
      <c r="O2958" s="1">
        <v>-5.3109999999999999</v>
      </c>
      <c r="P2958">
        <v>1</v>
      </c>
      <c r="Q2958" s="1">
        <v>0.15</v>
      </c>
      <c r="R2958" s="1">
        <v>0.35599999999999998</v>
      </c>
      <c r="S2958" s="1">
        <v>0.88900000000000001</v>
      </c>
      <c r="T2958" s="1">
        <v>0.90600000000000003</v>
      </c>
      <c r="U2958" s="1">
        <v>0.84099999999999997</v>
      </c>
      <c r="V2958" s="1">
        <v>121.294</v>
      </c>
      <c r="W2958">
        <v>4</v>
      </c>
    </row>
    <row r="2959" spans="1:23" x14ac:dyDescent="0.25">
      <c r="A2959" s="1" t="s">
        <v>20008</v>
      </c>
      <c r="B2959" s="1" t="s">
        <v>14392</v>
      </c>
      <c r="C2959" s="1" t="s">
        <v>7681</v>
      </c>
      <c r="D2959" s="1" t="s">
        <v>19989</v>
      </c>
      <c r="E2959" s="1" t="s">
        <v>2735</v>
      </c>
      <c r="F2959" s="1" t="s">
        <v>19990</v>
      </c>
      <c r="G2959">
        <v>224693</v>
      </c>
      <c r="H2959">
        <v>72</v>
      </c>
      <c r="I2959" s="1" t="s">
        <v>11063</v>
      </c>
      <c r="J2959" s="11">
        <v>44729.706458333334</v>
      </c>
      <c r="K2959" s="1" t="s">
        <v>2736</v>
      </c>
      <c r="L2959" s="1">
        <v>0.81699999999999995</v>
      </c>
      <c r="M2959" s="1">
        <v>0.71599999999999997</v>
      </c>
      <c r="N2959">
        <v>6</v>
      </c>
      <c r="O2959" s="1">
        <v>-8.8979999999999997</v>
      </c>
      <c r="P2959">
        <v>0</v>
      </c>
      <c r="Q2959" s="1">
        <v>0.14399999999999999</v>
      </c>
      <c r="R2959" s="1">
        <v>0.42699999999999999</v>
      </c>
      <c r="S2959" s="1">
        <v>0.26300000000000001</v>
      </c>
      <c r="T2959" s="1">
        <v>0.35799999999999998</v>
      </c>
      <c r="U2959" s="1">
        <v>0.69199999999999995</v>
      </c>
      <c r="V2959" s="1">
        <v>123.474</v>
      </c>
      <c r="W2959">
        <v>4</v>
      </c>
    </row>
    <row r="2960" spans="1:23" x14ac:dyDescent="0.25">
      <c r="A2960" s="1" t="s">
        <v>20009</v>
      </c>
      <c r="B2960" s="1" t="s">
        <v>20010</v>
      </c>
      <c r="C2960" s="1" t="s">
        <v>7682</v>
      </c>
      <c r="D2960" s="1" t="s">
        <v>11071</v>
      </c>
      <c r="E2960" s="1" t="s">
        <v>7683</v>
      </c>
      <c r="F2960" s="1" t="s">
        <v>11621</v>
      </c>
      <c r="G2960">
        <v>353893</v>
      </c>
      <c r="H2960">
        <v>69</v>
      </c>
      <c r="I2960" s="1" t="s">
        <v>11063</v>
      </c>
      <c r="J2960" s="11">
        <v>44729.706458333334</v>
      </c>
      <c r="K2960" s="1" t="s">
        <v>7684</v>
      </c>
      <c r="L2960" s="1">
        <v>0.83199999999999996</v>
      </c>
      <c r="M2960" s="1">
        <v>0.65900000000000003</v>
      </c>
      <c r="N2960">
        <v>10</v>
      </c>
      <c r="O2960" s="1">
        <v>-7.8280000000000003</v>
      </c>
      <c r="P2960">
        <v>0</v>
      </c>
      <c r="Q2960" s="1">
        <v>0.56999999999999995</v>
      </c>
      <c r="R2960" s="1">
        <v>0.83899999999999997</v>
      </c>
      <c r="S2960" s="1">
        <v>0.114</v>
      </c>
      <c r="T2960" s="1">
        <v>0.753</v>
      </c>
      <c r="U2960" s="1">
        <v>0.67400000000000004</v>
      </c>
      <c r="V2960" s="1">
        <v>100.163</v>
      </c>
      <c r="W2960">
        <v>4</v>
      </c>
    </row>
    <row r="2961" spans="1:23" x14ac:dyDescent="0.25">
      <c r="A2961" s="1" t="s">
        <v>20011</v>
      </c>
      <c r="B2961" s="1" t="s">
        <v>20012</v>
      </c>
      <c r="C2961" s="1" t="s">
        <v>7685</v>
      </c>
      <c r="D2961" s="1" t="s">
        <v>11071</v>
      </c>
      <c r="E2961" s="1" t="s">
        <v>7686</v>
      </c>
      <c r="F2961" s="1" t="s">
        <v>11621</v>
      </c>
      <c r="G2961">
        <v>369626</v>
      </c>
      <c r="H2961">
        <v>77</v>
      </c>
      <c r="I2961" s="1" t="s">
        <v>11063</v>
      </c>
      <c r="J2961" s="11">
        <v>44729.706458333334</v>
      </c>
      <c r="K2961" s="1" t="s">
        <v>7687</v>
      </c>
      <c r="L2961" s="1">
        <v>0.81</v>
      </c>
      <c r="M2961" s="1">
        <v>0.79300000000000004</v>
      </c>
      <c r="N2961">
        <v>6</v>
      </c>
      <c r="O2961" s="1">
        <v>-9.4039999999999999</v>
      </c>
      <c r="P2961">
        <v>0</v>
      </c>
      <c r="Q2961" s="1">
        <v>0.40300000000000002</v>
      </c>
      <c r="R2961" s="1">
        <v>0.378</v>
      </c>
      <c r="S2961" s="1">
        <v>0.17699999999999999</v>
      </c>
      <c r="T2961" s="1">
        <v>0.72</v>
      </c>
      <c r="U2961" s="1">
        <v>0.86299999999999999</v>
      </c>
      <c r="V2961" s="1">
        <v>116.05</v>
      </c>
      <c r="W2961">
        <v>4</v>
      </c>
    </row>
    <row r="2962" spans="1:23" x14ac:dyDescent="0.25">
      <c r="A2962" s="1" t="s">
        <v>20013</v>
      </c>
      <c r="B2962" s="1" t="s">
        <v>14392</v>
      </c>
      <c r="C2962" s="1" t="s">
        <v>7688</v>
      </c>
      <c r="D2962" s="1" t="s">
        <v>19989</v>
      </c>
      <c r="E2962" s="1" t="s">
        <v>2735</v>
      </c>
      <c r="F2962" s="1" t="s">
        <v>19990</v>
      </c>
      <c r="G2962">
        <v>320357</v>
      </c>
      <c r="H2962">
        <v>77</v>
      </c>
      <c r="I2962" s="1" t="s">
        <v>11063</v>
      </c>
      <c r="J2962" s="11">
        <v>44729.706458333334</v>
      </c>
      <c r="K2962" s="1" t="s">
        <v>2736</v>
      </c>
      <c r="L2962" s="1">
        <v>0.61299999999999999</v>
      </c>
      <c r="M2962" s="1">
        <v>0.69699999999999995</v>
      </c>
      <c r="N2962">
        <v>2</v>
      </c>
      <c r="O2962" s="1">
        <v>-8.6180000000000003</v>
      </c>
      <c r="P2962">
        <v>1</v>
      </c>
      <c r="Q2962" s="1">
        <v>0.13300000000000001</v>
      </c>
      <c r="R2962" s="1">
        <v>0.19400000000000001</v>
      </c>
      <c r="S2962" s="1">
        <v>0</v>
      </c>
      <c r="T2962" s="1">
        <v>0.33200000000000002</v>
      </c>
      <c r="U2962" s="1">
        <v>0.47599999999999998</v>
      </c>
      <c r="V2962" s="1">
        <v>122.746</v>
      </c>
      <c r="W2962">
        <v>4</v>
      </c>
    </row>
    <row r="2963" spans="1:23" x14ac:dyDescent="0.25">
      <c r="A2963" s="1" t="s">
        <v>20014</v>
      </c>
      <c r="B2963" s="1" t="s">
        <v>20012</v>
      </c>
      <c r="C2963" s="1" t="s">
        <v>7689</v>
      </c>
      <c r="D2963" s="1" t="s">
        <v>20015</v>
      </c>
      <c r="E2963" s="1" t="s">
        <v>7686</v>
      </c>
      <c r="F2963" s="1" t="s">
        <v>20016</v>
      </c>
      <c r="G2963">
        <v>248413</v>
      </c>
      <c r="H2963">
        <v>84</v>
      </c>
      <c r="I2963" s="1" t="s">
        <v>11063</v>
      </c>
      <c r="J2963" s="11">
        <v>44729.706458333334</v>
      </c>
      <c r="K2963" s="1" t="s">
        <v>7687</v>
      </c>
      <c r="L2963" s="1">
        <v>0.79400000000000004</v>
      </c>
      <c r="M2963" s="1">
        <v>0.81100000000000005</v>
      </c>
      <c r="N2963">
        <v>6</v>
      </c>
      <c r="O2963" s="1">
        <v>-8.9659999999999993</v>
      </c>
      <c r="P2963">
        <v>0</v>
      </c>
      <c r="Q2963" s="1">
        <v>0.38</v>
      </c>
      <c r="R2963" s="1">
        <v>0.42599999999999999</v>
      </c>
      <c r="S2963" s="1">
        <v>0.107</v>
      </c>
      <c r="T2963" s="1">
        <v>0.10100000000000001</v>
      </c>
      <c r="U2963" s="1">
        <v>0.86199999999999999</v>
      </c>
      <c r="V2963" s="1">
        <v>116.047</v>
      </c>
      <c r="W2963">
        <v>4</v>
      </c>
    </row>
    <row r="2964" spans="1:23" x14ac:dyDescent="0.25">
      <c r="A2964" s="1" t="s">
        <v>20017</v>
      </c>
      <c r="B2964" s="1" t="s">
        <v>20018</v>
      </c>
      <c r="C2964" s="1" t="s">
        <v>7690</v>
      </c>
      <c r="D2964" s="1" t="s">
        <v>7690</v>
      </c>
      <c r="E2964" s="1" t="s">
        <v>7691</v>
      </c>
      <c r="F2964" s="1" t="s">
        <v>16406</v>
      </c>
      <c r="G2964">
        <v>190427</v>
      </c>
      <c r="H2964">
        <v>69</v>
      </c>
      <c r="I2964" s="1" t="s">
        <v>11063</v>
      </c>
      <c r="J2964" s="11">
        <v>44729.706458333334</v>
      </c>
      <c r="K2964" s="1" t="s">
        <v>7692</v>
      </c>
      <c r="L2964" s="1">
        <v>0.68300000000000005</v>
      </c>
      <c r="M2964" s="1">
        <v>0.53</v>
      </c>
      <c r="N2964">
        <v>5</v>
      </c>
      <c r="O2964" s="1">
        <v>-4.9180000000000001</v>
      </c>
      <c r="P2964">
        <v>0</v>
      </c>
      <c r="Q2964" s="1">
        <v>0.14199999999999999</v>
      </c>
      <c r="R2964" s="1">
        <v>0.20699999999999999</v>
      </c>
      <c r="S2964" s="1">
        <v>0</v>
      </c>
      <c r="T2964" s="1">
        <v>0.39400000000000002</v>
      </c>
      <c r="U2964" s="1">
        <v>0.64500000000000002</v>
      </c>
      <c r="V2964" s="1">
        <v>75.016000000000005</v>
      </c>
      <c r="W2964">
        <v>4</v>
      </c>
    </row>
    <row r="2965" spans="1:23" x14ac:dyDescent="0.25">
      <c r="A2965" s="1" t="s">
        <v>20019</v>
      </c>
      <c r="B2965" s="1" t="s">
        <v>20020</v>
      </c>
      <c r="C2965" s="1" t="s">
        <v>7693</v>
      </c>
      <c r="D2965" s="1" t="s">
        <v>20021</v>
      </c>
      <c r="E2965" s="1" t="s">
        <v>7694</v>
      </c>
      <c r="F2965" s="1" t="s">
        <v>11677</v>
      </c>
      <c r="G2965">
        <v>195720</v>
      </c>
      <c r="H2965">
        <v>0</v>
      </c>
      <c r="I2965" s="1" t="s">
        <v>11063</v>
      </c>
      <c r="J2965" s="11">
        <v>44729.706458333334</v>
      </c>
      <c r="K2965" s="1" t="s">
        <v>7695</v>
      </c>
      <c r="L2965" s="1">
        <v>0.747</v>
      </c>
      <c r="M2965" s="1">
        <v>0.70199999999999996</v>
      </c>
      <c r="N2965">
        <v>0</v>
      </c>
      <c r="O2965" s="1">
        <v>-5.8440000000000003</v>
      </c>
      <c r="P2965">
        <v>1</v>
      </c>
      <c r="Q2965" s="1">
        <v>0.58399999999999996</v>
      </c>
      <c r="R2965" s="1">
        <v>0.1</v>
      </c>
      <c r="S2965" s="1">
        <v>0.76200000000000001</v>
      </c>
      <c r="T2965" s="1">
        <v>0.128</v>
      </c>
      <c r="U2965" s="1">
        <v>0.59799999999999998</v>
      </c>
      <c r="V2965" s="1">
        <v>87.034000000000006</v>
      </c>
      <c r="W2965">
        <v>4</v>
      </c>
    </row>
    <row r="2966" spans="1:23" x14ac:dyDescent="0.25">
      <c r="A2966" s="1" t="s">
        <v>20022</v>
      </c>
      <c r="B2966" s="1" t="s">
        <v>20023</v>
      </c>
      <c r="C2966" s="1" t="s">
        <v>7696</v>
      </c>
      <c r="D2966" s="1" t="s">
        <v>20024</v>
      </c>
      <c r="E2966" s="1" t="s">
        <v>7697</v>
      </c>
      <c r="F2966" s="1" t="s">
        <v>11479</v>
      </c>
      <c r="G2966">
        <v>237626</v>
      </c>
      <c r="H2966">
        <v>72</v>
      </c>
      <c r="I2966" s="1" t="s">
        <v>11063</v>
      </c>
      <c r="J2966" s="11">
        <v>44729.706458333334</v>
      </c>
      <c r="K2966" s="1" t="s">
        <v>7698</v>
      </c>
      <c r="L2966" s="1">
        <v>0.71899999999999997</v>
      </c>
      <c r="M2966" s="1">
        <v>0.67100000000000004</v>
      </c>
      <c r="N2966">
        <v>8</v>
      </c>
      <c r="O2966" s="1">
        <v>-6.2789999999999999</v>
      </c>
      <c r="P2966">
        <v>1</v>
      </c>
      <c r="Q2966" s="1">
        <v>0.33600000000000002</v>
      </c>
      <c r="R2966" s="1">
        <v>0.372</v>
      </c>
      <c r="S2966" s="1">
        <v>0.82099999999999995</v>
      </c>
      <c r="T2966" s="1">
        <v>0.12</v>
      </c>
      <c r="U2966" s="1">
        <v>0.78600000000000003</v>
      </c>
      <c r="V2966" s="1">
        <v>130.02699999999999</v>
      </c>
      <c r="W2966">
        <v>4</v>
      </c>
    </row>
    <row r="2967" spans="1:23" x14ac:dyDescent="0.25">
      <c r="A2967" s="1" t="s">
        <v>20025</v>
      </c>
      <c r="B2967" s="1" t="s">
        <v>20026</v>
      </c>
      <c r="C2967" s="1" t="s">
        <v>7699</v>
      </c>
      <c r="D2967" s="1" t="s">
        <v>7699</v>
      </c>
      <c r="E2967" s="1" t="s">
        <v>7700</v>
      </c>
      <c r="F2967" s="1" t="s">
        <v>16838</v>
      </c>
      <c r="G2967">
        <v>187297</v>
      </c>
      <c r="H2967">
        <v>47</v>
      </c>
      <c r="I2967" s="1" t="s">
        <v>11063</v>
      </c>
      <c r="J2967" s="11">
        <v>44729.706458333334</v>
      </c>
      <c r="K2967" s="1" t="s">
        <v>7701</v>
      </c>
      <c r="L2967" s="1">
        <v>0.56599999999999995</v>
      </c>
      <c r="M2967" s="1">
        <v>0.78800000000000003</v>
      </c>
      <c r="N2967">
        <v>6</v>
      </c>
      <c r="O2967" s="1">
        <v>-3.36</v>
      </c>
      <c r="P2967">
        <v>0</v>
      </c>
      <c r="Q2967" s="1">
        <v>0.36399999999999999</v>
      </c>
      <c r="R2967" s="1">
        <v>0.38300000000000001</v>
      </c>
      <c r="S2967" s="1">
        <v>0.10299999999999999</v>
      </c>
      <c r="T2967" s="1">
        <v>0.16</v>
      </c>
      <c r="U2967" s="1">
        <v>0.18099999999999999</v>
      </c>
      <c r="V2967" s="1">
        <v>147.94200000000001</v>
      </c>
      <c r="W2967">
        <v>4</v>
      </c>
    </row>
    <row r="2968" spans="1:23" x14ac:dyDescent="0.25">
      <c r="A2968" s="1" t="s">
        <v>20027</v>
      </c>
      <c r="B2968" s="1" t="s">
        <v>19051</v>
      </c>
      <c r="C2968" s="1" t="s">
        <v>7702</v>
      </c>
      <c r="D2968" s="1" t="s">
        <v>7702</v>
      </c>
      <c r="E2968" s="1" t="s">
        <v>6839</v>
      </c>
      <c r="F2968" s="1" t="s">
        <v>15709</v>
      </c>
      <c r="G2968">
        <v>236946</v>
      </c>
      <c r="H2968">
        <v>39</v>
      </c>
      <c r="I2968" s="1" t="s">
        <v>11063</v>
      </c>
      <c r="J2968" s="11">
        <v>44729.706458333334</v>
      </c>
      <c r="K2968" s="1" t="s">
        <v>3076</v>
      </c>
      <c r="L2968" s="1">
        <v>0.89600000000000002</v>
      </c>
      <c r="M2968" s="1">
        <v>0.46500000000000002</v>
      </c>
      <c r="N2968">
        <v>9</v>
      </c>
      <c r="O2968" s="1">
        <v>-5.984</v>
      </c>
      <c r="P2968">
        <v>0</v>
      </c>
      <c r="Q2968" s="1">
        <v>0.71599999999999997</v>
      </c>
      <c r="R2968" s="1">
        <v>0.13300000000000001</v>
      </c>
      <c r="S2968" s="1">
        <v>0.38400000000000001</v>
      </c>
      <c r="T2968" s="1">
        <v>0.94199999999999995</v>
      </c>
      <c r="U2968" s="1">
        <v>0.40300000000000002</v>
      </c>
      <c r="V2968" s="1">
        <v>116.011</v>
      </c>
      <c r="W2968">
        <v>4</v>
      </c>
    </row>
    <row r="2969" spans="1:23" x14ac:dyDescent="0.25">
      <c r="A2969" s="1" t="s">
        <v>20028</v>
      </c>
      <c r="B2969" s="1" t="s">
        <v>20029</v>
      </c>
      <c r="C2969" s="1" t="s">
        <v>7703</v>
      </c>
      <c r="D2969" s="1" t="s">
        <v>20030</v>
      </c>
      <c r="E2969" s="1" t="s">
        <v>7704</v>
      </c>
      <c r="F2969" s="1" t="s">
        <v>14499</v>
      </c>
      <c r="G2969">
        <v>200898</v>
      </c>
      <c r="H2969">
        <v>59</v>
      </c>
      <c r="I2969" s="1" t="s">
        <v>11063</v>
      </c>
      <c r="J2969" s="11">
        <v>44729.706458333334</v>
      </c>
      <c r="K2969" s="1" t="s">
        <v>7705</v>
      </c>
      <c r="L2969" s="1">
        <v>0.44700000000000001</v>
      </c>
      <c r="M2969" s="1">
        <v>0.216</v>
      </c>
      <c r="N2969">
        <v>11</v>
      </c>
      <c r="O2969" s="1">
        <v>-12.815</v>
      </c>
      <c r="P2969">
        <v>0</v>
      </c>
      <c r="Q2969" s="1">
        <v>0.50800000000000001</v>
      </c>
      <c r="R2969" s="1">
        <v>0.66</v>
      </c>
      <c r="S2969" s="1">
        <v>0.11</v>
      </c>
      <c r="T2969" s="1">
        <v>0.13900000000000001</v>
      </c>
      <c r="U2969" s="1">
        <v>0.39600000000000002</v>
      </c>
      <c r="V2969" s="1">
        <v>134.86799999999999</v>
      </c>
      <c r="W2969">
        <v>4</v>
      </c>
    </row>
    <row r="2970" spans="1:23" x14ac:dyDescent="0.25">
      <c r="A2970" s="1" t="s">
        <v>20031</v>
      </c>
      <c r="B2970" s="1" t="s">
        <v>18642</v>
      </c>
      <c r="C2970" s="1" t="s">
        <v>7706</v>
      </c>
      <c r="D2970" s="1" t="s">
        <v>7706</v>
      </c>
      <c r="E2970" s="1" t="s">
        <v>6502</v>
      </c>
      <c r="F2970" s="1" t="s">
        <v>20032</v>
      </c>
      <c r="G2970">
        <v>208385</v>
      </c>
      <c r="H2970">
        <v>47</v>
      </c>
      <c r="I2970" s="1" t="s">
        <v>11063</v>
      </c>
      <c r="J2970" s="11">
        <v>44729.706458333334</v>
      </c>
      <c r="K2970" s="1" t="s">
        <v>6503</v>
      </c>
      <c r="L2970" s="1">
        <v>0.755</v>
      </c>
      <c r="M2970" s="1">
        <v>0.72399999999999998</v>
      </c>
      <c r="N2970">
        <v>3</v>
      </c>
      <c r="O2970" s="1">
        <v>-5.97</v>
      </c>
      <c r="P2970">
        <v>1</v>
      </c>
      <c r="Q2970" s="1">
        <v>0.45800000000000002</v>
      </c>
      <c r="R2970" s="1">
        <v>0.35599999999999998</v>
      </c>
      <c r="S2970" s="1">
        <v>0.32400000000000001</v>
      </c>
      <c r="T2970" s="1">
        <v>0.74199999999999999</v>
      </c>
      <c r="U2970" s="1">
        <v>0.505</v>
      </c>
      <c r="V2970" s="1">
        <v>110.946</v>
      </c>
      <c r="W2970">
        <v>4</v>
      </c>
    </row>
    <row r="2971" spans="1:23" x14ac:dyDescent="0.25">
      <c r="A2971" s="1" t="s">
        <v>20033</v>
      </c>
      <c r="B2971" s="1" t="s">
        <v>18642</v>
      </c>
      <c r="C2971" s="1" t="s">
        <v>7707</v>
      </c>
      <c r="D2971" s="1" t="s">
        <v>7707</v>
      </c>
      <c r="E2971" s="1" t="s">
        <v>6502</v>
      </c>
      <c r="F2971" s="1" t="s">
        <v>14850</v>
      </c>
      <c r="G2971">
        <v>234602</v>
      </c>
      <c r="H2971">
        <v>36</v>
      </c>
      <c r="I2971" s="1" t="s">
        <v>11063</v>
      </c>
      <c r="J2971" s="11">
        <v>44729.706458333334</v>
      </c>
      <c r="K2971" s="1" t="s">
        <v>6503</v>
      </c>
      <c r="L2971" s="1">
        <v>0.82299999999999995</v>
      </c>
      <c r="M2971" s="1">
        <v>0.61699999999999999</v>
      </c>
      <c r="N2971">
        <v>6</v>
      </c>
      <c r="O2971" s="1">
        <v>-5.0650000000000004</v>
      </c>
      <c r="P2971">
        <v>0</v>
      </c>
      <c r="Q2971" s="1">
        <v>0.28499999999999998</v>
      </c>
      <c r="R2971" s="1">
        <v>0.23699999999999999</v>
      </c>
      <c r="S2971" s="1">
        <v>0.19700000000000001</v>
      </c>
      <c r="T2971" s="1">
        <v>0.57599999999999996</v>
      </c>
      <c r="U2971" s="1">
        <v>0.77800000000000002</v>
      </c>
      <c r="V2971" s="1">
        <v>120.021</v>
      </c>
      <c r="W2971">
        <v>4</v>
      </c>
    </row>
    <row r="2972" spans="1:23" x14ac:dyDescent="0.25">
      <c r="A2972" s="1" t="s">
        <v>20034</v>
      </c>
      <c r="B2972" s="1" t="s">
        <v>18642</v>
      </c>
      <c r="C2972" s="1" t="s">
        <v>7708</v>
      </c>
      <c r="D2972" s="1" t="s">
        <v>7708</v>
      </c>
      <c r="E2972" s="1" t="s">
        <v>6502</v>
      </c>
      <c r="F2972" s="1" t="s">
        <v>20035</v>
      </c>
      <c r="G2972">
        <v>236279</v>
      </c>
      <c r="H2972">
        <v>49</v>
      </c>
      <c r="I2972" s="1" t="s">
        <v>11063</v>
      </c>
      <c r="J2972" s="11">
        <v>44729.706458333334</v>
      </c>
      <c r="K2972" s="1" t="s">
        <v>6503</v>
      </c>
      <c r="L2972" s="1">
        <v>0.54900000000000004</v>
      </c>
      <c r="M2972" s="1">
        <v>0.59399999999999997</v>
      </c>
      <c r="N2972">
        <v>8</v>
      </c>
      <c r="O2972" s="1">
        <v>-6.3019999999999996</v>
      </c>
      <c r="P2972">
        <v>1</v>
      </c>
      <c r="Q2972" s="1">
        <v>0.496</v>
      </c>
      <c r="R2972" s="1">
        <v>0.65</v>
      </c>
      <c r="S2972" s="1">
        <v>0.35699999999999998</v>
      </c>
      <c r="T2972" s="1">
        <v>0.127</v>
      </c>
      <c r="U2972" s="1">
        <v>0.32400000000000001</v>
      </c>
      <c r="V2972" s="1">
        <v>99.936000000000007</v>
      </c>
      <c r="W2972">
        <v>4</v>
      </c>
    </row>
    <row r="2973" spans="1:23" x14ac:dyDescent="0.25">
      <c r="A2973" s="1" t="s">
        <v>20036</v>
      </c>
      <c r="B2973" s="1" t="s">
        <v>18642</v>
      </c>
      <c r="C2973" s="1" t="s">
        <v>7709</v>
      </c>
      <c r="D2973" s="1" t="s">
        <v>7709</v>
      </c>
      <c r="E2973" s="1" t="s">
        <v>6502</v>
      </c>
      <c r="F2973" s="1" t="s">
        <v>15585</v>
      </c>
      <c r="G2973">
        <v>236785</v>
      </c>
      <c r="H2973">
        <v>36</v>
      </c>
      <c r="I2973" s="1" t="s">
        <v>11063</v>
      </c>
      <c r="J2973" s="11">
        <v>44729.706458333334</v>
      </c>
      <c r="K2973" s="1" t="s">
        <v>6503</v>
      </c>
      <c r="L2973" s="1">
        <v>0.67700000000000005</v>
      </c>
      <c r="M2973" s="1">
        <v>0.73799999999999999</v>
      </c>
      <c r="N2973">
        <v>6</v>
      </c>
      <c r="O2973" s="1">
        <v>-6.2869999999999999</v>
      </c>
      <c r="P2973">
        <v>1</v>
      </c>
      <c r="Q2973" s="1">
        <v>0.46700000000000003</v>
      </c>
      <c r="R2973" s="1">
        <v>0.311</v>
      </c>
      <c r="S2973" s="1">
        <v>0.14399999999999999</v>
      </c>
      <c r="T2973" s="1">
        <v>0.13800000000000001</v>
      </c>
      <c r="U2973" s="1">
        <v>0.57999999999999996</v>
      </c>
      <c r="V2973" s="1">
        <v>98.962999999999994</v>
      </c>
      <c r="W2973">
        <v>4</v>
      </c>
    </row>
    <row r="2974" spans="1:23" x14ac:dyDescent="0.25">
      <c r="A2974" s="1" t="s">
        <v>20037</v>
      </c>
      <c r="B2974" s="1" t="s">
        <v>20038</v>
      </c>
      <c r="C2974" s="1" t="s">
        <v>7710</v>
      </c>
      <c r="D2974" s="1" t="s">
        <v>7710</v>
      </c>
      <c r="E2974" s="1" t="s">
        <v>7711</v>
      </c>
      <c r="F2974" s="1" t="s">
        <v>14630</v>
      </c>
      <c r="G2974">
        <v>253391</v>
      </c>
      <c r="H2974">
        <v>11</v>
      </c>
      <c r="I2974" s="1" t="s">
        <v>11063</v>
      </c>
      <c r="J2974" s="11">
        <v>44729.706458333334</v>
      </c>
      <c r="K2974" s="1" t="s">
        <v>7712</v>
      </c>
      <c r="L2974" s="1">
        <v>0.73499999999999999</v>
      </c>
      <c r="M2974" s="1">
        <v>0.63600000000000001</v>
      </c>
      <c r="N2974">
        <v>7</v>
      </c>
      <c r="O2974" s="1">
        <v>-10.132999999999999</v>
      </c>
      <c r="P2974">
        <v>1</v>
      </c>
      <c r="Q2974" s="1">
        <v>0.40899999999999997</v>
      </c>
      <c r="R2974" s="1">
        <v>0.67700000000000005</v>
      </c>
      <c r="S2974" s="1">
        <v>0.30299999999999999</v>
      </c>
      <c r="T2974" s="1">
        <v>0.157</v>
      </c>
      <c r="U2974" s="1">
        <v>0.191</v>
      </c>
      <c r="V2974" s="1">
        <v>99.971999999999994</v>
      </c>
      <c r="W2974">
        <v>4</v>
      </c>
    </row>
    <row r="2975" spans="1:23" x14ac:dyDescent="0.25">
      <c r="A2975" s="1" t="s">
        <v>20039</v>
      </c>
      <c r="B2975" s="1" t="s">
        <v>20040</v>
      </c>
      <c r="C2975" s="1" t="s">
        <v>7713</v>
      </c>
      <c r="D2975" s="1" t="s">
        <v>7713</v>
      </c>
      <c r="E2975" s="1" t="s">
        <v>7714</v>
      </c>
      <c r="F2975" s="1" t="s">
        <v>20041</v>
      </c>
      <c r="G2975">
        <v>206517</v>
      </c>
      <c r="H2975">
        <v>48</v>
      </c>
      <c r="I2975" s="1" t="s">
        <v>11063</v>
      </c>
      <c r="J2975" s="11">
        <v>44729.706458333334</v>
      </c>
      <c r="K2975" s="1" t="s">
        <v>7715</v>
      </c>
      <c r="L2975" s="1">
        <v>0.45300000000000001</v>
      </c>
      <c r="M2975" s="1">
        <v>0.55800000000000005</v>
      </c>
      <c r="N2975">
        <v>7</v>
      </c>
      <c r="O2975" s="1">
        <v>-6.8310000000000004</v>
      </c>
      <c r="P2975">
        <v>1</v>
      </c>
      <c r="Q2975" s="1">
        <v>0.26700000000000002</v>
      </c>
      <c r="R2975" s="1">
        <v>0.48399999999999999</v>
      </c>
      <c r="S2975" s="1">
        <v>0.371</v>
      </c>
      <c r="T2975" s="1">
        <v>0.23</v>
      </c>
      <c r="U2975" s="1">
        <v>0.19700000000000001</v>
      </c>
      <c r="V2975" s="1">
        <v>86.905000000000001</v>
      </c>
      <c r="W2975">
        <v>4</v>
      </c>
    </row>
    <row r="2976" spans="1:23" x14ac:dyDescent="0.25">
      <c r="A2976" s="1" t="s">
        <v>20042</v>
      </c>
      <c r="B2976" s="1" t="s">
        <v>16798</v>
      </c>
      <c r="C2976" s="1" t="s">
        <v>4818</v>
      </c>
      <c r="D2976" s="1" t="s">
        <v>4818</v>
      </c>
      <c r="E2976" s="1" t="s">
        <v>4819</v>
      </c>
      <c r="F2976" s="1" t="s">
        <v>17597</v>
      </c>
      <c r="G2976">
        <v>242859</v>
      </c>
      <c r="H2976">
        <v>0</v>
      </c>
      <c r="I2976" s="1" t="s">
        <v>11063</v>
      </c>
      <c r="J2976" s="11">
        <v>44729.706458333334</v>
      </c>
      <c r="K2976" s="1" t="s">
        <v>4820</v>
      </c>
      <c r="L2976" s="1">
        <v>0.60099999999999998</v>
      </c>
      <c r="M2976" s="1">
        <v>0.499</v>
      </c>
      <c r="N2976">
        <v>6</v>
      </c>
      <c r="O2976" s="1">
        <v>-11.131</v>
      </c>
      <c r="P2976">
        <v>1</v>
      </c>
      <c r="Q2976" s="1">
        <v>0.34300000000000003</v>
      </c>
      <c r="R2976" s="1">
        <v>0.81499999999999995</v>
      </c>
      <c r="S2976" s="1">
        <v>0.71199999999999997</v>
      </c>
      <c r="T2976" s="1">
        <v>0.109</v>
      </c>
      <c r="U2976" s="1">
        <v>0.53100000000000003</v>
      </c>
      <c r="V2976" s="1">
        <v>96.980999999999995</v>
      </c>
      <c r="W2976">
        <v>4</v>
      </c>
    </row>
    <row r="2977" spans="1:23" x14ac:dyDescent="0.25">
      <c r="A2977" s="1" t="s">
        <v>20043</v>
      </c>
      <c r="B2977" s="1" t="s">
        <v>20044</v>
      </c>
      <c r="C2977" s="1" t="s">
        <v>6626</v>
      </c>
      <c r="D2977" s="1" t="s">
        <v>20045</v>
      </c>
      <c r="E2977" s="1" t="s">
        <v>7716</v>
      </c>
      <c r="F2977" s="1" t="s">
        <v>11423</v>
      </c>
      <c r="G2977">
        <v>215445</v>
      </c>
      <c r="H2977">
        <v>52</v>
      </c>
      <c r="I2977" s="1" t="s">
        <v>11063</v>
      </c>
      <c r="J2977" s="11">
        <v>44729.706458333334</v>
      </c>
      <c r="K2977" s="1" t="s">
        <v>7717</v>
      </c>
      <c r="L2977" s="1">
        <v>0.65500000000000003</v>
      </c>
      <c r="M2977" s="1">
        <v>0.42699999999999999</v>
      </c>
      <c r="N2977">
        <v>2</v>
      </c>
      <c r="O2977" s="1">
        <v>-11.683999999999999</v>
      </c>
      <c r="P2977">
        <v>0</v>
      </c>
      <c r="Q2977" s="1">
        <v>0.79900000000000004</v>
      </c>
      <c r="R2977" s="1">
        <v>0.29499999999999998</v>
      </c>
      <c r="S2977" s="1">
        <v>0.108</v>
      </c>
      <c r="T2977" s="1">
        <v>0.78800000000000003</v>
      </c>
      <c r="U2977" s="1">
        <v>0.224</v>
      </c>
      <c r="V2977" s="1">
        <v>107.992</v>
      </c>
      <c r="W2977">
        <v>4</v>
      </c>
    </row>
    <row r="2978" spans="1:23" x14ac:dyDescent="0.25">
      <c r="A2978" s="1" t="s">
        <v>20046</v>
      </c>
      <c r="B2978" s="1" t="s">
        <v>20047</v>
      </c>
      <c r="C2978" s="1" t="s">
        <v>7718</v>
      </c>
      <c r="D2978" s="1" t="s">
        <v>16032</v>
      </c>
      <c r="E2978" s="1" t="s">
        <v>7719</v>
      </c>
      <c r="F2978" s="1" t="s">
        <v>13797</v>
      </c>
      <c r="G2978">
        <v>224412</v>
      </c>
      <c r="H2978">
        <v>49</v>
      </c>
      <c r="I2978" s="1" t="s">
        <v>11063</v>
      </c>
      <c r="J2978" s="11">
        <v>44729.706458333334</v>
      </c>
      <c r="K2978" s="1" t="s">
        <v>7720</v>
      </c>
      <c r="L2978" s="1">
        <v>0.55700000000000005</v>
      </c>
      <c r="M2978" s="1">
        <v>0.57699999999999996</v>
      </c>
      <c r="N2978">
        <v>11</v>
      </c>
      <c r="O2978" s="1">
        <v>-6.18</v>
      </c>
      <c r="P2978">
        <v>1</v>
      </c>
      <c r="Q2978" s="1">
        <v>0.72099999999999997</v>
      </c>
      <c r="R2978" s="1">
        <v>0.34200000000000003</v>
      </c>
      <c r="S2978" s="1">
        <v>0</v>
      </c>
      <c r="T2978" s="1">
        <v>0.12</v>
      </c>
      <c r="U2978" s="1">
        <v>0.154</v>
      </c>
      <c r="V2978" s="1">
        <v>100.05500000000001</v>
      </c>
      <c r="W2978">
        <v>4</v>
      </c>
    </row>
    <row r="2979" spans="1:23" x14ac:dyDescent="0.25">
      <c r="A2979" s="1" t="s">
        <v>20048</v>
      </c>
      <c r="B2979" s="1" t="s">
        <v>20049</v>
      </c>
      <c r="C2979" s="1" t="s">
        <v>7721</v>
      </c>
      <c r="D2979" s="1" t="s">
        <v>20045</v>
      </c>
      <c r="E2979" s="1" t="s">
        <v>7722</v>
      </c>
      <c r="F2979" s="1" t="s">
        <v>11423</v>
      </c>
      <c r="G2979">
        <v>219118</v>
      </c>
      <c r="H2979">
        <v>43</v>
      </c>
      <c r="I2979" s="1" t="s">
        <v>11063</v>
      </c>
      <c r="J2979" s="11">
        <v>44729.706458333334</v>
      </c>
      <c r="K2979" s="1" t="s">
        <v>7723</v>
      </c>
      <c r="L2979" s="1">
        <v>0.55000000000000004</v>
      </c>
      <c r="M2979" s="1">
        <v>0.46800000000000003</v>
      </c>
      <c r="N2979">
        <v>0</v>
      </c>
      <c r="O2979" s="1">
        <v>-7.6079999999999997</v>
      </c>
      <c r="P2979">
        <v>1</v>
      </c>
      <c r="Q2979" s="1">
        <v>0.42499999999999999</v>
      </c>
      <c r="R2979" s="1">
        <v>0.54</v>
      </c>
      <c r="S2979" s="1">
        <v>0.108</v>
      </c>
      <c r="T2979" s="1">
        <v>0.23200000000000001</v>
      </c>
      <c r="U2979" s="1">
        <v>0.29299999999999998</v>
      </c>
      <c r="V2979" s="1">
        <v>92.06</v>
      </c>
      <c r="W2979">
        <v>4</v>
      </c>
    </row>
    <row r="2980" spans="1:23" x14ac:dyDescent="0.25">
      <c r="A2980" s="1" t="s">
        <v>20050</v>
      </c>
      <c r="B2980" s="1" t="s">
        <v>20051</v>
      </c>
      <c r="C2980" s="1" t="s">
        <v>7724</v>
      </c>
      <c r="D2980" s="1" t="s">
        <v>7724</v>
      </c>
      <c r="E2980" s="1" t="s">
        <v>7725</v>
      </c>
      <c r="F2980" s="1" t="s">
        <v>20052</v>
      </c>
      <c r="G2980">
        <v>196010</v>
      </c>
      <c r="H2980">
        <v>52</v>
      </c>
      <c r="I2980" s="1" t="s">
        <v>11063</v>
      </c>
      <c r="J2980" s="11">
        <v>44729.706458333334</v>
      </c>
      <c r="K2980" s="1" t="s">
        <v>7726</v>
      </c>
      <c r="L2980" s="1">
        <v>0.47799999999999998</v>
      </c>
      <c r="M2980" s="1">
        <v>0.63400000000000001</v>
      </c>
      <c r="N2980">
        <v>0</v>
      </c>
      <c r="O2980" s="1">
        <v>-6.0919999999999996</v>
      </c>
      <c r="P2980">
        <v>1</v>
      </c>
      <c r="Q2980" s="1">
        <v>0.72799999999999998</v>
      </c>
      <c r="R2980" s="1">
        <v>0.39500000000000002</v>
      </c>
      <c r="S2980" s="1">
        <v>0.88900000000000001</v>
      </c>
      <c r="T2980" s="1">
        <v>0.59899999999999998</v>
      </c>
      <c r="U2980" s="1">
        <v>0.121</v>
      </c>
      <c r="V2980" s="1">
        <v>180.185</v>
      </c>
      <c r="W2980">
        <v>4</v>
      </c>
    </row>
    <row r="2981" spans="1:23" x14ac:dyDescent="0.25">
      <c r="A2981" s="1" t="s">
        <v>20053</v>
      </c>
      <c r="B2981" s="1" t="s">
        <v>20054</v>
      </c>
      <c r="C2981" s="1" t="s">
        <v>7727</v>
      </c>
      <c r="D2981" s="1" t="s">
        <v>7727</v>
      </c>
      <c r="E2981" s="1" t="s">
        <v>7728</v>
      </c>
      <c r="F2981" s="1" t="s">
        <v>11302</v>
      </c>
      <c r="G2981">
        <v>184067</v>
      </c>
      <c r="H2981">
        <v>40</v>
      </c>
      <c r="I2981" s="1" t="s">
        <v>11063</v>
      </c>
      <c r="J2981" s="11">
        <v>44729.706458333334</v>
      </c>
      <c r="K2981" s="1" t="s">
        <v>7729</v>
      </c>
      <c r="L2981" s="1">
        <v>0.874</v>
      </c>
      <c r="M2981" s="1">
        <v>0.72799999999999998</v>
      </c>
      <c r="N2981">
        <v>0</v>
      </c>
      <c r="O2981" s="1">
        <v>-4.9210000000000003</v>
      </c>
      <c r="P2981">
        <v>0</v>
      </c>
      <c r="Q2981" s="1">
        <v>0.39</v>
      </c>
      <c r="R2981" s="1">
        <v>0.80700000000000005</v>
      </c>
      <c r="S2981" s="1">
        <v>0.105</v>
      </c>
      <c r="T2981" s="1">
        <v>0.55900000000000005</v>
      </c>
      <c r="U2981" s="1">
        <v>0.157</v>
      </c>
      <c r="V2981" s="1">
        <v>118.009</v>
      </c>
      <c r="W2981">
        <v>4</v>
      </c>
    </row>
    <row r="2982" spans="1:23" x14ac:dyDescent="0.25">
      <c r="A2982" s="1" t="s">
        <v>20055</v>
      </c>
      <c r="B2982" s="1" t="s">
        <v>20056</v>
      </c>
      <c r="C2982" s="1" t="s">
        <v>7730</v>
      </c>
      <c r="D2982" s="1" t="s">
        <v>7730</v>
      </c>
      <c r="E2982" s="1" t="s">
        <v>7731</v>
      </c>
      <c r="F2982" s="1" t="s">
        <v>11704</v>
      </c>
      <c r="G2982">
        <v>172741</v>
      </c>
      <c r="H2982">
        <v>32</v>
      </c>
      <c r="I2982" s="1" t="s">
        <v>11063</v>
      </c>
      <c r="J2982" s="11">
        <v>44729.706458333334</v>
      </c>
      <c r="K2982" s="1" t="s">
        <v>7732</v>
      </c>
      <c r="L2982" s="1">
        <v>0.71</v>
      </c>
      <c r="M2982" s="1">
        <v>0.82399999999999995</v>
      </c>
      <c r="N2982">
        <v>5</v>
      </c>
      <c r="O2982" s="1">
        <v>-6.0010000000000003</v>
      </c>
      <c r="P2982">
        <v>0</v>
      </c>
      <c r="Q2982" s="1">
        <v>0.28000000000000003</v>
      </c>
      <c r="R2982" s="1">
        <v>0.11899999999999999</v>
      </c>
      <c r="S2982" s="1">
        <v>0.57399999999999995</v>
      </c>
      <c r="T2982" s="1">
        <v>0.58899999999999997</v>
      </c>
      <c r="U2982" s="1">
        <v>0.20799999999999999</v>
      </c>
      <c r="V2982" s="1" t="s">
        <v>7733</v>
      </c>
      <c r="W2982">
        <v>4</v>
      </c>
    </row>
    <row r="2983" spans="1:23" x14ac:dyDescent="0.25">
      <c r="A2983" s="1" t="s">
        <v>20057</v>
      </c>
      <c r="B2983" s="1" t="s">
        <v>20058</v>
      </c>
      <c r="C2983" s="1" t="s">
        <v>7734</v>
      </c>
      <c r="D2983" s="1" t="s">
        <v>20059</v>
      </c>
      <c r="E2983" s="1" t="s">
        <v>7735</v>
      </c>
      <c r="F2983" s="1" t="s">
        <v>20060</v>
      </c>
      <c r="G2983">
        <v>203048</v>
      </c>
      <c r="H2983">
        <v>37</v>
      </c>
      <c r="I2983" s="1" t="s">
        <v>11063</v>
      </c>
      <c r="J2983" s="11">
        <v>44729.706458333334</v>
      </c>
      <c r="K2983" s="1" t="s">
        <v>7736</v>
      </c>
      <c r="L2983" s="1">
        <v>0.66300000000000003</v>
      </c>
      <c r="M2983" s="1">
        <v>0.77700000000000002</v>
      </c>
      <c r="N2983">
        <v>5</v>
      </c>
      <c r="O2983" s="1">
        <v>-5.4640000000000004</v>
      </c>
      <c r="P2983">
        <v>0</v>
      </c>
      <c r="Q2983" s="1">
        <v>0.30099999999999999</v>
      </c>
      <c r="R2983" s="1">
        <v>0.111</v>
      </c>
      <c r="S2983" s="1">
        <v>0.14899999999999999</v>
      </c>
      <c r="T2983" s="1">
        <v>0.498</v>
      </c>
      <c r="U2983" s="1">
        <v>0.23799999999999999</v>
      </c>
      <c r="V2983" s="1">
        <v>123.035</v>
      </c>
      <c r="W2983">
        <v>4</v>
      </c>
    </row>
    <row r="2984" spans="1:23" x14ac:dyDescent="0.25">
      <c r="A2984" s="1" t="s">
        <v>20061</v>
      </c>
      <c r="B2984" s="1" t="s">
        <v>20062</v>
      </c>
      <c r="C2984" s="1" t="s">
        <v>7737</v>
      </c>
      <c r="D2984" s="1" t="s">
        <v>7737</v>
      </c>
      <c r="E2984" s="1" t="s">
        <v>7738</v>
      </c>
      <c r="F2984" s="1" t="s">
        <v>14617</v>
      </c>
      <c r="G2984">
        <v>174285</v>
      </c>
      <c r="H2984">
        <v>5</v>
      </c>
      <c r="I2984" s="1" t="s">
        <v>11063</v>
      </c>
      <c r="J2984" s="11">
        <v>44729.706458333334</v>
      </c>
      <c r="K2984" s="1" t="s">
        <v>7739</v>
      </c>
      <c r="L2984" s="1">
        <v>0.755</v>
      </c>
      <c r="M2984" s="1">
        <v>0.71399999999999997</v>
      </c>
      <c r="N2984">
        <v>1</v>
      </c>
      <c r="O2984" s="1">
        <v>-5.2839999999999998</v>
      </c>
      <c r="P2984">
        <v>0</v>
      </c>
      <c r="Q2984" s="1">
        <v>0.81699999999999995</v>
      </c>
      <c r="R2984" s="1">
        <v>0.9</v>
      </c>
      <c r="S2984" s="1">
        <v>0.153</v>
      </c>
      <c r="T2984" s="1">
        <v>0.13300000000000001</v>
      </c>
      <c r="U2984" s="1">
        <v>0.55100000000000005</v>
      </c>
      <c r="V2984" s="1">
        <v>83.998999999999995</v>
      </c>
      <c r="W2984">
        <v>4</v>
      </c>
    </row>
    <row r="2985" spans="1:23" x14ac:dyDescent="0.25">
      <c r="A2985" s="1" t="s">
        <v>20063</v>
      </c>
      <c r="B2985" s="1" t="s">
        <v>20064</v>
      </c>
      <c r="C2985" s="1" t="s">
        <v>7740</v>
      </c>
      <c r="D2985" s="1" t="s">
        <v>7740</v>
      </c>
      <c r="E2985" s="1" t="s">
        <v>7741</v>
      </c>
      <c r="F2985" s="1" t="s">
        <v>14630</v>
      </c>
      <c r="G2985">
        <v>211964</v>
      </c>
      <c r="H2985">
        <v>47</v>
      </c>
      <c r="I2985" s="1" t="s">
        <v>11063</v>
      </c>
      <c r="J2985" s="11">
        <v>44729.706458333334</v>
      </c>
      <c r="K2985" s="1" t="s">
        <v>7742</v>
      </c>
      <c r="L2985" s="1">
        <v>0.58199999999999996</v>
      </c>
      <c r="M2985" s="1">
        <v>0.621</v>
      </c>
      <c r="N2985">
        <v>4</v>
      </c>
      <c r="O2985" s="1">
        <v>-9.1940000000000008</v>
      </c>
      <c r="P2985">
        <v>0</v>
      </c>
      <c r="Q2985" s="1">
        <v>0.56000000000000005</v>
      </c>
      <c r="R2985" s="1">
        <v>0.64600000000000002</v>
      </c>
      <c r="S2985" s="1">
        <v>0.27500000000000002</v>
      </c>
      <c r="T2985" s="1">
        <v>0.111</v>
      </c>
      <c r="U2985" s="1">
        <v>0.61</v>
      </c>
      <c r="V2985" s="1">
        <v>184.98</v>
      </c>
      <c r="W2985">
        <v>3</v>
      </c>
    </row>
    <row r="2986" spans="1:23" x14ac:dyDescent="0.25">
      <c r="A2986" s="1" t="s">
        <v>20065</v>
      </c>
      <c r="B2986" s="1" t="s">
        <v>20066</v>
      </c>
      <c r="C2986" s="1" t="s">
        <v>7743</v>
      </c>
      <c r="D2986" s="1" t="s">
        <v>7743</v>
      </c>
      <c r="E2986" s="1" t="s">
        <v>7744</v>
      </c>
      <c r="F2986" s="1" t="s">
        <v>11677</v>
      </c>
      <c r="G2986">
        <v>205200</v>
      </c>
      <c r="H2986">
        <v>44</v>
      </c>
      <c r="I2986" s="1" t="s">
        <v>11063</v>
      </c>
      <c r="J2986" s="11">
        <v>44729.706458333334</v>
      </c>
      <c r="K2986" s="1" t="s">
        <v>7745</v>
      </c>
      <c r="L2986" s="1">
        <v>0.73499999999999999</v>
      </c>
      <c r="M2986" s="1">
        <v>0.71799999999999997</v>
      </c>
      <c r="N2986">
        <v>3</v>
      </c>
      <c r="O2986" s="1">
        <v>-4.7969999999999997</v>
      </c>
      <c r="P2986">
        <v>0</v>
      </c>
      <c r="Q2986" s="1">
        <v>0.90500000000000003</v>
      </c>
      <c r="R2986" s="1">
        <v>0.52500000000000002</v>
      </c>
      <c r="S2986" s="1">
        <v>0.43099999999999999</v>
      </c>
      <c r="T2986" s="1">
        <v>0.38100000000000001</v>
      </c>
      <c r="U2986" s="1">
        <v>0.61199999999999999</v>
      </c>
      <c r="V2986" s="1">
        <v>99.953999999999994</v>
      </c>
      <c r="W2986">
        <v>4</v>
      </c>
    </row>
    <row r="2987" spans="1:23" x14ac:dyDescent="0.25">
      <c r="A2987" s="1" t="s">
        <v>20067</v>
      </c>
      <c r="B2987" s="1" t="s">
        <v>20068</v>
      </c>
      <c r="C2987" s="1" t="s">
        <v>7746</v>
      </c>
      <c r="D2987" s="1" t="s">
        <v>20069</v>
      </c>
      <c r="E2987" s="1" t="s">
        <v>7747</v>
      </c>
      <c r="F2987" s="1" t="s">
        <v>15476</v>
      </c>
      <c r="G2987">
        <v>231541</v>
      </c>
      <c r="H2987">
        <v>32</v>
      </c>
      <c r="I2987" s="1" t="s">
        <v>11063</v>
      </c>
      <c r="J2987" s="11">
        <v>44729.706458333334</v>
      </c>
      <c r="K2987" s="1" t="s">
        <v>7748</v>
      </c>
      <c r="L2987" s="1">
        <v>0.78500000000000003</v>
      </c>
      <c r="M2987" s="1">
        <v>0.65</v>
      </c>
      <c r="N2987">
        <v>5</v>
      </c>
      <c r="O2987" s="1">
        <v>-7.9290000000000003</v>
      </c>
      <c r="P2987">
        <v>0</v>
      </c>
      <c r="Q2987" s="1">
        <v>0.54400000000000004</v>
      </c>
      <c r="R2987" s="1">
        <v>0.10299999999999999</v>
      </c>
      <c r="S2987" s="1">
        <v>0.26100000000000001</v>
      </c>
      <c r="T2987" s="1">
        <v>0.17100000000000001</v>
      </c>
      <c r="U2987" s="1">
        <v>0.496</v>
      </c>
      <c r="V2987" s="1">
        <v>100.003</v>
      </c>
      <c r="W2987">
        <v>4</v>
      </c>
    </row>
    <row r="2988" spans="1:23" x14ac:dyDescent="0.25">
      <c r="A2988" s="1" t="s">
        <v>20070</v>
      </c>
      <c r="B2988" s="1" t="s">
        <v>20071</v>
      </c>
      <c r="C2988" s="1" t="s">
        <v>7749</v>
      </c>
      <c r="D2988" s="1" t="s">
        <v>20072</v>
      </c>
      <c r="E2988" s="1" t="s">
        <v>7750</v>
      </c>
      <c r="F2988" s="1" t="s">
        <v>20073</v>
      </c>
      <c r="G2988">
        <v>223484</v>
      </c>
      <c r="H2988">
        <v>40</v>
      </c>
      <c r="I2988" s="1" t="s">
        <v>11063</v>
      </c>
      <c r="J2988" s="11">
        <v>44729.706458333334</v>
      </c>
      <c r="K2988" s="1" t="s">
        <v>7751</v>
      </c>
      <c r="L2988" s="1">
        <v>0.86299999999999999</v>
      </c>
      <c r="M2988" s="1">
        <v>0.46100000000000002</v>
      </c>
      <c r="N2988">
        <v>9</v>
      </c>
      <c r="O2988" s="1">
        <v>-7.8579999999999997</v>
      </c>
      <c r="P2988">
        <v>0</v>
      </c>
      <c r="Q2988" s="1">
        <v>0.505</v>
      </c>
      <c r="R2988" s="1">
        <v>0.88600000000000001</v>
      </c>
      <c r="S2988" s="1">
        <v>0.13500000000000001</v>
      </c>
      <c r="T2988" s="1">
        <v>0.126</v>
      </c>
      <c r="U2988" s="1">
        <v>0.57999999999999996</v>
      </c>
      <c r="V2988" s="1">
        <v>124.962</v>
      </c>
      <c r="W2988">
        <v>4</v>
      </c>
    </row>
    <row r="2989" spans="1:23" x14ac:dyDescent="0.25">
      <c r="A2989" s="1" t="s">
        <v>20074</v>
      </c>
      <c r="B2989" s="1" t="s">
        <v>20075</v>
      </c>
      <c r="C2989" s="1" t="s">
        <v>7752</v>
      </c>
      <c r="D2989" s="1" t="s">
        <v>20076</v>
      </c>
      <c r="E2989" s="1" t="s">
        <v>7753</v>
      </c>
      <c r="F2989" s="1" t="s">
        <v>11530</v>
      </c>
      <c r="G2989">
        <v>195000</v>
      </c>
      <c r="H2989">
        <v>39</v>
      </c>
      <c r="I2989" s="1" t="s">
        <v>11063</v>
      </c>
      <c r="J2989" s="11">
        <v>44729.706458333334</v>
      </c>
      <c r="K2989" s="1" t="s">
        <v>7754</v>
      </c>
      <c r="L2989" s="1">
        <v>0.69499999999999995</v>
      </c>
      <c r="M2989" s="1">
        <v>0.625</v>
      </c>
      <c r="N2989">
        <v>1</v>
      </c>
      <c r="O2989" s="1">
        <v>-6.1619999999999999</v>
      </c>
      <c r="P2989">
        <v>0</v>
      </c>
      <c r="Q2989" s="1">
        <v>0.28000000000000003</v>
      </c>
      <c r="R2989" s="1">
        <v>0.308</v>
      </c>
      <c r="S2989" s="1">
        <v>0.54700000000000004</v>
      </c>
      <c r="T2989" s="1">
        <v>0.22</v>
      </c>
      <c r="U2989" s="1">
        <v>0.34399999999999997</v>
      </c>
      <c r="V2989" s="1">
        <v>93.04</v>
      </c>
      <c r="W2989">
        <v>4</v>
      </c>
    </row>
    <row r="2990" spans="1:23" x14ac:dyDescent="0.25">
      <c r="A2990" s="1" t="s">
        <v>20077</v>
      </c>
      <c r="B2990" s="1" t="s">
        <v>20078</v>
      </c>
      <c r="C2990" s="1" t="s">
        <v>7755</v>
      </c>
      <c r="D2990" s="1" t="s">
        <v>20076</v>
      </c>
      <c r="E2990" s="1" t="s">
        <v>7756</v>
      </c>
      <c r="F2990" s="1" t="s">
        <v>11530</v>
      </c>
      <c r="G2990">
        <v>175851</v>
      </c>
      <c r="H2990">
        <v>48</v>
      </c>
      <c r="I2990" s="1" t="s">
        <v>11063</v>
      </c>
      <c r="J2990" s="11">
        <v>44729.706458333334</v>
      </c>
      <c r="K2990" s="1" t="s">
        <v>7757</v>
      </c>
      <c r="L2990" s="1">
        <v>0.58699999999999997</v>
      </c>
      <c r="M2990" s="1">
        <v>0.66800000000000004</v>
      </c>
      <c r="N2990">
        <v>8</v>
      </c>
      <c r="O2990" s="1">
        <v>-5.79</v>
      </c>
      <c r="P2990">
        <v>0</v>
      </c>
      <c r="Q2990" s="1">
        <v>0.435</v>
      </c>
      <c r="R2990" s="1">
        <v>0.222</v>
      </c>
      <c r="S2990" s="1">
        <v>0</v>
      </c>
      <c r="T2990" s="1">
        <v>0.58899999999999997</v>
      </c>
      <c r="U2990" s="1">
        <v>0.124</v>
      </c>
      <c r="V2990" s="1">
        <v>93.974000000000004</v>
      </c>
      <c r="W2990">
        <v>4</v>
      </c>
    </row>
    <row r="2991" spans="1:23" x14ac:dyDescent="0.25">
      <c r="A2991" s="1" t="s">
        <v>20079</v>
      </c>
      <c r="B2991" s="1" t="s">
        <v>20080</v>
      </c>
      <c r="C2991" s="1" t="s">
        <v>7758</v>
      </c>
      <c r="D2991" s="1" t="s">
        <v>16958</v>
      </c>
      <c r="E2991" s="1" t="s">
        <v>7759</v>
      </c>
      <c r="F2991" s="1" t="s">
        <v>13979</v>
      </c>
      <c r="G2991">
        <v>382261</v>
      </c>
      <c r="H2991">
        <v>41</v>
      </c>
      <c r="I2991" s="1" t="s">
        <v>11063</v>
      </c>
      <c r="J2991" s="11">
        <v>44729.706458333334</v>
      </c>
      <c r="K2991" s="1" t="s">
        <v>4957</v>
      </c>
      <c r="L2991" s="1">
        <v>0.56999999999999995</v>
      </c>
      <c r="M2991" s="1">
        <v>0.57499999999999996</v>
      </c>
      <c r="N2991">
        <v>1</v>
      </c>
      <c r="O2991" s="1">
        <v>-5.3860000000000001</v>
      </c>
      <c r="P2991">
        <v>1</v>
      </c>
      <c r="Q2991" s="1">
        <v>0.42199999999999999</v>
      </c>
      <c r="R2991" s="1">
        <v>0.115</v>
      </c>
      <c r="S2991" s="1">
        <v>0.57099999999999995</v>
      </c>
      <c r="T2991" s="1">
        <v>0.253</v>
      </c>
      <c r="U2991" s="1">
        <v>0.124</v>
      </c>
      <c r="V2991" s="1">
        <v>126.018</v>
      </c>
      <c r="W2991">
        <v>4</v>
      </c>
    </row>
    <row r="2992" spans="1:23" x14ac:dyDescent="0.25">
      <c r="A2992" s="1" t="s">
        <v>20081</v>
      </c>
      <c r="B2992" s="1" t="s">
        <v>19647</v>
      </c>
      <c r="C2992" s="1" t="s">
        <v>7760</v>
      </c>
      <c r="D2992" s="1" t="s">
        <v>7760</v>
      </c>
      <c r="E2992" s="1" t="s">
        <v>7394</v>
      </c>
      <c r="F2992" s="1" t="s">
        <v>11399</v>
      </c>
      <c r="G2992">
        <v>251076</v>
      </c>
      <c r="H2992">
        <v>42</v>
      </c>
      <c r="I2992" s="1" t="s">
        <v>11063</v>
      </c>
      <c r="J2992" s="11">
        <v>44729.706458333334</v>
      </c>
      <c r="K2992" s="1" t="s">
        <v>7395</v>
      </c>
      <c r="L2992" s="1">
        <v>0.77600000000000002</v>
      </c>
      <c r="M2992" s="1">
        <v>0.47299999999999998</v>
      </c>
      <c r="N2992">
        <v>11</v>
      </c>
      <c r="O2992" s="1">
        <v>-9.3239999999999998</v>
      </c>
      <c r="P2992">
        <v>1</v>
      </c>
      <c r="Q2992" s="1">
        <v>0.17399999999999999</v>
      </c>
      <c r="R2992" s="1">
        <v>0.41599999999999998</v>
      </c>
      <c r="S2992" s="1">
        <v>0.57199999999999995</v>
      </c>
      <c r="T2992" s="1">
        <v>0.99399999999999999</v>
      </c>
      <c r="U2992" s="1">
        <v>0.31</v>
      </c>
      <c r="V2992" s="1">
        <v>130.03100000000001</v>
      </c>
      <c r="W2992">
        <v>4</v>
      </c>
    </row>
    <row r="2993" spans="1:23" x14ac:dyDescent="0.25">
      <c r="A2993" s="1" t="s">
        <v>20082</v>
      </c>
      <c r="B2993" s="1" t="s">
        <v>13969</v>
      </c>
      <c r="C2993" s="1" t="s">
        <v>5963</v>
      </c>
      <c r="D2993" s="1" t="s">
        <v>5963</v>
      </c>
      <c r="E2993" s="1" t="s">
        <v>2375</v>
      </c>
      <c r="F2993" s="1" t="s">
        <v>14620</v>
      </c>
      <c r="G2993">
        <v>215600</v>
      </c>
      <c r="H2993">
        <v>34</v>
      </c>
      <c r="I2993" s="1" t="s">
        <v>11063</v>
      </c>
      <c r="J2993" s="11">
        <v>44729.706458333334</v>
      </c>
      <c r="K2993" s="1" t="s">
        <v>2376</v>
      </c>
      <c r="L2993" s="1">
        <v>0.624</v>
      </c>
      <c r="M2993" s="1">
        <v>0.65800000000000003</v>
      </c>
      <c r="N2993">
        <v>6</v>
      </c>
      <c r="O2993" s="1">
        <v>-6.476</v>
      </c>
      <c r="P2993">
        <v>1</v>
      </c>
      <c r="Q2993" s="1">
        <v>0.69499999999999995</v>
      </c>
      <c r="R2993" s="1">
        <v>0.31900000000000001</v>
      </c>
      <c r="S2993" s="1">
        <v>0.16300000000000001</v>
      </c>
      <c r="T2993" s="1">
        <v>0.97099999999999997</v>
      </c>
      <c r="U2993" s="1">
        <v>0.36099999999999999</v>
      </c>
      <c r="V2993" s="1">
        <v>74.963999999999999</v>
      </c>
      <c r="W2993">
        <v>4</v>
      </c>
    </row>
    <row r="2994" spans="1:23" x14ac:dyDescent="0.25">
      <c r="A2994" s="1" t="s">
        <v>20083</v>
      </c>
      <c r="B2994" s="1" t="s">
        <v>20084</v>
      </c>
      <c r="C2994" s="1" t="s">
        <v>7761</v>
      </c>
      <c r="D2994" s="1" t="s">
        <v>7761</v>
      </c>
      <c r="E2994" s="1" t="s">
        <v>7762</v>
      </c>
      <c r="F2994" s="1" t="s">
        <v>20085</v>
      </c>
      <c r="G2994">
        <v>173426</v>
      </c>
      <c r="H2994">
        <v>43</v>
      </c>
      <c r="I2994" s="1" t="s">
        <v>11063</v>
      </c>
      <c r="J2994" s="11">
        <v>44729.706458333334</v>
      </c>
      <c r="K2994" s="1" t="s">
        <v>7763</v>
      </c>
      <c r="L2994" s="1">
        <v>0.64500000000000002</v>
      </c>
      <c r="M2994" s="1">
        <v>0.875</v>
      </c>
      <c r="N2994">
        <v>8</v>
      </c>
      <c r="O2994" s="1">
        <v>-5.4809999999999999</v>
      </c>
      <c r="P2994">
        <v>0</v>
      </c>
      <c r="Q2994" s="1">
        <v>0.93600000000000005</v>
      </c>
      <c r="R2994" s="1">
        <v>0.13600000000000001</v>
      </c>
      <c r="S2994" s="1">
        <v>0.84699999999999998</v>
      </c>
      <c r="T2994" s="1">
        <v>0.193</v>
      </c>
      <c r="U2994" s="1">
        <v>0.51900000000000002</v>
      </c>
      <c r="V2994" s="1">
        <v>155.10900000000001</v>
      </c>
      <c r="W2994">
        <v>4</v>
      </c>
    </row>
    <row r="2995" spans="1:23" x14ac:dyDescent="0.25">
      <c r="A2995" s="1" t="s">
        <v>20086</v>
      </c>
      <c r="B2995" s="1" t="s">
        <v>18991</v>
      </c>
      <c r="C2995" s="1" t="s">
        <v>7764</v>
      </c>
      <c r="D2995" s="1" t="s">
        <v>7764</v>
      </c>
      <c r="E2995" s="1" t="s">
        <v>6788</v>
      </c>
      <c r="F2995" s="1" t="s">
        <v>11423</v>
      </c>
      <c r="G2995">
        <v>184242</v>
      </c>
      <c r="H2995">
        <v>39</v>
      </c>
      <c r="I2995" s="1" t="s">
        <v>11063</v>
      </c>
      <c r="J2995" s="11">
        <v>44729.706458333334</v>
      </c>
      <c r="K2995" s="1" t="s">
        <v>6774</v>
      </c>
      <c r="L2995" s="1">
        <v>0.61499999999999999</v>
      </c>
      <c r="M2995" s="1">
        <v>0.92200000000000004</v>
      </c>
      <c r="N2995">
        <v>2</v>
      </c>
      <c r="O2995" s="1">
        <v>-2.9990000000000001</v>
      </c>
      <c r="P2995">
        <v>0</v>
      </c>
      <c r="Q2995" s="1">
        <v>0.47</v>
      </c>
      <c r="R2995" s="1">
        <v>0.33500000000000002</v>
      </c>
      <c r="S2995" s="1">
        <v>0.25600000000000001</v>
      </c>
      <c r="T2995" s="1">
        <v>0.25600000000000001</v>
      </c>
      <c r="U2995" s="1">
        <v>0.33300000000000002</v>
      </c>
      <c r="V2995" s="1">
        <v>99.016000000000005</v>
      </c>
      <c r="W2995">
        <v>4</v>
      </c>
    </row>
    <row r="2996" spans="1:23" x14ac:dyDescent="0.25">
      <c r="A2996" s="1" t="s">
        <v>20087</v>
      </c>
      <c r="B2996" s="1" t="s">
        <v>18973</v>
      </c>
      <c r="C2996" s="1" t="s">
        <v>5119</v>
      </c>
      <c r="D2996" s="1" t="s">
        <v>5119</v>
      </c>
      <c r="E2996" s="1" t="s">
        <v>6773</v>
      </c>
      <c r="F2996" s="1" t="s">
        <v>15646</v>
      </c>
      <c r="G2996">
        <v>183779</v>
      </c>
      <c r="H2996">
        <v>43</v>
      </c>
      <c r="I2996" s="1" t="s">
        <v>11063</v>
      </c>
      <c r="J2996" s="11">
        <v>44729.706458333334</v>
      </c>
      <c r="K2996" s="1" t="s">
        <v>6774</v>
      </c>
      <c r="L2996" s="1">
        <v>0.55100000000000005</v>
      </c>
      <c r="M2996" s="1">
        <v>0.77900000000000003</v>
      </c>
      <c r="N2996">
        <v>2</v>
      </c>
      <c r="O2996" s="1">
        <v>-5.2880000000000003</v>
      </c>
      <c r="P2996">
        <v>0</v>
      </c>
      <c r="Q2996" s="1">
        <v>0.29199999999999998</v>
      </c>
      <c r="R2996" s="1">
        <v>0.23200000000000001</v>
      </c>
      <c r="S2996" s="1">
        <v>0.35599999999999998</v>
      </c>
      <c r="T2996" s="1">
        <v>0.81100000000000005</v>
      </c>
      <c r="U2996" s="1">
        <v>0.23400000000000001</v>
      </c>
      <c r="V2996" s="1">
        <v>97.977000000000004</v>
      </c>
      <c r="W2996">
        <v>4</v>
      </c>
    </row>
    <row r="2997" spans="1:23" x14ac:dyDescent="0.25">
      <c r="A2997" s="1" t="s">
        <v>20088</v>
      </c>
      <c r="B2997" s="1" t="s">
        <v>11351</v>
      </c>
      <c r="C2997" s="1" t="s">
        <v>7765</v>
      </c>
      <c r="D2997" s="1" t="s">
        <v>7765</v>
      </c>
      <c r="E2997" s="1" t="s">
        <v>141</v>
      </c>
      <c r="F2997" s="1" t="s">
        <v>20089</v>
      </c>
      <c r="G2997">
        <v>210000</v>
      </c>
      <c r="H2997">
        <v>36</v>
      </c>
      <c r="I2997" s="1" t="s">
        <v>11063</v>
      </c>
      <c r="J2997" s="11">
        <v>44729.706458333334</v>
      </c>
      <c r="K2997" s="1" t="s">
        <v>142</v>
      </c>
      <c r="L2997" s="1">
        <v>0.29099999999999998</v>
      </c>
      <c r="M2997" s="1">
        <v>0.68600000000000005</v>
      </c>
      <c r="N2997">
        <v>8</v>
      </c>
      <c r="O2997" s="1">
        <v>-5.7</v>
      </c>
      <c r="P2997">
        <v>1</v>
      </c>
      <c r="Q2997" s="1">
        <v>0.435</v>
      </c>
      <c r="R2997" s="1">
        <v>0.53</v>
      </c>
      <c r="S2997" s="1">
        <v>0.26200000000000001</v>
      </c>
      <c r="T2997" s="1">
        <v>0.14299999999999999</v>
      </c>
      <c r="U2997" s="1">
        <v>0.88300000000000001</v>
      </c>
      <c r="V2997" s="1">
        <v>160.05799999999999</v>
      </c>
      <c r="W2997">
        <v>4</v>
      </c>
    </row>
    <row r="2998" spans="1:23" x14ac:dyDescent="0.25">
      <c r="A2998" s="1" t="s">
        <v>20090</v>
      </c>
      <c r="B2998" s="1" t="s">
        <v>20091</v>
      </c>
      <c r="C2998" s="1" t="s">
        <v>7766</v>
      </c>
      <c r="D2998" s="1" t="s">
        <v>7766</v>
      </c>
      <c r="E2998" s="1" t="s">
        <v>7767</v>
      </c>
      <c r="F2998" s="1" t="s">
        <v>15689</v>
      </c>
      <c r="G2998">
        <v>153191</v>
      </c>
      <c r="H2998">
        <v>0</v>
      </c>
      <c r="I2998" s="1" t="s">
        <v>11063</v>
      </c>
      <c r="J2998" s="11">
        <v>44729.706458333334</v>
      </c>
      <c r="K2998" s="1" t="s">
        <v>7768</v>
      </c>
      <c r="L2998" s="1">
        <v>0.746</v>
      </c>
      <c r="M2998" s="1">
        <v>0.45800000000000002</v>
      </c>
      <c r="N2998">
        <v>4</v>
      </c>
      <c r="O2998" s="1">
        <v>-7.0170000000000003</v>
      </c>
      <c r="P2998">
        <v>0</v>
      </c>
      <c r="Q2998" s="1">
        <v>0.59499999999999997</v>
      </c>
      <c r="R2998" s="1">
        <v>0.88800000000000001</v>
      </c>
      <c r="S2998" s="1">
        <v>0</v>
      </c>
      <c r="T2998" s="1">
        <v>0.1</v>
      </c>
      <c r="U2998" s="1">
        <v>0.41599999999999998</v>
      </c>
      <c r="V2998" s="1">
        <v>105.039</v>
      </c>
      <c r="W2998">
        <v>4</v>
      </c>
    </row>
    <row r="2999" spans="1:23" x14ac:dyDescent="0.25">
      <c r="A2999" s="1" t="s">
        <v>20092</v>
      </c>
      <c r="B2999" s="1" t="s">
        <v>20093</v>
      </c>
      <c r="C2999" s="1" t="s">
        <v>7769</v>
      </c>
      <c r="D2999" s="1" t="s">
        <v>20094</v>
      </c>
      <c r="E2999" s="1" t="s">
        <v>7770</v>
      </c>
      <c r="F2999" s="1" t="s">
        <v>15401</v>
      </c>
      <c r="G2999">
        <v>197000</v>
      </c>
      <c r="H2999">
        <v>53</v>
      </c>
      <c r="I2999" s="1" t="s">
        <v>11063</v>
      </c>
      <c r="J2999" s="11">
        <v>44729.706458333334</v>
      </c>
      <c r="K2999" s="1" t="s">
        <v>7771</v>
      </c>
      <c r="L2999" s="1">
        <v>0.66900000000000004</v>
      </c>
      <c r="M2999" s="1">
        <v>0.69299999999999995</v>
      </c>
      <c r="N2999">
        <v>9</v>
      </c>
      <c r="O2999" s="1">
        <v>-6.407</v>
      </c>
      <c r="P2999">
        <v>0</v>
      </c>
      <c r="Q2999" s="1">
        <v>0.69499999999999995</v>
      </c>
      <c r="R2999" s="1">
        <v>0.127</v>
      </c>
      <c r="S2999" s="1">
        <v>0.29399999999999998</v>
      </c>
      <c r="T2999" s="1">
        <v>0.17399999999999999</v>
      </c>
      <c r="U2999" s="1">
        <v>0.39800000000000002</v>
      </c>
      <c r="V2999" s="1">
        <v>100.946</v>
      </c>
      <c r="W2999">
        <v>4</v>
      </c>
    </row>
    <row r="3000" spans="1:23" x14ac:dyDescent="0.25">
      <c r="A3000" s="1" t="s">
        <v>20095</v>
      </c>
      <c r="B3000" s="1" t="s">
        <v>20096</v>
      </c>
      <c r="C3000" s="1" t="s">
        <v>7772</v>
      </c>
      <c r="D3000" s="1" t="s">
        <v>7772</v>
      </c>
      <c r="E3000" s="1" t="s">
        <v>7773</v>
      </c>
      <c r="F3000" s="1" t="s">
        <v>13692</v>
      </c>
      <c r="G3000">
        <v>187600</v>
      </c>
      <c r="H3000">
        <v>48</v>
      </c>
      <c r="I3000" s="1" t="s">
        <v>11063</v>
      </c>
      <c r="J3000" s="11">
        <v>44729.706458333334</v>
      </c>
      <c r="K3000" s="1" t="s">
        <v>7774</v>
      </c>
      <c r="L3000" s="1">
        <v>0.55500000000000005</v>
      </c>
      <c r="M3000" s="1">
        <v>0.78300000000000003</v>
      </c>
      <c r="N3000">
        <v>10</v>
      </c>
      <c r="O3000" s="1">
        <v>-1.8879999999999999</v>
      </c>
      <c r="P3000">
        <v>1</v>
      </c>
      <c r="Q3000" s="1">
        <v>0.112</v>
      </c>
      <c r="R3000" s="1">
        <v>0.47899999999999998</v>
      </c>
      <c r="S3000" s="1">
        <v>0</v>
      </c>
      <c r="T3000" s="1">
        <v>0.83799999999999997</v>
      </c>
      <c r="U3000" s="1">
        <v>0.32900000000000001</v>
      </c>
      <c r="V3000" s="1">
        <v>149.785</v>
      </c>
      <c r="W3000">
        <v>4</v>
      </c>
    </row>
    <row r="3001" spans="1:23" x14ac:dyDescent="0.25">
      <c r="A3001" s="1" t="s">
        <v>20097</v>
      </c>
      <c r="B3001" s="1" t="s">
        <v>20098</v>
      </c>
      <c r="C3001" s="1" t="s">
        <v>7775</v>
      </c>
      <c r="D3001" s="1" t="s">
        <v>19394</v>
      </c>
      <c r="E3001" s="1" t="s">
        <v>7776</v>
      </c>
      <c r="F3001" s="1" t="s">
        <v>15035</v>
      </c>
      <c r="G3001">
        <v>179680</v>
      </c>
      <c r="H3001">
        <v>44</v>
      </c>
      <c r="I3001" s="1" t="s">
        <v>11063</v>
      </c>
      <c r="J3001" s="11">
        <v>44729.706458333334</v>
      </c>
      <c r="K3001" s="1" t="s">
        <v>7777</v>
      </c>
      <c r="L3001" s="1">
        <v>0.63800000000000001</v>
      </c>
      <c r="M3001" s="1">
        <v>0.62</v>
      </c>
      <c r="N3001">
        <v>11</v>
      </c>
      <c r="O3001" s="1">
        <v>-2.4159999999999999</v>
      </c>
      <c r="P3001">
        <v>1</v>
      </c>
      <c r="Q3001" s="1">
        <v>0.55500000000000005</v>
      </c>
      <c r="R3001" s="1">
        <v>0.19400000000000001</v>
      </c>
      <c r="S3001" s="1">
        <v>0.113</v>
      </c>
      <c r="T3001" s="1">
        <v>0.73</v>
      </c>
      <c r="U3001" s="1">
        <v>0.49199999999999999</v>
      </c>
      <c r="V3001" s="1">
        <v>95.867999999999995</v>
      </c>
      <c r="W3001">
        <v>4</v>
      </c>
    </row>
    <row r="3002" spans="1:23" x14ac:dyDescent="0.25">
      <c r="A3002" s="1" t="s">
        <v>20099</v>
      </c>
      <c r="B3002" s="1" t="s">
        <v>15408</v>
      </c>
      <c r="C3002" s="1" t="s">
        <v>7778</v>
      </c>
      <c r="D3002" s="1" t="s">
        <v>7778</v>
      </c>
      <c r="E3002" s="1" t="s">
        <v>3637</v>
      </c>
      <c r="F3002" s="1" t="s">
        <v>11677</v>
      </c>
      <c r="G3002">
        <v>171013</v>
      </c>
      <c r="H3002">
        <v>48</v>
      </c>
      <c r="I3002" s="1" t="s">
        <v>11063</v>
      </c>
      <c r="J3002" s="11">
        <v>44729.706458333334</v>
      </c>
      <c r="K3002" s="1" t="s">
        <v>3638</v>
      </c>
      <c r="L3002" s="1">
        <v>0.60299999999999998</v>
      </c>
      <c r="M3002" s="1">
        <v>0.77900000000000003</v>
      </c>
      <c r="N3002">
        <v>1</v>
      </c>
      <c r="O3002" s="1">
        <v>-5.5919999999999996</v>
      </c>
      <c r="P3002">
        <v>0</v>
      </c>
      <c r="Q3002" s="1">
        <v>0.437</v>
      </c>
      <c r="R3002" s="1">
        <v>0.14599999999999999</v>
      </c>
      <c r="S3002" s="1">
        <v>0</v>
      </c>
      <c r="T3002" s="1">
        <v>0.104</v>
      </c>
      <c r="U3002" s="1">
        <v>0.36899999999999999</v>
      </c>
      <c r="V3002" s="1">
        <v>111.033</v>
      </c>
      <c r="W3002">
        <v>4</v>
      </c>
    </row>
    <row r="3003" spans="1:23" x14ac:dyDescent="0.25">
      <c r="A3003" s="1" t="s">
        <v>20100</v>
      </c>
      <c r="B3003" s="1" t="s">
        <v>15408</v>
      </c>
      <c r="C3003" s="1" t="s">
        <v>7779</v>
      </c>
      <c r="D3003" s="1" t="s">
        <v>20101</v>
      </c>
      <c r="E3003" s="1" t="s">
        <v>3637</v>
      </c>
      <c r="F3003" s="1" t="s">
        <v>13644</v>
      </c>
      <c r="G3003">
        <v>190546</v>
      </c>
      <c r="H3003">
        <v>61</v>
      </c>
      <c r="I3003" s="1" t="s">
        <v>11063</v>
      </c>
      <c r="J3003" s="11">
        <v>44729.706458333334</v>
      </c>
      <c r="K3003" s="1" t="s">
        <v>3638</v>
      </c>
      <c r="L3003" s="1">
        <v>0.67500000000000004</v>
      </c>
      <c r="M3003" s="1">
        <v>0.72</v>
      </c>
      <c r="N3003">
        <v>1</v>
      </c>
      <c r="O3003" s="1">
        <v>-4.7679999999999998</v>
      </c>
      <c r="P3003">
        <v>0</v>
      </c>
      <c r="Q3003" s="1">
        <v>0.21</v>
      </c>
      <c r="R3003" s="1">
        <v>0.33</v>
      </c>
      <c r="S3003" s="1">
        <v>0.13</v>
      </c>
      <c r="T3003" s="1">
        <v>0.311</v>
      </c>
      <c r="U3003" s="1">
        <v>0.59299999999999997</v>
      </c>
      <c r="V3003" s="1">
        <v>168.03899999999999</v>
      </c>
      <c r="W3003">
        <v>4</v>
      </c>
    </row>
    <row r="3004" spans="1:23" x14ac:dyDescent="0.25">
      <c r="A3004" s="1" t="s">
        <v>20102</v>
      </c>
      <c r="B3004" s="1" t="s">
        <v>20103</v>
      </c>
      <c r="C3004" s="1" t="s">
        <v>7780</v>
      </c>
      <c r="D3004" s="1" t="s">
        <v>20104</v>
      </c>
      <c r="E3004" s="1" t="s">
        <v>7781</v>
      </c>
      <c r="F3004" s="1" t="s">
        <v>15346</v>
      </c>
      <c r="G3004">
        <v>227026</v>
      </c>
      <c r="H3004">
        <v>52</v>
      </c>
      <c r="I3004" s="1" t="s">
        <v>11063</v>
      </c>
      <c r="J3004" s="11">
        <v>44729.706458333334</v>
      </c>
      <c r="K3004" s="1" t="s">
        <v>7782</v>
      </c>
      <c r="L3004" s="1">
        <v>0.65800000000000003</v>
      </c>
      <c r="M3004" s="1">
        <v>0.70599999999999996</v>
      </c>
      <c r="N3004">
        <v>5</v>
      </c>
      <c r="O3004" s="1">
        <v>-5.3470000000000004</v>
      </c>
      <c r="P3004">
        <v>1</v>
      </c>
      <c r="Q3004" s="1">
        <v>0.30399999999999999</v>
      </c>
      <c r="R3004" s="1">
        <v>0.625</v>
      </c>
      <c r="S3004" s="1">
        <v>0</v>
      </c>
      <c r="T3004" s="1">
        <v>0.106</v>
      </c>
      <c r="U3004" s="1">
        <v>0.42699999999999999</v>
      </c>
      <c r="V3004" s="1">
        <v>98.966999999999999</v>
      </c>
      <c r="W3004">
        <v>4</v>
      </c>
    </row>
    <row r="3005" spans="1:23" x14ac:dyDescent="0.25">
      <c r="A3005" s="1" t="s">
        <v>20105</v>
      </c>
      <c r="B3005" s="1" t="s">
        <v>20106</v>
      </c>
      <c r="C3005" s="1" t="s">
        <v>7783</v>
      </c>
      <c r="D3005" s="1" t="s">
        <v>5486</v>
      </c>
      <c r="E3005" s="1" t="s">
        <v>7784</v>
      </c>
      <c r="F3005" s="1" t="s">
        <v>11319</v>
      </c>
      <c r="G3005">
        <v>240586</v>
      </c>
      <c r="H3005">
        <v>46</v>
      </c>
      <c r="I3005" s="1" t="s">
        <v>11063</v>
      </c>
      <c r="J3005" s="11">
        <v>44729.706458333334</v>
      </c>
      <c r="K3005" s="1" t="s">
        <v>7785</v>
      </c>
      <c r="L3005" s="1">
        <v>0.4</v>
      </c>
      <c r="M3005" s="1">
        <v>0.31900000000000001</v>
      </c>
      <c r="N3005">
        <v>6</v>
      </c>
      <c r="O3005" s="1">
        <v>-11.121</v>
      </c>
      <c r="P3005">
        <v>1</v>
      </c>
      <c r="Q3005" s="1">
        <v>0.22700000000000001</v>
      </c>
      <c r="R3005" s="1">
        <v>0.432</v>
      </c>
      <c r="S3005" s="1">
        <v>0</v>
      </c>
      <c r="T3005" s="1">
        <v>0.373</v>
      </c>
      <c r="U3005" s="1">
        <v>0.51</v>
      </c>
      <c r="V3005" s="1">
        <v>63.716000000000001</v>
      </c>
      <c r="W3005">
        <v>4</v>
      </c>
    </row>
    <row r="3006" spans="1:23" x14ac:dyDescent="0.25">
      <c r="A3006" s="1" t="s">
        <v>20107</v>
      </c>
      <c r="B3006" s="1" t="s">
        <v>20108</v>
      </c>
      <c r="C3006" s="1" t="s">
        <v>7786</v>
      </c>
      <c r="D3006" s="1" t="s">
        <v>7786</v>
      </c>
      <c r="E3006" s="1" t="s">
        <v>7787</v>
      </c>
      <c r="F3006" s="1" t="s">
        <v>11630</v>
      </c>
      <c r="G3006">
        <v>199280</v>
      </c>
      <c r="H3006">
        <v>47</v>
      </c>
      <c r="I3006" s="1" t="s">
        <v>11063</v>
      </c>
      <c r="J3006" s="11">
        <v>44729.706458333334</v>
      </c>
      <c r="K3006" s="1" t="s">
        <v>7788</v>
      </c>
      <c r="L3006" s="1">
        <v>0.71699999999999997</v>
      </c>
      <c r="M3006" s="1">
        <v>0.66800000000000004</v>
      </c>
      <c r="N3006">
        <v>6</v>
      </c>
      <c r="O3006" s="1">
        <v>-4.8449999999999998</v>
      </c>
      <c r="P3006">
        <v>0</v>
      </c>
      <c r="Q3006" s="1">
        <v>0.69299999999999995</v>
      </c>
      <c r="R3006" s="1">
        <v>0.20100000000000001</v>
      </c>
      <c r="S3006" s="1">
        <v>0</v>
      </c>
      <c r="T3006" s="1">
        <v>0.51300000000000001</v>
      </c>
      <c r="U3006" s="1">
        <v>0.93600000000000005</v>
      </c>
      <c r="V3006" s="1">
        <v>80.02</v>
      </c>
      <c r="W3006">
        <v>4</v>
      </c>
    </row>
    <row r="3007" spans="1:23" x14ac:dyDescent="0.25">
      <c r="A3007" s="1" t="s">
        <v>20109</v>
      </c>
      <c r="B3007" s="1" t="s">
        <v>13483</v>
      </c>
      <c r="C3007" s="1" t="s">
        <v>7789</v>
      </c>
      <c r="D3007" s="1" t="s">
        <v>20110</v>
      </c>
      <c r="E3007" s="1" t="s">
        <v>1948</v>
      </c>
      <c r="F3007" s="1" t="s">
        <v>13866</v>
      </c>
      <c r="G3007">
        <v>256712</v>
      </c>
      <c r="H3007">
        <v>43</v>
      </c>
      <c r="I3007" s="1" t="s">
        <v>11063</v>
      </c>
      <c r="J3007" s="11">
        <v>44729.706458333334</v>
      </c>
      <c r="K3007" s="1" t="s">
        <v>1949</v>
      </c>
      <c r="L3007" s="1">
        <v>0.57999999999999996</v>
      </c>
      <c r="M3007" s="1">
        <v>0.65</v>
      </c>
      <c r="N3007">
        <v>0</v>
      </c>
      <c r="O3007" s="1">
        <v>-5.3609999999999998</v>
      </c>
      <c r="P3007">
        <v>0</v>
      </c>
      <c r="Q3007" s="1">
        <v>0.32900000000000001</v>
      </c>
      <c r="R3007" s="1">
        <v>0.38</v>
      </c>
      <c r="S3007" s="1">
        <v>0.318</v>
      </c>
      <c r="T3007" s="1">
        <v>0.17</v>
      </c>
      <c r="U3007" s="1">
        <v>0.19400000000000001</v>
      </c>
      <c r="V3007" s="1">
        <v>112.021</v>
      </c>
      <c r="W3007">
        <v>4</v>
      </c>
    </row>
    <row r="3008" spans="1:23" x14ac:dyDescent="0.25">
      <c r="A3008" s="1" t="s">
        <v>20111</v>
      </c>
      <c r="B3008" s="1" t="s">
        <v>13483</v>
      </c>
      <c r="C3008" s="1" t="s">
        <v>7790</v>
      </c>
      <c r="D3008" s="1" t="s">
        <v>20112</v>
      </c>
      <c r="E3008" s="1" t="s">
        <v>1948</v>
      </c>
      <c r="F3008" s="1" t="s">
        <v>15956</v>
      </c>
      <c r="G3008">
        <v>199221</v>
      </c>
      <c r="H3008">
        <v>35</v>
      </c>
      <c r="I3008" s="1" t="s">
        <v>11063</v>
      </c>
      <c r="J3008" s="11">
        <v>44729.706458333334</v>
      </c>
      <c r="K3008" s="1" t="s">
        <v>1949</v>
      </c>
      <c r="L3008" s="1">
        <v>0.58499999999999996</v>
      </c>
      <c r="M3008" s="1">
        <v>0.61899999999999999</v>
      </c>
      <c r="N3008">
        <v>8</v>
      </c>
      <c r="O3008" s="1">
        <v>-6.6429999999999998</v>
      </c>
      <c r="P3008">
        <v>1</v>
      </c>
      <c r="Q3008" s="1">
        <v>0.28599999999999998</v>
      </c>
      <c r="R3008" s="1">
        <v>0.82399999999999995</v>
      </c>
      <c r="S3008" s="1">
        <v>0.25700000000000001</v>
      </c>
      <c r="T3008" s="1">
        <v>0.996</v>
      </c>
      <c r="U3008" s="1">
        <v>0.33700000000000002</v>
      </c>
      <c r="V3008" s="1">
        <v>100.045</v>
      </c>
      <c r="W3008">
        <v>4</v>
      </c>
    </row>
    <row r="3009" spans="1:23" x14ac:dyDescent="0.25">
      <c r="A3009" s="1" t="s">
        <v>20113</v>
      </c>
      <c r="B3009" s="1" t="s">
        <v>13483</v>
      </c>
      <c r="C3009" s="1" t="s">
        <v>7791</v>
      </c>
      <c r="D3009" s="1" t="s">
        <v>7791</v>
      </c>
      <c r="E3009" s="1" t="s">
        <v>1948</v>
      </c>
      <c r="F3009" s="1" t="s">
        <v>11754</v>
      </c>
      <c r="G3009">
        <v>244940</v>
      </c>
      <c r="H3009">
        <v>44</v>
      </c>
      <c r="I3009" s="1" t="s">
        <v>11063</v>
      </c>
      <c r="J3009" s="11">
        <v>44729.706458333334</v>
      </c>
      <c r="K3009" s="1" t="s">
        <v>1949</v>
      </c>
      <c r="L3009" s="1">
        <v>0.47199999999999998</v>
      </c>
      <c r="M3009" s="1">
        <v>0.67900000000000005</v>
      </c>
      <c r="N3009">
        <v>9</v>
      </c>
      <c r="O3009" s="1">
        <v>-6.0890000000000004</v>
      </c>
      <c r="P3009">
        <v>0</v>
      </c>
      <c r="Q3009" s="1">
        <v>0.16300000000000001</v>
      </c>
      <c r="R3009" s="1">
        <v>0.126</v>
      </c>
      <c r="S3009" s="1">
        <v>0</v>
      </c>
      <c r="T3009" s="1">
        <v>0.10199999999999999</v>
      </c>
      <c r="U3009" s="1">
        <v>0.311</v>
      </c>
      <c r="V3009" s="1">
        <v>129.97999999999999</v>
      </c>
      <c r="W3009">
        <v>4</v>
      </c>
    </row>
    <row r="3010" spans="1:23" x14ac:dyDescent="0.25">
      <c r="A3010" s="1" t="s">
        <v>20114</v>
      </c>
      <c r="B3010" s="1" t="s">
        <v>13483</v>
      </c>
      <c r="C3010" s="1" t="s">
        <v>2688</v>
      </c>
      <c r="D3010" s="1" t="s">
        <v>20110</v>
      </c>
      <c r="E3010" s="1" t="s">
        <v>1948</v>
      </c>
      <c r="F3010" s="1" t="s">
        <v>13866</v>
      </c>
      <c r="G3010">
        <v>208262</v>
      </c>
      <c r="H3010">
        <v>50</v>
      </c>
      <c r="I3010" s="1" t="s">
        <v>11063</v>
      </c>
      <c r="J3010" s="11">
        <v>44729.706458333334</v>
      </c>
      <c r="K3010" s="1" t="s">
        <v>1949</v>
      </c>
      <c r="L3010" s="1">
        <v>0.57399999999999995</v>
      </c>
      <c r="M3010" s="1">
        <v>0.58099999999999996</v>
      </c>
      <c r="N3010">
        <v>9</v>
      </c>
      <c r="O3010" s="1">
        <v>-7.99</v>
      </c>
      <c r="P3010">
        <v>0</v>
      </c>
      <c r="Q3010" s="1">
        <v>0.38700000000000001</v>
      </c>
      <c r="R3010" s="1">
        <v>0.109</v>
      </c>
      <c r="S3010" s="1">
        <v>0.37</v>
      </c>
      <c r="T3010" s="1">
        <v>0.14599999999999999</v>
      </c>
      <c r="U3010" s="1">
        <v>0.30399999999999999</v>
      </c>
      <c r="V3010" s="1">
        <v>76.981999999999999</v>
      </c>
      <c r="W3010">
        <v>4</v>
      </c>
    </row>
    <row r="3011" spans="1:23" x14ac:dyDescent="0.25">
      <c r="A3011" s="1" t="s">
        <v>20115</v>
      </c>
      <c r="B3011" s="1" t="s">
        <v>20116</v>
      </c>
      <c r="C3011" s="1" t="s">
        <v>7792</v>
      </c>
      <c r="D3011" s="1" t="s">
        <v>7792</v>
      </c>
      <c r="E3011" s="1" t="s">
        <v>7793</v>
      </c>
      <c r="F3011" s="1" t="s">
        <v>11437</v>
      </c>
      <c r="G3011">
        <v>247426</v>
      </c>
      <c r="H3011">
        <v>0</v>
      </c>
      <c r="I3011" s="1" t="s">
        <v>11063</v>
      </c>
      <c r="J3011" s="11">
        <v>44729.706458333334</v>
      </c>
      <c r="K3011" s="1" t="s">
        <v>7794</v>
      </c>
      <c r="L3011" s="1">
        <v>0.626</v>
      </c>
      <c r="M3011" s="1">
        <v>0.71699999999999997</v>
      </c>
      <c r="N3011">
        <v>8</v>
      </c>
      <c r="O3011" s="1">
        <v>-5.7510000000000003</v>
      </c>
      <c r="P3011">
        <v>0</v>
      </c>
      <c r="Q3011" s="1">
        <v>0.375</v>
      </c>
      <c r="R3011" s="1">
        <v>0.17</v>
      </c>
      <c r="S3011" s="1">
        <v>0</v>
      </c>
      <c r="T3011" s="1">
        <v>0.26100000000000001</v>
      </c>
      <c r="U3011" s="1">
        <v>0.56000000000000005</v>
      </c>
      <c r="V3011" s="1">
        <v>105.039</v>
      </c>
      <c r="W3011">
        <v>4</v>
      </c>
    </row>
    <row r="3012" spans="1:23" x14ac:dyDescent="0.25">
      <c r="A3012" s="1" t="s">
        <v>20117</v>
      </c>
      <c r="B3012" s="1" t="s">
        <v>20118</v>
      </c>
      <c r="C3012" s="1" t="s">
        <v>7580</v>
      </c>
      <c r="D3012" s="1" t="s">
        <v>7580</v>
      </c>
      <c r="E3012" s="1" t="s">
        <v>7795</v>
      </c>
      <c r="F3012" s="1" t="s">
        <v>13973</v>
      </c>
      <c r="G3012">
        <v>231834</v>
      </c>
      <c r="H3012">
        <v>36</v>
      </c>
      <c r="I3012" s="1" t="s">
        <v>11063</v>
      </c>
      <c r="J3012" s="11">
        <v>44729.706458333334</v>
      </c>
      <c r="K3012" s="1" t="s">
        <v>3233</v>
      </c>
      <c r="L3012" s="1">
        <v>0.46300000000000002</v>
      </c>
      <c r="M3012" s="1">
        <v>0.71</v>
      </c>
      <c r="N3012">
        <v>10</v>
      </c>
      <c r="O3012" s="1">
        <v>-5.9459999999999997</v>
      </c>
      <c r="P3012">
        <v>1</v>
      </c>
      <c r="Q3012" s="1">
        <v>0.55600000000000005</v>
      </c>
      <c r="R3012" s="1">
        <v>0.18099999999999999</v>
      </c>
      <c r="S3012" s="1">
        <v>0.113</v>
      </c>
      <c r="T3012" s="1">
        <v>0.125</v>
      </c>
      <c r="U3012" s="1">
        <v>0.23699999999999999</v>
      </c>
      <c r="V3012" s="1">
        <v>156.01900000000001</v>
      </c>
      <c r="W3012">
        <v>4</v>
      </c>
    </row>
    <row r="3013" spans="1:23" x14ac:dyDescent="0.25">
      <c r="A3013" s="1" t="s">
        <v>20119</v>
      </c>
      <c r="B3013" s="1" t="s">
        <v>20118</v>
      </c>
      <c r="C3013" s="1" t="s">
        <v>7796</v>
      </c>
      <c r="D3013" s="1" t="s">
        <v>7796</v>
      </c>
      <c r="E3013" s="1" t="s">
        <v>7795</v>
      </c>
      <c r="F3013" s="1" t="s">
        <v>11340</v>
      </c>
      <c r="G3013">
        <v>220236</v>
      </c>
      <c r="H3013">
        <v>43</v>
      </c>
      <c r="I3013" s="1" t="s">
        <v>11063</v>
      </c>
      <c r="J3013" s="11">
        <v>44729.706458333334</v>
      </c>
      <c r="K3013" s="1" t="s">
        <v>3233</v>
      </c>
      <c r="L3013" s="1">
        <v>0.61799999999999999</v>
      </c>
      <c r="M3013" s="1">
        <v>0.36599999999999999</v>
      </c>
      <c r="N3013">
        <v>7</v>
      </c>
      <c r="O3013" s="1">
        <v>-6.7249999999999996</v>
      </c>
      <c r="P3013">
        <v>1</v>
      </c>
      <c r="Q3013" s="1">
        <v>0.39700000000000002</v>
      </c>
      <c r="R3013" s="1">
        <v>0.23799999999999999</v>
      </c>
      <c r="S3013" s="1">
        <v>0.21199999999999999</v>
      </c>
      <c r="T3013" s="1">
        <v>0.122</v>
      </c>
      <c r="U3013" s="1">
        <v>0.14899999999999999</v>
      </c>
      <c r="V3013" s="1">
        <v>93.948999999999998</v>
      </c>
      <c r="W3013">
        <v>4</v>
      </c>
    </row>
    <row r="3014" spans="1:23" x14ac:dyDescent="0.25">
      <c r="A3014" s="1" t="s">
        <v>20120</v>
      </c>
      <c r="B3014" s="1" t="s">
        <v>15062</v>
      </c>
      <c r="C3014" s="1" t="s">
        <v>7797</v>
      </c>
      <c r="D3014" s="1" t="s">
        <v>7797</v>
      </c>
      <c r="E3014" s="1" t="s">
        <v>3328</v>
      </c>
      <c r="F3014" s="1" t="s">
        <v>20121</v>
      </c>
      <c r="G3014">
        <v>215106</v>
      </c>
      <c r="H3014">
        <v>0</v>
      </c>
      <c r="I3014" s="1" t="s">
        <v>11063</v>
      </c>
      <c r="J3014" s="11">
        <v>44729.706458333334</v>
      </c>
      <c r="K3014" s="1" t="s">
        <v>3233</v>
      </c>
      <c r="L3014" s="1">
        <v>0.60699999999999998</v>
      </c>
      <c r="M3014" s="1">
        <v>0.55000000000000004</v>
      </c>
      <c r="N3014">
        <v>3</v>
      </c>
      <c r="O3014" s="1">
        <v>-6.2779999999999996</v>
      </c>
      <c r="P3014">
        <v>0</v>
      </c>
      <c r="Q3014" s="1">
        <v>0.435</v>
      </c>
      <c r="R3014" s="1">
        <v>0.78500000000000003</v>
      </c>
      <c r="S3014" s="1">
        <v>0</v>
      </c>
      <c r="T3014" s="1">
        <v>0.10100000000000001</v>
      </c>
      <c r="U3014" s="1">
        <v>0.85699999999999998</v>
      </c>
      <c r="V3014" s="1">
        <v>124.861</v>
      </c>
      <c r="W3014">
        <v>4</v>
      </c>
    </row>
    <row r="3015" spans="1:23" x14ac:dyDescent="0.25">
      <c r="A3015" s="1" t="s">
        <v>20122</v>
      </c>
      <c r="B3015" s="1" t="s">
        <v>20123</v>
      </c>
      <c r="C3015" s="1" t="s">
        <v>5687</v>
      </c>
      <c r="D3015" s="1" t="s">
        <v>5687</v>
      </c>
      <c r="E3015" s="1" t="s">
        <v>7798</v>
      </c>
      <c r="F3015" s="1" t="s">
        <v>15395</v>
      </c>
      <c r="G3015">
        <v>205617</v>
      </c>
      <c r="H3015">
        <v>37</v>
      </c>
      <c r="I3015" s="1" t="s">
        <v>11063</v>
      </c>
      <c r="J3015" s="11">
        <v>44729.706458333334</v>
      </c>
      <c r="K3015" s="1" t="s">
        <v>7799</v>
      </c>
      <c r="L3015" s="1">
        <v>0.38600000000000001</v>
      </c>
      <c r="M3015" s="1">
        <v>0.71399999999999997</v>
      </c>
      <c r="N3015">
        <v>6</v>
      </c>
      <c r="O3015" s="1">
        <v>-5.5970000000000004</v>
      </c>
      <c r="P3015">
        <v>0</v>
      </c>
      <c r="Q3015" s="1">
        <v>0.38100000000000001</v>
      </c>
      <c r="R3015" s="1">
        <v>0.26300000000000001</v>
      </c>
      <c r="S3015" s="1">
        <v>0</v>
      </c>
      <c r="T3015" s="1">
        <v>0.23300000000000001</v>
      </c>
      <c r="U3015" s="1">
        <v>0.28899999999999998</v>
      </c>
      <c r="V3015" s="1">
        <v>89.807000000000002</v>
      </c>
      <c r="W3015">
        <v>4</v>
      </c>
    </row>
    <row r="3016" spans="1:23" x14ac:dyDescent="0.25">
      <c r="A3016" s="1" t="s">
        <v>20124</v>
      </c>
      <c r="B3016" s="1" t="s">
        <v>20125</v>
      </c>
      <c r="C3016" s="1" t="s">
        <v>7800</v>
      </c>
      <c r="D3016" s="1" t="s">
        <v>20126</v>
      </c>
      <c r="E3016" s="1" t="s">
        <v>7801</v>
      </c>
      <c r="F3016" s="1" t="s">
        <v>20127</v>
      </c>
      <c r="G3016">
        <v>264293</v>
      </c>
      <c r="H3016">
        <v>54</v>
      </c>
      <c r="I3016" s="1" t="s">
        <v>11063</v>
      </c>
      <c r="J3016" s="11">
        <v>44729.706458333334</v>
      </c>
      <c r="K3016" s="1" t="s">
        <v>7802</v>
      </c>
      <c r="L3016" s="1">
        <v>0.72699999999999998</v>
      </c>
      <c r="M3016" s="1">
        <v>0.53800000000000003</v>
      </c>
      <c r="N3016">
        <v>6</v>
      </c>
      <c r="O3016" s="1">
        <v>-9.032</v>
      </c>
      <c r="P3016">
        <v>1</v>
      </c>
      <c r="Q3016" s="1">
        <v>0.39700000000000002</v>
      </c>
      <c r="R3016" s="1">
        <v>0.30499999999999999</v>
      </c>
      <c r="S3016" s="1">
        <v>0.65100000000000002</v>
      </c>
      <c r="T3016" s="1">
        <v>0.104</v>
      </c>
      <c r="U3016" s="1">
        <v>0.6</v>
      </c>
      <c r="V3016" s="1">
        <v>123.979</v>
      </c>
      <c r="W3016">
        <v>4</v>
      </c>
    </row>
    <row r="3017" spans="1:23" x14ac:dyDescent="0.25">
      <c r="A3017" s="1" t="s">
        <v>20128</v>
      </c>
      <c r="B3017" s="1" t="s">
        <v>20129</v>
      </c>
      <c r="C3017" s="1" t="s">
        <v>7803</v>
      </c>
      <c r="D3017" s="1" t="s">
        <v>7803</v>
      </c>
      <c r="E3017" s="1" t="s">
        <v>7804</v>
      </c>
      <c r="F3017" s="1" t="s">
        <v>20130</v>
      </c>
      <c r="G3017">
        <v>210706</v>
      </c>
      <c r="H3017">
        <v>1</v>
      </c>
      <c r="I3017" s="1" t="s">
        <v>11063</v>
      </c>
      <c r="J3017" s="11">
        <v>44729.706458333334</v>
      </c>
      <c r="K3017" s="1" t="s">
        <v>6557</v>
      </c>
      <c r="L3017" s="1">
        <v>0.751</v>
      </c>
      <c r="M3017" s="1">
        <v>0.627</v>
      </c>
      <c r="N3017">
        <v>1</v>
      </c>
      <c r="O3017" s="1">
        <v>-8.2420000000000009</v>
      </c>
      <c r="P3017">
        <v>1</v>
      </c>
      <c r="Q3017" s="1">
        <v>0.308</v>
      </c>
      <c r="R3017" s="1">
        <v>0.16500000000000001</v>
      </c>
      <c r="S3017" s="1">
        <v>0.113</v>
      </c>
      <c r="T3017" s="1">
        <v>0.123</v>
      </c>
      <c r="U3017" s="1">
        <v>0.68600000000000005</v>
      </c>
      <c r="V3017" s="1">
        <v>122.005</v>
      </c>
      <c r="W3017">
        <v>4</v>
      </c>
    </row>
    <row r="3018" spans="1:23" x14ac:dyDescent="0.25">
      <c r="A3018" s="1" t="s">
        <v>11077</v>
      </c>
      <c r="B3018" s="1" t="s">
        <v>11078</v>
      </c>
      <c r="C3018" s="1" t="s">
        <v>7805</v>
      </c>
      <c r="D3018" s="1" t="s">
        <v>11079</v>
      </c>
      <c r="E3018" s="1" t="s">
        <v>7806</v>
      </c>
      <c r="F3018" s="1" t="s">
        <v>14573</v>
      </c>
      <c r="G3018">
        <v>194000</v>
      </c>
      <c r="H3018">
        <v>45</v>
      </c>
      <c r="I3018" s="1" t="s">
        <v>11063</v>
      </c>
      <c r="J3018" s="11">
        <v>44729.706458333334</v>
      </c>
      <c r="K3018" s="1" t="s">
        <v>463</v>
      </c>
      <c r="L3018" s="1">
        <v>0.69499999999999995</v>
      </c>
      <c r="M3018" s="1">
        <v>0.63800000000000001</v>
      </c>
      <c r="N3018">
        <v>11</v>
      </c>
      <c r="O3018" s="1">
        <v>-8.64</v>
      </c>
      <c r="P3018">
        <v>0</v>
      </c>
      <c r="Q3018" s="1">
        <v>0.39500000000000002</v>
      </c>
      <c r="R3018" s="1">
        <v>0.114</v>
      </c>
      <c r="S3018" s="1">
        <v>0.53200000000000003</v>
      </c>
      <c r="T3018" s="1">
        <v>0.111</v>
      </c>
      <c r="U3018" s="1">
        <v>0.44600000000000001</v>
      </c>
      <c r="V3018" s="1">
        <v>119.986</v>
      </c>
      <c r="W3018">
        <v>4</v>
      </c>
    </row>
    <row r="3019" spans="1:23" x14ac:dyDescent="0.25">
      <c r="A3019" s="1" t="s">
        <v>20131</v>
      </c>
      <c r="B3019" s="1" t="s">
        <v>20132</v>
      </c>
      <c r="C3019" s="1" t="s">
        <v>7807</v>
      </c>
      <c r="D3019" s="1" t="s">
        <v>7807</v>
      </c>
      <c r="E3019" s="1" t="s">
        <v>7808</v>
      </c>
      <c r="F3019" s="1" t="s">
        <v>13945</v>
      </c>
      <c r="G3019">
        <v>196091</v>
      </c>
      <c r="H3019">
        <v>48</v>
      </c>
      <c r="I3019" s="1" t="s">
        <v>11063</v>
      </c>
      <c r="J3019" s="11">
        <v>44729.706458333334</v>
      </c>
      <c r="K3019" s="1" t="s">
        <v>7809</v>
      </c>
      <c r="L3019" s="1">
        <v>0.71599999999999997</v>
      </c>
      <c r="M3019" s="1">
        <v>0.71299999999999997</v>
      </c>
      <c r="N3019">
        <v>8</v>
      </c>
      <c r="O3019" s="1">
        <v>-6.2460000000000004</v>
      </c>
      <c r="P3019">
        <v>1</v>
      </c>
      <c r="Q3019" s="1">
        <v>0.36499999999999999</v>
      </c>
      <c r="R3019" s="1">
        <v>0.78</v>
      </c>
      <c r="S3019" s="1">
        <v>0.33100000000000002</v>
      </c>
      <c r="T3019" s="1">
        <v>0.56299999999999994</v>
      </c>
      <c r="U3019" s="1">
        <v>0.41499999999999998</v>
      </c>
      <c r="V3019" s="1">
        <v>119.988</v>
      </c>
      <c r="W3019">
        <v>4</v>
      </c>
    </row>
    <row r="3020" spans="1:23" x14ac:dyDescent="0.25">
      <c r="A3020" s="1" t="s">
        <v>20133</v>
      </c>
      <c r="B3020" s="1" t="s">
        <v>11769</v>
      </c>
      <c r="C3020" s="1" t="s">
        <v>7810</v>
      </c>
      <c r="D3020" s="1" t="s">
        <v>20134</v>
      </c>
      <c r="E3020" s="1" t="s">
        <v>462</v>
      </c>
      <c r="F3020" s="1" t="s">
        <v>20135</v>
      </c>
      <c r="G3020">
        <v>201938</v>
      </c>
      <c r="H3020">
        <v>57</v>
      </c>
      <c r="I3020" s="1" t="s">
        <v>11063</v>
      </c>
      <c r="J3020" s="11">
        <v>44729.706458333334</v>
      </c>
      <c r="K3020" s="1" t="s">
        <v>463</v>
      </c>
      <c r="L3020" s="1">
        <v>0.83199999999999996</v>
      </c>
      <c r="M3020" s="1">
        <v>0.876</v>
      </c>
      <c r="N3020">
        <v>6</v>
      </c>
      <c r="O3020" s="1">
        <v>-5.1239999999999997</v>
      </c>
      <c r="P3020">
        <v>0</v>
      </c>
      <c r="Q3020" s="1">
        <v>0.20499999999999999</v>
      </c>
      <c r="R3020" s="1">
        <v>0.17299999999999999</v>
      </c>
      <c r="S3020" s="1">
        <v>0.73699999999999999</v>
      </c>
      <c r="T3020" s="1">
        <v>0.16200000000000001</v>
      </c>
      <c r="U3020" s="1">
        <v>0.63500000000000001</v>
      </c>
      <c r="V3020" s="1">
        <v>120.057</v>
      </c>
      <c r="W3020">
        <v>4</v>
      </c>
    </row>
    <row r="3021" spans="1:23" x14ac:dyDescent="0.25">
      <c r="A3021" s="1" t="s">
        <v>20136</v>
      </c>
      <c r="B3021" s="1" t="s">
        <v>20137</v>
      </c>
      <c r="C3021" s="1" t="s">
        <v>7811</v>
      </c>
      <c r="D3021" s="1" t="s">
        <v>20138</v>
      </c>
      <c r="E3021" s="1" t="s">
        <v>7812</v>
      </c>
      <c r="F3021" s="1" t="s">
        <v>11437</v>
      </c>
      <c r="G3021">
        <v>206960</v>
      </c>
      <c r="H3021">
        <v>64</v>
      </c>
      <c r="I3021" s="1" t="s">
        <v>11063</v>
      </c>
      <c r="J3021" s="11">
        <v>44729.706458333334</v>
      </c>
      <c r="K3021" s="1" t="s">
        <v>56</v>
      </c>
      <c r="L3021" s="1">
        <v>0.76200000000000001</v>
      </c>
      <c r="M3021" s="1">
        <v>0.82099999999999995</v>
      </c>
      <c r="N3021">
        <v>9</v>
      </c>
      <c r="O3021" s="1">
        <v>-4.17</v>
      </c>
      <c r="P3021">
        <v>0</v>
      </c>
      <c r="Q3021" s="1">
        <v>0.38900000000000001</v>
      </c>
      <c r="R3021" s="1">
        <v>0.20499999999999999</v>
      </c>
      <c r="S3021" s="1">
        <v>0.41899999999999998</v>
      </c>
      <c r="T3021" s="1">
        <v>0.25900000000000001</v>
      </c>
      <c r="U3021" s="1">
        <v>0.76900000000000002</v>
      </c>
      <c r="V3021" s="1">
        <v>122.999</v>
      </c>
      <c r="W3021">
        <v>4</v>
      </c>
    </row>
    <row r="3022" spans="1:23" x14ac:dyDescent="0.25">
      <c r="A3022" s="1" t="s">
        <v>20139</v>
      </c>
      <c r="B3022" s="1" t="s">
        <v>20140</v>
      </c>
      <c r="C3022" s="1" t="s">
        <v>7813</v>
      </c>
      <c r="D3022" s="1" t="s">
        <v>20138</v>
      </c>
      <c r="E3022" s="1" t="s">
        <v>7814</v>
      </c>
      <c r="F3022" s="1" t="s">
        <v>11437</v>
      </c>
      <c r="G3022">
        <v>184986</v>
      </c>
      <c r="H3022">
        <v>61</v>
      </c>
      <c r="I3022" s="1" t="s">
        <v>11063</v>
      </c>
      <c r="J3022" s="11">
        <v>44729.706458333334</v>
      </c>
      <c r="K3022" s="1" t="s">
        <v>7815</v>
      </c>
      <c r="L3022" s="1">
        <v>0.74299999999999999</v>
      </c>
      <c r="M3022" s="1">
        <v>0.73599999999999999</v>
      </c>
      <c r="N3022">
        <v>2</v>
      </c>
      <c r="O3022" s="1">
        <v>-4.8490000000000002</v>
      </c>
      <c r="P3022">
        <v>1</v>
      </c>
      <c r="Q3022" s="1">
        <v>0.628</v>
      </c>
      <c r="R3022" s="1">
        <v>0.65200000000000002</v>
      </c>
      <c r="S3022" s="1">
        <v>0.78</v>
      </c>
      <c r="T3022" s="1">
        <v>0.12</v>
      </c>
      <c r="U3022" s="1">
        <v>0.60499999999999998</v>
      </c>
      <c r="V3022" s="1">
        <v>119.98099999999999</v>
      </c>
      <c r="W3022">
        <v>4</v>
      </c>
    </row>
    <row r="3023" spans="1:23" x14ac:dyDescent="0.25">
      <c r="A3023" s="1" t="s">
        <v>20141</v>
      </c>
      <c r="B3023" s="1" t="s">
        <v>20142</v>
      </c>
      <c r="C3023" s="1" t="s">
        <v>7816</v>
      </c>
      <c r="D3023" s="1" t="s">
        <v>20138</v>
      </c>
      <c r="E3023" s="1" t="s">
        <v>7817</v>
      </c>
      <c r="F3023" s="1" t="s">
        <v>11437</v>
      </c>
      <c r="G3023">
        <v>195546</v>
      </c>
      <c r="H3023">
        <v>78</v>
      </c>
      <c r="I3023" s="1" t="s">
        <v>11063</v>
      </c>
      <c r="J3023" s="11">
        <v>44729.706458333334</v>
      </c>
      <c r="K3023" s="1" t="s">
        <v>7818</v>
      </c>
      <c r="L3023" s="1">
        <v>0.79200000000000004</v>
      </c>
      <c r="M3023" s="1">
        <v>0.71699999999999997</v>
      </c>
      <c r="N3023">
        <v>0</v>
      </c>
      <c r="O3023" s="1">
        <v>-4.7590000000000003</v>
      </c>
      <c r="P3023">
        <v>0</v>
      </c>
      <c r="Q3023" s="1">
        <v>0.39300000000000002</v>
      </c>
      <c r="R3023" s="1">
        <v>0.92700000000000005</v>
      </c>
      <c r="S3023" s="1">
        <v>0.35899999999999999</v>
      </c>
      <c r="T3023" s="1">
        <v>0.22600000000000001</v>
      </c>
      <c r="U3023" s="1">
        <v>0.46600000000000003</v>
      </c>
      <c r="V3023" s="1">
        <v>121.985</v>
      </c>
      <c r="W3023">
        <v>4</v>
      </c>
    </row>
    <row r="3024" spans="1:23" x14ac:dyDescent="0.25">
      <c r="A3024" s="1" t="s">
        <v>20143</v>
      </c>
      <c r="B3024" s="1" t="s">
        <v>20144</v>
      </c>
      <c r="C3024" s="1" t="s">
        <v>7819</v>
      </c>
      <c r="D3024" s="1" t="s">
        <v>20145</v>
      </c>
      <c r="E3024" s="1" t="s">
        <v>7820</v>
      </c>
      <c r="F3024" s="1" t="s">
        <v>16150</v>
      </c>
      <c r="G3024">
        <v>186146</v>
      </c>
      <c r="H3024">
        <v>73</v>
      </c>
      <c r="I3024" s="1" t="s">
        <v>11063</v>
      </c>
      <c r="J3024" s="11">
        <v>44729.706458333334</v>
      </c>
      <c r="K3024" s="1" t="s">
        <v>7821</v>
      </c>
      <c r="L3024" s="1">
        <v>0.77800000000000002</v>
      </c>
      <c r="M3024" s="1">
        <v>0.56599999999999995</v>
      </c>
      <c r="N3024">
        <v>2</v>
      </c>
      <c r="O3024" s="1">
        <v>-6.9589999999999996</v>
      </c>
      <c r="P3024">
        <v>0</v>
      </c>
      <c r="Q3024" s="1">
        <v>0.311</v>
      </c>
      <c r="R3024" s="1">
        <v>0.67200000000000004</v>
      </c>
      <c r="S3024" s="1">
        <v>0.19700000000000001</v>
      </c>
      <c r="T3024" s="1">
        <v>0.69799999999999995</v>
      </c>
      <c r="U3024" s="1">
        <v>0.47899999999999998</v>
      </c>
      <c r="V3024" s="1">
        <v>117.971</v>
      </c>
      <c r="W3024">
        <v>4</v>
      </c>
    </row>
    <row r="3025" spans="1:23" x14ac:dyDescent="0.25">
      <c r="A3025" s="1" t="s">
        <v>20146</v>
      </c>
      <c r="B3025" s="1" t="s">
        <v>20147</v>
      </c>
      <c r="C3025" s="1" t="s">
        <v>7822</v>
      </c>
      <c r="D3025" s="1" t="s">
        <v>20148</v>
      </c>
      <c r="E3025" s="1" t="s">
        <v>7823</v>
      </c>
      <c r="F3025" s="1" t="s">
        <v>11704</v>
      </c>
      <c r="G3025">
        <v>180565</v>
      </c>
      <c r="H3025">
        <v>78</v>
      </c>
      <c r="I3025" s="1" t="s">
        <v>11063</v>
      </c>
      <c r="J3025" s="11">
        <v>44729.706458333334</v>
      </c>
      <c r="K3025" s="1" t="s">
        <v>7824</v>
      </c>
      <c r="L3025" s="1">
        <v>0.78200000000000003</v>
      </c>
      <c r="M3025" s="1">
        <v>0.68500000000000005</v>
      </c>
      <c r="N3025">
        <v>4</v>
      </c>
      <c r="O3025" s="1">
        <v>-6.2370000000000001</v>
      </c>
      <c r="P3025">
        <v>1</v>
      </c>
      <c r="Q3025" s="1">
        <v>0.309</v>
      </c>
      <c r="R3025" s="1">
        <v>0.16600000000000001</v>
      </c>
      <c r="S3025" s="1">
        <v>0.11799999999999999</v>
      </c>
      <c r="T3025" s="1">
        <v>0.16</v>
      </c>
      <c r="U3025" s="1">
        <v>0.60299999999999998</v>
      </c>
      <c r="V3025" s="1">
        <v>118.01600000000001</v>
      </c>
      <c r="W3025">
        <v>4</v>
      </c>
    </row>
    <row r="3026" spans="1:23" x14ac:dyDescent="0.25">
      <c r="A3026" s="1" t="s">
        <v>20149</v>
      </c>
      <c r="B3026" s="1" t="s">
        <v>20150</v>
      </c>
      <c r="C3026" s="1" t="s">
        <v>7825</v>
      </c>
      <c r="D3026" s="1" t="s">
        <v>7825</v>
      </c>
      <c r="E3026" s="1" t="s">
        <v>7826</v>
      </c>
      <c r="F3026" s="1" t="s">
        <v>20151</v>
      </c>
      <c r="G3026">
        <v>321649</v>
      </c>
      <c r="H3026">
        <v>67</v>
      </c>
      <c r="I3026" s="1" t="s">
        <v>11063</v>
      </c>
      <c r="J3026" s="11">
        <v>44729.706458333334</v>
      </c>
      <c r="K3026" s="1" t="s">
        <v>7827</v>
      </c>
      <c r="L3026" s="1">
        <v>0.80500000000000005</v>
      </c>
      <c r="M3026" s="1">
        <v>0.85799999999999998</v>
      </c>
      <c r="N3026">
        <v>0</v>
      </c>
      <c r="O3026" s="1">
        <v>-3.0670000000000002</v>
      </c>
      <c r="P3026">
        <v>1</v>
      </c>
      <c r="Q3026" s="1">
        <v>0.105</v>
      </c>
      <c r="R3026" s="1">
        <v>0.19400000000000001</v>
      </c>
      <c r="S3026" s="1">
        <v>0.78900000000000003</v>
      </c>
      <c r="T3026" s="1">
        <v>0.25600000000000001</v>
      </c>
      <c r="U3026" s="1">
        <v>0.52300000000000002</v>
      </c>
      <c r="V3026" s="1">
        <v>97.033000000000001</v>
      </c>
      <c r="W3026">
        <v>4</v>
      </c>
    </row>
    <row r="3027" spans="1:23" x14ac:dyDescent="0.25">
      <c r="A3027" s="1" t="s">
        <v>20152</v>
      </c>
      <c r="B3027" s="1" t="s">
        <v>20153</v>
      </c>
      <c r="C3027" s="1" t="s">
        <v>7828</v>
      </c>
      <c r="D3027" s="1" t="s">
        <v>19384</v>
      </c>
      <c r="E3027" s="1" t="s">
        <v>7829</v>
      </c>
      <c r="F3027" s="1" t="s">
        <v>16694</v>
      </c>
      <c r="G3027">
        <v>167438</v>
      </c>
      <c r="H3027">
        <v>36</v>
      </c>
      <c r="I3027" s="1" t="s">
        <v>11063</v>
      </c>
      <c r="J3027" s="11">
        <v>44729.706458333334</v>
      </c>
      <c r="K3027" s="1" t="s">
        <v>7830</v>
      </c>
      <c r="L3027" s="1">
        <v>0.58799999999999997</v>
      </c>
      <c r="M3027" s="1">
        <v>0.83399999999999996</v>
      </c>
      <c r="N3027">
        <v>11</v>
      </c>
      <c r="O3027" s="1">
        <v>-4.5579999999999998</v>
      </c>
      <c r="P3027">
        <v>1</v>
      </c>
      <c r="Q3027" s="1">
        <v>0.55900000000000005</v>
      </c>
      <c r="R3027" s="1">
        <v>0.14799999999999999</v>
      </c>
      <c r="S3027" s="1">
        <v>0</v>
      </c>
      <c r="T3027" s="1">
        <v>0.23699999999999999</v>
      </c>
      <c r="U3027" s="1">
        <v>0.65900000000000003</v>
      </c>
      <c r="V3027" s="1">
        <v>167.96100000000001</v>
      </c>
      <c r="W3027">
        <v>4</v>
      </c>
    </row>
    <row r="3028" spans="1:23" x14ac:dyDescent="0.25">
      <c r="A3028" s="1" t="s">
        <v>20154</v>
      </c>
      <c r="B3028" s="1" t="s">
        <v>20155</v>
      </c>
      <c r="C3028" s="1" t="s">
        <v>7831</v>
      </c>
      <c r="D3028" s="1" t="s">
        <v>7831</v>
      </c>
      <c r="E3028" s="1" t="s">
        <v>7832</v>
      </c>
      <c r="F3028" s="1" t="s">
        <v>20156</v>
      </c>
      <c r="G3028">
        <v>211200</v>
      </c>
      <c r="H3028">
        <v>53</v>
      </c>
      <c r="I3028" s="1" t="s">
        <v>11063</v>
      </c>
      <c r="J3028" s="11">
        <v>44729.706458333334</v>
      </c>
      <c r="K3028" s="1" t="s">
        <v>7833</v>
      </c>
      <c r="L3028" s="1">
        <v>0.60099999999999998</v>
      </c>
      <c r="M3028" s="1">
        <v>0.68200000000000005</v>
      </c>
      <c r="N3028">
        <v>10</v>
      </c>
      <c r="O3028" s="1">
        <v>-5.9050000000000002</v>
      </c>
      <c r="P3028">
        <v>1</v>
      </c>
      <c r="Q3028" s="1">
        <v>0.33800000000000002</v>
      </c>
      <c r="R3028" s="1">
        <v>0.85599999999999998</v>
      </c>
      <c r="S3028" s="1">
        <v>0.38400000000000001</v>
      </c>
      <c r="T3028" s="1">
        <v>0.13200000000000001</v>
      </c>
      <c r="U3028" s="1">
        <v>0.17</v>
      </c>
      <c r="V3028" s="1">
        <v>94.998999999999995</v>
      </c>
      <c r="W3028">
        <v>4</v>
      </c>
    </row>
    <row r="3029" spans="1:23" x14ac:dyDescent="0.25">
      <c r="A3029" s="1" t="s">
        <v>20157</v>
      </c>
      <c r="B3029" s="1" t="s">
        <v>20158</v>
      </c>
      <c r="C3029" s="1" t="s">
        <v>7834</v>
      </c>
      <c r="D3029" s="1" t="s">
        <v>19384</v>
      </c>
      <c r="E3029" s="1" t="s">
        <v>7835</v>
      </c>
      <c r="F3029" s="1" t="s">
        <v>16694</v>
      </c>
      <c r="G3029">
        <v>224271</v>
      </c>
      <c r="H3029">
        <v>46</v>
      </c>
      <c r="I3029" s="1" t="s">
        <v>11063</v>
      </c>
      <c r="J3029" s="11">
        <v>44729.706458333334</v>
      </c>
      <c r="K3029" s="1" t="s">
        <v>7836</v>
      </c>
      <c r="L3029" s="1">
        <v>0.64300000000000002</v>
      </c>
      <c r="M3029" s="1">
        <v>0.73199999999999998</v>
      </c>
      <c r="N3029">
        <v>5</v>
      </c>
      <c r="O3029" s="1">
        <v>-6.7619999999999996</v>
      </c>
      <c r="P3029">
        <v>0</v>
      </c>
      <c r="Q3029" s="1">
        <v>0.29399999999999998</v>
      </c>
      <c r="R3029" s="1">
        <v>0.68100000000000005</v>
      </c>
      <c r="S3029" s="1">
        <v>0.45700000000000002</v>
      </c>
      <c r="T3029" s="1">
        <v>0.60599999999999998</v>
      </c>
      <c r="U3029" s="1">
        <v>0.18099999999999999</v>
      </c>
      <c r="V3029" s="1">
        <v>102.979</v>
      </c>
      <c r="W3029">
        <v>4</v>
      </c>
    </row>
    <row r="3030" spans="1:23" x14ac:dyDescent="0.25">
      <c r="A3030" s="1" t="s">
        <v>20159</v>
      </c>
      <c r="B3030" s="1" t="s">
        <v>20160</v>
      </c>
      <c r="C3030" s="1" t="s">
        <v>7837</v>
      </c>
      <c r="D3030" s="1" t="s">
        <v>20161</v>
      </c>
      <c r="E3030" s="1" t="s">
        <v>7838</v>
      </c>
      <c r="F3030" s="1" t="s">
        <v>15573</v>
      </c>
      <c r="G3030">
        <v>222706</v>
      </c>
      <c r="H3030">
        <v>67</v>
      </c>
      <c r="I3030" s="1" t="s">
        <v>11063</v>
      </c>
      <c r="J3030" s="11">
        <v>44729.706458333334</v>
      </c>
      <c r="K3030" s="1" t="s">
        <v>7839</v>
      </c>
      <c r="L3030" s="1">
        <v>0.57699999999999996</v>
      </c>
      <c r="M3030" s="1">
        <v>0.78900000000000003</v>
      </c>
      <c r="N3030">
        <v>2</v>
      </c>
      <c r="O3030" s="1">
        <v>-4.6609999999999996</v>
      </c>
      <c r="P3030">
        <v>1</v>
      </c>
      <c r="Q3030" s="1">
        <v>0.42699999999999999</v>
      </c>
      <c r="R3030" s="1">
        <v>0.53200000000000003</v>
      </c>
      <c r="S3030" s="1">
        <v>0.105</v>
      </c>
      <c r="T3030" s="1">
        <v>0.214</v>
      </c>
      <c r="U3030" s="1">
        <v>0.14899999999999999</v>
      </c>
      <c r="V3030" s="1">
        <v>97.52</v>
      </c>
      <c r="W3030">
        <v>3</v>
      </c>
    </row>
    <row r="3031" spans="1:23" x14ac:dyDescent="0.25">
      <c r="A3031" s="1" t="s">
        <v>20162</v>
      </c>
      <c r="B3031" s="1" t="s">
        <v>14219</v>
      </c>
      <c r="C3031" s="1" t="s">
        <v>7840</v>
      </c>
      <c r="D3031" s="1" t="s">
        <v>7840</v>
      </c>
      <c r="E3031" s="1" t="s">
        <v>2579</v>
      </c>
      <c r="F3031" s="1" t="s">
        <v>11423</v>
      </c>
      <c r="G3031">
        <v>216705</v>
      </c>
      <c r="H3031">
        <v>37</v>
      </c>
      <c r="I3031" s="1" t="s">
        <v>11063</v>
      </c>
      <c r="J3031" s="11">
        <v>44729.706458333334</v>
      </c>
      <c r="K3031" s="1" t="s">
        <v>2580</v>
      </c>
      <c r="L3031" s="1">
        <v>0.58699999999999997</v>
      </c>
      <c r="M3031" s="1">
        <v>0.71799999999999997</v>
      </c>
      <c r="N3031">
        <v>2</v>
      </c>
      <c r="O3031" s="1">
        <v>-5.2930000000000001</v>
      </c>
      <c r="P3031">
        <v>0</v>
      </c>
      <c r="Q3031" s="1">
        <v>0.45900000000000002</v>
      </c>
      <c r="R3031" s="1">
        <v>0.24299999999999999</v>
      </c>
      <c r="S3031" s="1">
        <v>0</v>
      </c>
      <c r="T3031" s="1">
        <v>0.14699999999999999</v>
      </c>
      <c r="U3031" s="1">
        <v>0.67800000000000005</v>
      </c>
      <c r="V3031" s="1">
        <v>80.031000000000006</v>
      </c>
      <c r="W3031">
        <v>4</v>
      </c>
    </row>
    <row r="3032" spans="1:23" x14ac:dyDescent="0.25">
      <c r="A3032" s="1" t="s">
        <v>20163</v>
      </c>
      <c r="B3032" s="1" t="s">
        <v>20164</v>
      </c>
      <c r="C3032" s="1" t="s">
        <v>7841</v>
      </c>
      <c r="D3032" s="1" t="s">
        <v>20165</v>
      </c>
      <c r="E3032" s="1" t="s">
        <v>7842</v>
      </c>
      <c r="F3032" s="1" t="s">
        <v>20166</v>
      </c>
      <c r="G3032">
        <v>185917</v>
      </c>
      <c r="H3032">
        <v>51</v>
      </c>
      <c r="I3032" s="1" t="s">
        <v>11063</v>
      </c>
      <c r="J3032" s="11">
        <v>44729.706458333334</v>
      </c>
      <c r="K3032" s="1" t="s">
        <v>7843</v>
      </c>
      <c r="L3032" s="1">
        <v>0.61299999999999999</v>
      </c>
      <c r="M3032" s="1">
        <v>0.77100000000000002</v>
      </c>
      <c r="N3032">
        <v>0</v>
      </c>
      <c r="O3032" s="1">
        <v>-6.056</v>
      </c>
      <c r="P3032">
        <v>1</v>
      </c>
      <c r="Q3032" s="1">
        <v>0.46899999999999997</v>
      </c>
      <c r="R3032" s="1">
        <v>0.72199999999999998</v>
      </c>
      <c r="S3032" s="1">
        <v>0</v>
      </c>
      <c r="T3032" s="1">
        <v>0.59</v>
      </c>
      <c r="U3032" s="1">
        <v>0.41</v>
      </c>
      <c r="V3032" s="1">
        <v>130.00399999999999</v>
      </c>
      <c r="W3032">
        <v>4</v>
      </c>
    </row>
    <row r="3033" spans="1:23" x14ac:dyDescent="0.25">
      <c r="A3033" s="1" t="s">
        <v>20167</v>
      </c>
      <c r="B3033" s="1" t="s">
        <v>20168</v>
      </c>
      <c r="C3033" s="1" t="s">
        <v>7844</v>
      </c>
      <c r="D3033" s="1" t="s">
        <v>18206</v>
      </c>
      <c r="E3033" s="1" t="s">
        <v>7845</v>
      </c>
      <c r="F3033" s="1" t="s">
        <v>15088</v>
      </c>
      <c r="G3033">
        <v>183893</v>
      </c>
      <c r="H3033">
        <v>0</v>
      </c>
      <c r="I3033" s="1" t="s">
        <v>11063</v>
      </c>
      <c r="J3033" s="11">
        <v>44729.706458333334</v>
      </c>
      <c r="K3033" s="1" t="s">
        <v>7846</v>
      </c>
      <c r="L3033" s="1">
        <v>0.49</v>
      </c>
      <c r="M3033" s="1">
        <v>0.57999999999999996</v>
      </c>
      <c r="N3033">
        <v>10</v>
      </c>
      <c r="O3033" s="1">
        <v>-5.6769999999999996</v>
      </c>
      <c r="P3033">
        <v>1</v>
      </c>
      <c r="Q3033" s="1">
        <v>0.42699999999999999</v>
      </c>
      <c r="R3033" s="1">
        <v>0.215</v>
      </c>
      <c r="S3033" s="1">
        <v>0.22500000000000001</v>
      </c>
      <c r="T3033" s="1">
        <v>0.95399999999999996</v>
      </c>
      <c r="U3033" s="1">
        <v>0.20699999999999999</v>
      </c>
      <c r="V3033" s="1">
        <v>85.132999999999996</v>
      </c>
      <c r="W3033">
        <v>4</v>
      </c>
    </row>
    <row r="3034" spans="1:23" x14ac:dyDescent="0.25">
      <c r="A3034" s="1" t="s">
        <v>20169</v>
      </c>
      <c r="B3034" s="1" t="s">
        <v>20170</v>
      </c>
      <c r="C3034" s="1" t="s">
        <v>7847</v>
      </c>
      <c r="D3034" s="1" t="s">
        <v>7847</v>
      </c>
      <c r="E3034" s="1" t="s">
        <v>7848</v>
      </c>
      <c r="F3034" s="1" t="s">
        <v>14251</v>
      </c>
      <c r="G3034">
        <v>192720</v>
      </c>
      <c r="H3034">
        <v>41</v>
      </c>
      <c r="I3034" s="1" t="s">
        <v>11063</v>
      </c>
      <c r="J3034" s="11">
        <v>44729.706458333334</v>
      </c>
      <c r="K3034" s="1" t="s">
        <v>5997</v>
      </c>
      <c r="L3034" s="1">
        <v>0.54600000000000004</v>
      </c>
      <c r="M3034" s="1">
        <v>0.71</v>
      </c>
      <c r="N3034">
        <v>11</v>
      </c>
      <c r="O3034" s="1">
        <v>-3.9820000000000002</v>
      </c>
      <c r="P3034">
        <v>0</v>
      </c>
      <c r="Q3034" s="1">
        <v>0.34</v>
      </c>
      <c r="R3034" s="1">
        <v>0.78400000000000003</v>
      </c>
      <c r="S3034" s="1">
        <v>0.314</v>
      </c>
      <c r="T3034" s="1">
        <v>0.224</v>
      </c>
      <c r="U3034" s="1">
        <v>0.33600000000000002</v>
      </c>
      <c r="V3034" s="1">
        <v>86.022000000000006</v>
      </c>
      <c r="W3034">
        <v>4</v>
      </c>
    </row>
    <row r="3035" spans="1:23" x14ac:dyDescent="0.25">
      <c r="A3035" s="1" t="s">
        <v>20171</v>
      </c>
      <c r="B3035" s="1" t="s">
        <v>20172</v>
      </c>
      <c r="C3035" s="1" t="s">
        <v>7849</v>
      </c>
      <c r="D3035" s="1" t="s">
        <v>20173</v>
      </c>
      <c r="E3035" s="1" t="s">
        <v>7850</v>
      </c>
      <c r="F3035" s="1" t="s">
        <v>15301</v>
      </c>
      <c r="G3035">
        <v>212933</v>
      </c>
      <c r="H3035">
        <v>37</v>
      </c>
      <c r="I3035" s="1" t="s">
        <v>11063</v>
      </c>
      <c r="J3035" s="11">
        <v>44729.706458333334</v>
      </c>
      <c r="K3035" s="1" t="s">
        <v>7851</v>
      </c>
      <c r="L3035" s="1">
        <v>0.60499999999999998</v>
      </c>
      <c r="M3035" s="1">
        <v>0.82</v>
      </c>
      <c r="N3035">
        <v>5</v>
      </c>
      <c r="O3035" s="1">
        <v>-4.0579999999999998</v>
      </c>
      <c r="P3035">
        <v>0</v>
      </c>
      <c r="Q3035" s="1">
        <v>0.42099999999999999</v>
      </c>
      <c r="R3035" s="1">
        <v>0.21199999999999999</v>
      </c>
      <c r="S3035" s="1">
        <v>0.191</v>
      </c>
      <c r="T3035" s="1">
        <v>0.73599999999999999</v>
      </c>
      <c r="U3035" s="1">
        <v>0.32600000000000001</v>
      </c>
      <c r="V3035" s="1">
        <v>126.026</v>
      </c>
      <c r="W3035">
        <v>4</v>
      </c>
    </row>
    <row r="3036" spans="1:23" x14ac:dyDescent="0.25">
      <c r="A3036" s="1" t="s">
        <v>20174</v>
      </c>
      <c r="B3036" s="1" t="s">
        <v>20175</v>
      </c>
      <c r="C3036" s="1" t="s">
        <v>4507</v>
      </c>
      <c r="D3036" s="1" t="s">
        <v>20173</v>
      </c>
      <c r="E3036" s="1" t="s">
        <v>7852</v>
      </c>
      <c r="F3036" s="1" t="s">
        <v>15301</v>
      </c>
      <c r="G3036">
        <v>231986</v>
      </c>
      <c r="H3036">
        <v>40</v>
      </c>
      <c r="I3036" s="1" t="s">
        <v>11063</v>
      </c>
      <c r="J3036" s="11">
        <v>44729.706458333334</v>
      </c>
      <c r="K3036" s="1" t="s">
        <v>7853</v>
      </c>
      <c r="L3036" s="1">
        <v>0.48599999999999999</v>
      </c>
      <c r="M3036" s="1">
        <v>0.751</v>
      </c>
      <c r="N3036">
        <v>9</v>
      </c>
      <c r="O3036" s="1">
        <v>-5.141</v>
      </c>
      <c r="P3036">
        <v>0</v>
      </c>
      <c r="Q3036" s="1">
        <v>0.10199999999999999</v>
      </c>
      <c r="R3036" s="1">
        <v>0.246</v>
      </c>
      <c r="S3036" s="1">
        <v>0.65600000000000003</v>
      </c>
      <c r="T3036" s="1">
        <v>0.14399999999999999</v>
      </c>
      <c r="U3036" s="1">
        <v>0.34300000000000003</v>
      </c>
      <c r="V3036" s="1">
        <v>73.183000000000007</v>
      </c>
      <c r="W3036">
        <v>4</v>
      </c>
    </row>
    <row r="3037" spans="1:23" x14ac:dyDescent="0.25">
      <c r="A3037" s="1" t="s">
        <v>20176</v>
      </c>
      <c r="B3037" s="1" t="s">
        <v>20177</v>
      </c>
      <c r="C3037" s="1" t="s">
        <v>7854</v>
      </c>
      <c r="D3037" s="1" t="s">
        <v>20173</v>
      </c>
      <c r="E3037" s="1" t="s">
        <v>7855</v>
      </c>
      <c r="F3037" s="1" t="s">
        <v>15301</v>
      </c>
      <c r="G3037">
        <v>230133</v>
      </c>
      <c r="H3037">
        <v>51</v>
      </c>
      <c r="I3037" s="1" t="s">
        <v>11063</v>
      </c>
      <c r="J3037" s="11">
        <v>44729.706458333334</v>
      </c>
      <c r="K3037" s="1" t="s">
        <v>7856</v>
      </c>
      <c r="L3037" s="1">
        <v>0.56299999999999994</v>
      </c>
      <c r="M3037" s="1">
        <v>0.82899999999999996</v>
      </c>
      <c r="N3037">
        <v>6</v>
      </c>
      <c r="O3037" s="1">
        <v>-5.657</v>
      </c>
      <c r="P3037">
        <v>1</v>
      </c>
      <c r="Q3037" s="1">
        <v>0.497</v>
      </c>
      <c r="R3037" s="1">
        <v>0.71599999999999997</v>
      </c>
      <c r="S3037" s="1">
        <v>0.43099999999999999</v>
      </c>
      <c r="T3037" s="1">
        <v>0.13200000000000001</v>
      </c>
      <c r="U3037" s="1">
        <v>0.39400000000000002</v>
      </c>
      <c r="V3037" s="1">
        <v>146.04499999999999</v>
      </c>
      <c r="W3037">
        <v>4</v>
      </c>
    </row>
    <row r="3038" spans="1:23" x14ac:dyDescent="0.25">
      <c r="A3038" s="1" t="s">
        <v>20178</v>
      </c>
      <c r="B3038" s="1" t="s">
        <v>20179</v>
      </c>
      <c r="C3038" s="1" t="s">
        <v>7857</v>
      </c>
      <c r="D3038" s="1" t="s">
        <v>20173</v>
      </c>
      <c r="E3038" s="1" t="s">
        <v>7858</v>
      </c>
      <c r="F3038" s="1" t="s">
        <v>15301</v>
      </c>
      <c r="G3038">
        <v>180720</v>
      </c>
      <c r="H3038">
        <v>41</v>
      </c>
      <c r="I3038" s="1" t="s">
        <v>11063</v>
      </c>
      <c r="J3038" s="11">
        <v>44729.706458333334</v>
      </c>
      <c r="K3038" s="1" t="s">
        <v>7859</v>
      </c>
      <c r="L3038" s="1">
        <v>0.751</v>
      </c>
      <c r="M3038" s="1">
        <v>0.746</v>
      </c>
      <c r="N3038">
        <v>10</v>
      </c>
      <c r="O3038" s="1">
        <v>-5.33</v>
      </c>
      <c r="P3038">
        <v>1</v>
      </c>
      <c r="Q3038" s="1">
        <v>0.11700000000000001</v>
      </c>
      <c r="R3038" s="1">
        <v>0.19900000000000001</v>
      </c>
      <c r="S3038" s="1">
        <v>0.24099999999999999</v>
      </c>
      <c r="T3038" s="1">
        <v>0.11700000000000001</v>
      </c>
      <c r="U3038" s="1">
        <v>0.309</v>
      </c>
      <c r="V3038" s="1">
        <v>167.99299999999999</v>
      </c>
      <c r="W3038">
        <v>3</v>
      </c>
    </row>
    <row r="3039" spans="1:23" x14ac:dyDescent="0.25">
      <c r="A3039" s="1" t="s">
        <v>20180</v>
      </c>
      <c r="B3039" s="1" t="s">
        <v>20181</v>
      </c>
      <c r="C3039" s="1" t="s">
        <v>7860</v>
      </c>
      <c r="D3039" s="1" t="s">
        <v>7860</v>
      </c>
      <c r="E3039" s="1" t="s">
        <v>7861</v>
      </c>
      <c r="F3039" s="1" t="s">
        <v>18338</v>
      </c>
      <c r="G3039">
        <v>188575</v>
      </c>
      <c r="H3039">
        <v>40</v>
      </c>
      <c r="I3039" s="1" t="s">
        <v>11063</v>
      </c>
      <c r="J3039" s="11">
        <v>44729.706458333334</v>
      </c>
      <c r="K3039" s="1" t="s">
        <v>7862</v>
      </c>
      <c r="L3039" s="1">
        <v>0.73599999999999999</v>
      </c>
      <c r="M3039" s="1">
        <v>0.70299999999999996</v>
      </c>
      <c r="N3039">
        <v>4</v>
      </c>
      <c r="O3039" s="1">
        <v>-5.319</v>
      </c>
      <c r="P3039">
        <v>0</v>
      </c>
      <c r="Q3039" s="1">
        <v>0.41499999999999998</v>
      </c>
      <c r="R3039" s="1">
        <v>0.14699999999999999</v>
      </c>
      <c r="S3039" s="1">
        <v>0.86699999999999999</v>
      </c>
      <c r="T3039" s="1">
        <v>0.88700000000000001</v>
      </c>
      <c r="U3039" s="1">
        <v>0.439</v>
      </c>
      <c r="V3039" s="1">
        <v>140.05000000000001</v>
      </c>
      <c r="W3039">
        <v>4</v>
      </c>
    </row>
    <row r="3040" spans="1:23" x14ac:dyDescent="0.25">
      <c r="A3040" s="1" t="s">
        <v>20182</v>
      </c>
      <c r="B3040" s="1" t="s">
        <v>20183</v>
      </c>
      <c r="C3040" s="1" t="s">
        <v>7863</v>
      </c>
      <c r="D3040" s="1" t="s">
        <v>7863</v>
      </c>
      <c r="E3040" s="1" t="s">
        <v>7864</v>
      </c>
      <c r="F3040" s="1" t="s">
        <v>17818</v>
      </c>
      <c r="G3040">
        <v>208086</v>
      </c>
      <c r="H3040">
        <v>27</v>
      </c>
      <c r="I3040" s="1" t="s">
        <v>11063</v>
      </c>
      <c r="J3040" s="11">
        <v>44729.706458333334</v>
      </c>
      <c r="K3040" s="1" t="s">
        <v>996</v>
      </c>
      <c r="L3040" s="1">
        <v>0.64800000000000002</v>
      </c>
      <c r="M3040" s="1">
        <v>0.74299999999999999</v>
      </c>
      <c r="N3040">
        <v>6</v>
      </c>
      <c r="O3040" s="1">
        <v>-7.2290000000000001</v>
      </c>
      <c r="P3040">
        <v>1</v>
      </c>
      <c r="Q3040" s="1">
        <v>0.47299999999999998</v>
      </c>
      <c r="R3040" s="1">
        <v>0.49299999999999999</v>
      </c>
      <c r="S3040" s="1">
        <v>0.248</v>
      </c>
      <c r="T3040" s="1">
        <v>0.13800000000000001</v>
      </c>
      <c r="U3040" s="1">
        <v>0.40400000000000003</v>
      </c>
      <c r="V3040" s="1">
        <v>109.999</v>
      </c>
      <c r="W3040">
        <v>4</v>
      </c>
    </row>
    <row r="3041" spans="1:23" x14ac:dyDescent="0.25">
      <c r="A3041" s="1" t="s">
        <v>20184</v>
      </c>
      <c r="B3041" s="1" t="s">
        <v>20185</v>
      </c>
      <c r="C3041" s="1" t="s">
        <v>7865</v>
      </c>
      <c r="D3041" s="1" t="s">
        <v>20173</v>
      </c>
      <c r="E3041" s="1" t="s">
        <v>7866</v>
      </c>
      <c r="F3041" s="1" t="s">
        <v>15301</v>
      </c>
      <c r="G3041">
        <v>214733</v>
      </c>
      <c r="H3041">
        <v>52</v>
      </c>
      <c r="I3041" s="1" t="s">
        <v>11063</v>
      </c>
      <c r="J3041" s="11">
        <v>44729.706458333334</v>
      </c>
      <c r="K3041" s="1" t="s">
        <v>7867</v>
      </c>
      <c r="L3041" s="1">
        <v>0.40699999999999997</v>
      </c>
      <c r="M3041" s="1">
        <v>0.92500000000000004</v>
      </c>
      <c r="N3041">
        <v>11</v>
      </c>
      <c r="O3041" s="1">
        <v>-4.1550000000000002</v>
      </c>
      <c r="P3041">
        <v>0</v>
      </c>
      <c r="Q3041" s="1">
        <v>0.747</v>
      </c>
      <c r="R3041" s="1">
        <v>0.113</v>
      </c>
      <c r="S3041" s="1">
        <v>0.25</v>
      </c>
      <c r="T3041" s="1">
        <v>0.192</v>
      </c>
      <c r="U3041" s="1">
        <v>0.11899999999999999</v>
      </c>
      <c r="V3041" s="1">
        <v>151.99299999999999</v>
      </c>
      <c r="W3041">
        <v>4</v>
      </c>
    </row>
    <row r="3042" spans="1:23" x14ac:dyDescent="0.25">
      <c r="A3042" s="1" t="s">
        <v>20186</v>
      </c>
      <c r="B3042" s="1" t="s">
        <v>20187</v>
      </c>
      <c r="C3042" s="1" t="s">
        <v>7868</v>
      </c>
      <c r="D3042" s="1" t="s">
        <v>20188</v>
      </c>
      <c r="E3042" s="1" t="s">
        <v>7869</v>
      </c>
      <c r="F3042" s="1" t="s">
        <v>18295</v>
      </c>
      <c r="G3042">
        <v>320000</v>
      </c>
      <c r="H3042">
        <v>58</v>
      </c>
      <c r="I3042" s="1" t="s">
        <v>11063</v>
      </c>
      <c r="J3042" s="11">
        <v>44729.706458333334</v>
      </c>
      <c r="K3042" s="1" t="s">
        <v>5206</v>
      </c>
      <c r="L3042" s="1">
        <v>0.61399999999999999</v>
      </c>
      <c r="M3042" s="1">
        <v>0.72599999999999998</v>
      </c>
      <c r="N3042">
        <v>11</v>
      </c>
      <c r="O3042" s="1">
        <v>-6.4409999999999998</v>
      </c>
      <c r="P3042">
        <v>1</v>
      </c>
      <c r="Q3042" s="1">
        <v>0.96</v>
      </c>
      <c r="R3042" s="1">
        <v>0.86899999999999999</v>
      </c>
      <c r="S3042" s="1">
        <v>0.13100000000000001</v>
      </c>
      <c r="T3042" s="1">
        <v>0.157</v>
      </c>
      <c r="U3042" s="1">
        <v>0.315</v>
      </c>
      <c r="V3042" s="1">
        <v>144.965</v>
      </c>
      <c r="W3042">
        <v>4</v>
      </c>
    </row>
    <row r="3043" spans="1:23" x14ac:dyDescent="0.25">
      <c r="A3043" s="1" t="s">
        <v>20189</v>
      </c>
      <c r="B3043" s="1" t="s">
        <v>20190</v>
      </c>
      <c r="C3043" s="1" t="s">
        <v>4389</v>
      </c>
      <c r="D3043" s="1" t="s">
        <v>20191</v>
      </c>
      <c r="E3043" s="1" t="s">
        <v>7870</v>
      </c>
      <c r="F3043" s="1" t="s">
        <v>11597</v>
      </c>
      <c r="G3043">
        <v>229693</v>
      </c>
      <c r="H3043">
        <v>34</v>
      </c>
      <c r="I3043" s="1" t="s">
        <v>11063</v>
      </c>
      <c r="J3043" s="11">
        <v>44729.706458333334</v>
      </c>
      <c r="K3043" s="1" t="s">
        <v>933</v>
      </c>
      <c r="L3043" s="1">
        <v>0.58599999999999997</v>
      </c>
      <c r="M3043" s="1">
        <v>0.61699999999999999</v>
      </c>
      <c r="N3043">
        <v>10</v>
      </c>
      <c r="O3043" s="1">
        <v>-5.1689999999999996</v>
      </c>
      <c r="P3043">
        <v>1</v>
      </c>
      <c r="Q3043" s="1">
        <v>0.35699999999999998</v>
      </c>
      <c r="R3043" s="1">
        <v>0.41799999999999998</v>
      </c>
      <c r="S3043" s="1">
        <v>0.61499999999999999</v>
      </c>
      <c r="T3043" s="1">
        <v>0.79</v>
      </c>
      <c r="U3043" s="1">
        <v>0.92400000000000004</v>
      </c>
      <c r="V3043" s="1">
        <v>94.956000000000003</v>
      </c>
      <c r="W3043">
        <v>4</v>
      </c>
    </row>
    <row r="3044" spans="1:23" x14ac:dyDescent="0.25">
      <c r="A3044" s="1" t="s">
        <v>20192</v>
      </c>
      <c r="B3044" s="1" t="s">
        <v>20193</v>
      </c>
      <c r="C3044" s="1" t="s">
        <v>7871</v>
      </c>
      <c r="D3044" s="1" t="s">
        <v>7871</v>
      </c>
      <c r="E3044" s="1" t="s">
        <v>7872</v>
      </c>
      <c r="F3044" s="1" t="s">
        <v>20194</v>
      </c>
      <c r="G3044">
        <v>198600</v>
      </c>
      <c r="H3044">
        <v>26</v>
      </c>
      <c r="I3044" s="1" t="s">
        <v>11063</v>
      </c>
      <c r="J3044" s="11">
        <v>44729.706458333334</v>
      </c>
      <c r="K3044" s="1" t="s">
        <v>7873</v>
      </c>
      <c r="L3044" s="1">
        <v>0.501</v>
      </c>
      <c r="M3044" s="1">
        <v>0.621</v>
      </c>
      <c r="N3044">
        <v>9</v>
      </c>
      <c r="O3044" s="1">
        <v>-6.29</v>
      </c>
      <c r="P3044">
        <v>0</v>
      </c>
      <c r="Q3044" s="1">
        <v>0.36199999999999999</v>
      </c>
      <c r="R3044" s="1">
        <v>0.14199999999999999</v>
      </c>
      <c r="S3044" s="1">
        <v>0.10299999999999999</v>
      </c>
      <c r="T3044" s="1">
        <v>0.17399999999999999</v>
      </c>
      <c r="U3044" s="1">
        <v>0.32700000000000001</v>
      </c>
      <c r="V3044" s="1">
        <v>150.15899999999999</v>
      </c>
      <c r="W3044">
        <v>4</v>
      </c>
    </row>
    <row r="3045" spans="1:23" x14ac:dyDescent="0.25">
      <c r="A3045" s="1" t="s">
        <v>20195</v>
      </c>
      <c r="B3045" s="1" t="s">
        <v>20196</v>
      </c>
      <c r="C3045" s="1" t="s">
        <v>7874</v>
      </c>
      <c r="D3045" s="1" t="s">
        <v>7874</v>
      </c>
      <c r="E3045" s="1" t="s">
        <v>7875</v>
      </c>
      <c r="F3045" s="1" t="s">
        <v>14630</v>
      </c>
      <c r="G3045">
        <v>198525</v>
      </c>
      <c r="H3045">
        <v>55</v>
      </c>
      <c r="I3045" s="1" t="s">
        <v>11063</v>
      </c>
      <c r="J3045" s="11">
        <v>44729.706458333334</v>
      </c>
      <c r="K3045" s="1" t="s">
        <v>7876</v>
      </c>
      <c r="L3045" s="1">
        <v>0.73699999999999999</v>
      </c>
      <c r="M3045" s="1">
        <v>0.74299999999999999</v>
      </c>
      <c r="N3045">
        <v>0</v>
      </c>
      <c r="O3045" s="1">
        <v>-6.2809999999999997</v>
      </c>
      <c r="P3045">
        <v>0</v>
      </c>
      <c r="Q3045" s="1">
        <v>0.81799999999999995</v>
      </c>
      <c r="R3045" s="1">
        <v>0.53300000000000003</v>
      </c>
      <c r="S3045" s="1">
        <v>0.11</v>
      </c>
      <c r="T3045" s="1">
        <v>0.14699999999999999</v>
      </c>
      <c r="U3045" s="1">
        <v>0.27600000000000002</v>
      </c>
      <c r="V3045" s="1">
        <v>100.038</v>
      </c>
      <c r="W3045">
        <v>4</v>
      </c>
    </row>
    <row r="3046" spans="1:23" x14ac:dyDescent="0.25">
      <c r="A3046" s="1" t="s">
        <v>20197</v>
      </c>
      <c r="B3046" s="1" t="s">
        <v>19044</v>
      </c>
      <c r="C3046" s="1" t="s">
        <v>7877</v>
      </c>
      <c r="D3046" s="1" t="s">
        <v>20198</v>
      </c>
      <c r="E3046" s="1" t="s">
        <v>6831</v>
      </c>
      <c r="F3046" s="1" t="s">
        <v>20199</v>
      </c>
      <c r="G3046">
        <v>303911</v>
      </c>
      <c r="H3046">
        <v>57</v>
      </c>
      <c r="I3046" s="1" t="s">
        <v>11063</v>
      </c>
      <c r="J3046" s="11">
        <v>44729.706458333334</v>
      </c>
      <c r="K3046" s="1" t="s">
        <v>6707</v>
      </c>
      <c r="L3046" s="1">
        <v>0.51300000000000001</v>
      </c>
      <c r="M3046" s="1">
        <v>0.77500000000000002</v>
      </c>
      <c r="N3046">
        <v>0</v>
      </c>
      <c r="O3046" s="1">
        <v>-7.202</v>
      </c>
      <c r="P3046">
        <v>0</v>
      </c>
      <c r="Q3046" s="1">
        <v>0.30399999999999999</v>
      </c>
      <c r="R3046" s="1">
        <v>0.67200000000000004</v>
      </c>
      <c r="S3046" s="1">
        <v>0.248</v>
      </c>
      <c r="T3046" s="1">
        <v>0.40899999999999997</v>
      </c>
      <c r="U3046" s="1">
        <v>0.20499999999999999</v>
      </c>
      <c r="V3046" s="1">
        <v>139.93199999999999</v>
      </c>
      <c r="W3046">
        <v>4</v>
      </c>
    </row>
    <row r="3047" spans="1:23" x14ac:dyDescent="0.25">
      <c r="A3047" s="1" t="s">
        <v>20200</v>
      </c>
      <c r="B3047" s="1" t="s">
        <v>20201</v>
      </c>
      <c r="C3047" s="1" t="s">
        <v>7878</v>
      </c>
      <c r="D3047" s="1" t="s">
        <v>7878</v>
      </c>
      <c r="E3047" s="1" t="s">
        <v>7879</v>
      </c>
      <c r="F3047" s="1" t="s">
        <v>15864</v>
      </c>
      <c r="G3047">
        <v>209608</v>
      </c>
      <c r="H3047">
        <v>38</v>
      </c>
      <c r="I3047" s="1" t="s">
        <v>11063</v>
      </c>
      <c r="J3047" s="11">
        <v>44729.706458333334</v>
      </c>
      <c r="K3047" s="1" t="s">
        <v>996</v>
      </c>
      <c r="L3047" s="1">
        <v>0.55900000000000005</v>
      </c>
      <c r="M3047" s="1">
        <v>0.70599999999999996</v>
      </c>
      <c r="N3047">
        <v>2</v>
      </c>
      <c r="O3047" s="1">
        <v>-6.0430000000000001</v>
      </c>
      <c r="P3047">
        <v>0</v>
      </c>
      <c r="Q3047" s="1">
        <v>0.42</v>
      </c>
      <c r="R3047" s="1">
        <v>0.32200000000000001</v>
      </c>
      <c r="S3047" s="1">
        <v>0.48399999999999999</v>
      </c>
      <c r="T3047" s="1">
        <v>0.115</v>
      </c>
      <c r="U3047" s="1">
        <v>0.30399999999999999</v>
      </c>
      <c r="V3047" s="1">
        <v>150.05000000000001</v>
      </c>
      <c r="W3047">
        <v>4</v>
      </c>
    </row>
    <row r="3048" spans="1:23" x14ac:dyDescent="0.25">
      <c r="A3048" s="1" t="s">
        <v>20202</v>
      </c>
      <c r="B3048" s="1" t="s">
        <v>20203</v>
      </c>
      <c r="C3048" s="1" t="s">
        <v>7880</v>
      </c>
      <c r="D3048" s="1" t="s">
        <v>7880</v>
      </c>
      <c r="E3048" s="1" t="s">
        <v>7881</v>
      </c>
      <c r="F3048" s="1" t="s">
        <v>17784</v>
      </c>
      <c r="G3048">
        <v>177151</v>
      </c>
      <c r="H3048">
        <v>47</v>
      </c>
      <c r="I3048" s="1" t="s">
        <v>11063</v>
      </c>
      <c r="J3048" s="11">
        <v>44729.706458333334</v>
      </c>
      <c r="K3048" s="1" t="s">
        <v>7882</v>
      </c>
      <c r="L3048" s="1">
        <v>0.624</v>
      </c>
      <c r="M3048" s="1">
        <v>0.68</v>
      </c>
      <c r="N3048">
        <v>9</v>
      </c>
      <c r="O3048" s="1">
        <v>-7.2850000000000001</v>
      </c>
      <c r="P3048">
        <v>0</v>
      </c>
      <c r="Q3048" s="1">
        <v>0.42099999999999999</v>
      </c>
      <c r="R3048" s="1">
        <v>0.114</v>
      </c>
      <c r="S3048" s="1">
        <v>0.67800000000000005</v>
      </c>
      <c r="T3048" s="1">
        <v>0.61399999999999999</v>
      </c>
      <c r="U3048" s="1">
        <v>0.11700000000000001</v>
      </c>
      <c r="V3048" s="1">
        <v>91.998000000000005</v>
      </c>
      <c r="W3048">
        <v>4</v>
      </c>
    </row>
    <row r="3049" spans="1:23" x14ac:dyDescent="0.25">
      <c r="A3049" s="1" t="s">
        <v>20204</v>
      </c>
      <c r="B3049" s="1" t="s">
        <v>20205</v>
      </c>
      <c r="C3049" s="1" t="s">
        <v>7883</v>
      </c>
      <c r="D3049" s="1" t="s">
        <v>20206</v>
      </c>
      <c r="E3049" s="1" t="s">
        <v>7884</v>
      </c>
      <c r="F3049" s="1" t="s">
        <v>13945</v>
      </c>
      <c r="G3049">
        <v>287807</v>
      </c>
      <c r="H3049">
        <v>39</v>
      </c>
      <c r="I3049" s="1" t="s">
        <v>11063</v>
      </c>
      <c r="J3049" s="11">
        <v>44729.706458333334</v>
      </c>
      <c r="K3049" s="1" t="s">
        <v>7885</v>
      </c>
      <c r="L3049" s="1">
        <v>0.58799999999999997</v>
      </c>
      <c r="M3049" s="1">
        <v>0.72</v>
      </c>
      <c r="N3049">
        <v>2</v>
      </c>
      <c r="O3049" s="1">
        <v>-6.8940000000000001</v>
      </c>
      <c r="P3049">
        <v>1</v>
      </c>
      <c r="Q3049" s="1">
        <v>0.83099999999999996</v>
      </c>
      <c r="R3049" s="1">
        <v>0.748</v>
      </c>
      <c r="S3049" s="1">
        <v>0.61199999999999999</v>
      </c>
      <c r="T3049" s="1">
        <v>0.91700000000000004</v>
      </c>
      <c r="U3049" s="1">
        <v>0.77600000000000002</v>
      </c>
      <c r="V3049" s="1">
        <v>117.935</v>
      </c>
      <c r="W3049">
        <v>4</v>
      </c>
    </row>
    <row r="3050" spans="1:23" x14ac:dyDescent="0.25">
      <c r="A3050" s="1" t="s">
        <v>20207</v>
      </c>
      <c r="B3050" s="1" t="s">
        <v>20208</v>
      </c>
      <c r="C3050" s="1" t="s">
        <v>7886</v>
      </c>
      <c r="D3050" s="1" t="s">
        <v>20209</v>
      </c>
      <c r="E3050" s="1" t="s">
        <v>7887</v>
      </c>
      <c r="F3050" s="1" t="s">
        <v>20032</v>
      </c>
      <c r="G3050">
        <v>228360</v>
      </c>
      <c r="H3050">
        <v>80</v>
      </c>
      <c r="I3050" s="1" t="s">
        <v>11063</v>
      </c>
      <c r="J3050" s="11">
        <v>44729.706458333334</v>
      </c>
      <c r="K3050" s="1" t="s">
        <v>7888</v>
      </c>
      <c r="L3050" s="1">
        <v>0.39300000000000002</v>
      </c>
      <c r="M3050" s="1">
        <v>0.85799999999999998</v>
      </c>
      <c r="N3050">
        <v>4</v>
      </c>
      <c r="O3050" s="1">
        <v>-2.8679999999999999</v>
      </c>
      <c r="P3050">
        <v>0</v>
      </c>
      <c r="Q3050" s="1">
        <v>0.72899999999999998</v>
      </c>
      <c r="R3050" s="1">
        <v>0.35899999999999999</v>
      </c>
      <c r="S3050" s="1">
        <v>0</v>
      </c>
      <c r="T3050" s="1">
        <v>0.10199999999999999</v>
      </c>
      <c r="U3050" s="1">
        <v>0.56000000000000005</v>
      </c>
      <c r="V3050" s="1">
        <v>176.042</v>
      </c>
      <c r="W3050">
        <v>4</v>
      </c>
    </row>
    <row r="3051" spans="1:23" x14ac:dyDescent="0.25">
      <c r="A3051" s="1" t="s">
        <v>20210</v>
      </c>
      <c r="B3051" s="1" t="s">
        <v>20211</v>
      </c>
      <c r="C3051" s="1" t="s">
        <v>7889</v>
      </c>
      <c r="D3051" s="1" t="s">
        <v>7889</v>
      </c>
      <c r="E3051" s="1" t="s">
        <v>7890</v>
      </c>
      <c r="F3051" s="1" t="s">
        <v>11700</v>
      </c>
      <c r="G3051">
        <v>210666</v>
      </c>
      <c r="H3051">
        <v>34</v>
      </c>
      <c r="I3051" s="1" t="s">
        <v>11063</v>
      </c>
      <c r="J3051" s="11">
        <v>44729.706458333334</v>
      </c>
      <c r="K3051" s="1" t="s">
        <v>244</v>
      </c>
      <c r="L3051" s="1">
        <v>0.53900000000000003</v>
      </c>
      <c r="M3051" s="1">
        <v>0.75800000000000001</v>
      </c>
      <c r="N3051">
        <v>7</v>
      </c>
      <c r="O3051" s="1">
        <v>-4.6369999999999996</v>
      </c>
      <c r="P3051">
        <v>1</v>
      </c>
      <c r="Q3051" s="1">
        <v>0.68100000000000005</v>
      </c>
      <c r="R3051" s="1">
        <v>0.60499999999999998</v>
      </c>
      <c r="S3051" s="1">
        <v>0.249</v>
      </c>
      <c r="T3051" s="1">
        <v>0.97299999999999998</v>
      </c>
      <c r="U3051" s="1">
        <v>0.50900000000000001</v>
      </c>
      <c r="V3051" s="1">
        <v>179.95</v>
      </c>
      <c r="W3051">
        <v>4</v>
      </c>
    </row>
    <row r="3052" spans="1:23" x14ac:dyDescent="0.25">
      <c r="A3052" s="1" t="s">
        <v>20212</v>
      </c>
      <c r="B3052" s="1" t="s">
        <v>17674</v>
      </c>
      <c r="C3052" s="1" t="s">
        <v>3282</v>
      </c>
      <c r="D3052" s="1" t="s">
        <v>3282</v>
      </c>
      <c r="E3052" s="1" t="s">
        <v>5574</v>
      </c>
      <c r="F3052" s="1" t="s">
        <v>13766</v>
      </c>
      <c r="G3052">
        <v>227517</v>
      </c>
      <c r="H3052">
        <v>0</v>
      </c>
      <c r="I3052" s="1" t="s">
        <v>11063</v>
      </c>
      <c r="J3052" s="11">
        <v>44729.706458333334</v>
      </c>
      <c r="K3052" s="1" t="s">
        <v>933</v>
      </c>
      <c r="L3052" s="1">
        <v>0.42099999999999999</v>
      </c>
      <c r="M3052" s="1">
        <v>0.63700000000000001</v>
      </c>
      <c r="N3052">
        <v>1</v>
      </c>
      <c r="O3052" s="1">
        <v>-5.71</v>
      </c>
      <c r="P3052">
        <v>0</v>
      </c>
      <c r="Q3052" s="1">
        <v>0.63100000000000001</v>
      </c>
      <c r="R3052" s="1">
        <v>0.91500000000000004</v>
      </c>
      <c r="S3052" s="1">
        <v>0.28799999999999998</v>
      </c>
      <c r="T3052" s="1">
        <v>0.25700000000000001</v>
      </c>
      <c r="U3052" s="1">
        <v>0.222</v>
      </c>
      <c r="V3052" s="1">
        <v>106.633</v>
      </c>
      <c r="W3052">
        <v>3</v>
      </c>
    </row>
    <row r="3053" spans="1:23" x14ac:dyDescent="0.25">
      <c r="A3053" s="1" t="s">
        <v>20213</v>
      </c>
      <c r="B3053" s="1" t="s">
        <v>20214</v>
      </c>
      <c r="C3053" s="1" t="s">
        <v>7891</v>
      </c>
      <c r="D3053" s="1" t="s">
        <v>7891</v>
      </c>
      <c r="E3053" s="1" t="s">
        <v>7892</v>
      </c>
      <c r="F3053" s="1" t="s">
        <v>13922</v>
      </c>
      <c r="G3053">
        <v>213733</v>
      </c>
      <c r="H3053">
        <v>32</v>
      </c>
      <c r="I3053" s="1" t="s">
        <v>11063</v>
      </c>
      <c r="J3053" s="11">
        <v>44729.706458333334</v>
      </c>
      <c r="K3053" s="1" t="s">
        <v>933</v>
      </c>
      <c r="L3053" s="1">
        <v>0.61399999999999999</v>
      </c>
      <c r="M3053" s="1">
        <v>0.71499999999999997</v>
      </c>
      <c r="N3053">
        <v>9</v>
      </c>
      <c r="O3053" s="1">
        <v>-5.6109999999999998</v>
      </c>
      <c r="P3053">
        <v>0</v>
      </c>
      <c r="Q3053" s="1">
        <v>0.37</v>
      </c>
      <c r="R3053" s="1">
        <v>0.98799999999999999</v>
      </c>
      <c r="S3053" s="1">
        <v>0.40100000000000002</v>
      </c>
      <c r="T3053" s="1">
        <v>0.152</v>
      </c>
      <c r="U3053" s="1">
        <v>0.66400000000000003</v>
      </c>
      <c r="V3053" s="1">
        <v>106.953</v>
      </c>
      <c r="W3053">
        <v>4</v>
      </c>
    </row>
    <row r="3054" spans="1:23" x14ac:dyDescent="0.25">
      <c r="A3054" s="1" t="s">
        <v>20215</v>
      </c>
      <c r="B3054" s="1" t="s">
        <v>20190</v>
      </c>
      <c r="C3054" s="1" t="s">
        <v>2859</v>
      </c>
      <c r="D3054" s="1" t="s">
        <v>2859</v>
      </c>
      <c r="E3054" s="1" t="s">
        <v>7870</v>
      </c>
      <c r="F3054" s="1" t="s">
        <v>11383</v>
      </c>
      <c r="G3054">
        <v>212426</v>
      </c>
      <c r="H3054">
        <v>34</v>
      </c>
      <c r="I3054" s="1" t="s">
        <v>11063</v>
      </c>
      <c r="J3054" s="11">
        <v>44729.706458333334</v>
      </c>
      <c r="K3054" s="1" t="s">
        <v>933</v>
      </c>
      <c r="L3054" s="1">
        <v>0.61599999999999999</v>
      </c>
      <c r="M3054" s="1">
        <v>0.76900000000000002</v>
      </c>
      <c r="N3054">
        <v>1</v>
      </c>
      <c r="O3054" s="1">
        <v>-1.8620000000000001</v>
      </c>
      <c r="P3054">
        <v>1</v>
      </c>
      <c r="Q3054" s="1">
        <v>0.371</v>
      </c>
      <c r="R3054" s="1">
        <v>0.53900000000000003</v>
      </c>
      <c r="S3054" s="1">
        <v>0.17100000000000001</v>
      </c>
      <c r="T3054" s="1">
        <v>0.35799999999999998</v>
      </c>
      <c r="U3054" s="1">
        <v>0.47799999999999998</v>
      </c>
      <c r="V3054" s="1">
        <v>83.510999999999996</v>
      </c>
      <c r="W3054">
        <v>4</v>
      </c>
    </row>
    <row r="3055" spans="1:23" x14ac:dyDescent="0.25">
      <c r="A3055" s="1" t="s">
        <v>20216</v>
      </c>
      <c r="B3055" s="1" t="s">
        <v>20217</v>
      </c>
      <c r="C3055" s="1" t="s">
        <v>7893</v>
      </c>
      <c r="D3055" s="1" t="s">
        <v>7893</v>
      </c>
      <c r="E3055" s="1" t="s">
        <v>7894</v>
      </c>
      <c r="F3055" s="1" t="s">
        <v>17858</v>
      </c>
      <c r="G3055">
        <v>193714</v>
      </c>
      <c r="H3055">
        <v>0</v>
      </c>
      <c r="I3055" s="1" t="s">
        <v>11063</v>
      </c>
      <c r="J3055" s="11">
        <v>44729.706458333334</v>
      </c>
      <c r="K3055" s="1" t="s">
        <v>3444</v>
      </c>
      <c r="L3055" s="1">
        <v>0.70099999999999996</v>
      </c>
      <c r="M3055" s="1">
        <v>0.66600000000000004</v>
      </c>
      <c r="N3055">
        <v>11</v>
      </c>
      <c r="O3055" s="1">
        <v>-5.3570000000000002</v>
      </c>
      <c r="P3055">
        <v>0</v>
      </c>
      <c r="Q3055" s="1">
        <v>0.47199999999999998</v>
      </c>
      <c r="R3055" s="1">
        <v>0.152</v>
      </c>
      <c r="S3055" s="1">
        <v>0</v>
      </c>
      <c r="T3055" s="1">
        <v>0.87</v>
      </c>
      <c r="U3055" s="1">
        <v>0.47399999999999998</v>
      </c>
      <c r="V3055" s="1">
        <v>140.06</v>
      </c>
      <c r="W3055">
        <v>4</v>
      </c>
    </row>
    <row r="3056" spans="1:23" x14ac:dyDescent="0.25">
      <c r="A3056" s="1" t="s">
        <v>20218</v>
      </c>
      <c r="B3056" s="1" t="s">
        <v>20190</v>
      </c>
      <c r="C3056" s="1" t="s">
        <v>7895</v>
      </c>
      <c r="D3056" s="1" t="s">
        <v>20191</v>
      </c>
      <c r="E3056" s="1" t="s">
        <v>7870</v>
      </c>
      <c r="F3056" s="1" t="s">
        <v>11597</v>
      </c>
      <c r="G3056">
        <v>211613</v>
      </c>
      <c r="H3056">
        <v>29</v>
      </c>
      <c r="I3056" s="1" t="s">
        <v>11063</v>
      </c>
      <c r="J3056" s="11">
        <v>44729.706458333334</v>
      </c>
      <c r="K3056" s="1" t="s">
        <v>933</v>
      </c>
      <c r="L3056" s="1">
        <v>0.68500000000000005</v>
      </c>
      <c r="M3056" s="1">
        <v>0.64800000000000002</v>
      </c>
      <c r="N3056">
        <v>5</v>
      </c>
      <c r="O3056" s="1">
        <v>-5.2549999999999999</v>
      </c>
      <c r="P3056">
        <v>0</v>
      </c>
      <c r="Q3056" s="1">
        <v>0.317</v>
      </c>
      <c r="R3056" s="1">
        <v>0.34699999999999998</v>
      </c>
      <c r="S3056" s="1">
        <v>0.61499999999999999</v>
      </c>
      <c r="T3056" s="1">
        <v>0.84099999999999997</v>
      </c>
      <c r="U3056" s="1">
        <v>0.53400000000000003</v>
      </c>
      <c r="V3056" s="1">
        <v>91.016999999999996</v>
      </c>
      <c r="W3056">
        <v>4</v>
      </c>
    </row>
    <row r="3057" spans="1:23" x14ac:dyDescent="0.25">
      <c r="A3057" s="1" t="s">
        <v>20219</v>
      </c>
      <c r="B3057" s="1" t="s">
        <v>17359</v>
      </c>
      <c r="C3057" s="1" t="s">
        <v>7896</v>
      </c>
      <c r="D3057" s="1" t="s">
        <v>20220</v>
      </c>
      <c r="E3057" s="1" t="s">
        <v>5308</v>
      </c>
      <c r="F3057" s="1" t="s">
        <v>16448</v>
      </c>
      <c r="G3057">
        <v>205266</v>
      </c>
      <c r="H3057">
        <v>31</v>
      </c>
      <c r="I3057" s="1" t="s">
        <v>11063</v>
      </c>
      <c r="J3057" s="11">
        <v>44729.706458333334</v>
      </c>
      <c r="K3057" s="1" t="s">
        <v>933</v>
      </c>
      <c r="L3057" s="1">
        <v>0.64100000000000001</v>
      </c>
      <c r="M3057" s="1">
        <v>0.65300000000000002</v>
      </c>
      <c r="N3057">
        <v>4</v>
      </c>
      <c r="O3057" s="1">
        <v>-6.1760000000000002</v>
      </c>
      <c r="P3057">
        <v>1</v>
      </c>
      <c r="Q3057" s="1">
        <v>0.67700000000000005</v>
      </c>
      <c r="R3057" s="1">
        <v>0.54100000000000004</v>
      </c>
      <c r="S3057" s="1">
        <v>0.214</v>
      </c>
      <c r="T3057" s="1">
        <v>0.13</v>
      </c>
      <c r="U3057" s="1">
        <v>0.48799999999999999</v>
      </c>
      <c r="V3057" s="1">
        <v>75.076999999999998</v>
      </c>
      <c r="W3057">
        <v>4</v>
      </c>
    </row>
    <row r="3058" spans="1:23" x14ac:dyDescent="0.25">
      <c r="A3058" s="1" t="s">
        <v>20221</v>
      </c>
      <c r="B3058" s="1" t="s">
        <v>20222</v>
      </c>
      <c r="C3058" s="1" t="s">
        <v>5145</v>
      </c>
      <c r="D3058" s="1" t="s">
        <v>20223</v>
      </c>
      <c r="E3058" s="1" t="s">
        <v>7897</v>
      </c>
      <c r="F3058" s="1" t="s">
        <v>20224</v>
      </c>
      <c r="G3058">
        <v>198857</v>
      </c>
      <c r="H3058">
        <v>37</v>
      </c>
      <c r="I3058" s="1" t="s">
        <v>11063</v>
      </c>
      <c r="J3058" s="11">
        <v>44729.706458333334</v>
      </c>
      <c r="K3058" s="1" t="s">
        <v>996</v>
      </c>
      <c r="L3058" s="1">
        <v>0.57699999999999996</v>
      </c>
      <c r="M3058" s="1">
        <v>0.81100000000000005</v>
      </c>
      <c r="N3058">
        <v>5</v>
      </c>
      <c r="O3058" s="1">
        <v>-3.4860000000000002</v>
      </c>
      <c r="P3058">
        <v>0</v>
      </c>
      <c r="Q3058" s="1">
        <v>0.32</v>
      </c>
      <c r="R3058" s="1">
        <v>0.182</v>
      </c>
      <c r="S3058" s="1">
        <v>0.96599999999999997</v>
      </c>
      <c r="T3058" s="1">
        <v>0.10299999999999999</v>
      </c>
      <c r="U3058" s="1">
        <v>0.18099999999999999</v>
      </c>
      <c r="V3058" s="1">
        <v>139.98400000000001</v>
      </c>
      <c r="W3058">
        <v>4</v>
      </c>
    </row>
    <row r="3059" spans="1:23" x14ac:dyDescent="0.25">
      <c r="A3059" s="1" t="s">
        <v>20225</v>
      </c>
      <c r="B3059" s="1" t="s">
        <v>17071</v>
      </c>
      <c r="C3059" s="1" t="s">
        <v>3244</v>
      </c>
      <c r="D3059" s="1" t="s">
        <v>3244</v>
      </c>
      <c r="E3059" s="1" t="s">
        <v>5056</v>
      </c>
      <c r="F3059" s="1" t="s">
        <v>20226</v>
      </c>
      <c r="G3059">
        <v>216000</v>
      </c>
      <c r="H3059">
        <v>42</v>
      </c>
      <c r="I3059" s="1" t="s">
        <v>11063</v>
      </c>
      <c r="J3059" s="11">
        <v>44729.706458333334</v>
      </c>
      <c r="K3059" s="1" t="s">
        <v>3444</v>
      </c>
      <c r="L3059" s="1">
        <v>0.374</v>
      </c>
      <c r="M3059" s="1">
        <v>0.83399999999999996</v>
      </c>
      <c r="N3059">
        <v>7</v>
      </c>
      <c r="O3059" s="1">
        <v>-3.0859999999999999</v>
      </c>
      <c r="P3059">
        <v>0</v>
      </c>
      <c r="Q3059" s="1">
        <v>0.71699999999999997</v>
      </c>
      <c r="R3059" s="1">
        <v>0.68</v>
      </c>
      <c r="S3059" s="1">
        <v>0.14399999999999999</v>
      </c>
      <c r="T3059" s="1">
        <v>0.1</v>
      </c>
      <c r="U3059" s="1">
        <v>0.16200000000000001</v>
      </c>
      <c r="V3059" s="1">
        <v>159.85599999999999</v>
      </c>
      <c r="W3059">
        <v>4</v>
      </c>
    </row>
    <row r="3060" spans="1:23" x14ac:dyDescent="0.25">
      <c r="A3060" s="1" t="s">
        <v>20227</v>
      </c>
      <c r="B3060" s="1" t="s">
        <v>20228</v>
      </c>
      <c r="C3060" s="1" t="s">
        <v>7898</v>
      </c>
      <c r="D3060" s="1" t="s">
        <v>7898</v>
      </c>
      <c r="E3060" s="1" t="s">
        <v>7899</v>
      </c>
      <c r="F3060" s="1" t="s">
        <v>11733</v>
      </c>
      <c r="G3060">
        <v>218117</v>
      </c>
      <c r="H3060">
        <v>0</v>
      </c>
      <c r="I3060" s="1" t="s">
        <v>11063</v>
      </c>
      <c r="J3060" s="11">
        <v>44729.706458333334</v>
      </c>
      <c r="K3060" s="1" t="s">
        <v>7900</v>
      </c>
      <c r="L3060" s="1">
        <v>0.48399999999999999</v>
      </c>
      <c r="M3060" s="1">
        <v>0.79100000000000004</v>
      </c>
      <c r="N3060">
        <v>4</v>
      </c>
      <c r="O3060" s="1">
        <v>-5.1050000000000004</v>
      </c>
      <c r="P3060">
        <v>0</v>
      </c>
      <c r="Q3060" s="1">
        <v>0.78300000000000003</v>
      </c>
      <c r="R3060" s="1">
        <v>0.64300000000000002</v>
      </c>
      <c r="S3060" s="1">
        <v>0</v>
      </c>
      <c r="T3060" s="1">
        <v>0.115</v>
      </c>
      <c r="U3060" s="1">
        <v>0.42199999999999999</v>
      </c>
      <c r="V3060" s="1">
        <v>171.94399999999999</v>
      </c>
      <c r="W3060">
        <v>4</v>
      </c>
    </row>
    <row r="3061" spans="1:23" x14ac:dyDescent="0.25">
      <c r="A3061" s="1" t="s">
        <v>20229</v>
      </c>
      <c r="B3061" s="1" t="s">
        <v>20230</v>
      </c>
      <c r="C3061" s="1" t="s">
        <v>7901</v>
      </c>
      <c r="D3061" s="1" t="s">
        <v>7901</v>
      </c>
      <c r="E3061" s="1" t="s">
        <v>7902</v>
      </c>
      <c r="F3061" s="1" t="s">
        <v>20231</v>
      </c>
      <c r="G3061">
        <v>221250</v>
      </c>
      <c r="H3061">
        <v>31</v>
      </c>
      <c r="I3061" s="1" t="s">
        <v>11063</v>
      </c>
      <c r="J3061" s="11">
        <v>44729.706458333334</v>
      </c>
      <c r="K3061" s="1" t="s">
        <v>7903</v>
      </c>
      <c r="L3061" s="1">
        <v>0.69199999999999995</v>
      </c>
      <c r="M3061" s="1">
        <v>0.86299999999999999</v>
      </c>
      <c r="N3061">
        <v>11</v>
      </c>
      <c r="O3061" s="1">
        <v>-3.7450000000000001</v>
      </c>
      <c r="P3061">
        <v>1</v>
      </c>
      <c r="Q3061" s="1">
        <v>0.36299999999999999</v>
      </c>
      <c r="R3061" s="1">
        <v>0.32</v>
      </c>
      <c r="S3061" s="1">
        <v>0.371</v>
      </c>
      <c r="T3061" s="1">
        <v>0.10299999999999999</v>
      </c>
      <c r="U3061" s="1">
        <v>0.59199999999999997</v>
      </c>
      <c r="V3061" s="1">
        <v>128.018</v>
      </c>
      <c r="W3061">
        <v>4</v>
      </c>
    </row>
    <row r="3062" spans="1:23" x14ac:dyDescent="0.25">
      <c r="A3062" s="1" t="s">
        <v>20232</v>
      </c>
      <c r="B3062" s="1" t="s">
        <v>20233</v>
      </c>
      <c r="C3062" s="1" t="s">
        <v>7904</v>
      </c>
      <c r="D3062" s="1" t="s">
        <v>7904</v>
      </c>
      <c r="E3062" s="1" t="s">
        <v>7905</v>
      </c>
      <c r="F3062" s="1" t="s">
        <v>20234</v>
      </c>
      <c r="G3062">
        <v>233000</v>
      </c>
      <c r="H3062">
        <v>0</v>
      </c>
      <c r="I3062" s="1" t="s">
        <v>11063</v>
      </c>
      <c r="J3062" s="11">
        <v>44729.706458333334</v>
      </c>
      <c r="K3062" s="1" t="s">
        <v>3444</v>
      </c>
      <c r="L3062" s="1">
        <v>0.42399999999999999</v>
      </c>
      <c r="M3062" s="1">
        <v>0.66300000000000003</v>
      </c>
      <c r="N3062">
        <v>7</v>
      </c>
      <c r="O3062" s="1">
        <v>-6.3029999999999999</v>
      </c>
      <c r="P3062">
        <v>0</v>
      </c>
      <c r="Q3062" s="1">
        <v>0.36699999999999999</v>
      </c>
      <c r="R3062" s="1">
        <v>0.89700000000000002</v>
      </c>
      <c r="S3062" s="1">
        <v>0.35499999999999998</v>
      </c>
      <c r="T3062" s="1">
        <v>0.11700000000000001</v>
      </c>
      <c r="U3062" s="1">
        <v>0.20399999999999999</v>
      </c>
      <c r="V3062" s="1">
        <v>144.02000000000001</v>
      </c>
      <c r="W3062">
        <v>4</v>
      </c>
    </row>
    <row r="3063" spans="1:23" x14ac:dyDescent="0.25">
      <c r="A3063" s="1" t="s">
        <v>20235</v>
      </c>
      <c r="B3063" s="1" t="s">
        <v>17359</v>
      </c>
      <c r="C3063" s="1" t="s">
        <v>7906</v>
      </c>
      <c r="D3063" s="1" t="s">
        <v>7906</v>
      </c>
      <c r="E3063" s="1" t="s">
        <v>5308</v>
      </c>
      <c r="F3063" s="1" t="s">
        <v>15035</v>
      </c>
      <c r="G3063">
        <v>189097</v>
      </c>
      <c r="H3063">
        <v>26</v>
      </c>
      <c r="I3063" s="1" t="s">
        <v>11063</v>
      </c>
      <c r="J3063" s="11">
        <v>44729.706458333334</v>
      </c>
      <c r="K3063" s="1" t="s">
        <v>933</v>
      </c>
      <c r="L3063" s="1">
        <v>0.622</v>
      </c>
      <c r="M3063" s="1">
        <v>0.67500000000000004</v>
      </c>
      <c r="N3063">
        <v>7</v>
      </c>
      <c r="O3063" s="1">
        <v>-7.2949999999999999</v>
      </c>
      <c r="P3063">
        <v>0</v>
      </c>
      <c r="Q3063" s="1">
        <v>0.98799999999999999</v>
      </c>
      <c r="R3063" s="1">
        <v>0.67100000000000004</v>
      </c>
      <c r="S3063" s="1">
        <v>0.628</v>
      </c>
      <c r="T3063" s="1">
        <v>0.157</v>
      </c>
      <c r="U3063" s="1">
        <v>0.17299999999999999</v>
      </c>
      <c r="V3063" s="1">
        <v>139.976</v>
      </c>
      <c r="W3063">
        <v>4</v>
      </c>
    </row>
    <row r="3064" spans="1:23" x14ac:dyDescent="0.25">
      <c r="A3064" s="1" t="s">
        <v>20236</v>
      </c>
      <c r="B3064" s="1" t="s">
        <v>20190</v>
      </c>
      <c r="C3064" s="1" t="s">
        <v>5797</v>
      </c>
      <c r="D3064" s="1" t="s">
        <v>20191</v>
      </c>
      <c r="E3064" s="1" t="s">
        <v>7870</v>
      </c>
      <c r="F3064" s="1" t="s">
        <v>11597</v>
      </c>
      <c r="G3064">
        <v>173693</v>
      </c>
      <c r="H3064">
        <v>21</v>
      </c>
      <c r="I3064" s="1" t="s">
        <v>11063</v>
      </c>
      <c r="J3064" s="11">
        <v>44729.706458333334</v>
      </c>
      <c r="K3064" s="1" t="s">
        <v>933</v>
      </c>
      <c r="L3064" s="1">
        <v>0.52900000000000003</v>
      </c>
      <c r="M3064" s="1">
        <v>0.52600000000000002</v>
      </c>
      <c r="N3064">
        <v>6</v>
      </c>
      <c r="O3064" s="1">
        <v>-6.1280000000000001</v>
      </c>
      <c r="P3064">
        <v>0</v>
      </c>
      <c r="Q3064" s="1">
        <v>0.63200000000000001</v>
      </c>
      <c r="R3064" s="1">
        <v>0.439</v>
      </c>
      <c r="S3064" s="1">
        <v>0</v>
      </c>
      <c r="T3064" s="1">
        <v>0.104</v>
      </c>
      <c r="U3064" s="1">
        <v>0.20300000000000001</v>
      </c>
      <c r="V3064" s="1">
        <v>75.078000000000003</v>
      </c>
      <c r="W3064">
        <v>4</v>
      </c>
    </row>
    <row r="3065" spans="1:23" x14ac:dyDescent="0.25">
      <c r="A3065" s="1" t="s">
        <v>20237</v>
      </c>
      <c r="B3065" s="1" t="s">
        <v>14419</v>
      </c>
      <c r="C3065" s="1" t="s">
        <v>7907</v>
      </c>
      <c r="D3065" s="1" t="s">
        <v>7907</v>
      </c>
      <c r="E3065" s="1" t="s">
        <v>2760</v>
      </c>
      <c r="F3065" s="1" t="s">
        <v>15482</v>
      </c>
      <c r="G3065">
        <v>186006</v>
      </c>
      <c r="H3065">
        <v>45</v>
      </c>
      <c r="I3065" s="1" t="s">
        <v>11063</v>
      </c>
      <c r="J3065" s="11">
        <v>44729.706458333334</v>
      </c>
      <c r="K3065" s="1" t="s">
        <v>2761</v>
      </c>
      <c r="L3065" s="1">
        <v>0.71399999999999997</v>
      </c>
      <c r="M3065" s="1">
        <v>0.747</v>
      </c>
      <c r="N3065">
        <v>0</v>
      </c>
      <c r="O3065" s="1">
        <v>-6.5049999999999999</v>
      </c>
      <c r="P3065">
        <v>0</v>
      </c>
      <c r="Q3065" s="1">
        <v>0.39300000000000002</v>
      </c>
      <c r="R3065" s="1">
        <v>0.53300000000000003</v>
      </c>
      <c r="S3065" s="1">
        <v>0.89300000000000002</v>
      </c>
      <c r="T3065" s="1">
        <v>0.125</v>
      </c>
      <c r="U3065" s="1">
        <v>0.97099999999999997</v>
      </c>
      <c r="V3065" s="1">
        <v>100.04300000000001</v>
      </c>
      <c r="W3065">
        <v>4</v>
      </c>
    </row>
    <row r="3066" spans="1:23" x14ac:dyDescent="0.25">
      <c r="A3066" s="1" t="s">
        <v>20238</v>
      </c>
      <c r="B3066" s="1" t="s">
        <v>20239</v>
      </c>
      <c r="C3066" s="1" t="s">
        <v>5470</v>
      </c>
      <c r="D3066" s="1" t="s">
        <v>5470</v>
      </c>
      <c r="E3066" s="1" t="s">
        <v>7908</v>
      </c>
      <c r="F3066" s="1" t="s">
        <v>11577</v>
      </c>
      <c r="G3066">
        <v>169507</v>
      </c>
      <c r="H3066">
        <v>27</v>
      </c>
      <c r="I3066" s="1" t="s">
        <v>11063</v>
      </c>
      <c r="J3066" s="11">
        <v>44729.706458333334</v>
      </c>
      <c r="K3066" s="1" t="s">
        <v>996</v>
      </c>
      <c r="L3066" s="1">
        <v>0.624</v>
      </c>
      <c r="M3066" s="1">
        <v>0.65800000000000003</v>
      </c>
      <c r="N3066">
        <v>5</v>
      </c>
      <c r="O3066" s="1">
        <v>-7.4429999999999996</v>
      </c>
      <c r="P3066">
        <v>1</v>
      </c>
      <c r="Q3066" s="1">
        <v>0.32100000000000001</v>
      </c>
      <c r="R3066" s="1">
        <v>0.58199999999999996</v>
      </c>
      <c r="S3066" s="1">
        <v>0.252</v>
      </c>
      <c r="T3066" s="1">
        <v>0.13500000000000001</v>
      </c>
      <c r="U3066" s="1">
        <v>0.30399999999999999</v>
      </c>
      <c r="V3066" s="1">
        <v>159.98699999999999</v>
      </c>
      <c r="W3066">
        <v>4</v>
      </c>
    </row>
    <row r="3067" spans="1:23" x14ac:dyDescent="0.25">
      <c r="A3067" s="1" t="s">
        <v>20240</v>
      </c>
      <c r="B3067" s="1" t="s">
        <v>20241</v>
      </c>
      <c r="C3067" s="1" t="s">
        <v>7909</v>
      </c>
      <c r="D3067" s="1" t="s">
        <v>7909</v>
      </c>
      <c r="E3067" s="1" t="s">
        <v>7910</v>
      </c>
      <c r="F3067" s="1" t="s">
        <v>14727</v>
      </c>
      <c r="G3067">
        <v>147840</v>
      </c>
      <c r="H3067">
        <v>73</v>
      </c>
      <c r="I3067" s="1" t="s">
        <v>11063</v>
      </c>
      <c r="J3067" s="11">
        <v>44729.706458333334</v>
      </c>
      <c r="K3067" s="1" t="s">
        <v>7911</v>
      </c>
      <c r="L3067" s="1">
        <v>0.73299999999999998</v>
      </c>
      <c r="M3067" s="1">
        <v>0.85899999999999999</v>
      </c>
      <c r="N3067">
        <v>9</v>
      </c>
      <c r="O3067" s="1">
        <v>-5.03</v>
      </c>
      <c r="P3067">
        <v>0</v>
      </c>
      <c r="Q3067" s="1">
        <v>0.33</v>
      </c>
      <c r="R3067" s="1">
        <v>0.47899999999999998</v>
      </c>
      <c r="S3067" s="1">
        <v>0.64500000000000002</v>
      </c>
      <c r="T3067" s="1">
        <v>0.105</v>
      </c>
      <c r="U3067" s="1">
        <v>0.52</v>
      </c>
      <c r="V3067" s="1">
        <v>124.94799999999999</v>
      </c>
      <c r="W3067">
        <v>4</v>
      </c>
    </row>
    <row r="3068" spans="1:23" x14ac:dyDescent="0.25">
      <c r="A3068" s="1" t="s">
        <v>20242</v>
      </c>
      <c r="B3068" s="1" t="s">
        <v>16832</v>
      </c>
      <c r="C3068" s="1" t="s">
        <v>7912</v>
      </c>
      <c r="D3068" s="1" t="s">
        <v>20243</v>
      </c>
      <c r="E3068" s="1" t="s">
        <v>4857</v>
      </c>
      <c r="F3068" s="1" t="s">
        <v>20244</v>
      </c>
      <c r="G3068">
        <v>200817</v>
      </c>
      <c r="H3068">
        <v>33</v>
      </c>
      <c r="I3068" s="1" t="s">
        <v>11063</v>
      </c>
      <c r="J3068" s="11">
        <v>44729.706458333334</v>
      </c>
      <c r="K3068" s="1" t="s">
        <v>4492</v>
      </c>
      <c r="L3068" s="1">
        <v>0.47</v>
      </c>
      <c r="M3068" s="1">
        <v>0.68300000000000005</v>
      </c>
      <c r="N3068">
        <v>2</v>
      </c>
      <c r="O3068" s="1">
        <v>-5.8819999999999997</v>
      </c>
      <c r="P3068">
        <v>1</v>
      </c>
      <c r="Q3068" s="1">
        <v>0.39700000000000002</v>
      </c>
      <c r="R3068" s="1">
        <v>0.18099999999999999</v>
      </c>
      <c r="S3068" s="1">
        <v>0.114</v>
      </c>
      <c r="T3068" s="1">
        <v>0.72699999999999998</v>
      </c>
      <c r="U3068" s="1">
        <v>0.22600000000000001</v>
      </c>
      <c r="V3068" s="1">
        <v>140.084</v>
      </c>
      <c r="W3068">
        <v>4</v>
      </c>
    </row>
    <row r="3069" spans="1:23" x14ac:dyDescent="0.25">
      <c r="A3069" s="1" t="s">
        <v>20245</v>
      </c>
      <c r="B3069" s="1" t="s">
        <v>20246</v>
      </c>
      <c r="C3069" s="1" t="s">
        <v>7913</v>
      </c>
      <c r="D3069" s="1" t="s">
        <v>7913</v>
      </c>
      <c r="E3069" s="1" t="s">
        <v>7914</v>
      </c>
      <c r="F3069" s="1" t="s">
        <v>20247</v>
      </c>
      <c r="G3069">
        <v>205333</v>
      </c>
      <c r="H3069">
        <v>59</v>
      </c>
      <c r="I3069" s="1" t="s">
        <v>11063</v>
      </c>
      <c r="J3069" s="11">
        <v>44729.706458333334</v>
      </c>
      <c r="K3069" s="1" t="s">
        <v>7915</v>
      </c>
      <c r="L3069" s="1">
        <v>0.67900000000000005</v>
      </c>
      <c r="M3069" s="1">
        <v>0.66200000000000003</v>
      </c>
      <c r="N3069">
        <v>7</v>
      </c>
      <c r="O3069" s="1">
        <v>-5.8609999999999998</v>
      </c>
      <c r="P3069">
        <v>1</v>
      </c>
      <c r="Q3069" s="1">
        <v>0.77300000000000002</v>
      </c>
      <c r="R3069" s="1">
        <v>0.151</v>
      </c>
      <c r="S3069" s="1">
        <v>0</v>
      </c>
      <c r="T3069" s="1">
        <v>0.376</v>
      </c>
      <c r="U3069" s="1">
        <v>0.36499999999999999</v>
      </c>
      <c r="V3069" s="1">
        <v>90.054000000000002</v>
      </c>
      <c r="W3069">
        <v>4</v>
      </c>
    </row>
    <row r="3070" spans="1:23" x14ac:dyDescent="0.25">
      <c r="A3070" s="1" t="s">
        <v>20248</v>
      </c>
      <c r="B3070" s="1" t="s">
        <v>20249</v>
      </c>
      <c r="C3070" s="1" t="s">
        <v>7916</v>
      </c>
      <c r="D3070" s="1" t="s">
        <v>7916</v>
      </c>
      <c r="E3070" s="1" t="s">
        <v>7917</v>
      </c>
      <c r="F3070" s="1" t="s">
        <v>19052</v>
      </c>
      <c r="G3070">
        <v>202736</v>
      </c>
      <c r="H3070">
        <v>0</v>
      </c>
      <c r="I3070" s="1" t="s">
        <v>11063</v>
      </c>
      <c r="J3070" s="11">
        <v>44729.706458333334</v>
      </c>
      <c r="K3070" s="1" t="s">
        <v>996</v>
      </c>
      <c r="L3070" s="1">
        <v>0.66200000000000003</v>
      </c>
      <c r="M3070" s="1">
        <v>0.90100000000000002</v>
      </c>
      <c r="N3070">
        <v>5</v>
      </c>
      <c r="O3070" s="1">
        <v>-5.9980000000000002</v>
      </c>
      <c r="P3070">
        <v>0</v>
      </c>
      <c r="Q3070" s="1">
        <v>0.51700000000000002</v>
      </c>
      <c r="R3070" s="1">
        <v>0.55100000000000005</v>
      </c>
      <c r="S3070" s="1">
        <v>0.48099999999999998</v>
      </c>
      <c r="T3070" s="1">
        <v>0.752</v>
      </c>
      <c r="U3070" s="1">
        <v>0.34100000000000003</v>
      </c>
      <c r="V3070" s="1">
        <v>89.984999999999999</v>
      </c>
      <c r="W3070">
        <v>4</v>
      </c>
    </row>
    <row r="3071" spans="1:23" x14ac:dyDescent="0.25">
      <c r="A3071" s="1" t="s">
        <v>20250</v>
      </c>
      <c r="B3071" s="1" t="s">
        <v>20251</v>
      </c>
      <c r="C3071" s="1" t="s">
        <v>7918</v>
      </c>
      <c r="D3071" s="1" t="s">
        <v>7918</v>
      </c>
      <c r="E3071" s="1" t="s">
        <v>7919</v>
      </c>
      <c r="F3071" s="1" t="s">
        <v>11587</v>
      </c>
      <c r="G3071">
        <v>271426</v>
      </c>
      <c r="H3071">
        <v>75</v>
      </c>
      <c r="I3071" s="1" t="s">
        <v>11063</v>
      </c>
      <c r="J3071" s="11">
        <v>44729.706458333334</v>
      </c>
      <c r="K3071" s="1" t="s">
        <v>7920</v>
      </c>
      <c r="L3071" s="1">
        <v>0.50900000000000001</v>
      </c>
      <c r="M3071" s="1">
        <v>0.78100000000000003</v>
      </c>
      <c r="N3071">
        <v>8</v>
      </c>
      <c r="O3071" s="1">
        <v>-3.48</v>
      </c>
      <c r="P3071">
        <v>1</v>
      </c>
      <c r="Q3071" s="1">
        <v>0.72</v>
      </c>
      <c r="R3071" s="1">
        <v>0.39800000000000002</v>
      </c>
      <c r="S3071" s="1">
        <v>0</v>
      </c>
      <c r="T3071" s="1">
        <v>0.749</v>
      </c>
      <c r="U3071" s="1">
        <v>0.17599999999999999</v>
      </c>
      <c r="V3071" s="1" t="s">
        <v>7921</v>
      </c>
      <c r="W3071">
        <v>4</v>
      </c>
    </row>
    <row r="3072" spans="1:23" x14ac:dyDescent="0.25">
      <c r="A3072" s="1" t="s">
        <v>20252</v>
      </c>
      <c r="B3072" s="1" t="s">
        <v>17359</v>
      </c>
      <c r="C3072" s="1" t="s">
        <v>7922</v>
      </c>
      <c r="D3072" s="1" t="s">
        <v>7922</v>
      </c>
      <c r="E3072" s="1" t="s">
        <v>5308</v>
      </c>
      <c r="F3072" s="1" t="s">
        <v>13931</v>
      </c>
      <c r="G3072">
        <v>172874</v>
      </c>
      <c r="H3072">
        <v>12</v>
      </c>
      <c r="I3072" s="1" t="s">
        <v>11063</v>
      </c>
      <c r="J3072" s="11">
        <v>44729.706458333334</v>
      </c>
      <c r="K3072" s="1" t="s">
        <v>933</v>
      </c>
      <c r="L3072" s="1">
        <v>0.67500000000000004</v>
      </c>
      <c r="M3072" s="1">
        <v>0.72799999999999998</v>
      </c>
      <c r="N3072">
        <v>0</v>
      </c>
      <c r="O3072" s="1">
        <v>-6.1989999999999998</v>
      </c>
      <c r="P3072">
        <v>1</v>
      </c>
      <c r="Q3072" s="1">
        <v>0.113</v>
      </c>
      <c r="R3072" s="1">
        <v>0.30499999999999999</v>
      </c>
      <c r="S3072" s="1">
        <v>0</v>
      </c>
      <c r="T3072" s="1">
        <v>0.16400000000000001</v>
      </c>
      <c r="U3072" s="1">
        <v>0.57499999999999996</v>
      </c>
      <c r="V3072" s="1">
        <v>159.946</v>
      </c>
      <c r="W3072">
        <v>4</v>
      </c>
    </row>
    <row r="3073" spans="1:23" x14ac:dyDescent="0.25">
      <c r="A3073" s="1" t="s">
        <v>20253</v>
      </c>
      <c r="B3073" s="1" t="s">
        <v>20254</v>
      </c>
      <c r="C3073" s="1" t="s">
        <v>7923</v>
      </c>
      <c r="D3073" s="1" t="s">
        <v>7923</v>
      </c>
      <c r="E3073" s="1" t="s">
        <v>7924</v>
      </c>
      <c r="F3073" s="1" t="s">
        <v>11527</v>
      </c>
      <c r="G3073">
        <v>200000</v>
      </c>
      <c r="H3073">
        <v>50</v>
      </c>
      <c r="I3073" s="1" t="s">
        <v>11063</v>
      </c>
      <c r="J3073" s="11">
        <v>44729.706458333334</v>
      </c>
      <c r="K3073" s="1" t="s">
        <v>6645</v>
      </c>
      <c r="L3073" s="1">
        <v>0.60799999999999998</v>
      </c>
      <c r="M3073" s="1">
        <v>0.57099999999999995</v>
      </c>
      <c r="N3073">
        <v>4</v>
      </c>
      <c r="O3073" s="1">
        <v>-5.5549999999999997</v>
      </c>
      <c r="P3073">
        <v>0</v>
      </c>
      <c r="Q3073" s="1">
        <v>0.53700000000000003</v>
      </c>
      <c r="R3073" s="1">
        <v>0.82</v>
      </c>
      <c r="S3073" s="1">
        <v>0.104</v>
      </c>
      <c r="T3073" s="1">
        <v>0.91300000000000003</v>
      </c>
      <c r="U3073" s="1">
        <v>0.26300000000000001</v>
      </c>
      <c r="V3073" s="1">
        <v>90.06</v>
      </c>
      <c r="W3073">
        <v>4</v>
      </c>
    </row>
    <row r="3074" spans="1:23" x14ac:dyDescent="0.25">
      <c r="A3074" s="1" t="s">
        <v>20255</v>
      </c>
      <c r="B3074" s="1" t="s">
        <v>20208</v>
      </c>
      <c r="C3074" s="1" t="s">
        <v>7925</v>
      </c>
      <c r="D3074" s="1" t="s">
        <v>20256</v>
      </c>
      <c r="E3074" s="1" t="s">
        <v>7887</v>
      </c>
      <c r="F3074" s="1" t="s">
        <v>14045</v>
      </c>
      <c r="G3074">
        <v>203506</v>
      </c>
      <c r="H3074">
        <v>77</v>
      </c>
      <c r="I3074" s="1" t="s">
        <v>11063</v>
      </c>
      <c r="J3074" s="11">
        <v>44729.706458333334</v>
      </c>
      <c r="K3074" s="1" t="s">
        <v>7888</v>
      </c>
      <c r="L3074" s="1">
        <v>0.45900000000000002</v>
      </c>
      <c r="M3074" s="1">
        <v>0.89100000000000001</v>
      </c>
      <c r="N3074">
        <v>10</v>
      </c>
      <c r="O3074" s="1">
        <v>-5.0570000000000004</v>
      </c>
      <c r="P3074">
        <v>0</v>
      </c>
      <c r="Q3074" s="1">
        <v>0.623</v>
      </c>
      <c r="R3074" s="1">
        <v>0.51100000000000001</v>
      </c>
      <c r="S3074" s="1">
        <v>0</v>
      </c>
      <c r="T3074" s="1">
        <v>0.106</v>
      </c>
      <c r="U3074" s="1">
        <v>0.58799999999999997</v>
      </c>
      <c r="V3074" s="1">
        <v>154.83699999999999</v>
      </c>
      <c r="W3074">
        <v>4</v>
      </c>
    </row>
    <row r="3075" spans="1:23" x14ac:dyDescent="0.25">
      <c r="A3075" s="1" t="s">
        <v>20257</v>
      </c>
      <c r="B3075" s="1" t="s">
        <v>20258</v>
      </c>
      <c r="C3075" s="1" t="s">
        <v>7926</v>
      </c>
      <c r="D3075" s="1" t="s">
        <v>20191</v>
      </c>
      <c r="E3075" s="1" t="s">
        <v>7927</v>
      </c>
      <c r="F3075" s="1" t="s">
        <v>11597</v>
      </c>
      <c r="G3075">
        <v>233066</v>
      </c>
      <c r="H3075">
        <v>28</v>
      </c>
      <c r="I3075" s="1" t="s">
        <v>11063</v>
      </c>
      <c r="J3075" s="11">
        <v>44729.706458333334</v>
      </c>
      <c r="K3075" s="1" t="s">
        <v>7928</v>
      </c>
      <c r="L3075" s="1">
        <v>0.60499999999999998</v>
      </c>
      <c r="M3075" s="1">
        <v>0.88200000000000001</v>
      </c>
      <c r="N3075">
        <v>0</v>
      </c>
      <c r="O3075" s="1">
        <v>-4.4370000000000003</v>
      </c>
      <c r="P3075">
        <v>0</v>
      </c>
      <c r="Q3075" s="1">
        <v>0.59799999999999998</v>
      </c>
      <c r="R3075" s="1">
        <v>0.16700000000000001</v>
      </c>
      <c r="S3075" s="1">
        <v>0.9</v>
      </c>
      <c r="T3075" s="1">
        <v>0.125</v>
      </c>
      <c r="U3075" s="1">
        <v>0.254</v>
      </c>
      <c r="V3075" s="1">
        <v>140.00800000000001</v>
      </c>
      <c r="W3075">
        <v>4</v>
      </c>
    </row>
    <row r="3076" spans="1:23" x14ac:dyDescent="0.25">
      <c r="A3076" s="1" t="s">
        <v>20259</v>
      </c>
      <c r="B3076" s="1" t="s">
        <v>20260</v>
      </c>
      <c r="C3076" s="1" t="s">
        <v>7929</v>
      </c>
      <c r="D3076" s="1" t="s">
        <v>7929</v>
      </c>
      <c r="E3076" s="1" t="s">
        <v>7930</v>
      </c>
      <c r="F3076" s="1" t="s">
        <v>20261</v>
      </c>
      <c r="G3076">
        <v>236564</v>
      </c>
      <c r="H3076">
        <v>34</v>
      </c>
      <c r="I3076" s="1" t="s">
        <v>11063</v>
      </c>
      <c r="J3076" s="11">
        <v>44729.706458333334</v>
      </c>
      <c r="K3076" s="1" t="s">
        <v>7931</v>
      </c>
      <c r="L3076" s="1">
        <v>0.55200000000000005</v>
      </c>
      <c r="M3076" s="1">
        <v>0.86299999999999999</v>
      </c>
      <c r="N3076">
        <v>7</v>
      </c>
      <c r="O3076" s="1">
        <v>-3.0289999999999999</v>
      </c>
      <c r="P3076">
        <v>0</v>
      </c>
      <c r="Q3076" s="1">
        <v>0.30599999999999999</v>
      </c>
      <c r="R3076" s="1">
        <v>0.46600000000000003</v>
      </c>
      <c r="S3076" s="1">
        <v>0.69599999999999995</v>
      </c>
      <c r="T3076" s="1">
        <v>0.27500000000000002</v>
      </c>
      <c r="U3076" s="1">
        <v>0.318</v>
      </c>
      <c r="V3076" s="1">
        <v>100.003</v>
      </c>
      <c r="W3076">
        <v>4</v>
      </c>
    </row>
    <row r="3077" spans="1:23" x14ac:dyDescent="0.25">
      <c r="A3077" s="1" t="s">
        <v>20262</v>
      </c>
      <c r="B3077" s="1" t="s">
        <v>20214</v>
      </c>
      <c r="C3077" s="1" t="s">
        <v>7932</v>
      </c>
      <c r="D3077" s="1" t="s">
        <v>7932</v>
      </c>
      <c r="E3077" s="1" t="s">
        <v>7892</v>
      </c>
      <c r="F3077" s="1" t="s">
        <v>17314</v>
      </c>
      <c r="G3077">
        <v>226683</v>
      </c>
      <c r="H3077">
        <v>47</v>
      </c>
      <c r="I3077" s="1" t="s">
        <v>11063</v>
      </c>
      <c r="J3077" s="11">
        <v>44729.706458333334</v>
      </c>
      <c r="K3077" s="1" t="s">
        <v>933</v>
      </c>
      <c r="L3077" s="1">
        <v>0.56599999999999995</v>
      </c>
      <c r="M3077" s="1">
        <v>0.83299999999999996</v>
      </c>
      <c r="N3077">
        <v>7</v>
      </c>
      <c r="O3077" s="1">
        <v>-4.6399999999999997</v>
      </c>
      <c r="P3077">
        <v>0</v>
      </c>
      <c r="Q3077" s="1">
        <v>0.71299999999999997</v>
      </c>
      <c r="R3077" s="1">
        <v>0.78200000000000003</v>
      </c>
      <c r="S3077" s="1">
        <v>0.72599999999999998</v>
      </c>
      <c r="T3077" s="1">
        <v>0.72299999999999998</v>
      </c>
      <c r="U3077" s="1">
        <v>0.31</v>
      </c>
      <c r="V3077" s="1">
        <v>140.03700000000001</v>
      </c>
      <c r="W3077">
        <v>4</v>
      </c>
    </row>
    <row r="3078" spans="1:23" x14ac:dyDescent="0.25">
      <c r="A3078" s="1" t="s">
        <v>20263</v>
      </c>
      <c r="B3078" s="1" t="s">
        <v>20264</v>
      </c>
      <c r="C3078" s="1" t="s">
        <v>7933</v>
      </c>
      <c r="D3078" s="1" t="s">
        <v>7933</v>
      </c>
      <c r="E3078" s="1" t="s">
        <v>7934</v>
      </c>
      <c r="F3078" s="1" t="s">
        <v>16691</v>
      </c>
      <c r="G3078">
        <v>188016</v>
      </c>
      <c r="H3078">
        <v>28</v>
      </c>
      <c r="I3078" s="1" t="s">
        <v>11063</v>
      </c>
      <c r="J3078" s="11">
        <v>44729.706458333334</v>
      </c>
      <c r="K3078" s="1" t="s">
        <v>996</v>
      </c>
      <c r="L3078" s="1">
        <v>0.63100000000000001</v>
      </c>
      <c r="M3078" s="1">
        <v>0.50600000000000001</v>
      </c>
      <c r="N3078">
        <v>4</v>
      </c>
      <c r="O3078" s="1">
        <v>-8.7720000000000002</v>
      </c>
      <c r="P3078">
        <v>0</v>
      </c>
      <c r="Q3078" s="1">
        <v>0.42899999999999999</v>
      </c>
      <c r="R3078" s="1">
        <v>0.61299999999999999</v>
      </c>
      <c r="S3078" s="1">
        <v>0.39900000000000002</v>
      </c>
      <c r="T3078" s="1">
        <v>0.121</v>
      </c>
      <c r="U3078" s="1">
        <v>0.372</v>
      </c>
      <c r="V3078" s="1">
        <v>150.15299999999999</v>
      </c>
      <c r="W3078">
        <v>4</v>
      </c>
    </row>
    <row r="3079" spans="1:23" x14ac:dyDescent="0.25">
      <c r="A3079" s="1" t="s">
        <v>20265</v>
      </c>
      <c r="B3079" s="1" t="s">
        <v>20266</v>
      </c>
      <c r="C3079" s="1" t="s">
        <v>7935</v>
      </c>
      <c r="D3079" s="1" t="s">
        <v>20267</v>
      </c>
      <c r="E3079" s="1" t="s">
        <v>7936</v>
      </c>
      <c r="F3079" s="1" t="s">
        <v>13922</v>
      </c>
      <c r="G3079">
        <v>259653</v>
      </c>
      <c r="H3079">
        <v>36</v>
      </c>
      <c r="I3079" s="1" t="s">
        <v>11063</v>
      </c>
      <c r="J3079" s="11">
        <v>44729.706458333334</v>
      </c>
      <c r="K3079" s="1" t="s">
        <v>7937</v>
      </c>
      <c r="L3079" s="1">
        <v>0.57999999999999996</v>
      </c>
      <c r="M3079" s="1">
        <v>0.93100000000000005</v>
      </c>
      <c r="N3079">
        <v>7</v>
      </c>
      <c r="O3079" s="1">
        <v>-4.2300000000000004</v>
      </c>
      <c r="P3079">
        <v>0</v>
      </c>
      <c r="Q3079" s="1">
        <v>0.24199999999999999</v>
      </c>
      <c r="R3079" s="1">
        <v>0.20899999999999999</v>
      </c>
      <c r="S3079" s="1">
        <v>0.109</v>
      </c>
      <c r="T3079" s="1">
        <v>0.36499999999999999</v>
      </c>
      <c r="U3079" s="1">
        <v>0.27700000000000002</v>
      </c>
      <c r="V3079" s="1">
        <v>139.827</v>
      </c>
      <c r="W3079">
        <v>4</v>
      </c>
    </row>
    <row r="3080" spans="1:23" x14ac:dyDescent="0.25">
      <c r="A3080" s="1" t="s">
        <v>20268</v>
      </c>
      <c r="B3080" s="1" t="s">
        <v>20269</v>
      </c>
      <c r="C3080" s="1" t="s">
        <v>7938</v>
      </c>
      <c r="D3080" s="1" t="s">
        <v>20270</v>
      </c>
      <c r="E3080" s="1" t="s">
        <v>7939</v>
      </c>
      <c r="F3080" s="1" t="s">
        <v>13569</v>
      </c>
      <c r="G3080">
        <v>240000</v>
      </c>
      <c r="H3080">
        <v>66</v>
      </c>
      <c r="I3080" s="1" t="s">
        <v>11063</v>
      </c>
      <c r="J3080" s="11">
        <v>44729.706458333334</v>
      </c>
      <c r="K3080" s="1" t="s">
        <v>7940</v>
      </c>
      <c r="L3080" s="1">
        <v>0.57999999999999996</v>
      </c>
      <c r="M3080" s="1">
        <v>0.84599999999999997</v>
      </c>
      <c r="N3080">
        <v>9</v>
      </c>
      <c r="O3080" s="1">
        <v>-2.8759999999999999</v>
      </c>
      <c r="P3080">
        <v>0</v>
      </c>
      <c r="Q3080" s="1">
        <v>0.57299999999999995</v>
      </c>
      <c r="R3080" s="1">
        <v>0.53700000000000003</v>
      </c>
      <c r="S3080" s="1">
        <v>0.66200000000000003</v>
      </c>
      <c r="T3080" s="1">
        <v>0.14499999999999999</v>
      </c>
      <c r="U3080" s="1">
        <v>0.36599999999999999</v>
      </c>
      <c r="V3080" s="1">
        <v>129.99799999999999</v>
      </c>
      <c r="W3080">
        <v>4</v>
      </c>
    </row>
    <row r="3081" spans="1:23" x14ac:dyDescent="0.25">
      <c r="A3081" s="1" t="s">
        <v>20271</v>
      </c>
      <c r="B3081" s="1" t="s">
        <v>20272</v>
      </c>
      <c r="C3081" s="1" t="s">
        <v>7941</v>
      </c>
      <c r="D3081" s="1" t="s">
        <v>7918</v>
      </c>
      <c r="E3081" s="1" t="s">
        <v>7942</v>
      </c>
      <c r="F3081" s="1" t="s">
        <v>11587</v>
      </c>
      <c r="G3081">
        <v>243413</v>
      </c>
      <c r="H3081">
        <v>60</v>
      </c>
      <c r="I3081" s="1" t="s">
        <v>11063</v>
      </c>
      <c r="J3081" s="11">
        <v>44729.706458333334</v>
      </c>
      <c r="K3081" s="1" t="s">
        <v>7943</v>
      </c>
      <c r="L3081" s="1">
        <v>0.60899999999999999</v>
      </c>
      <c r="M3081" s="1">
        <v>0.80100000000000005</v>
      </c>
      <c r="N3081">
        <v>0</v>
      </c>
      <c r="O3081" s="1">
        <v>-4.4169999999999998</v>
      </c>
      <c r="P3081">
        <v>0</v>
      </c>
      <c r="Q3081" s="1">
        <v>0.34</v>
      </c>
      <c r="R3081" s="1">
        <v>0.13700000000000001</v>
      </c>
      <c r="S3081" s="1">
        <v>0.34899999999999998</v>
      </c>
      <c r="T3081" s="1">
        <v>0.127</v>
      </c>
      <c r="U3081" s="1">
        <v>0.40699999999999997</v>
      </c>
      <c r="V3081" s="1">
        <v>129.99</v>
      </c>
      <c r="W3081">
        <v>4</v>
      </c>
    </row>
    <row r="3082" spans="1:23" x14ac:dyDescent="0.25">
      <c r="A3082" s="1" t="s">
        <v>20273</v>
      </c>
      <c r="B3082" s="1" t="s">
        <v>17969</v>
      </c>
      <c r="C3082" s="1" t="s">
        <v>5869</v>
      </c>
      <c r="D3082" s="1" t="s">
        <v>5869</v>
      </c>
      <c r="E3082" s="1" t="s">
        <v>5870</v>
      </c>
      <c r="F3082" s="1" t="s">
        <v>15001</v>
      </c>
      <c r="G3082">
        <v>238458</v>
      </c>
      <c r="H3082">
        <v>60</v>
      </c>
      <c r="I3082" s="1" t="s">
        <v>11063</v>
      </c>
      <c r="J3082" s="11">
        <v>44729.706458333334</v>
      </c>
      <c r="K3082" s="1" t="s">
        <v>5871</v>
      </c>
      <c r="L3082" s="1">
        <v>0.51300000000000001</v>
      </c>
      <c r="M3082" s="1">
        <v>0.78800000000000003</v>
      </c>
      <c r="N3082">
        <v>0</v>
      </c>
      <c r="O3082" s="1">
        <v>-4.6289999999999996</v>
      </c>
      <c r="P3082">
        <v>1</v>
      </c>
      <c r="Q3082" s="1">
        <v>0.36399999999999999</v>
      </c>
      <c r="R3082" s="1">
        <v>0.96799999999999997</v>
      </c>
      <c r="S3082" s="1">
        <v>0</v>
      </c>
      <c r="T3082" s="1">
        <v>0.11</v>
      </c>
      <c r="U3082" s="1">
        <v>0.23400000000000001</v>
      </c>
      <c r="V3082" s="1">
        <v>139.98699999999999</v>
      </c>
      <c r="W3082">
        <v>4</v>
      </c>
    </row>
    <row r="3083" spans="1:23" x14ac:dyDescent="0.25">
      <c r="A3083" s="1" t="s">
        <v>20274</v>
      </c>
      <c r="B3083" s="1" t="s">
        <v>13503</v>
      </c>
      <c r="C3083" s="1" t="s">
        <v>7944</v>
      </c>
      <c r="D3083" s="1" t="s">
        <v>7944</v>
      </c>
      <c r="E3083" s="1" t="s">
        <v>1972</v>
      </c>
      <c r="F3083" s="1" t="s">
        <v>14617</v>
      </c>
      <c r="G3083">
        <v>175058</v>
      </c>
      <c r="H3083">
        <v>33</v>
      </c>
      <c r="I3083" s="1" t="s">
        <v>11063</v>
      </c>
      <c r="J3083" s="11">
        <v>44729.706458333334</v>
      </c>
      <c r="K3083" s="1" t="s">
        <v>1973</v>
      </c>
      <c r="L3083" s="1">
        <v>0.57799999999999996</v>
      </c>
      <c r="M3083" s="1">
        <v>0.67100000000000004</v>
      </c>
      <c r="N3083">
        <v>0</v>
      </c>
      <c r="O3083" s="1">
        <v>-5.351</v>
      </c>
      <c r="P3083">
        <v>1</v>
      </c>
      <c r="Q3083" s="1">
        <v>0.90200000000000002</v>
      </c>
      <c r="R3083" s="1">
        <v>0.13500000000000001</v>
      </c>
      <c r="S3083" s="1">
        <v>0</v>
      </c>
      <c r="T3083" s="1">
        <v>0.40799999999999997</v>
      </c>
      <c r="U3083" s="1">
        <v>0.16</v>
      </c>
      <c r="V3083" s="1">
        <v>84.992999999999995</v>
      </c>
      <c r="W3083">
        <v>4</v>
      </c>
    </row>
    <row r="3084" spans="1:23" x14ac:dyDescent="0.25">
      <c r="A3084" s="1" t="s">
        <v>20275</v>
      </c>
      <c r="B3084" s="1" t="s">
        <v>20276</v>
      </c>
      <c r="C3084" s="1" t="s">
        <v>7945</v>
      </c>
      <c r="D3084" s="1" t="s">
        <v>7945</v>
      </c>
      <c r="E3084" s="1" t="s">
        <v>7946</v>
      </c>
      <c r="F3084" s="1" t="s">
        <v>20277</v>
      </c>
      <c r="G3084">
        <v>211130</v>
      </c>
      <c r="H3084">
        <v>42</v>
      </c>
      <c r="I3084" s="1" t="s">
        <v>11063</v>
      </c>
      <c r="J3084" s="11">
        <v>44729.706458333334</v>
      </c>
      <c r="K3084" s="1" t="s">
        <v>7947</v>
      </c>
      <c r="L3084" s="1">
        <v>0.69399999999999995</v>
      </c>
      <c r="M3084" s="1">
        <v>0.73899999999999999</v>
      </c>
      <c r="N3084">
        <v>8</v>
      </c>
      <c r="O3084" s="1">
        <v>-2.0779999999999998</v>
      </c>
      <c r="P3084">
        <v>1</v>
      </c>
      <c r="Q3084" s="1">
        <v>0.74199999999999999</v>
      </c>
      <c r="R3084" s="1">
        <v>0.51700000000000002</v>
      </c>
      <c r="S3084" s="1">
        <v>0.10199999999999999</v>
      </c>
      <c r="T3084" s="1">
        <v>0.128</v>
      </c>
      <c r="U3084" s="1">
        <v>0.56299999999999994</v>
      </c>
      <c r="V3084" s="1">
        <v>119.965</v>
      </c>
      <c r="W3084">
        <v>4</v>
      </c>
    </row>
    <row r="3085" spans="1:23" x14ac:dyDescent="0.25">
      <c r="A3085" s="1" t="s">
        <v>20278</v>
      </c>
      <c r="B3085" s="1" t="s">
        <v>13663</v>
      </c>
      <c r="C3085" s="1" t="s">
        <v>2116</v>
      </c>
      <c r="D3085" s="1" t="s">
        <v>20279</v>
      </c>
      <c r="E3085" s="1" t="s">
        <v>2117</v>
      </c>
      <c r="F3085" s="1" t="s">
        <v>11612</v>
      </c>
      <c r="G3085">
        <v>210928</v>
      </c>
      <c r="H3085">
        <v>43</v>
      </c>
      <c r="I3085" s="1" t="s">
        <v>11063</v>
      </c>
      <c r="J3085" s="11">
        <v>44729.706458333334</v>
      </c>
      <c r="K3085" s="1" t="s">
        <v>2118</v>
      </c>
      <c r="L3085" s="1">
        <v>0.61799999999999999</v>
      </c>
      <c r="M3085" s="1">
        <v>0.754</v>
      </c>
      <c r="N3085">
        <v>4</v>
      </c>
      <c r="O3085" s="1">
        <v>-3.7389999999999999</v>
      </c>
      <c r="P3085">
        <v>1</v>
      </c>
      <c r="Q3085" s="1">
        <v>0.88200000000000001</v>
      </c>
      <c r="R3085" s="1">
        <v>0.27100000000000002</v>
      </c>
      <c r="S3085" s="1">
        <v>0</v>
      </c>
      <c r="T3085" s="1">
        <v>0.21299999999999999</v>
      </c>
      <c r="U3085" s="1">
        <v>0.48499999999999999</v>
      </c>
      <c r="V3085" s="1">
        <v>148.01300000000001</v>
      </c>
      <c r="W3085">
        <v>4</v>
      </c>
    </row>
    <row r="3086" spans="1:23" x14ac:dyDescent="0.25">
      <c r="A3086" s="1" t="s">
        <v>20280</v>
      </c>
      <c r="B3086" s="1" t="s">
        <v>20281</v>
      </c>
      <c r="C3086" s="1" t="s">
        <v>7948</v>
      </c>
      <c r="D3086" s="1" t="s">
        <v>7948</v>
      </c>
      <c r="E3086" s="1" t="s">
        <v>7949</v>
      </c>
      <c r="F3086" s="1" t="s">
        <v>20282</v>
      </c>
      <c r="G3086">
        <v>207029</v>
      </c>
      <c r="H3086">
        <v>70</v>
      </c>
      <c r="I3086" s="1" t="s">
        <v>11063</v>
      </c>
      <c r="J3086" s="11">
        <v>44729.706458333334</v>
      </c>
      <c r="K3086" s="1" t="s">
        <v>7950</v>
      </c>
      <c r="L3086" s="1">
        <v>0.503</v>
      </c>
      <c r="M3086" s="1">
        <v>0.74099999999999999</v>
      </c>
      <c r="N3086">
        <v>4</v>
      </c>
      <c r="O3086" s="1">
        <v>-5.1280000000000001</v>
      </c>
      <c r="P3086">
        <v>1</v>
      </c>
      <c r="Q3086" s="1">
        <v>0.47</v>
      </c>
      <c r="R3086" s="1">
        <v>0.57899999999999996</v>
      </c>
      <c r="S3086" s="1">
        <v>0.14899999999999999</v>
      </c>
      <c r="T3086" s="1">
        <v>0.71199999999999997</v>
      </c>
      <c r="U3086" s="1">
        <v>0.45800000000000002</v>
      </c>
      <c r="V3086" s="1">
        <v>88.334999999999994</v>
      </c>
      <c r="W3086">
        <v>3</v>
      </c>
    </row>
    <row r="3087" spans="1:23" x14ac:dyDescent="0.25">
      <c r="A3087" s="1" t="s">
        <v>20283</v>
      </c>
      <c r="B3087" s="1" t="s">
        <v>20284</v>
      </c>
      <c r="C3087" s="1" t="s">
        <v>7951</v>
      </c>
      <c r="D3087" s="1" t="s">
        <v>7951</v>
      </c>
      <c r="E3087" s="1" t="s">
        <v>7952</v>
      </c>
      <c r="F3087" s="1" t="s">
        <v>14073</v>
      </c>
      <c r="G3087">
        <v>215874</v>
      </c>
      <c r="H3087">
        <v>51</v>
      </c>
      <c r="I3087" s="1" t="s">
        <v>11063</v>
      </c>
      <c r="J3087" s="11">
        <v>44729.706458333334</v>
      </c>
      <c r="K3087" s="1" t="s">
        <v>7953</v>
      </c>
      <c r="L3087" s="1">
        <v>0.68</v>
      </c>
      <c r="M3087" s="1">
        <v>0.61799999999999999</v>
      </c>
      <c r="N3087">
        <v>7</v>
      </c>
      <c r="O3087" s="1">
        <v>-5.4690000000000003</v>
      </c>
      <c r="P3087">
        <v>1</v>
      </c>
      <c r="Q3087" s="1">
        <v>0.97699999999999998</v>
      </c>
      <c r="R3087" s="1">
        <v>0.29299999999999998</v>
      </c>
      <c r="S3087" s="1">
        <v>0</v>
      </c>
      <c r="T3087" s="1">
        <v>0.252</v>
      </c>
      <c r="U3087" s="1">
        <v>0.36599999999999999</v>
      </c>
      <c r="V3087" s="1">
        <v>96.111000000000004</v>
      </c>
      <c r="W3087">
        <v>4</v>
      </c>
    </row>
    <row r="3088" spans="1:23" x14ac:dyDescent="0.25">
      <c r="A3088" s="1" t="s">
        <v>20285</v>
      </c>
      <c r="B3088" s="1" t="s">
        <v>20286</v>
      </c>
      <c r="C3088" s="1" t="s">
        <v>7954</v>
      </c>
      <c r="D3088" s="1" t="s">
        <v>20287</v>
      </c>
      <c r="E3088" s="1" t="s">
        <v>7955</v>
      </c>
      <c r="F3088" s="1" t="s">
        <v>15585</v>
      </c>
      <c r="G3088">
        <v>589094</v>
      </c>
      <c r="H3088">
        <v>59</v>
      </c>
      <c r="I3088" s="1" t="s">
        <v>11063</v>
      </c>
      <c r="J3088" s="11">
        <v>44729.706458333334</v>
      </c>
      <c r="K3088" s="1" t="s">
        <v>7956</v>
      </c>
      <c r="L3088" s="1">
        <v>0.27300000000000002</v>
      </c>
      <c r="M3088" s="1">
        <v>0.10199999999999999</v>
      </c>
      <c r="N3088">
        <v>0</v>
      </c>
      <c r="O3088" s="1">
        <v>-16.843</v>
      </c>
      <c r="P3088">
        <v>0</v>
      </c>
      <c r="Q3088" s="1">
        <v>0.49399999999999999</v>
      </c>
      <c r="R3088" s="1">
        <v>0.90300000000000002</v>
      </c>
      <c r="S3088" s="1">
        <v>0.72099999999999997</v>
      </c>
      <c r="T3088" s="1">
        <v>0.26800000000000002</v>
      </c>
      <c r="U3088" s="1">
        <v>0.58299999999999996</v>
      </c>
      <c r="V3088" s="1">
        <v>120.378</v>
      </c>
      <c r="W3088">
        <v>4</v>
      </c>
    </row>
    <row r="3089" spans="1:23" x14ac:dyDescent="0.25">
      <c r="A3089" s="1" t="s">
        <v>20288</v>
      </c>
      <c r="B3089" s="1" t="s">
        <v>20190</v>
      </c>
      <c r="C3089" s="1" t="s">
        <v>7957</v>
      </c>
      <c r="D3089" s="1" t="s">
        <v>20191</v>
      </c>
      <c r="E3089" s="1" t="s">
        <v>7870</v>
      </c>
      <c r="F3089" s="1" t="s">
        <v>11597</v>
      </c>
      <c r="G3089">
        <v>200840</v>
      </c>
      <c r="H3089">
        <v>35</v>
      </c>
      <c r="I3089" s="1" t="s">
        <v>11063</v>
      </c>
      <c r="J3089" s="11">
        <v>44729.706458333334</v>
      </c>
      <c r="K3089" s="1" t="s">
        <v>933</v>
      </c>
      <c r="L3089" s="1">
        <v>0.40300000000000002</v>
      </c>
      <c r="M3089" s="1">
        <v>0.63300000000000001</v>
      </c>
      <c r="N3089">
        <v>9</v>
      </c>
      <c r="O3089" s="1">
        <v>-6.0129999999999999</v>
      </c>
      <c r="P3089">
        <v>0</v>
      </c>
      <c r="Q3089" s="1">
        <v>0.99199999999999999</v>
      </c>
      <c r="R3089" s="1">
        <v>0.20499999999999999</v>
      </c>
      <c r="S3089" s="1">
        <v>0.14899999999999999</v>
      </c>
      <c r="T3089" s="1">
        <v>0.90900000000000003</v>
      </c>
      <c r="U3089" s="1">
        <v>0.105</v>
      </c>
      <c r="V3089" s="1">
        <v>119.688</v>
      </c>
      <c r="W3089">
        <v>5</v>
      </c>
    </row>
    <row r="3090" spans="1:23" x14ac:dyDescent="0.25">
      <c r="A3090" s="1" t="s">
        <v>20289</v>
      </c>
      <c r="B3090" s="1" t="s">
        <v>19111</v>
      </c>
      <c r="C3090" s="1" t="s">
        <v>7958</v>
      </c>
      <c r="D3090" s="1" t="s">
        <v>7958</v>
      </c>
      <c r="E3090" s="1" t="s">
        <v>6891</v>
      </c>
      <c r="F3090" s="1" t="s">
        <v>18631</v>
      </c>
      <c r="G3090">
        <v>235354</v>
      </c>
      <c r="H3090">
        <v>0</v>
      </c>
      <c r="I3090" s="1" t="s">
        <v>11063</v>
      </c>
      <c r="J3090" s="11">
        <v>44729.706458333334</v>
      </c>
      <c r="K3090" s="1" t="s">
        <v>6892</v>
      </c>
      <c r="L3090" s="1">
        <v>0.47299999999999998</v>
      </c>
      <c r="M3090" s="1">
        <v>0.93700000000000006</v>
      </c>
      <c r="N3090">
        <v>10</v>
      </c>
      <c r="O3090" s="1">
        <v>-2.3069999999999999</v>
      </c>
      <c r="P3090">
        <v>1</v>
      </c>
      <c r="Q3090" s="1">
        <v>0.68</v>
      </c>
      <c r="R3090" s="1">
        <v>0.17100000000000001</v>
      </c>
      <c r="S3090" s="1">
        <v>0.33800000000000002</v>
      </c>
      <c r="T3090" s="1">
        <v>0.151</v>
      </c>
      <c r="U3090" s="1">
        <v>0.26700000000000002</v>
      </c>
      <c r="V3090" s="1">
        <v>155.01900000000001</v>
      </c>
      <c r="W3090">
        <v>4</v>
      </c>
    </row>
    <row r="3091" spans="1:23" x14ac:dyDescent="0.25">
      <c r="A3091" s="1" t="s">
        <v>20290</v>
      </c>
      <c r="B3091" s="1" t="s">
        <v>20291</v>
      </c>
      <c r="C3091" s="1" t="s">
        <v>7959</v>
      </c>
      <c r="D3091" s="1" t="s">
        <v>7959</v>
      </c>
      <c r="E3091" s="1" t="s">
        <v>7960</v>
      </c>
      <c r="F3091" s="1" t="s">
        <v>16694</v>
      </c>
      <c r="G3091">
        <v>149568</v>
      </c>
      <c r="H3091">
        <v>0</v>
      </c>
      <c r="I3091" s="1" t="s">
        <v>11063</v>
      </c>
      <c r="J3091" s="11">
        <v>44729.706458333334</v>
      </c>
      <c r="K3091" s="1" t="s">
        <v>7961</v>
      </c>
      <c r="L3091" s="1">
        <v>0.77600000000000002</v>
      </c>
      <c r="M3091" s="1">
        <v>0.53500000000000003</v>
      </c>
      <c r="N3091">
        <v>5</v>
      </c>
      <c r="O3091" s="1">
        <v>-8.4789999999999992</v>
      </c>
      <c r="P3091">
        <v>0</v>
      </c>
      <c r="Q3091" s="1">
        <v>0.59199999999999997</v>
      </c>
      <c r="R3091" s="1">
        <v>0.72899999999999998</v>
      </c>
      <c r="S3091" s="1">
        <v>0.111</v>
      </c>
      <c r="T3091" s="1">
        <v>0.13400000000000001</v>
      </c>
      <c r="U3091" s="1">
        <v>0.48699999999999999</v>
      </c>
      <c r="V3091" s="1">
        <v>99.97</v>
      </c>
      <c r="W3091">
        <v>4</v>
      </c>
    </row>
    <row r="3092" spans="1:23" x14ac:dyDescent="0.25">
      <c r="A3092" s="1" t="s">
        <v>20292</v>
      </c>
      <c r="B3092" s="1" t="s">
        <v>20293</v>
      </c>
      <c r="C3092" s="1" t="s">
        <v>7962</v>
      </c>
      <c r="D3092" s="1" t="s">
        <v>7962</v>
      </c>
      <c r="E3092" s="1" t="s">
        <v>7963</v>
      </c>
      <c r="F3092" s="1" t="s">
        <v>20294</v>
      </c>
      <c r="G3092">
        <v>184732</v>
      </c>
      <c r="H3092">
        <v>81</v>
      </c>
      <c r="I3092" s="1" t="s">
        <v>11063</v>
      </c>
      <c r="J3092" s="11">
        <v>44729.706458333334</v>
      </c>
      <c r="K3092" s="1" t="s">
        <v>7964</v>
      </c>
      <c r="L3092" s="1">
        <v>0.753</v>
      </c>
      <c r="M3092" s="1">
        <v>0.65700000000000003</v>
      </c>
      <c r="N3092">
        <v>7</v>
      </c>
      <c r="O3092" s="1">
        <v>-3.0609999999999999</v>
      </c>
      <c r="P3092">
        <v>1</v>
      </c>
      <c r="Q3092" s="1">
        <v>0.44900000000000001</v>
      </c>
      <c r="R3092" s="1">
        <v>0.17100000000000001</v>
      </c>
      <c r="S3092" s="1">
        <v>0</v>
      </c>
      <c r="T3092" s="1">
        <v>0.112</v>
      </c>
      <c r="U3092" s="1">
        <v>0.437</v>
      </c>
      <c r="V3092" s="1">
        <v>107.01</v>
      </c>
      <c r="W3092">
        <v>4</v>
      </c>
    </row>
    <row r="3093" spans="1:23" x14ac:dyDescent="0.25">
      <c r="A3093" s="1" t="s">
        <v>20295</v>
      </c>
      <c r="B3093" s="1" t="s">
        <v>20296</v>
      </c>
      <c r="C3093" s="1" t="s">
        <v>7880</v>
      </c>
      <c r="D3093" s="1" t="s">
        <v>20173</v>
      </c>
      <c r="E3093" s="1" t="s">
        <v>7965</v>
      </c>
      <c r="F3093" s="1" t="s">
        <v>15301</v>
      </c>
      <c r="G3093">
        <v>218493</v>
      </c>
      <c r="H3093">
        <v>48</v>
      </c>
      <c r="I3093" s="1" t="s">
        <v>11063</v>
      </c>
      <c r="J3093" s="11">
        <v>44729.706458333334</v>
      </c>
      <c r="K3093" s="1" t="s">
        <v>7966</v>
      </c>
      <c r="L3093" s="1">
        <v>0.60499999999999998</v>
      </c>
      <c r="M3093" s="1">
        <v>0.75900000000000001</v>
      </c>
      <c r="N3093">
        <v>9</v>
      </c>
      <c r="O3093" s="1">
        <v>-5.9459999999999997</v>
      </c>
      <c r="P3093">
        <v>0</v>
      </c>
      <c r="Q3093" s="1">
        <v>0.92</v>
      </c>
      <c r="R3093" s="1">
        <v>0.22800000000000001</v>
      </c>
      <c r="S3093" s="1">
        <v>0.38100000000000001</v>
      </c>
      <c r="T3093" s="1">
        <v>0.91300000000000003</v>
      </c>
      <c r="U3093" s="1">
        <v>0.47799999999999998</v>
      </c>
      <c r="V3093" s="1">
        <v>139.989</v>
      </c>
      <c r="W3093">
        <v>4</v>
      </c>
    </row>
    <row r="3094" spans="1:23" x14ac:dyDescent="0.25">
      <c r="A3094" s="1" t="s">
        <v>20297</v>
      </c>
      <c r="B3094" s="1" t="s">
        <v>19111</v>
      </c>
      <c r="C3094" s="1" t="s">
        <v>7655</v>
      </c>
      <c r="D3094" s="1" t="s">
        <v>7655</v>
      </c>
      <c r="E3094" s="1" t="s">
        <v>6891</v>
      </c>
      <c r="F3094" s="1" t="s">
        <v>18317</v>
      </c>
      <c r="G3094">
        <v>229380</v>
      </c>
      <c r="H3094">
        <v>37</v>
      </c>
      <c r="I3094" s="1" t="s">
        <v>11063</v>
      </c>
      <c r="J3094" s="11">
        <v>44729.706458333334</v>
      </c>
      <c r="K3094" s="1" t="s">
        <v>6892</v>
      </c>
      <c r="L3094" s="1">
        <v>0.498</v>
      </c>
      <c r="M3094" s="1">
        <v>0.79600000000000004</v>
      </c>
      <c r="N3094">
        <v>9</v>
      </c>
      <c r="O3094" s="1">
        <v>-2.1</v>
      </c>
      <c r="P3094">
        <v>0</v>
      </c>
      <c r="Q3094" s="1">
        <v>0.436</v>
      </c>
      <c r="R3094" s="1">
        <v>0.499</v>
      </c>
      <c r="S3094" s="1">
        <v>0</v>
      </c>
      <c r="T3094" s="1">
        <v>0.109</v>
      </c>
      <c r="U3094" s="1">
        <v>0.27800000000000002</v>
      </c>
      <c r="V3094" s="1">
        <v>112.85299999999999</v>
      </c>
      <c r="W3094">
        <v>4</v>
      </c>
    </row>
    <row r="3095" spans="1:23" x14ac:dyDescent="0.25">
      <c r="A3095" s="1" t="s">
        <v>11101</v>
      </c>
      <c r="B3095" s="1" t="s">
        <v>11102</v>
      </c>
      <c r="C3095" s="1" t="s">
        <v>7967</v>
      </c>
      <c r="D3095" s="1" t="s">
        <v>11103</v>
      </c>
      <c r="E3095" s="1" t="s">
        <v>7968</v>
      </c>
      <c r="F3095" s="1" t="s">
        <v>15756</v>
      </c>
      <c r="G3095">
        <v>178958</v>
      </c>
      <c r="H3095">
        <v>58</v>
      </c>
      <c r="I3095" s="1" t="s">
        <v>11063</v>
      </c>
      <c r="J3095" s="11">
        <v>44729.706458333334</v>
      </c>
      <c r="K3095" s="1" t="s">
        <v>7969</v>
      </c>
      <c r="L3095" s="1">
        <v>0.53</v>
      </c>
      <c r="M3095" s="1">
        <v>0.52500000000000002</v>
      </c>
      <c r="N3095">
        <v>0</v>
      </c>
      <c r="O3095" s="1">
        <v>-8.3190000000000008</v>
      </c>
      <c r="P3095">
        <v>1</v>
      </c>
      <c r="Q3095" s="1">
        <v>0.58499999999999996</v>
      </c>
      <c r="R3095" s="1">
        <v>0.22800000000000001</v>
      </c>
      <c r="S3095" s="1">
        <v>0.22</v>
      </c>
      <c r="T3095" s="1">
        <v>0.81200000000000006</v>
      </c>
      <c r="U3095" s="1">
        <v>0.22500000000000001</v>
      </c>
      <c r="V3095" s="1">
        <v>134.23599999999999</v>
      </c>
      <c r="W3095">
        <v>4</v>
      </c>
    </row>
    <row r="3096" spans="1:23" x14ac:dyDescent="0.25">
      <c r="A3096" s="1" t="s">
        <v>20298</v>
      </c>
      <c r="B3096" s="1" t="s">
        <v>20299</v>
      </c>
      <c r="C3096" s="1" t="s">
        <v>7970</v>
      </c>
      <c r="D3096" s="1" t="s">
        <v>11103</v>
      </c>
      <c r="E3096" s="1" t="s">
        <v>7971</v>
      </c>
      <c r="F3096" s="1" t="s">
        <v>15756</v>
      </c>
      <c r="G3096">
        <v>205416</v>
      </c>
      <c r="H3096">
        <v>60</v>
      </c>
      <c r="I3096" s="1" t="s">
        <v>11063</v>
      </c>
      <c r="J3096" s="11">
        <v>44729.706458333334</v>
      </c>
      <c r="K3096" s="1" t="s">
        <v>2328</v>
      </c>
      <c r="L3096" s="1">
        <v>0.745</v>
      </c>
      <c r="M3096" s="1">
        <v>0.63700000000000001</v>
      </c>
      <c r="N3096">
        <v>0</v>
      </c>
      <c r="O3096" s="1">
        <v>-5.9589999999999996</v>
      </c>
      <c r="P3096">
        <v>1</v>
      </c>
      <c r="Q3096" s="1">
        <v>0.51200000000000001</v>
      </c>
      <c r="R3096" s="1">
        <v>0.65600000000000003</v>
      </c>
      <c r="S3096" s="1">
        <v>0.65</v>
      </c>
      <c r="T3096" s="1">
        <v>0.99299999999999999</v>
      </c>
      <c r="U3096" s="1">
        <v>0.44600000000000001</v>
      </c>
      <c r="V3096" s="1">
        <v>89.995000000000005</v>
      </c>
      <c r="W3096">
        <v>4</v>
      </c>
    </row>
    <row r="3097" spans="1:23" x14ac:dyDescent="0.25">
      <c r="A3097" s="1" t="s">
        <v>20300</v>
      </c>
      <c r="B3097" s="1" t="s">
        <v>20301</v>
      </c>
      <c r="C3097" s="1" t="s">
        <v>7972</v>
      </c>
      <c r="D3097" s="1" t="s">
        <v>11103</v>
      </c>
      <c r="E3097" s="1" t="s">
        <v>7973</v>
      </c>
      <c r="F3097" s="1" t="s">
        <v>15756</v>
      </c>
      <c r="G3097">
        <v>157202</v>
      </c>
      <c r="H3097">
        <v>72</v>
      </c>
      <c r="I3097" s="1" t="s">
        <v>11063</v>
      </c>
      <c r="J3097" s="11">
        <v>44729.706458333334</v>
      </c>
      <c r="K3097" s="1" t="s">
        <v>7974</v>
      </c>
      <c r="L3097" s="1">
        <v>0.80200000000000005</v>
      </c>
      <c r="M3097" s="1">
        <v>0.64500000000000002</v>
      </c>
      <c r="N3097">
        <v>5</v>
      </c>
      <c r="O3097" s="1">
        <v>-6.181</v>
      </c>
      <c r="P3097">
        <v>0</v>
      </c>
      <c r="Q3097" s="1">
        <v>0.71499999999999997</v>
      </c>
      <c r="R3097" s="1">
        <v>0.27200000000000002</v>
      </c>
      <c r="S3097" s="1">
        <v>0</v>
      </c>
      <c r="T3097" s="1">
        <v>0.11899999999999999</v>
      </c>
      <c r="U3097" s="1">
        <v>0.376</v>
      </c>
      <c r="V3097" s="1">
        <v>100.001</v>
      </c>
      <c r="W3097">
        <v>4</v>
      </c>
    </row>
    <row r="3098" spans="1:23" x14ac:dyDescent="0.25">
      <c r="A3098" s="1" t="s">
        <v>20302</v>
      </c>
      <c r="B3098" s="1" t="s">
        <v>20303</v>
      </c>
      <c r="C3098" s="1" t="s">
        <v>7975</v>
      </c>
      <c r="D3098" s="1" t="s">
        <v>7975</v>
      </c>
      <c r="E3098" s="1" t="s">
        <v>7976</v>
      </c>
      <c r="F3098" s="1" t="s">
        <v>18597</v>
      </c>
      <c r="G3098">
        <v>215315</v>
      </c>
      <c r="H3098">
        <v>65</v>
      </c>
      <c r="I3098" s="1" t="s">
        <v>11063</v>
      </c>
      <c r="J3098" s="11">
        <v>44729.706458333334</v>
      </c>
      <c r="K3098" s="1" t="s">
        <v>7977</v>
      </c>
      <c r="L3098" s="1">
        <v>0.59099999999999997</v>
      </c>
      <c r="M3098" s="1">
        <v>0.70499999999999996</v>
      </c>
      <c r="N3098">
        <v>9</v>
      </c>
      <c r="O3098" s="1">
        <v>-6.5190000000000001</v>
      </c>
      <c r="P3098">
        <v>0</v>
      </c>
      <c r="Q3098" s="1">
        <v>0.79</v>
      </c>
      <c r="R3098" s="1">
        <v>0.38100000000000001</v>
      </c>
      <c r="S3098" s="1">
        <v>0.11600000000000001</v>
      </c>
      <c r="T3098" s="1">
        <v>0.13100000000000001</v>
      </c>
      <c r="U3098" s="1">
        <v>0.27</v>
      </c>
      <c r="V3098" s="1">
        <v>121.79900000000001</v>
      </c>
      <c r="W3098">
        <v>4</v>
      </c>
    </row>
    <row r="3099" spans="1:23" x14ac:dyDescent="0.25">
      <c r="A3099" s="1" t="s">
        <v>20304</v>
      </c>
      <c r="B3099" s="1" t="s">
        <v>20305</v>
      </c>
      <c r="C3099" s="1" t="s">
        <v>7978</v>
      </c>
      <c r="D3099" s="1" t="s">
        <v>7978</v>
      </c>
      <c r="E3099" s="1" t="s">
        <v>7979</v>
      </c>
      <c r="F3099" s="1" t="s">
        <v>17933</v>
      </c>
      <c r="G3099">
        <v>280800</v>
      </c>
      <c r="H3099">
        <v>55</v>
      </c>
      <c r="I3099" s="1" t="s">
        <v>11063</v>
      </c>
      <c r="J3099" s="11">
        <v>44729.706458333334</v>
      </c>
      <c r="K3099" s="1" t="s">
        <v>7980</v>
      </c>
      <c r="L3099" s="1">
        <v>0.49399999999999999</v>
      </c>
      <c r="M3099" s="1">
        <v>0.94499999999999995</v>
      </c>
      <c r="N3099">
        <v>9</v>
      </c>
      <c r="O3099" s="1">
        <v>-2.9820000000000002</v>
      </c>
      <c r="P3099">
        <v>0</v>
      </c>
      <c r="Q3099" s="1">
        <v>0.61699999999999999</v>
      </c>
      <c r="R3099" s="1">
        <v>0.107</v>
      </c>
      <c r="S3099" s="1">
        <v>0</v>
      </c>
      <c r="T3099" s="1">
        <v>0.125</v>
      </c>
      <c r="U3099" s="1">
        <v>0.33300000000000002</v>
      </c>
      <c r="V3099" s="1">
        <v>144.98500000000001</v>
      </c>
      <c r="W3099">
        <v>4</v>
      </c>
    </row>
    <row r="3100" spans="1:23" x14ac:dyDescent="0.25">
      <c r="A3100" s="1" t="s">
        <v>20306</v>
      </c>
      <c r="B3100" s="1" t="s">
        <v>13456</v>
      </c>
      <c r="C3100" s="1" t="s">
        <v>1924</v>
      </c>
      <c r="D3100" s="1" t="s">
        <v>20307</v>
      </c>
      <c r="E3100" s="1" t="s">
        <v>1925</v>
      </c>
      <c r="F3100" s="1" t="s">
        <v>16130</v>
      </c>
      <c r="G3100">
        <v>202125</v>
      </c>
      <c r="H3100">
        <v>0</v>
      </c>
      <c r="I3100" s="1" t="s">
        <v>11063</v>
      </c>
      <c r="J3100" s="11">
        <v>44729.706458333334</v>
      </c>
      <c r="K3100" s="1" t="s">
        <v>50</v>
      </c>
      <c r="L3100" s="1">
        <v>0.36599999999999999</v>
      </c>
      <c r="M3100" s="1">
        <v>0.71799999999999997</v>
      </c>
      <c r="N3100">
        <v>7</v>
      </c>
      <c r="O3100" s="1">
        <v>-4.4960000000000004</v>
      </c>
      <c r="P3100">
        <v>1</v>
      </c>
      <c r="Q3100" s="1">
        <v>0.746</v>
      </c>
      <c r="R3100" s="1">
        <v>0.124</v>
      </c>
      <c r="S3100" s="1">
        <v>0</v>
      </c>
      <c r="T3100" s="1">
        <v>0.16300000000000001</v>
      </c>
      <c r="U3100" s="1">
        <v>0.56999999999999995</v>
      </c>
      <c r="V3100" s="1">
        <v>200.11699999999999</v>
      </c>
      <c r="W3100">
        <v>4</v>
      </c>
    </row>
    <row r="3101" spans="1:23" x14ac:dyDescent="0.25">
      <c r="A3101" s="1" t="s">
        <v>20308</v>
      </c>
      <c r="B3101" s="1" t="s">
        <v>13456</v>
      </c>
      <c r="C3101" s="1" t="s">
        <v>7981</v>
      </c>
      <c r="D3101" s="1" t="s">
        <v>20307</v>
      </c>
      <c r="E3101" s="1" t="s">
        <v>1925</v>
      </c>
      <c r="F3101" s="1" t="s">
        <v>16130</v>
      </c>
      <c r="G3101">
        <v>232800</v>
      </c>
      <c r="H3101">
        <v>0</v>
      </c>
      <c r="I3101" s="1" t="s">
        <v>11063</v>
      </c>
      <c r="J3101" s="11">
        <v>44729.706458333334</v>
      </c>
      <c r="K3101" s="1" t="s">
        <v>50</v>
      </c>
      <c r="L3101" s="1">
        <v>0.66300000000000003</v>
      </c>
      <c r="M3101" s="1">
        <v>0.57099999999999995</v>
      </c>
      <c r="N3101">
        <v>6</v>
      </c>
      <c r="O3101" s="1">
        <v>-6.3920000000000003</v>
      </c>
      <c r="P3101">
        <v>1</v>
      </c>
      <c r="Q3101" s="1">
        <v>0.72099999999999997</v>
      </c>
      <c r="R3101" s="1">
        <v>0.98499999999999999</v>
      </c>
      <c r="S3101" s="1">
        <v>0.748</v>
      </c>
      <c r="T3101" s="1">
        <v>0.155</v>
      </c>
      <c r="U3101" s="1">
        <v>0.13</v>
      </c>
      <c r="V3101" s="1">
        <v>100.042</v>
      </c>
      <c r="W3101">
        <v>4</v>
      </c>
    </row>
    <row r="3102" spans="1:23" x14ac:dyDescent="0.25">
      <c r="A3102" s="1" t="s">
        <v>11801</v>
      </c>
      <c r="B3102" s="1" t="s">
        <v>11802</v>
      </c>
      <c r="C3102" s="1" t="s">
        <v>7982</v>
      </c>
      <c r="D3102" s="1" t="s">
        <v>11215</v>
      </c>
      <c r="E3102" s="1" t="s">
        <v>485</v>
      </c>
      <c r="F3102" s="1" t="s">
        <v>11598</v>
      </c>
      <c r="G3102">
        <v>289760</v>
      </c>
      <c r="H3102">
        <v>45</v>
      </c>
      <c r="I3102" s="1" t="s">
        <v>11063</v>
      </c>
      <c r="J3102" s="11">
        <v>44729.706458333334</v>
      </c>
      <c r="K3102" s="1" t="s">
        <v>320</v>
      </c>
      <c r="L3102" s="1">
        <v>0.56499999999999995</v>
      </c>
      <c r="M3102" s="1">
        <v>0.625</v>
      </c>
      <c r="N3102">
        <v>10</v>
      </c>
      <c r="O3102" s="1">
        <v>-5.617</v>
      </c>
      <c r="P3102">
        <v>0</v>
      </c>
      <c r="Q3102" s="1">
        <v>0.97899999999999998</v>
      </c>
      <c r="R3102" s="1">
        <v>0.214</v>
      </c>
      <c r="S3102" s="1">
        <v>0.28599999999999998</v>
      </c>
      <c r="T3102" s="1">
        <v>0.88400000000000001</v>
      </c>
      <c r="U3102" s="1">
        <v>0.63100000000000001</v>
      </c>
      <c r="V3102" s="1">
        <v>114.821</v>
      </c>
      <c r="W3102">
        <v>4</v>
      </c>
    </row>
    <row r="3103" spans="1:23" x14ac:dyDescent="0.25">
      <c r="A3103" s="1" t="s">
        <v>20309</v>
      </c>
      <c r="B3103" s="1" t="s">
        <v>13456</v>
      </c>
      <c r="C3103" s="1" t="s">
        <v>7983</v>
      </c>
      <c r="D3103" s="1" t="s">
        <v>7983</v>
      </c>
      <c r="E3103" s="1" t="s">
        <v>1925</v>
      </c>
      <c r="F3103" s="1" t="s">
        <v>16174</v>
      </c>
      <c r="G3103">
        <v>216666</v>
      </c>
      <c r="H3103">
        <v>34</v>
      </c>
      <c r="I3103" s="1" t="s">
        <v>11063</v>
      </c>
      <c r="J3103" s="11">
        <v>44729.706458333334</v>
      </c>
      <c r="K3103" s="1" t="s">
        <v>50</v>
      </c>
      <c r="L3103" s="1">
        <v>0.46800000000000003</v>
      </c>
      <c r="M3103" s="1">
        <v>0.68100000000000005</v>
      </c>
      <c r="N3103">
        <v>10</v>
      </c>
      <c r="O3103" s="1">
        <v>-4.5750000000000002</v>
      </c>
      <c r="P3103">
        <v>0</v>
      </c>
      <c r="Q3103" s="1">
        <v>0.4</v>
      </c>
      <c r="R3103" s="1">
        <v>0.11899999999999999</v>
      </c>
      <c r="S3103" s="1">
        <v>0</v>
      </c>
      <c r="T3103" s="1">
        <v>0.60199999999999998</v>
      </c>
      <c r="U3103" s="1">
        <v>0.41299999999999998</v>
      </c>
      <c r="V3103" s="1">
        <v>78.025000000000006</v>
      </c>
      <c r="W3103">
        <v>4</v>
      </c>
    </row>
    <row r="3104" spans="1:23" x14ac:dyDescent="0.25">
      <c r="A3104" s="1" t="s">
        <v>20310</v>
      </c>
      <c r="B3104" s="1" t="s">
        <v>20311</v>
      </c>
      <c r="C3104" s="1" t="s">
        <v>7984</v>
      </c>
      <c r="D3104" s="1" t="s">
        <v>20312</v>
      </c>
      <c r="E3104" s="1" t="s">
        <v>7985</v>
      </c>
      <c r="F3104" s="1" t="s">
        <v>14440</v>
      </c>
      <c r="G3104">
        <v>201375</v>
      </c>
      <c r="H3104">
        <v>47</v>
      </c>
      <c r="I3104" s="1" t="s">
        <v>11063</v>
      </c>
      <c r="J3104" s="11">
        <v>44729.706458333334</v>
      </c>
      <c r="K3104" s="1" t="s">
        <v>7986</v>
      </c>
      <c r="L3104" s="1">
        <v>0.56799999999999995</v>
      </c>
      <c r="M3104" s="1">
        <v>0.88</v>
      </c>
      <c r="N3104">
        <v>2</v>
      </c>
      <c r="O3104" s="1">
        <v>-2.6840000000000002</v>
      </c>
      <c r="P3104">
        <v>1</v>
      </c>
      <c r="Q3104" s="1">
        <v>0.47399999999999998</v>
      </c>
      <c r="R3104" s="1">
        <v>0.19500000000000001</v>
      </c>
      <c r="S3104" s="1">
        <v>0</v>
      </c>
      <c r="T3104" s="1">
        <v>0.123</v>
      </c>
      <c r="U3104" s="1">
        <v>0.77100000000000002</v>
      </c>
      <c r="V3104" s="1">
        <v>159.905</v>
      </c>
      <c r="W3104">
        <v>4</v>
      </c>
    </row>
    <row r="3105" spans="1:23" x14ac:dyDescent="0.25">
      <c r="A3105" s="1" t="s">
        <v>20313</v>
      </c>
      <c r="B3105" s="1" t="s">
        <v>20314</v>
      </c>
      <c r="C3105" s="1" t="s">
        <v>7987</v>
      </c>
      <c r="D3105" s="1" t="s">
        <v>7987</v>
      </c>
      <c r="E3105" s="1" t="s">
        <v>7988</v>
      </c>
      <c r="F3105" s="1" t="s">
        <v>15818</v>
      </c>
      <c r="G3105">
        <v>204583</v>
      </c>
      <c r="H3105">
        <v>58</v>
      </c>
      <c r="I3105" s="1" t="s">
        <v>11063</v>
      </c>
      <c r="J3105" s="11">
        <v>44729.706458333334</v>
      </c>
      <c r="K3105" s="1" t="s">
        <v>7940</v>
      </c>
      <c r="L3105" s="1">
        <v>0.71799999999999997</v>
      </c>
      <c r="M3105" s="1">
        <v>0.92600000000000005</v>
      </c>
      <c r="N3105">
        <v>1</v>
      </c>
      <c r="O3105" s="1">
        <v>-3.5110000000000001</v>
      </c>
      <c r="P3105">
        <v>1</v>
      </c>
      <c r="Q3105" s="1">
        <v>0.49399999999999999</v>
      </c>
      <c r="R3105" s="1">
        <v>0.27</v>
      </c>
      <c r="S3105" s="1">
        <v>0.17599999999999999</v>
      </c>
      <c r="T3105" s="1">
        <v>0.51300000000000001</v>
      </c>
      <c r="U3105" s="1">
        <v>0.54</v>
      </c>
      <c r="V3105" s="1">
        <v>108.018</v>
      </c>
      <c r="W3105">
        <v>4</v>
      </c>
    </row>
    <row r="3106" spans="1:23" x14ac:dyDescent="0.25">
      <c r="A3106" s="1" t="s">
        <v>20315</v>
      </c>
      <c r="B3106" s="1" t="s">
        <v>20316</v>
      </c>
      <c r="C3106" s="1" t="s">
        <v>7989</v>
      </c>
      <c r="D3106" s="1" t="s">
        <v>20270</v>
      </c>
      <c r="E3106" s="1" t="s">
        <v>7990</v>
      </c>
      <c r="F3106" s="1" t="s">
        <v>13569</v>
      </c>
      <c r="G3106">
        <v>218293</v>
      </c>
      <c r="H3106">
        <v>70</v>
      </c>
      <c r="I3106" s="1" t="s">
        <v>11063</v>
      </c>
      <c r="J3106" s="11">
        <v>44729.706458333334</v>
      </c>
      <c r="K3106" s="1" t="s">
        <v>7991</v>
      </c>
      <c r="L3106" s="1">
        <v>0.628</v>
      </c>
      <c r="M3106" s="1">
        <v>0.83299999999999996</v>
      </c>
      <c r="N3106">
        <v>11</v>
      </c>
      <c r="O3106" s="1">
        <v>-4.1260000000000003</v>
      </c>
      <c r="P3106">
        <v>0</v>
      </c>
      <c r="Q3106" s="1">
        <v>0.28199999999999997</v>
      </c>
      <c r="R3106" s="1">
        <v>0.79</v>
      </c>
      <c r="S3106" s="1">
        <v>0.14799999999999999</v>
      </c>
      <c r="T3106" s="1">
        <v>0.74</v>
      </c>
      <c r="U3106" s="1">
        <v>0.56000000000000005</v>
      </c>
      <c r="V3106" s="1">
        <v>128.00299999999999</v>
      </c>
      <c r="W3106">
        <v>4</v>
      </c>
    </row>
    <row r="3107" spans="1:23" x14ac:dyDescent="0.25">
      <c r="A3107" s="1" t="s">
        <v>20317</v>
      </c>
      <c r="B3107" s="1" t="s">
        <v>20318</v>
      </c>
      <c r="C3107" s="1" t="s">
        <v>7992</v>
      </c>
      <c r="D3107" s="1" t="s">
        <v>7992</v>
      </c>
      <c r="E3107" s="1" t="s">
        <v>7993</v>
      </c>
      <c r="F3107" s="1" t="s">
        <v>16196</v>
      </c>
      <c r="G3107">
        <v>180000</v>
      </c>
      <c r="H3107">
        <v>46</v>
      </c>
      <c r="I3107" s="1" t="s">
        <v>11063</v>
      </c>
      <c r="J3107" s="11">
        <v>44729.706458333334</v>
      </c>
      <c r="K3107" s="1" t="s">
        <v>7994</v>
      </c>
      <c r="L3107" s="1">
        <v>0.32600000000000001</v>
      </c>
      <c r="M3107" s="1">
        <v>0.75900000000000001</v>
      </c>
      <c r="N3107">
        <v>7</v>
      </c>
      <c r="O3107" s="1">
        <v>-5.0190000000000001</v>
      </c>
      <c r="P3107">
        <v>1</v>
      </c>
      <c r="Q3107" s="1">
        <v>0.59899999999999998</v>
      </c>
      <c r="R3107" s="1">
        <v>0.16</v>
      </c>
      <c r="S3107" s="1">
        <v>0.878</v>
      </c>
      <c r="T3107" s="1">
        <v>0.80400000000000005</v>
      </c>
      <c r="U3107" s="1">
        <v>0.79700000000000004</v>
      </c>
      <c r="V3107" s="1">
        <v>154.55500000000001</v>
      </c>
      <c r="W3107">
        <v>4</v>
      </c>
    </row>
    <row r="3108" spans="1:23" x14ac:dyDescent="0.25">
      <c r="A3108" s="1" t="s">
        <v>20319</v>
      </c>
      <c r="B3108" s="1" t="s">
        <v>20320</v>
      </c>
      <c r="C3108" s="1" t="s">
        <v>2440</v>
      </c>
      <c r="D3108" s="1" t="s">
        <v>2440</v>
      </c>
      <c r="E3108" s="1" t="s">
        <v>7995</v>
      </c>
      <c r="F3108" s="1" t="s">
        <v>20321</v>
      </c>
      <c r="G3108">
        <v>171428</v>
      </c>
      <c r="H3108">
        <v>41</v>
      </c>
      <c r="I3108" s="1" t="s">
        <v>11063</v>
      </c>
      <c r="J3108" s="11">
        <v>44729.706458333334</v>
      </c>
      <c r="K3108" s="1" t="s">
        <v>996</v>
      </c>
      <c r="L3108" s="1">
        <v>0.80200000000000005</v>
      </c>
      <c r="M3108" s="1">
        <v>0.77900000000000003</v>
      </c>
      <c r="N3108">
        <v>7</v>
      </c>
      <c r="O3108" s="1">
        <v>-4.8419999999999996</v>
      </c>
      <c r="P3108">
        <v>0</v>
      </c>
      <c r="Q3108" s="1">
        <v>0.46500000000000002</v>
      </c>
      <c r="R3108" s="1">
        <v>0.33600000000000002</v>
      </c>
      <c r="S3108" s="1">
        <v>0.19500000000000001</v>
      </c>
      <c r="T3108" s="1">
        <v>0.751</v>
      </c>
      <c r="U3108" s="1">
        <v>0.107</v>
      </c>
      <c r="V3108" s="1">
        <v>104.982</v>
      </c>
      <c r="W3108">
        <v>4</v>
      </c>
    </row>
    <row r="3109" spans="1:23" x14ac:dyDescent="0.25">
      <c r="A3109" s="1" t="s">
        <v>20322</v>
      </c>
      <c r="B3109" s="1" t="s">
        <v>20249</v>
      </c>
      <c r="C3109" s="1" t="s">
        <v>7996</v>
      </c>
      <c r="D3109" s="1" t="s">
        <v>7996</v>
      </c>
      <c r="E3109" s="1" t="s">
        <v>7917</v>
      </c>
      <c r="F3109" s="1" t="s">
        <v>20323</v>
      </c>
      <c r="G3109">
        <v>186749</v>
      </c>
      <c r="H3109">
        <v>38</v>
      </c>
      <c r="I3109" s="1" t="s">
        <v>11063</v>
      </c>
      <c r="J3109" s="11">
        <v>44729.706458333334</v>
      </c>
      <c r="K3109" s="1" t="s">
        <v>996</v>
      </c>
      <c r="L3109" s="1">
        <v>0.70799999999999996</v>
      </c>
      <c r="M3109" s="1">
        <v>0.70299999999999996</v>
      </c>
      <c r="N3109">
        <v>7</v>
      </c>
      <c r="O3109" s="1">
        <v>-7.1950000000000003</v>
      </c>
      <c r="P3109">
        <v>0</v>
      </c>
      <c r="Q3109" s="1">
        <v>0.39</v>
      </c>
      <c r="R3109" s="1">
        <v>0.48299999999999998</v>
      </c>
      <c r="S3109" s="1">
        <v>0.55400000000000005</v>
      </c>
      <c r="T3109" s="1">
        <v>0.126</v>
      </c>
      <c r="U3109" s="1">
        <v>0.36499999999999999</v>
      </c>
      <c r="V3109" s="1">
        <v>130.05600000000001</v>
      </c>
      <c r="W3109">
        <v>4</v>
      </c>
    </row>
    <row r="3110" spans="1:23" x14ac:dyDescent="0.25">
      <c r="A3110" s="1" t="s">
        <v>20324</v>
      </c>
      <c r="B3110" s="1" t="s">
        <v>20208</v>
      </c>
      <c r="C3110" s="1" t="s">
        <v>7997</v>
      </c>
      <c r="D3110" s="1" t="s">
        <v>20325</v>
      </c>
      <c r="E3110" s="1" t="s">
        <v>7887</v>
      </c>
      <c r="F3110" s="1" t="s">
        <v>13922</v>
      </c>
      <c r="G3110">
        <v>186826</v>
      </c>
      <c r="H3110">
        <v>72</v>
      </c>
      <c r="I3110" s="1" t="s">
        <v>11063</v>
      </c>
      <c r="J3110" s="11">
        <v>44729.706458333334</v>
      </c>
      <c r="K3110" s="1" t="s">
        <v>7888</v>
      </c>
      <c r="L3110" s="1">
        <v>0.55800000000000005</v>
      </c>
      <c r="M3110" s="1">
        <v>0.92400000000000004</v>
      </c>
      <c r="N3110">
        <v>9</v>
      </c>
      <c r="O3110" s="1">
        <v>-4.3410000000000002</v>
      </c>
      <c r="P3110">
        <v>0</v>
      </c>
      <c r="Q3110" s="1">
        <v>0.64</v>
      </c>
      <c r="R3110" s="1">
        <v>0.27100000000000002</v>
      </c>
      <c r="S3110" s="1">
        <v>0.33200000000000002</v>
      </c>
      <c r="T3110" s="1">
        <v>0.53700000000000003</v>
      </c>
      <c r="U3110" s="1">
        <v>0.56699999999999995</v>
      </c>
      <c r="V3110" s="1">
        <v>151.99</v>
      </c>
      <c r="W3110">
        <v>4</v>
      </c>
    </row>
    <row r="3111" spans="1:23" x14ac:dyDescent="0.25">
      <c r="A3111" s="1" t="s">
        <v>20326</v>
      </c>
      <c r="B3111" s="1" t="s">
        <v>20327</v>
      </c>
      <c r="C3111" s="1" t="s">
        <v>7998</v>
      </c>
      <c r="D3111" s="1" t="s">
        <v>7998</v>
      </c>
      <c r="E3111" s="1" t="s">
        <v>7999</v>
      </c>
      <c r="F3111" s="1" t="s">
        <v>18453</v>
      </c>
      <c r="G3111">
        <v>260064</v>
      </c>
      <c r="H3111">
        <v>42</v>
      </c>
      <c r="I3111" s="1" t="s">
        <v>11063</v>
      </c>
      <c r="J3111" s="11">
        <v>44729.706458333334</v>
      </c>
      <c r="K3111" s="1" t="s">
        <v>6645</v>
      </c>
      <c r="L3111" s="1">
        <v>0.56100000000000005</v>
      </c>
      <c r="M3111" s="1">
        <v>0.94199999999999995</v>
      </c>
      <c r="N3111">
        <v>4</v>
      </c>
      <c r="O3111" s="1">
        <v>-3.3839999999999999</v>
      </c>
      <c r="P3111">
        <v>0</v>
      </c>
      <c r="Q3111" s="1">
        <v>0.26600000000000001</v>
      </c>
      <c r="R3111" s="1">
        <v>0.51600000000000001</v>
      </c>
      <c r="S3111" s="1">
        <v>0.495</v>
      </c>
      <c r="T3111" s="1">
        <v>0.372</v>
      </c>
      <c r="U3111" s="1">
        <v>0.55000000000000004</v>
      </c>
      <c r="V3111" s="1">
        <v>90.974000000000004</v>
      </c>
      <c r="W3111">
        <v>4</v>
      </c>
    </row>
    <row r="3112" spans="1:23" x14ac:dyDescent="0.25">
      <c r="A3112" s="1" t="s">
        <v>20328</v>
      </c>
      <c r="B3112" s="1" t="s">
        <v>18257</v>
      </c>
      <c r="C3112" s="1" t="s">
        <v>8000</v>
      </c>
      <c r="D3112" s="1" t="s">
        <v>8000</v>
      </c>
      <c r="E3112" s="1" t="s">
        <v>6152</v>
      </c>
      <c r="F3112" s="1" t="s">
        <v>17635</v>
      </c>
      <c r="G3112">
        <v>313521</v>
      </c>
      <c r="H3112">
        <v>33</v>
      </c>
      <c r="I3112" s="1" t="s">
        <v>11063</v>
      </c>
      <c r="J3112" s="11">
        <v>44729.706458333334</v>
      </c>
      <c r="K3112" s="1" t="s">
        <v>2225</v>
      </c>
      <c r="L3112" s="1">
        <v>0.55900000000000005</v>
      </c>
      <c r="M3112" s="1">
        <v>0.89500000000000002</v>
      </c>
      <c r="N3112">
        <v>10</v>
      </c>
      <c r="O3112" s="1">
        <v>-5.2759999999999998</v>
      </c>
      <c r="P3112">
        <v>1</v>
      </c>
      <c r="Q3112" s="1">
        <v>0.51500000000000001</v>
      </c>
      <c r="R3112" s="1">
        <v>0.53300000000000003</v>
      </c>
      <c r="S3112" s="1">
        <v>0.76700000000000002</v>
      </c>
      <c r="T3112" s="1">
        <v>0.89200000000000002</v>
      </c>
      <c r="U3112" s="1">
        <v>0.57099999999999995</v>
      </c>
      <c r="V3112" s="1">
        <v>155.02699999999999</v>
      </c>
      <c r="W3112">
        <v>4</v>
      </c>
    </row>
    <row r="3113" spans="1:23" x14ac:dyDescent="0.25">
      <c r="A3113" s="1" t="s">
        <v>20329</v>
      </c>
      <c r="B3113" s="1" t="s">
        <v>20330</v>
      </c>
      <c r="C3113" s="1" t="s">
        <v>8001</v>
      </c>
      <c r="D3113" s="1" t="s">
        <v>20331</v>
      </c>
      <c r="E3113" s="1" t="s">
        <v>8002</v>
      </c>
      <c r="F3113" s="1" t="s">
        <v>13922</v>
      </c>
      <c r="G3113">
        <v>226613</v>
      </c>
      <c r="H3113">
        <v>39</v>
      </c>
      <c r="I3113" s="1" t="s">
        <v>11063</v>
      </c>
      <c r="J3113" s="11">
        <v>44729.706458333334</v>
      </c>
      <c r="K3113" s="1" t="s">
        <v>8003</v>
      </c>
      <c r="L3113" s="1">
        <v>0.29699999999999999</v>
      </c>
      <c r="M3113" s="1">
        <v>0.79300000000000004</v>
      </c>
      <c r="N3113">
        <v>0</v>
      </c>
      <c r="O3113" s="1">
        <v>-6.3289999999999997</v>
      </c>
      <c r="P3113">
        <v>1</v>
      </c>
      <c r="Q3113" s="1">
        <v>0.14399999999999999</v>
      </c>
      <c r="R3113" s="1">
        <v>0.20100000000000001</v>
      </c>
      <c r="S3113" s="1">
        <v>0.63300000000000001</v>
      </c>
      <c r="T3113" s="1">
        <v>0.11700000000000001</v>
      </c>
      <c r="U3113" s="1">
        <v>0.42799999999999999</v>
      </c>
      <c r="V3113" s="1">
        <v>84.962999999999994</v>
      </c>
      <c r="W3113">
        <v>4</v>
      </c>
    </row>
    <row r="3114" spans="1:23" x14ac:dyDescent="0.25">
      <c r="A3114" s="1" t="s">
        <v>20332</v>
      </c>
      <c r="B3114" s="1" t="s">
        <v>20333</v>
      </c>
      <c r="C3114" s="1" t="s">
        <v>8004</v>
      </c>
      <c r="D3114" s="1" t="s">
        <v>20334</v>
      </c>
      <c r="E3114" s="1" t="s">
        <v>8005</v>
      </c>
      <c r="F3114" s="1" t="s">
        <v>14573</v>
      </c>
      <c r="G3114">
        <v>162383</v>
      </c>
      <c r="H3114">
        <v>52</v>
      </c>
      <c r="I3114" s="1" t="s">
        <v>11063</v>
      </c>
      <c r="J3114" s="11">
        <v>44729.706458333334</v>
      </c>
      <c r="K3114" s="1" t="s">
        <v>8006</v>
      </c>
      <c r="L3114" s="1">
        <v>0.56000000000000005</v>
      </c>
      <c r="M3114" s="1">
        <v>0.91600000000000004</v>
      </c>
      <c r="N3114">
        <v>7</v>
      </c>
      <c r="O3114" s="1">
        <v>-3.3279999999999998</v>
      </c>
      <c r="P3114">
        <v>0</v>
      </c>
      <c r="Q3114" s="1">
        <v>0.66100000000000003</v>
      </c>
      <c r="R3114" s="1">
        <v>0.36199999999999999</v>
      </c>
      <c r="S3114" s="1">
        <v>0.96299999999999997</v>
      </c>
      <c r="T3114" s="1">
        <v>0.10199999999999999</v>
      </c>
      <c r="U3114" s="1">
        <v>0.58499999999999996</v>
      </c>
      <c r="V3114" s="1">
        <v>144.93299999999999</v>
      </c>
      <c r="W3114">
        <v>4</v>
      </c>
    </row>
    <row r="3115" spans="1:23" x14ac:dyDescent="0.25">
      <c r="A3115" s="1" t="s">
        <v>20335</v>
      </c>
      <c r="B3115" s="1" t="s">
        <v>20336</v>
      </c>
      <c r="C3115" s="1" t="s">
        <v>8007</v>
      </c>
      <c r="D3115" s="1" t="s">
        <v>20337</v>
      </c>
      <c r="E3115" s="1" t="s">
        <v>8008</v>
      </c>
      <c r="F3115" s="1" t="s">
        <v>13677</v>
      </c>
      <c r="G3115">
        <v>271749</v>
      </c>
      <c r="H3115">
        <v>60</v>
      </c>
      <c r="I3115" s="1" t="s">
        <v>11063</v>
      </c>
      <c r="J3115" s="11">
        <v>44729.706458333334</v>
      </c>
      <c r="K3115" s="1" t="s">
        <v>8009</v>
      </c>
      <c r="L3115" s="1">
        <v>0.55000000000000004</v>
      </c>
      <c r="M3115" s="1">
        <v>0.85799999999999998</v>
      </c>
      <c r="N3115">
        <v>6</v>
      </c>
      <c r="O3115" s="1">
        <v>-2.58</v>
      </c>
      <c r="P3115">
        <v>1</v>
      </c>
      <c r="Q3115" s="1">
        <v>0.35699999999999998</v>
      </c>
      <c r="R3115" s="1">
        <v>0.41</v>
      </c>
      <c r="S3115" s="1">
        <v>0.19900000000000001</v>
      </c>
      <c r="T3115" s="1">
        <v>0.56200000000000006</v>
      </c>
      <c r="U3115" s="1">
        <v>0.57699999999999996</v>
      </c>
      <c r="V3115" s="1">
        <v>145.16900000000001</v>
      </c>
      <c r="W3115">
        <v>4</v>
      </c>
    </row>
    <row r="3116" spans="1:23" x14ac:dyDescent="0.25">
      <c r="A3116" s="1" t="s">
        <v>20338</v>
      </c>
      <c r="B3116" s="1" t="s">
        <v>20339</v>
      </c>
      <c r="C3116" s="1" t="s">
        <v>8010</v>
      </c>
      <c r="D3116" s="1" t="s">
        <v>8010</v>
      </c>
      <c r="E3116" s="1" t="s">
        <v>8011</v>
      </c>
      <c r="F3116" s="1" t="s">
        <v>13855</v>
      </c>
      <c r="G3116">
        <v>195200</v>
      </c>
      <c r="H3116">
        <v>55</v>
      </c>
      <c r="I3116" s="1" t="s">
        <v>11063</v>
      </c>
      <c r="J3116" s="11">
        <v>44729.706458333334</v>
      </c>
      <c r="K3116" s="1" t="s">
        <v>8012</v>
      </c>
      <c r="L3116" s="1">
        <v>0.57299999999999995</v>
      </c>
      <c r="M3116" s="1">
        <v>0.95099999999999996</v>
      </c>
      <c r="N3116">
        <v>3</v>
      </c>
      <c r="O3116" s="1">
        <v>-1.3759999999999999</v>
      </c>
      <c r="P3116">
        <v>0</v>
      </c>
      <c r="Q3116" s="1">
        <v>0.42099999999999999</v>
      </c>
      <c r="R3116" s="1">
        <v>0.48299999999999998</v>
      </c>
      <c r="S3116" s="1">
        <v>0.45100000000000001</v>
      </c>
      <c r="T3116" s="1">
        <v>0.17199999999999999</v>
      </c>
      <c r="U3116" s="1">
        <v>0.40799999999999997</v>
      </c>
      <c r="V3116" s="1">
        <v>150.06299999999999</v>
      </c>
      <c r="W3116">
        <v>4</v>
      </c>
    </row>
    <row r="3117" spans="1:23" x14ac:dyDescent="0.25">
      <c r="A3117" s="1" t="s">
        <v>20340</v>
      </c>
      <c r="B3117" s="1" t="s">
        <v>20341</v>
      </c>
      <c r="C3117" s="1" t="s">
        <v>8013</v>
      </c>
      <c r="D3117" s="1" t="s">
        <v>20342</v>
      </c>
      <c r="E3117" s="1" t="s">
        <v>8014</v>
      </c>
      <c r="F3117" s="1" t="s">
        <v>16694</v>
      </c>
      <c r="G3117">
        <v>160183</v>
      </c>
      <c r="H3117">
        <v>40</v>
      </c>
      <c r="I3117" s="1" t="s">
        <v>11063</v>
      </c>
      <c r="J3117" s="11">
        <v>44729.706458333334</v>
      </c>
      <c r="K3117" s="1" t="s">
        <v>8015</v>
      </c>
      <c r="L3117" s="1">
        <v>0.626</v>
      </c>
      <c r="M3117" s="1">
        <v>0.8</v>
      </c>
      <c r="N3117">
        <v>1</v>
      </c>
      <c r="O3117" s="1">
        <v>-3.988</v>
      </c>
      <c r="P3117">
        <v>0</v>
      </c>
      <c r="Q3117" s="1">
        <v>0.35</v>
      </c>
      <c r="R3117" s="1">
        <v>0.26700000000000002</v>
      </c>
      <c r="S3117" s="1">
        <v>0.13800000000000001</v>
      </c>
      <c r="T3117" s="1">
        <v>0.623</v>
      </c>
      <c r="U3117" s="1">
        <v>0.25800000000000001</v>
      </c>
      <c r="V3117" s="1">
        <v>127.96599999999999</v>
      </c>
      <c r="W3117">
        <v>4</v>
      </c>
    </row>
    <row r="3118" spans="1:23" x14ac:dyDescent="0.25">
      <c r="A3118" s="1" t="s">
        <v>20343</v>
      </c>
      <c r="B3118" s="1" t="s">
        <v>20344</v>
      </c>
      <c r="C3118" s="1" t="s">
        <v>8016</v>
      </c>
      <c r="D3118" s="1" t="s">
        <v>8016</v>
      </c>
      <c r="E3118" s="1" t="s">
        <v>8017</v>
      </c>
      <c r="F3118" s="1" t="s">
        <v>20345</v>
      </c>
      <c r="G3118">
        <v>314482</v>
      </c>
      <c r="H3118">
        <v>0</v>
      </c>
      <c r="I3118" s="1" t="s">
        <v>11063</v>
      </c>
      <c r="J3118" s="11">
        <v>44729.706458333334</v>
      </c>
      <c r="K3118" s="1" t="s">
        <v>6367</v>
      </c>
      <c r="L3118" s="1">
        <v>0.52200000000000002</v>
      </c>
      <c r="M3118" s="1">
        <v>0.752</v>
      </c>
      <c r="N3118">
        <v>7</v>
      </c>
      <c r="O3118" s="1">
        <v>-5.62</v>
      </c>
      <c r="P3118">
        <v>0</v>
      </c>
      <c r="Q3118" s="1">
        <v>0.55600000000000005</v>
      </c>
      <c r="R3118" s="1">
        <v>0.49399999999999999</v>
      </c>
      <c r="S3118" s="1">
        <v>0.52500000000000002</v>
      </c>
      <c r="T3118" s="1">
        <v>0.111</v>
      </c>
      <c r="U3118" s="1">
        <v>0.38500000000000001</v>
      </c>
      <c r="V3118" s="1">
        <v>173.95599999999999</v>
      </c>
      <c r="W3118">
        <v>4</v>
      </c>
    </row>
    <row r="3119" spans="1:23" x14ac:dyDescent="0.25">
      <c r="A3119" s="1" t="s">
        <v>20346</v>
      </c>
      <c r="B3119" s="1" t="s">
        <v>20347</v>
      </c>
      <c r="C3119" s="1" t="s">
        <v>8018</v>
      </c>
      <c r="D3119" s="1" t="s">
        <v>20348</v>
      </c>
      <c r="E3119" s="1" t="s">
        <v>8019</v>
      </c>
      <c r="F3119" s="1" t="s">
        <v>13314</v>
      </c>
      <c r="G3119">
        <v>247128</v>
      </c>
      <c r="H3119">
        <v>31</v>
      </c>
      <c r="I3119" s="1" t="s">
        <v>11063</v>
      </c>
      <c r="J3119" s="11">
        <v>44729.706458333334</v>
      </c>
      <c r="K3119" s="1" t="s">
        <v>8020</v>
      </c>
      <c r="L3119" s="1">
        <v>0.46800000000000003</v>
      </c>
      <c r="M3119" s="1">
        <v>0.72599999999999998</v>
      </c>
      <c r="N3119">
        <v>2</v>
      </c>
      <c r="O3119" s="1">
        <v>-3.1859999999999999</v>
      </c>
      <c r="P3119">
        <v>0</v>
      </c>
      <c r="Q3119" s="1">
        <v>0.39400000000000002</v>
      </c>
      <c r="R3119" s="1">
        <v>0.86799999999999999</v>
      </c>
      <c r="S3119" s="1">
        <v>0</v>
      </c>
      <c r="T3119" s="1">
        <v>0.151</v>
      </c>
      <c r="U3119" s="1">
        <v>0.32500000000000001</v>
      </c>
      <c r="V3119" s="1">
        <v>100.727</v>
      </c>
      <c r="W3119">
        <v>4</v>
      </c>
    </row>
    <row r="3120" spans="1:23" x14ac:dyDescent="0.25">
      <c r="A3120" s="1" t="s">
        <v>20349</v>
      </c>
      <c r="B3120" s="1" t="s">
        <v>20222</v>
      </c>
      <c r="C3120" s="1" t="s">
        <v>8021</v>
      </c>
      <c r="D3120" s="1" t="s">
        <v>20223</v>
      </c>
      <c r="E3120" s="1" t="s">
        <v>7897</v>
      </c>
      <c r="F3120" s="1" t="s">
        <v>20224</v>
      </c>
      <c r="G3120">
        <v>198800</v>
      </c>
      <c r="H3120">
        <v>32</v>
      </c>
      <c r="I3120" s="1" t="s">
        <v>11063</v>
      </c>
      <c r="J3120" s="11">
        <v>44729.706458333334</v>
      </c>
      <c r="K3120" s="1" t="s">
        <v>996</v>
      </c>
      <c r="L3120" s="1">
        <v>0.59799999999999998</v>
      </c>
      <c r="M3120" s="1">
        <v>0.80400000000000005</v>
      </c>
      <c r="N3120">
        <v>10</v>
      </c>
      <c r="O3120" s="1">
        <v>-5.5679999999999996</v>
      </c>
      <c r="P3120">
        <v>0</v>
      </c>
      <c r="Q3120" s="1">
        <v>0.122</v>
      </c>
      <c r="R3120" s="1">
        <v>0.16700000000000001</v>
      </c>
      <c r="S3120" s="1">
        <v>0.28899999999999998</v>
      </c>
      <c r="T3120" s="1">
        <v>0.246</v>
      </c>
      <c r="U3120" s="1">
        <v>0.52200000000000002</v>
      </c>
      <c r="V3120" s="1">
        <v>150.03200000000001</v>
      </c>
      <c r="W3120">
        <v>4</v>
      </c>
    </row>
    <row r="3121" spans="1:23" x14ac:dyDescent="0.25">
      <c r="A3121" s="1" t="s">
        <v>20350</v>
      </c>
      <c r="B3121" s="1" t="s">
        <v>20222</v>
      </c>
      <c r="C3121" s="1" t="s">
        <v>8022</v>
      </c>
      <c r="D3121" s="1" t="s">
        <v>20223</v>
      </c>
      <c r="E3121" s="1" t="s">
        <v>7897</v>
      </c>
      <c r="F3121" s="1" t="s">
        <v>20224</v>
      </c>
      <c r="G3121">
        <v>174000</v>
      </c>
      <c r="H3121">
        <v>31</v>
      </c>
      <c r="I3121" s="1" t="s">
        <v>11063</v>
      </c>
      <c r="J3121" s="11">
        <v>44729.706458333334</v>
      </c>
      <c r="K3121" s="1" t="s">
        <v>996</v>
      </c>
      <c r="L3121" s="1">
        <v>0.51400000000000001</v>
      </c>
      <c r="M3121" s="1">
        <v>0.879</v>
      </c>
      <c r="N3121">
        <v>8</v>
      </c>
      <c r="O3121" s="1">
        <v>-4.22</v>
      </c>
      <c r="P3121">
        <v>0</v>
      </c>
      <c r="Q3121" s="1">
        <v>0.63600000000000001</v>
      </c>
      <c r="R3121" s="1">
        <v>0.24099999999999999</v>
      </c>
      <c r="S3121" s="1">
        <v>0.995</v>
      </c>
      <c r="T3121" s="1">
        <v>0.56399999999999995</v>
      </c>
      <c r="U3121" s="1">
        <v>0.73699999999999999</v>
      </c>
      <c r="V3121" s="1">
        <v>160.017</v>
      </c>
      <c r="W3121">
        <v>4</v>
      </c>
    </row>
    <row r="3122" spans="1:23" x14ac:dyDescent="0.25">
      <c r="A3122" s="1" t="s">
        <v>20351</v>
      </c>
      <c r="B3122" s="1" t="s">
        <v>20222</v>
      </c>
      <c r="C3122" s="1" t="s">
        <v>3631</v>
      </c>
      <c r="D3122" s="1" t="s">
        <v>20223</v>
      </c>
      <c r="E3122" s="1" t="s">
        <v>7897</v>
      </c>
      <c r="F3122" s="1" t="s">
        <v>20224</v>
      </c>
      <c r="G3122">
        <v>220444</v>
      </c>
      <c r="H3122">
        <v>27</v>
      </c>
      <c r="I3122" s="1" t="s">
        <v>11063</v>
      </c>
      <c r="J3122" s="11">
        <v>44729.706458333334</v>
      </c>
      <c r="K3122" s="1" t="s">
        <v>996</v>
      </c>
      <c r="L3122" s="1">
        <v>0.56899999999999995</v>
      </c>
      <c r="M3122" s="1">
        <v>0.66500000000000004</v>
      </c>
      <c r="N3122">
        <v>11</v>
      </c>
      <c r="O3122" s="1">
        <v>-5.0609999999999999</v>
      </c>
      <c r="P3122">
        <v>1</v>
      </c>
      <c r="Q3122" s="1">
        <v>0.26100000000000001</v>
      </c>
      <c r="R3122" s="1">
        <v>0.40699999999999997</v>
      </c>
      <c r="S3122" s="1">
        <v>0.127</v>
      </c>
      <c r="T3122" s="1">
        <v>0.109</v>
      </c>
      <c r="U3122" s="1">
        <v>0.214</v>
      </c>
      <c r="V3122" s="1">
        <v>135.054</v>
      </c>
      <c r="W3122">
        <v>4</v>
      </c>
    </row>
    <row r="3123" spans="1:23" x14ac:dyDescent="0.25">
      <c r="A3123" s="1" t="s">
        <v>20352</v>
      </c>
      <c r="B3123" s="1" t="s">
        <v>20222</v>
      </c>
      <c r="C3123" s="1" t="s">
        <v>8023</v>
      </c>
      <c r="D3123" s="1" t="s">
        <v>20223</v>
      </c>
      <c r="E3123" s="1" t="s">
        <v>7897</v>
      </c>
      <c r="F3123" s="1" t="s">
        <v>20224</v>
      </c>
      <c r="G3123">
        <v>216000</v>
      </c>
      <c r="H3123">
        <v>36</v>
      </c>
      <c r="I3123" s="1" t="s">
        <v>11063</v>
      </c>
      <c r="J3123" s="11">
        <v>44729.706458333334</v>
      </c>
      <c r="K3123" s="1" t="s">
        <v>996</v>
      </c>
      <c r="L3123" s="1">
        <v>0.64600000000000002</v>
      </c>
      <c r="M3123" s="1">
        <v>0.91800000000000004</v>
      </c>
      <c r="N3123">
        <v>0</v>
      </c>
      <c r="O3123" s="1">
        <v>-3.7090000000000001</v>
      </c>
      <c r="P3123">
        <v>1</v>
      </c>
      <c r="Q3123" s="1">
        <v>0.41699999999999998</v>
      </c>
      <c r="R3123" s="1">
        <v>0.23499999999999999</v>
      </c>
      <c r="S3123" s="1">
        <v>0.41</v>
      </c>
      <c r="T3123" s="1">
        <v>0.89100000000000001</v>
      </c>
      <c r="U3123" s="1">
        <v>0.40100000000000002</v>
      </c>
      <c r="V3123" s="1">
        <v>140.02799999999999</v>
      </c>
      <c r="W3123">
        <v>4</v>
      </c>
    </row>
    <row r="3124" spans="1:23" x14ac:dyDescent="0.25">
      <c r="A3124" s="1" t="s">
        <v>20353</v>
      </c>
      <c r="B3124" s="1" t="s">
        <v>20222</v>
      </c>
      <c r="C3124" s="1" t="s">
        <v>8024</v>
      </c>
      <c r="D3124" s="1" t="s">
        <v>20223</v>
      </c>
      <c r="E3124" s="1" t="s">
        <v>7897</v>
      </c>
      <c r="F3124" s="1" t="s">
        <v>20224</v>
      </c>
      <c r="G3124">
        <v>186000</v>
      </c>
      <c r="H3124">
        <v>30</v>
      </c>
      <c r="I3124" s="1" t="s">
        <v>11063</v>
      </c>
      <c r="J3124" s="11">
        <v>44729.706458333334</v>
      </c>
      <c r="K3124" s="1" t="s">
        <v>996</v>
      </c>
      <c r="L3124" s="1">
        <v>0.60099999999999998</v>
      </c>
      <c r="M3124" s="1">
        <v>0.752</v>
      </c>
      <c r="N3124">
        <v>2</v>
      </c>
      <c r="O3124" s="1">
        <v>-3.6989999999999998</v>
      </c>
      <c r="P3124">
        <v>1</v>
      </c>
      <c r="Q3124" s="1">
        <v>0.51600000000000001</v>
      </c>
      <c r="R3124" s="1">
        <v>0.371</v>
      </c>
      <c r="S3124" s="1">
        <v>0.247</v>
      </c>
      <c r="T3124" s="1">
        <v>0.11</v>
      </c>
      <c r="U3124" s="1">
        <v>0.28199999999999997</v>
      </c>
      <c r="V3124" s="1">
        <v>160.06100000000001</v>
      </c>
      <c r="W3124">
        <v>4</v>
      </c>
    </row>
    <row r="3125" spans="1:23" x14ac:dyDescent="0.25">
      <c r="A3125" s="1" t="s">
        <v>20354</v>
      </c>
      <c r="B3125" s="1" t="s">
        <v>20222</v>
      </c>
      <c r="C3125" s="1" t="s">
        <v>72</v>
      </c>
      <c r="D3125" s="1" t="s">
        <v>20223</v>
      </c>
      <c r="E3125" s="1" t="s">
        <v>7897</v>
      </c>
      <c r="F3125" s="1" t="s">
        <v>20224</v>
      </c>
      <c r="G3125">
        <v>172800</v>
      </c>
      <c r="H3125">
        <v>29</v>
      </c>
      <c r="I3125" s="1" t="s">
        <v>11063</v>
      </c>
      <c r="J3125" s="11">
        <v>44729.706458333334</v>
      </c>
      <c r="K3125" s="1" t="s">
        <v>996</v>
      </c>
      <c r="L3125" s="1">
        <v>0.48399999999999999</v>
      </c>
      <c r="M3125" s="1">
        <v>0.77100000000000002</v>
      </c>
      <c r="N3125">
        <v>0</v>
      </c>
      <c r="O3125" s="1">
        <v>-5.0330000000000004</v>
      </c>
      <c r="P3125">
        <v>0</v>
      </c>
      <c r="Q3125" s="1">
        <v>0.33700000000000002</v>
      </c>
      <c r="R3125" s="1">
        <v>0.41199999999999998</v>
      </c>
      <c r="S3125" s="1">
        <v>0.498</v>
      </c>
      <c r="T3125" s="1">
        <v>0.109</v>
      </c>
      <c r="U3125" s="1">
        <v>0.246</v>
      </c>
      <c r="V3125" s="1">
        <v>150.04400000000001</v>
      </c>
      <c r="W3125">
        <v>4</v>
      </c>
    </row>
    <row r="3126" spans="1:23" x14ac:dyDescent="0.25">
      <c r="A3126" s="1" t="s">
        <v>20355</v>
      </c>
      <c r="B3126" s="1" t="s">
        <v>20222</v>
      </c>
      <c r="C3126" s="1" t="s">
        <v>8025</v>
      </c>
      <c r="D3126" s="1" t="s">
        <v>20356</v>
      </c>
      <c r="E3126" s="1" t="s">
        <v>7897</v>
      </c>
      <c r="F3126" s="1" t="s">
        <v>11685</v>
      </c>
      <c r="G3126">
        <v>212571</v>
      </c>
      <c r="H3126">
        <v>29</v>
      </c>
      <c r="I3126" s="1" t="s">
        <v>11063</v>
      </c>
      <c r="J3126" s="11">
        <v>44729.706458333334</v>
      </c>
      <c r="K3126" s="1" t="s">
        <v>996</v>
      </c>
      <c r="L3126" s="1">
        <v>0.54700000000000004</v>
      </c>
      <c r="M3126" s="1">
        <v>0.66100000000000003</v>
      </c>
      <c r="N3126">
        <v>11</v>
      </c>
      <c r="O3126" s="1">
        <v>-6.2910000000000004</v>
      </c>
      <c r="P3126">
        <v>0</v>
      </c>
      <c r="Q3126" s="1">
        <v>0.51500000000000001</v>
      </c>
      <c r="R3126" s="1">
        <v>0.39500000000000002</v>
      </c>
      <c r="S3126" s="1">
        <v>0.17399999999999999</v>
      </c>
      <c r="T3126" s="1">
        <v>0.113</v>
      </c>
      <c r="U3126" s="1">
        <v>0.35299999999999998</v>
      </c>
      <c r="V3126" s="1">
        <v>139.929</v>
      </c>
      <c r="W3126">
        <v>4</v>
      </c>
    </row>
    <row r="3127" spans="1:23" x14ac:dyDescent="0.25">
      <c r="A3127" s="1" t="s">
        <v>20357</v>
      </c>
      <c r="B3127" s="1" t="s">
        <v>20222</v>
      </c>
      <c r="C3127" s="1" t="s">
        <v>8026</v>
      </c>
      <c r="D3127" s="1" t="s">
        <v>20356</v>
      </c>
      <c r="E3127" s="1" t="s">
        <v>7897</v>
      </c>
      <c r="F3127" s="1" t="s">
        <v>11685</v>
      </c>
      <c r="G3127">
        <v>233142</v>
      </c>
      <c r="H3127">
        <v>42</v>
      </c>
      <c r="I3127" s="1" t="s">
        <v>11063</v>
      </c>
      <c r="J3127" s="11">
        <v>44729.706458333334</v>
      </c>
      <c r="K3127" s="1" t="s">
        <v>996</v>
      </c>
      <c r="L3127" s="1">
        <v>0.60399999999999998</v>
      </c>
      <c r="M3127" s="1">
        <v>0.93200000000000005</v>
      </c>
      <c r="N3127">
        <v>11</v>
      </c>
      <c r="O3127" s="1">
        <v>-3.9860000000000002</v>
      </c>
      <c r="P3127">
        <v>0</v>
      </c>
      <c r="Q3127" s="1">
        <v>0.308</v>
      </c>
      <c r="R3127" s="1">
        <v>0.68700000000000006</v>
      </c>
      <c r="S3127" s="1">
        <v>0.13100000000000001</v>
      </c>
      <c r="T3127" s="1">
        <v>0.80600000000000005</v>
      </c>
      <c r="U3127" s="1">
        <v>0.307</v>
      </c>
      <c r="V3127" s="1">
        <v>140.108</v>
      </c>
      <c r="W3127">
        <v>4</v>
      </c>
    </row>
    <row r="3128" spans="1:23" x14ac:dyDescent="0.25">
      <c r="A3128" s="1" t="s">
        <v>20358</v>
      </c>
      <c r="B3128" s="1" t="s">
        <v>20222</v>
      </c>
      <c r="C3128" s="1" t="s">
        <v>2440</v>
      </c>
      <c r="D3128" s="1" t="s">
        <v>20356</v>
      </c>
      <c r="E3128" s="1" t="s">
        <v>7897</v>
      </c>
      <c r="F3128" s="1" t="s">
        <v>11685</v>
      </c>
      <c r="G3128">
        <v>240000</v>
      </c>
      <c r="H3128">
        <v>54</v>
      </c>
      <c r="I3128" s="1" t="s">
        <v>11063</v>
      </c>
      <c r="J3128" s="11">
        <v>44729.706458333334</v>
      </c>
      <c r="K3128" s="1" t="s">
        <v>996</v>
      </c>
      <c r="L3128" s="1">
        <v>0.59399999999999997</v>
      </c>
      <c r="M3128" s="1">
        <v>0.91600000000000004</v>
      </c>
      <c r="N3128">
        <v>11</v>
      </c>
      <c r="O3128" s="1">
        <v>-4.1580000000000004</v>
      </c>
      <c r="P3128">
        <v>1</v>
      </c>
      <c r="Q3128" s="1">
        <v>0.33100000000000002</v>
      </c>
      <c r="R3128" s="1">
        <v>0.58499999999999996</v>
      </c>
      <c r="S3128" s="1">
        <v>0.63500000000000001</v>
      </c>
      <c r="T3128" s="1">
        <v>0.85399999999999998</v>
      </c>
      <c r="U3128" s="1">
        <v>0.32</v>
      </c>
      <c r="V3128" s="1">
        <v>140.011</v>
      </c>
      <c r="W3128">
        <v>4</v>
      </c>
    </row>
    <row r="3129" spans="1:23" x14ac:dyDescent="0.25">
      <c r="A3129" s="1" t="s">
        <v>20359</v>
      </c>
      <c r="B3129" s="1" t="s">
        <v>20222</v>
      </c>
      <c r="C3129" s="1" t="s">
        <v>8027</v>
      </c>
      <c r="D3129" s="1" t="s">
        <v>20356</v>
      </c>
      <c r="E3129" s="1" t="s">
        <v>7897</v>
      </c>
      <c r="F3129" s="1" t="s">
        <v>11685</v>
      </c>
      <c r="G3129">
        <v>240000</v>
      </c>
      <c r="H3129">
        <v>28</v>
      </c>
      <c r="I3129" s="1" t="s">
        <v>11063</v>
      </c>
      <c r="J3129" s="11">
        <v>44729.706458333334</v>
      </c>
      <c r="K3129" s="1" t="s">
        <v>996</v>
      </c>
      <c r="L3129" s="1">
        <v>0.60399999999999998</v>
      </c>
      <c r="M3129" s="1">
        <v>0.85399999999999998</v>
      </c>
      <c r="N3129">
        <v>1</v>
      </c>
      <c r="O3129" s="1">
        <v>-4.3739999999999997</v>
      </c>
      <c r="P3129">
        <v>0</v>
      </c>
      <c r="Q3129" s="1">
        <v>0.35099999999999998</v>
      </c>
      <c r="R3129" s="1">
        <v>0.11</v>
      </c>
      <c r="S3129" s="1">
        <v>0.51500000000000001</v>
      </c>
      <c r="T3129" s="1">
        <v>0.188</v>
      </c>
      <c r="U3129" s="1">
        <v>0.13400000000000001</v>
      </c>
      <c r="V3129" s="1">
        <v>140.01</v>
      </c>
      <c r="W3129">
        <v>4</v>
      </c>
    </row>
    <row r="3130" spans="1:23" x14ac:dyDescent="0.25">
      <c r="A3130" s="1" t="s">
        <v>20360</v>
      </c>
      <c r="B3130" s="1" t="s">
        <v>20222</v>
      </c>
      <c r="C3130" s="1" t="s">
        <v>8028</v>
      </c>
      <c r="D3130" s="1" t="s">
        <v>20356</v>
      </c>
      <c r="E3130" s="1" t="s">
        <v>7897</v>
      </c>
      <c r="F3130" s="1" t="s">
        <v>11685</v>
      </c>
      <c r="G3130">
        <v>147428</v>
      </c>
      <c r="H3130">
        <v>43</v>
      </c>
      <c r="I3130" s="1" t="s">
        <v>11063</v>
      </c>
      <c r="J3130" s="11">
        <v>44729.706458333334</v>
      </c>
      <c r="K3130" s="1" t="s">
        <v>996</v>
      </c>
      <c r="L3130" s="1">
        <v>0.60799999999999998</v>
      </c>
      <c r="M3130" s="1">
        <v>0.90500000000000003</v>
      </c>
      <c r="N3130">
        <v>7</v>
      </c>
      <c r="O3130" s="1">
        <v>-6.7850000000000001</v>
      </c>
      <c r="P3130">
        <v>1</v>
      </c>
      <c r="Q3130" s="1">
        <v>0.78200000000000003</v>
      </c>
      <c r="R3130" s="1">
        <v>0.77400000000000002</v>
      </c>
      <c r="S3130" s="1">
        <v>0.13300000000000001</v>
      </c>
      <c r="T3130" s="1">
        <v>0.38600000000000001</v>
      </c>
      <c r="U3130" s="1">
        <v>0.49399999999999999</v>
      </c>
      <c r="V3130" s="1">
        <v>139.93199999999999</v>
      </c>
      <c r="W3130">
        <v>4</v>
      </c>
    </row>
    <row r="3131" spans="1:23" x14ac:dyDescent="0.25">
      <c r="A3131" s="1" t="s">
        <v>20361</v>
      </c>
      <c r="B3131" s="1" t="s">
        <v>20222</v>
      </c>
      <c r="C3131" s="1" t="s">
        <v>8029</v>
      </c>
      <c r="D3131" s="1" t="s">
        <v>20356</v>
      </c>
      <c r="E3131" s="1" t="s">
        <v>7897</v>
      </c>
      <c r="F3131" s="1" t="s">
        <v>11685</v>
      </c>
      <c r="G3131">
        <v>220800</v>
      </c>
      <c r="H3131">
        <v>34</v>
      </c>
      <c r="I3131" s="1" t="s">
        <v>11063</v>
      </c>
      <c r="J3131" s="11">
        <v>44729.706458333334</v>
      </c>
      <c r="K3131" s="1" t="s">
        <v>996</v>
      </c>
      <c r="L3131" s="1">
        <v>0.59899999999999998</v>
      </c>
      <c r="M3131" s="1">
        <v>0.68400000000000005</v>
      </c>
      <c r="N3131">
        <v>7</v>
      </c>
      <c r="O3131" s="1">
        <v>-4.218</v>
      </c>
      <c r="P3131">
        <v>1</v>
      </c>
      <c r="Q3131" s="1">
        <v>0.36599999999999999</v>
      </c>
      <c r="R3131" s="1">
        <v>0.39400000000000002</v>
      </c>
      <c r="S3131" s="1">
        <v>0.996</v>
      </c>
      <c r="T3131" s="1">
        <v>0.14499999999999999</v>
      </c>
      <c r="U3131" s="1">
        <v>0.20799999999999999</v>
      </c>
      <c r="V3131" s="1">
        <v>99.981999999999999</v>
      </c>
      <c r="W3131">
        <v>4</v>
      </c>
    </row>
    <row r="3132" spans="1:23" x14ac:dyDescent="0.25">
      <c r="A3132" s="1" t="s">
        <v>20362</v>
      </c>
      <c r="B3132" s="1" t="s">
        <v>20222</v>
      </c>
      <c r="C3132" s="1" t="s">
        <v>8030</v>
      </c>
      <c r="D3132" s="1" t="s">
        <v>20363</v>
      </c>
      <c r="E3132" s="1" t="s">
        <v>7897</v>
      </c>
      <c r="F3132" s="1" t="s">
        <v>16886</v>
      </c>
      <c r="G3132">
        <v>196500</v>
      </c>
      <c r="H3132">
        <v>48</v>
      </c>
      <c r="I3132" s="1" t="s">
        <v>11063</v>
      </c>
      <c r="J3132" s="11">
        <v>44729.706458333334</v>
      </c>
      <c r="K3132" s="1" t="s">
        <v>996</v>
      </c>
      <c r="L3132" s="1">
        <v>0.56799999999999995</v>
      </c>
      <c r="M3132" s="1">
        <v>0.80200000000000005</v>
      </c>
      <c r="N3132">
        <v>7</v>
      </c>
      <c r="O3132" s="1">
        <v>-5.0339999999999998</v>
      </c>
      <c r="P3132">
        <v>0</v>
      </c>
      <c r="Q3132" s="1">
        <v>0.35399999999999998</v>
      </c>
      <c r="R3132" s="1">
        <v>0.13300000000000001</v>
      </c>
      <c r="S3132" s="1">
        <v>0.224</v>
      </c>
      <c r="T3132" s="1">
        <v>0.98299999999999998</v>
      </c>
      <c r="U3132" s="1">
        <v>0.35199999999999998</v>
      </c>
      <c r="V3132" s="1">
        <v>159.84399999999999</v>
      </c>
      <c r="W3132">
        <v>4</v>
      </c>
    </row>
    <row r="3133" spans="1:23" x14ac:dyDescent="0.25">
      <c r="A3133" s="1" t="s">
        <v>20364</v>
      </c>
      <c r="B3133" s="1" t="s">
        <v>20222</v>
      </c>
      <c r="C3133" s="1" t="s">
        <v>416</v>
      </c>
      <c r="D3133" s="1" t="s">
        <v>20363</v>
      </c>
      <c r="E3133" s="1" t="s">
        <v>7897</v>
      </c>
      <c r="F3133" s="1" t="s">
        <v>16886</v>
      </c>
      <c r="G3133">
        <v>224000</v>
      </c>
      <c r="H3133">
        <v>45</v>
      </c>
      <c r="I3133" s="1" t="s">
        <v>11063</v>
      </c>
      <c r="J3133" s="11">
        <v>44729.706458333334</v>
      </c>
      <c r="K3133" s="1" t="s">
        <v>996</v>
      </c>
      <c r="L3133" s="1">
        <v>0.55800000000000005</v>
      </c>
      <c r="M3133" s="1">
        <v>0.78500000000000003</v>
      </c>
      <c r="N3133">
        <v>7</v>
      </c>
      <c r="O3133" s="1">
        <v>-3.58</v>
      </c>
      <c r="P3133">
        <v>1</v>
      </c>
      <c r="Q3133" s="1">
        <v>0.34200000000000003</v>
      </c>
      <c r="R3133" s="1">
        <v>0.61399999999999999</v>
      </c>
      <c r="S3133" s="1">
        <v>0.58599999999999997</v>
      </c>
      <c r="T3133" s="1">
        <v>0.94099999999999995</v>
      </c>
      <c r="U3133" s="1">
        <v>0.84299999999999997</v>
      </c>
      <c r="V3133" s="1">
        <v>149.92099999999999</v>
      </c>
      <c r="W3133">
        <v>4</v>
      </c>
    </row>
    <row r="3134" spans="1:23" x14ac:dyDescent="0.25">
      <c r="A3134" s="1" t="s">
        <v>20365</v>
      </c>
      <c r="B3134" s="1" t="s">
        <v>20222</v>
      </c>
      <c r="C3134" s="1" t="s">
        <v>8031</v>
      </c>
      <c r="D3134" s="1" t="s">
        <v>20363</v>
      </c>
      <c r="E3134" s="1" t="s">
        <v>7897</v>
      </c>
      <c r="F3134" s="1" t="s">
        <v>16886</v>
      </c>
      <c r="G3134">
        <v>250285</v>
      </c>
      <c r="H3134">
        <v>35</v>
      </c>
      <c r="I3134" s="1" t="s">
        <v>11063</v>
      </c>
      <c r="J3134" s="11">
        <v>44729.706458333334</v>
      </c>
      <c r="K3134" s="1" t="s">
        <v>996</v>
      </c>
      <c r="L3134" s="1">
        <v>0.56599999999999995</v>
      </c>
      <c r="M3134" s="1">
        <v>0.56399999999999995</v>
      </c>
      <c r="N3134">
        <v>7</v>
      </c>
      <c r="O3134" s="1">
        <v>-7.3970000000000002</v>
      </c>
      <c r="P3134">
        <v>0</v>
      </c>
      <c r="Q3134" s="1">
        <v>0.32</v>
      </c>
      <c r="R3134" s="1">
        <v>0.29699999999999999</v>
      </c>
      <c r="S3134" s="1">
        <v>0.10199999999999999</v>
      </c>
      <c r="T3134" s="1">
        <v>0.92800000000000005</v>
      </c>
      <c r="U3134" s="1">
        <v>0.13300000000000001</v>
      </c>
      <c r="V3134" s="1">
        <v>140.05099999999999</v>
      </c>
      <c r="W3134">
        <v>4</v>
      </c>
    </row>
    <row r="3135" spans="1:23" x14ac:dyDescent="0.25">
      <c r="A3135" s="1" t="s">
        <v>20366</v>
      </c>
      <c r="B3135" s="1" t="s">
        <v>20222</v>
      </c>
      <c r="C3135" s="1" t="s">
        <v>483</v>
      </c>
      <c r="D3135" s="1" t="s">
        <v>20363</v>
      </c>
      <c r="E3135" s="1" t="s">
        <v>7897</v>
      </c>
      <c r="F3135" s="1" t="s">
        <v>16886</v>
      </c>
      <c r="G3135">
        <v>213000</v>
      </c>
      <c r="H3135">
        <v>46</v>
      </c>
      <c r="I3135" s="1" t="s">
        <v>11063</v>
      </c>
      <c r="J3135" s="11">
        <v>44729.706458333334</v>
      </c>
      <c r="K3135" s="1" t="s">
        <v>996</v>
      </c>
      <c r="L3135" s="1">
        <v>0.61399999999999999</v>
      </c>
      <c r="M3135" s="1">
        <v>0.872</v>
      </c>
      <c r="N3135">
        <v>0</v>
      </c>
      <c r="O3135" s="1">
        <v>-3.3290000000000002</v>
      </c>
      <c r="P3135">
        <v>0</v>
      </c>
      <c r="Q3135" s="1">
        <v>0.57299999999999995</v>
      </c>
      <c r="R3135" s="1">
        <v>0.33300000000000002</v>
      </c>
      <c r="S3135" s="1">
        <v>0.10299999999999999</v>
      </c>
      <c r="T3135" s="1">
        <v>0.16400000000000001</v>
      </c>
      <c r="U3135" s="1">
        <v>0.39</v>
      </c>
      <c r="V3135" s="1">
        <v>159.99700000000001</v>
      </c>
      <c r="W3135">
        <v>4</v>
      </c>
    </row>
    <row r="3136" spans="1:23" x14ac:dyDescent="0.25">
      <c r="A3136" s="1" t="s">
        <v>20367</v>
      </c>
      <c r="B3136" s="1" t="s">
        <v>20222</v>
      </c>
      <c r="C3136" s="1" t="s">
        <v>8032</v>
      </c>
      <c r="D3136" s="1" t="s">
        <v>7456</v>
      </c>
      <c r="E3136" s="1" t="s">
        <v>7897</v>
      </c>
      <c r="F3136" s="1" t="s">
        <v>17697</v>
      </c>
      <c r="G3136">
        <v>270222</v>
      </c>
      <c r="H3136">
        <v>38</v>
      </c>
      <c r="I3136" s="1" t="s">
        <v>11063</v>
      </c>
      <c r="J3136" s="11">
        <v>44729.706458333334</v>
      </c>
      <c r="K3136" s="1" t="s">
        <v>996</v>
      </c>
      <c r="L3136" s="1">
        <v>0.57999999999999996</v>
      </c>
      <c r="M3136" s="1">
        <v>0.72199999999999998</v>
      </c>
      <c r="N3136">
        <v>4</v>
      </c>
      <c r="O3136" s="1">
        <v>-6.2149999999999999</v>
      </c>
      <c r="P3136">
        <v>1</v>
      </c>
      <c r="Q3136" s="1">
        <v>0.312</v>
      </c>
      <c r="R3136" s="1">
        <v>0.10299999999999999</v>
      </c>
      <c r="S3136" s="1">
        <v>0.109</v>
      </c>
      <c r="T3136" s="1">
        <v>0.124</v>
      </c>
      <c r="U3136" s="1">
        <v>0.39500000000000002</v>
      </c>
      <c r="V3136" s="1">
        <v>134.971</v>
      </c>
      <c r="W3136">
        <v>4</v>
      </c>
    </row>
    <row r="3137" spans="1:23" x14ac:dyDescent="0.25">
      <c r="A3137" s="1" t="s">
        <v>20368</v>
      </c>
      <c r="B3137" s="1" t="s">
        <v>20222</v>
      </c>
      <c r="C3137" s="1" t="s">
        <v>7803</v>
      </c>
      <c r="D3137" s="1" t="s">
        <v>7456</v>
      </c>
      <c r="E3137" s="1" t="s">
        <v>7897</v>
      </c>
      <c r="F3137" s="1" t="s">
        <v>17697</v>
      </c>
      <c r="G3137">
        <v>232619</v>
      </c>
      <c r="H3137">
        <v>33</v>
      </c>
      <c r="I3137" s="1" t="s">
        <v>11063</v>
      </c>
      <c r="J3137" s="11">
        <v>44729.706458333334</v>
      </c>
      <c r="K3137" s="1" t="s">
        <v>996</v>
      </c>
      <c r="L3137" s="1">
        <v>0.39200000000000002</v>
      </c>
      <c r="M3137" s="1">
        <v>0.73299999999999998</v>
      </c>
      <c r="N3137">
        <v>8</v>
      </c>
      <c r="O3137" s="1">
        <v>-6.6609999999999996</v>
      </c>
      <c r="P3137">
        <v>0</v>
      </c>
      <c r="Q3137" s="1">
        <v>0.40200000000000002</v>
      </c>
      <c r="R3137" s="1">
        <v>0.151</v>
      </c>
      <c r="S3137" s="1">
        <v>0.77600000000000002</v>
      </c>
      <c r="T3137" s="1">
        <v>0.127</v>
      </c>
      <c r="U3137" s="1">
        <v>0.33400000000000002</v>
      </c>
      <c r="V3137" s="1">
        <v>136.69499999999999</v>
      </c>
      <c r="W3137">
        <v>4</v>
      </c>
    </row>
    <row r="3138" spans="1:23" x14ac:dyDescent="0.25">
      <c r="A3138" s="1" t="s">
        <v>20369</v>
      </c>
      <c r="B3138" s="1" t="s">
        <v>20370</v>
      </c>
      <c r="C3138" s="1" t="s">
        <v>8033</v>
      </c>
      <c r="D3138" s="1" t="s">
        <v>8033</v>
      </c>
      <c r="E3138" s="1" t="s">
        <v>8034</v>
      </c>
      <c r="F3138" s="1" t="s">
        <v>20371</v>
      </c>
      <c r="G3138">
        <v>190651</v>
      </c>
      <c r="H3138">
        <v>28</v>
      </c>
      <c r="I3138" s="1" t="s">
        <v>11063</v>
      </c>
      <c r="J3138" s="11">
        <v>44729.706458333334</v>
      </c>
      <c r="K3138" s="1" t="s">
        <v>8035</v>
      </c>
      <c r="L3138" s="1">
        <v>0.49</v>
      </c>
      <c r="M3138" s="1">
        <v>0.61699999999999999</v>
      </c>
      <c r="N3138">
        <v>11</v>
      </c>
      <c r="O3138" s="1">
        <v>-2.7160000000000002</v>
      </c>
      <c r="P3138">
        <v>0</v>
      </c>
      <c r="Q3138" s="1">
        <v>0.26500000000000001</v>
      </c>
      <c r="R3138" s="1">
        <v>0.76400000000000001</v>
      </c>
      <c r="S3138" s="1">
        <v>0.498</v>
      </c>
      <c r="T3138" s="1">
        <v>0.18</v>
      </c>
      <c r="U3138" s="1">
        <v>0.502</v>
      </c>
      <c r="V3138" s="1">
        <v>88.813000000000002</v>
      </c>
      <c r="W3138">
        <v>5</v>
      </c>
    </row>
    <row r="3139" spans="1:23" x14ac:dyDescent="0.25">
      <c r="A3139" s="1" t="s">
        <v>20372</v>
      </c>
      <c r="B3139" s="1" t="s">
        <v>20373</v>
      </c>
      <c r="C3139" s="1" t="s">
        <v>8036</v>
      </c>
      <c r="D3139" s="1" t="s">
        <v>8036</v>
      </c>
      <c r="E3139" s="1" t="s">
        <v>8037</v>
      </c>
      <c r="F3139" s="1" t="s">
        <v>20374</v>
      </c>
      <c r="G3139">
        <v>185525</v>
      </c>
      <c r="H3139">
        <v>30</v>
      </c>
      <c r="I3139" s="1" t="s">
        <v>11063</v>
      </c>
      <c r="J3139" s="11">
        <v>44729.706458333334</v>
      </c>
      <c r="K3139" s="1" t="s">
        <v>8038</v>
      </c>
      <c r="L3139" s="1">
        <v>0.878</v>
      </c>
      <c r="M3139" s="1">
        <v>0.61299999999999999</v>
      </c>
      <c r="N3139">
        <v>2</v>
      </c>
      <c r="O3139" s="1">
        <v>-3.8730000000000002</v>
      </c>
      <c r="P3139">
        <v>1</v>
      </c>
      <c r="Q3139" s="1">
        <v>0.13</v>
      </c>
      <c r="R3139" s="1">
        <v>0.126</v>
      </c>
      <c r="S3139" s="1">
        <v>0</v>
      </c>
      <c r="T3139" s="1">
        <v>0.19400000000000001</v>
      </c>
      <c r="U3139" s="1">
        <v>0.753</v>
      </c>
      <c r="V3139" s="1">
        <v>104.986</v>
      </c>
      <c r="W3139">
        <v>4</v>
      </c>
    </row>
    <row r="3140" spans="1:23" x14ac:dyDescent="0.25">
      <c r="A3140" s="1" t="s">
        <v>20375</v>
      </c>
      <c r="B3140" s="1" t="s">
        <v>20376</v>
      </c>
      <c r="C3140" s="1" t="s">
        <v>8039</v>
      </c>
      <c r="D3140" s="1" t="s">
        <v>3494</v>
      </c>
      <c r="E3140" s="1" t="s">
        <v>8040</v>
      </c>
      <c r="F3140" s="1" t="s">
        <v>17956</v>
      </c>
      <c r="G3140">
        <v>194575</v>
      </c>
      <c r="H3140">
        <v>33</v>
      </c>
      <c r="I3140" s="1" t="s">
        <v>11063</v>
      </c>
      <c r="J3140" s="11">
        <v>44729.706458333334</v>
      </c>
      <c r="K3140" s="1" t="s">
        <v>2577</v>
      </c>
      <c r="L3140" s="1">
        <v>0.41799999999999998</v>
      </c>
      <c r="M3140" s="1">
        <v>0.755</v>
      </c>
      <c r="N3140">
        <v>0</v>
      </c>
      <c r="O3140" s="1">
        <v>-2.089</v>
      </c>
      <c r="P3140">
        <v>0</v>
      </c>
      <c r="Q3140" s="1">
        <v>0.17</v>
      </c>
      <c r="R3140" s="1">
        <v>0.46200000000000002</v>
      </c>
      <c r="S3140" s="1">
        <v>0.77500000000000002</v>
      </c>
      <c r="T3140" s="1">
        <v>0.22600000000000001</v>
      </c>
      <c r="U3140" s="1">
        <v>0.193</v>
      </c>
      <c r="V3140" s="1">
        <v>142.55199999999999</v>
      </c>
      <c r="W3140">
        <v>4</v>
      </c>
    </row>
    <row r="3141" spans="1:23" x14ac:dyDescent="0.25">
      <c r="A3141" s="1" t="s">
        <v>20377</v>
      </c>
      <c r="B3141" s="1" t="s">
        <v>20378</v>
      </c>
      <c r="C3141" s="1" t="s">
        <v>8041</v>
      </c>
      <c r="D3141" s="1" t="s">
        <v>20379</v>
      </c>
      <c r="E3141" s="1" t="s">
        <v>8042</v>
      </c>
      <c r="F3141" s="1" t="s">
        <v>20380</v>
      </c>
      <c r="G3141">
        <v>179658</v>
      </c>
      <c r="H3141">
        <v>52</v>
      </c>
      <c r="I3141" s="1" t="s">
        <v>11063</v>
      </c>
      <c r="J3141" s="11">
        <v>44729.706458333334</v>
      </c>
      <c r="K3141" s="1" t="s">
        <v>8043</v>
      </c>
      <c r="L3141" s="1">
        <v>0.79400000000000004</v>
      </c>
      <c r="M3141" s="1">
        <v>0.47599999999999998</v>
      </c>
      <c r="N3141">
        <v>2</v>
      </c>
      <c r="O3141" s="1">
        <v>-4.3369999999999997</v>
      </c>
      <c r="P3141">
        <v>0</v>
      </c>
      <c r="Q3141" s="1">
        <v>0.55800000000000005</v>
      </c>
      <c r="R3141" s="1">
        <v>0.35399999999999998</v>
      </c>
      <c r="S3141" s="1">
        <v>0.307</v>
      </c>
      <c r="T3141" s="1">
        <v>0.33200000000000002</v>
      </c>
      <c r="U3141" s="1">
        <v>0.47099999999999997</v>
      </c>
      <c r="V3141" s="1">
        <v>129.827</v>
      </c>
      <c r="W3141">
        <v>4</v>
      </c>
    </row>
    <row r="3142" spans="1:23" x14ac:dyDescent="0.25">
      <c r="A3142" s="1" t="s">
        <v>20381</v>
      </c>
      <c r="B3142" s="1" t="s">
        <v>13503</v>
      </c>
      <c r="C3142" s="1" t="s">
        <v>8044</v>
      </c>
      <c r="D3142" s="1" t="s">
        <v>20382</v>
      </c>
      <c r="E3142" s="1" t="s">
        <v>1972</v>
      </c>
      <c r="F3142" s="1" t="s">
        <v>13520</v>
      </c>
      <c r="G3142">
        <v>185100</v>
      </c>
      <c r="H3142">
        <v>44</v>
      </c>
      <c r="I3142" s="1" t="s">
        <v>11063</v>
      </c>
      <c r="J3142" s="11">
        <v>44729.706458333334</v>
      </c>
      <c r="K3142" s="1" t="s">
        <v>1973</v>
      </c>
      <c r="L3142" s="1">
        <v>0.48299999999999998</v>
      </c>
      <c r="M3142" s="1">
        <v>0.56399999999999995</v>
      </c>
      <c r="N3142">
        <v>11</v>
      </c>
      <c r="O3142" s="1">
        <v>-8.2029999999999994</v>
      </c>
      <c r="P3142">
        <v>0</v>
      </c>
      <c r="Q3142" s="1">
        <v>0.46600000000000003</v>
      </c>
      <c r="R3142" s="1">
        <v>0.33400000000000002</v>
      </c>
      <c r="S3142" s="1">
        <v>0.496</v>
      </c>
      <c r="T3142" s="1">
        <v>0.151</v>
      </c>
      <c r="U3142" s="1">
        <v>0.27800000000000002</v>
      </c>
      <c r="V3142" s="1">
        <v>99.924000000000007</v>
      </c>
      <c r="W3142">
        <v>4</v>
      </c>
    </row>
    <row r="3143" spans="1:23" x14ac:dyDescent="0.25">
      <c r="A3143" s="1" t="s">
        <v>20383</v>
      </c>
      <c r="B3143" s="1" t="s">
        <v>13503</v>
      </c>
      <c r="C3143" s="1" t="s">
        <v>8045</v>
      </c>
      <c r="D3143" s="1" t="s">
        <v>20384</v>
      </c>
      <c r="E3143" s="1" t="s">
        <v>1972</v>
      </c>
      <c r="F3143" s="1" t="s">
        <v>20385</v>
      </c>
      <c r="G3143">
        <v>200400</v>
      </c>
      <c r="H3143">
        <v>0</v>
      </c>
      <c r="I3143" s="1" t="s">
        <v>11063</v>
      </c>
      <c r="J3143" s="11">
        <v>44729.706458333334</v>
      </c>
      <c r="K3143" s="1" t="s">
        <v>1973</v>
      </c>
      <c r="L3143" s="1">
        <v>0.66400000000000003</v>
      </c>
      <c r="M3143" s="1">
        <v>0.55100000000000005</v>
      </c>
      <c r="N3143">
        <v>2</v>
      </c>
      <c r="O3143" s="1">
        <v>-8.1910000000000007</v>
      </c>
      <c r="P3143">
        <v>0</v>
      </c>
      <c r="Q3143" s="1">
        <v>0.66400000000000003</v>
      </c>
      <c r="R3143" s="1">
        <v>0.38700000000000001</v>
      </c>
      <c r="S3143" s="1">
        <v>0.61</v>
      </c>
      <c r="T3143" s="1">
        <v>0.11</v>
      </c>
      <c r="U3143" s="1">
        <v>0.42</v>
      </c>
      <c r="V3143" s="1">
        <v>100.089</v>
      </c>
      <c r="W3143">
        <v>4</v>
      </c>
    </row>
    <row r="3144" spans="1:23" x14ac:dyDescent="0.25">
      <c r="A3144" s="1" t="s">
        <v>20386</v>
      </c>
      <c r="B3144" s="1" t="s">
        <v>16844</v>
      </c>
      <c r="C3144" s="1" t="s">
        <v>8046</v>
      </c>
      <c r="D3144" s="1" t="s">
        <v>8046</v>
      </c>
      <c r="E3144" s="1" t="s">
        <v>4868</v>
      </c>
      <c r="F3144" s="1" t="s">
        <v>15632</v>
      </c>
      <c r="G3144">
        <v>201600</v>
      </c>
      <c r="H3144">
        <v>0</v>
      </c>
      <c r="I3144" s="1" t="s">
        <v>11063</v>
      </c>
      <c r="J3144" s="11">
        <v>44729.706458333334</v>
      </c>
      <c r="K3144" s="1" t="s">
        <v>1973</v>
      </c>
      <c r="L3144" s="1">
        <v>0.45800000000000002</v>
      </c>
      <c r="M3144" s="1">
        <v>0.77800000000000002</v>
      </c>
      <c r="N3144">
        <v>1</v>
      </c>
      <c r="O3144" s="1">
        <v>-4.8310000000000004</v>
      </c>
      <c r="P3144">
        <v>0</v>
      </c>
      <c r="Q3144" s="1">
        <v>0.27900000000000003</v>
      </c>
      <c r="R3144" s="1">
        <v>0.16400000000000001</v>
      </c>
      <c r="S3144" s="1">
        <v>0</v>
      </c>
      <c r="T3144" s="1">
        <v>0.315</v>
      </c>
      <c r="U3144" s="1">
        <v>0.312</v>
      </c>
      <c r="V3144" s="1">
        <v>72.55</v>
      </c>
      <c r="W3144">
        <v>4</v>
      </c>
    </row>
    <row r="3145" spans="1:23" x14ac:dyDescent="0.25">
      <c r="A3145" s="1" t="s">
        <v>20387</v>
      </c>
      <c r="B3145" s="1" t="s">
        <v>13503</v>
      </c>
      <c r="C3145" s="1" t="s">
        <v>8047</v>
      </c>
      <c r="D3145" s="1" t="s">
        <v>8047</v>
      </c>
      <c r="E3145" s="1" t="s">
        <v>1972</v>
      </c>
      <c r="F3145" s="1" t="s">
        <v>20388</v>
      </c>
      <c r="G3145">
        <v>197769</v>
      </c>
      <c r="H3145">
        <v>0</v>
      </c>
      <c r="I3145" s="1" t="s">
        <v>11063</v>
      </c>
      <c r="J3145" s="11">
        <v>44729.706458333334</v>
      </c>
      <c r="K3145" s="1" t="s">
        <v>1973</v>
      </c>
      <c r="L3145" s="1">
        <v>0.53400000000000003</v>
      </c>
      <c r="M3145" s="1">
        <v>0.67</v>
      </c>
      <c r="N3145">
        <v>1</v>
      </c>
      <c r="O3145" s="1">
        <v>-6.4740000000000002</v>
      </c>
      <c r="P3145">
        <v>0</v>
      </c>
      <c r="Q3145" s="1">
        <v>0.96599999999999997</v>
      </c>
      <c r="R3145" s="1">
        <v>0.53</v>
      </c>
      <c r="S3145" s="1">
        <v>0.53600000000000003</v>
      </c>
      <c r="T3145" s="1">
        <v>0.72199999999999998</v>
      </c>
      <c r="U3145" s="1">
        <v>0.47199999999999998</v>
      </c>
      <c r="V3145" s="1">
        <v>176.11500000000001</v>
      </c>
      <c r="W3145">
        <v>4</v>
      </c>
    </row>
    <row r="3146" spans="1:23" x14ac:dyDescent="0.25">
      <c r="A3146" s="1" t="s">
        <v>20389</v>
      </c>
      <c r="B3146" s="1" t="s">
        <v>13503</v>
      </c>
      <c r="C3146" s="1" t="s">
        <v>8048</v>
      </c>
      <c r="D3146" s="1" t="s">
        <v>20390</v>
      </c>
      <c r="E3146" s="1" t="s">
        <v>1972</v>
      </c>
      <c r="F3146" s="1" t="s">
        <v>20282</v>
      </c>
      <c r="G3146">
        <v>210000</v>
      </c>
      <c r="H3146">
        <v>0</v>
      </c>
      <c r="I3146" s="1" t="s">
        <v>11063</v>
      </c>
      <c r="J3146" s="11">
        <v>44729.706458333334</v>
      </c>
      <c r="K3146" s="1" t="s">
        <v>1973</v>
      </c>
      <c r="L3146" s="1">
        <v>0.75900000000000001</v>
      </c>
      <c r="M3146" s="1">
        <v>0.56200000000000006</v>
      </c>
      <c r="N3146">
        <v>3</v>
      </c>
      <c r="O3146" s="1">
        <v>-8.41</v>
      </c>
      <c r="P3146">
        <v>0</v>
      </c>
      <c r="Q3146" s="1">
        <v>0.499</v>
      </c>
      <c r="R3146" s="1">
        <v>0.67500000000000004</v>
      </c>
      <c r="S3146" s="1">
        <v>0.11</v>
      </c>
      <c r="T3146" s="1">
        <v>0.11</v>
      </c>
      <c r="U3146" s="1">
        <v>0.47</v>
      </c>
      <c r="V3146" s="1">
        <v>120.059</v>
      </c>
      <c r="W3146">
        <v>4</v>
      </c>
    </row>
    <row r="3147" spans="1:23" x14ac:dyDescent="0.25">
      <c r="A3147" s="1" t="s">
        <v>20391</v>
      </c>
      <c r="B3147" s="1" t="s">
        <v>15034</v>
      </c>
      <c r="C3147" s="1" t="s">
        <v>8049</v>
      </c>
      <c r="D3147" s="1" t="s">
        <v>20392</v>
      </c>
      <c r="E3147" s="1" t="s">
        <v>3303</v>
      </c>
      <c r="F3147" s="1" t="s">
        <v>15035</v>
      </c>
      <c r="G3147">
        <v>235000</v>
      </c>
      <c r="H3147">
        <v>0</v>
      </c>
      <c r="I3147" s="1" t="s">
        <v>11063</v>
      </c>
      <c r="J3147" s="11">
        <v>44729.706458333334</v>
      </c>
      <c r="K3147" s="1" t="s">
        <v>3304</v>
      </c>
      <c r="L3147" s="1">
        <v>0.498</v>
      </c>
      <c r="M3147" s="1">
        <v>0.59799999999999998</v>
      </c>
      <c r="N3147">
        <v>4</v>
      </c>
      <c r="O3147" s="1">
        <v>-6.6379999999999999</v>
      </c>
      <c r="P3147">
        <v>0</v>
      </c>
      <c r="Q3147" s="1">
        <v>0.377</v>
      </c>
      <c r="R3147" s="1">
        <v>0.78600000000000003</v>
      </c>
      <c r="S3147" s="1">
        <v>0</v>
      </c>
      <c r="T3147" s="1">
        <v>0.111</v>
      </c>
      <c r="U3147" s="1">
        <v>0.57299999999999995</v>
      </c>
      <c r="V3147" s="1">
        <v>140.078</v>
      </c>
      <c r="W3147">
        <v>4</v>
      </c>
    </row>
    <row r="3148" spans="1:23" x14ac:dyDescent="0.25">
      <c r="A3148" s="1" t="s">
        <v>20393</v>
      </c>
      <c r="B3148" s="1" t="s">
        <v>18574</v>
      </c>
      <c r="C3148" s="1" t="s">
        <v>6277</v>
      </c>
      <c r="D3148" s="1" t="s">
        <v>6277</v>
      </c>
      <c r="E3148" s="1" t="s">
        <v>6439</v>
      </c>
      <c r="F3148" s="1" t="s">
        <v>15072</v>
      </c>
      <c r="G3148">
        <v>192000</v>
      </c>
      <c r="H3148">
        <v>33</v>
      </c>
      <c r="I3148" s="1" t="s">
        <v>11063</v>
      </c>
      <c r="J3148" s="11">
        <v>44729.706458333334</v>
      </c>
      <c r="K3148" s="1" t="s">
        <v>1001</v>
      </c>
      <c r="L3148" s="1">
        <v>0.55600000000000005</v>
      </c>
      <c r="M3148" s="1">
        <v>0.71599999999999997</v>
      </c>
      <c r="N3148">
        <v>8</v>
      </c>
      <c r="O3148" s="1">
        <v>-4.7220000000000004</v>
      </c>
      <c r="P3148">
        <v>1</v>
      </c>
      <c r="Q3148" s="1">
        <v>0.248</v>
      </c>
      <c r="R3148" s="1">
        <v>0.34699999999999998</v>
      </c>
      <c r="S3148" s="1">
        <v>0.215</v>
      </c>
      <c r="T3148" s="1">
        <v>0.79200000000000004</v>
      </c>
      <c r="U3148" s="1">
        <v>0.39200000000000002</v>
      </c>
      <c r="V3148" s="1">
        <v>170.001</v>
      </c>
      <c r="W3148">
        <v>4</v>
      </c>
    </row>
    <row r="3149" spans="1:23" x14ac:dyDescent="0.25">
      <c r="A3149" s="1" t="s">
        <v>11138</v>
      </c>
      <c r="B3149" s="1" t="s">
        <v>11139</v>
      </c>
      <c r="C3149" s="1" t="s">
        <v>8050</v>
      </c>
      <c r="D3149" s="1" t="s">
        <v>11140</v>
      </c>
      <c r="E3149" s="1" t="s">
        <v>6757</v>
      </c>
      <c r="F3149" s="1" t="s">
        <v>13979</v>
      </c>
      <c r="G3149">
        <v>184060</v>
      </c>
      <c r="H3149">
        <v>64</v>
      </c>
      <c r="I3149" s="1" t="s">
        <v>11063</v>
      </c>
      <c r="J3149" s="11">
        <v>44729.706458333334</v>
      </c>
      <c r="K3149" s="1" t="s">
        <v>6758</v>
      </c>
      <c r="L3149" s="1">
        <v>0.68899999999999995</v>
      </c>
      <c r="M3149" s="1">
        <v>0.41199999999999998</v>
      </c>
      <c r="N3149">
        <v>7</v>
      </c>
      <c r="O3149" s="1">
        <v>-7.5229999999999997</v>
      </c>
      <c r="P3149">
        <v>0</v>
      </c>
      <c r="Q3149" s="1">
        <v>0.30099999999999999</v>
      </c>
      <c r="R3149" s="1">
        <v>0.48799999999999999</v>
      </c>
      <c r="S3149" s="1">
        <v>0.16</v>
      </c>
      <c r="T3149" s="1">
        <v>0.65900000000000003</v>
      </c>
      <c r="U3149" s="1">
        <v>0.53700000000000003</v>
      </c>
      <c r="V3149" s="1">
        <v>126.754</v>
      </c>
      <c r="W3149">
        <v>4</v>
      </c>
    </row>
    <row r="3150" spans="1:23" x14ac:dyDescent="0.25">
      <c r="A3150" s="1" t="s">
        <v>20394</v>
      </c>
      <c r="B3150" s="1" t="s">
        <v>18142</v>
      </c>
      <c r="C3150" s="1" t="s">
        <v>8051</v>
      </c>
      <c r="D3150" s="1" t="s">
        <v>8051</v>
      </c>
      <c r="E3150" s="1" t="s">
        <v>6030</v>
      </c>
      <c r="F3150" s="1" t="s">
        <v>18317</v>
      </c>
      <c r="G3150">
        <v>151664</v>
      </c>
      <c r="H3150">
        <v>39</v>
      </c>
      <c r="I3150" s="1" t="s">
        <v>11063</v>
      </c>
      <c r="J3150" s="11">
        <v>44729.706458333334</v>
      </c>
      <c r="K3150" s="1" t="s">
        <v>6031</v>
      </c>
      <c r="L3150" s="1">
        <v>0.71499999999999997</v>
      </c>
      <c r="M3150" s="1">
        <v>0.36299999999999999</v>
      </c>
      <c r="N3150">
        <v>8</v>
      </c>
      <c r="O3150" s="1">
        <v>-8.2650000000000006</v>
      </c>
      <c r="P3150">
        <v>1</v>
      </c>
      <c r="Q3150" s="1">
        <v>0.433</v>
      </c>
      <c r="R3150" s="1">
        <v>0.34799999999999998</v>
      </c>
      <c r="S3150" s="1">
        <v>0</v>
      </c>
      <c r="T3150" s="1">
        <v>0.63700000000000001</v>
      </c>
      <c r="U3150" s="1">
        <v>0.34699999999999998</v>
      </c>
      <c r="V3150" s="1">
        <v>87.016999999999996</v>
      </c>
      <c r="W3150">
        <v>4</v>
      </c>
    </row>
    <row r="3151" spans="1:23" x14ac:dyDescent="0.25">
      <c r="A3151" s="1" t="s">
        <v>20395</v>
      </c>
      <c r="B3151" s="1" t="s">
        <v>19612</v>
      </c>
      <c r="C3151" s="1" t="s">
        <v>8052</v>
      </c>
      <c r="D3151" s="1" t="s">
        <v>19613</v>
      </c>
      <c r="E3151" s="1" t="s">
        <v>7360</v>
      </c>
      <c r="F3151" s="1" t="s">
        <v>15512</v>
      </c>
      <c r="G3151">
        <v>195746</v>
      </c>
      <c r="H3151">
        <v>57</v>
      </c>
      <c r="I3151" s="1" t="s">
        <v>11063</v>
      </c>
      <c r="J3151" s="11">
        <v>44729.706458333334</v>
      </c>
      <c r="K3151" s="1" t="s">
        <v>7361</v>
      </c>
      <c r="L3151" s="1">
        <v>0.58499999999999996</v>
      </c>
      <c r="M3151" s="1">
        <v>0.52500000000000002</v>
      </c>
      <c r="N3151">
        <v>7</v>
      </c>
      <c r="O3151" s="1">
        <v>-5.915</v>
      </c>
      <c r="P3151">
        <v>0</v>
      </c>
      <c r="Q3151" s="1">
        <v>0.81699999999999995</v>
      </c>
      <c r="R3151" s="1">
        <v>0.34</v>
      </c>
      <c r="S3151" s="1">
        <v>0.26</v>
      </c>
      <c r="T3151" s="1">
        <v>0.13900000000000001</v>
      </c>
      <c r="U3151" s="1">
        <v>0.53300000000000003</v>
      </c>
      <c r="V3151" s="1">
        <v>167.81100000000001</v>
      </c>
      <c r="W3151">
        <v>3</v>
      </c>
    </row>
    <row r="3152" spans="1:23" x14ac:dyDescent="0.25">
      <c r="A3152" s="1" t="s">
        <v>20396</v>
      </c>
      <c r="B3152" s="1" t="s">
        <v>13503</v>
      </c>
      <c r="C3152" s="1" t="s">
        <v>8053</v>
      </c>
      <c r="D3152" s="1" t="s">
        <v>14716</v>
      </c>
      <c r="E3152" s="1" t="s">
        <v>1972</v>
      </c>
      <c r="F3152" s="1" t="s">
        <v>14717</v>
      </c>
      <c r="G3152">
        <v>220540</v>
      </c>
      <c r="H3152">
        <v>39</v>
      </c>
      <c r="I3152" s="1" t="s">
        <v>11063</v>
      </c>
      <c r="J3152" s="11">
        <v>44729.706458333334</v>
      </c>
      <c r="K3152" s="1" t="s">
        <v>1973</v>
      </c>
      <c r="L3152" s="1">
        <v>0.60899999999999999</v>
      </c>
      <c r="M3152" s="1">
        <v>0.75600000000000001</v>
      </c>
      <c r="N3152">
        <v>1</v>
      </c>
      <c r="O3152" s="1">
        <v>-7.0709999999999997</v>
      </c>
      <c r="P3152">
        <v>0</v>
      </c>
      <c r="Q3152" s="1">
        <v>0.58699999999999997</v>
      </c>
      <c r="R3152" s="1">
        <v>0.45900000000000002</v>
      </c>
      <c r="S3152" s="1">
        <v>0.14799999999999999</v>
      </c>
      <c r="T3152" s="1">
        <v>0.79500000000000004</v>
      </c>
      <c r="U3152" s="1">
        <v>0.52</v>
      </c>
      <c r="V3152" s="1">
        <v>92.54</v>
      </c>
      <c r="W3152">
        <v>4</v>
      </c>
    </row>
    <row r="3153" spans="1:23" x14ac:dyDescent="0.25">
      <c r="A3153" s="1" t="s">
        <v>20397</v>
      </c>
      <c r="B3153" s="1" t="s">
        <v>20160</v>
      </c>
      <c r="C3153" s="1" t="s">
        <v>3406</v>
      </c>
      <c r="D3153" s="1" t="s">
        <v>20398</v>
      </c>
      <c r="E3153" s="1" t="s">
        <v>7838</v>
      </c>
      <c r="F3153" s="1" t="s">
        <v>15512</v>
      </c>
      <c r="G3153">
        <v>228613</v>
      </c>
      <c r="H3153">
        <v>55</v>
      </c>
      <c r="I3153" s="1" t="s">
        <v>11063</v>
      </c>
      <c r="J3153" s="11">
        <v>44729.706458333334</v>
      </c>
      <c r="K3153" s="1" t="s">
        <v>7839</v>
      </c>
      <c r="L3153" s="1">
        <v>0.46600000000000003</v>
      </c>
      <c r="M3153" s="1">
        <v>0.78100000000000003</v>
      </c>
      <c r="N3153">
        <v>1</v>
      </c>
      <c r="O3153" s="1">
        <v>-6.76</v>
      </c>
      <c r="P3153">
        <v>1</v>
      </c>
      <c r="Q3153" s="1">
        <v>0.56699999999999995</v>
      </c>
      <c r="R3153" s="1">
        <v>0.48299999999999998</v>
      </c>
      <c r="S3153" s="1">
        <v>0.14099999999999999</v>
      </c>
      <c r="T3153" s="1">
        <v>0.71299999999999997</v>
      </c>
      <c r="U3153" s="1">
        <v>0.38300000000000001</v>
      </c>
      <c r="V3153" s="1">
        <v>169.97</v>
      </c>
      <c r="W3153">
        <v>4</v>
      </c>
    </row>
    <row r="3154" spans="1:23" x14ac:dyDescent="0.25">
      <c r="A3154" s="1" t="s">
        <v>20399</v>
      </c>
      <c r="B3154" s="1" t="s">
        <v>18574</v>
      </c>
      <c r="C3154" s="1" t="s">
        <v>8054</v>
      </c>
      <c r="D3154" s="1" t="s">
        <v>8054</v>
      </c>
      <c r="E3154" s="1" t="s">
        <v>6439</v>
      </c>
      <c r="F3154" s="1" t="s">
        <v>14181</v>
      </c>
      <c r="G3154">
        <v>249600</v>
      </c>
      <c r="H3154">
        <v>21</v>
      </c>
      <c r="I3154" s="1" t="s">
        <v>11063</v>
      </c>
      <c r="J3154" s="11">
        <v>44729.706458333334</v>
      </c>
      <c r="K3154" s="1" t="s">
        <v>1001</v>
      </c>
      <c r="L3154" s="1">
        <v>0.67700000000000005</v>
      </c>
      <c r="M3154" s="1">
        <v>0.92300000000000004</v>
      </c>
      <c r="N3154">
        <v>6</v>
      </c>
      <c r="O3154" s="1">
        <v>-2.63</v>
      </c>
      <c r="P3154">
        <v>1</v>
      </c>
      <c r="Q3154" s="1">
        <v>0.52200000000000002</v>
      </c>
      <c r="R3154" s="1">
        <v>0.26500000000000001</v>
      </c>
      <c r="S3154" s="1">
        <v>0.60499999999999998</v>
      </c>
      <c r="T3154" s="1">
        <v>0.11899999999999999</v>
      </c>
      <c r="U3154" s="1">
        <v>0.74</v>
      </c>
      <c r="V3154" s="1">
        <v>149.964</v>
      </c>
      <c r="W3154">
        <v>4</v>
      </c>
    </row>
    <row r="3155" spans="1:23" x14ac:dyDescent="0.25">
      <c r="A3155" s="1" t="s">
        <v>20400</v>
      </c>
      <c r="B3155" s="1" t="s">
        <v>18574</v>
      </c>
      <c r="C3155" s="1" t="s">
        <v>8055</v>
      </c>
      <c r="D3155" s="1" t="s">
        <v>8055</v>
      </c>
      <c r="E3155" s="1" t="s">
        <v>6439</v>
      </c>
      <c r="F3155" s="1" t="s">
        <v>19576</v>
      </c>
      <c r="G3155">
        <v>210370</v>
      </c>
      <c r="H3155">
        <v>17</v>
      </c>
      <c r="I3155" s="1" t="s">
        <v>11063</v>
      </c>
      <c r="J3155" s="11">
        <v>44729.706458333334</v>
      </c>
      <c r="K3155" s="1" t="s">
        <v>1001</v>
      </c>
      <c r="L3155" s="1">
        <v>0.42299999999999999</v>
      </c>
      <c r="M3155" s="1">
        <v>0.81299999999999994</v>
      </c>
      <c r="N3155">
        <v>3</v>
      </c>
      <c r="O3155" s="1">
        <v>-3.9470000000000001</v>
      </c>
      <c r="P3155">
        <v>0</v>
      </c>
      <c r="Q3155" s="1">
        <v>0.61099999999999999</v>
      </c>
      <c r="R3155" s="1">
        <v>0.30399999999999999</v>
      </c>
      <c r="S3155" s="1">
        <v>0.40799999999999997</v>
      </c>
      <c r="T3155" s="1">
        <v>0.67800000000000005</v>
      </c>
      <c r="U3155" s="1">
        <v>0.114</v>
      </c>
      <c r="V3155" s="1">
        <v>161.95699999999999</v>
      </c>
      <c r="W3155">
        <v>4</v>
      </c>
    </row>
    <row r="3156" spans="1:23" x14ac:dyDescent="0.25">
      <c r="A3156" s="1" t="s">
        <v>20401</v>
      </c>
      <c r="B3156" s="1" t="s">
        <v>18574</v>
      </c>
      <c r="C3156" s="1" t="s">
        <v>8056</v>
      </c>
      <c r="D3156" s="1" t="s">
        <v>8056</v>
      </c>
      <c r="E3156" s="1" t="s">
        <v>6439</v>
      </c>
      <c r="F3156" s="1" t="s">
        <v>20402</v>
      </c>
      <c r="G3156">
        <v>238421</v>
      </c>
      <c r="H3156">
        <v>20</v>
      </c>
      <c r="I3156" s="1" t="s">
        <v>11063</v>
      </c>
      <c r="J3156" s="11">
        <v>44729.706458333334</v>
      </c>
      <c r="K3156" s="1" t="s">
        <v>1001</v>
      </c>
      <c r="L3156" s="1">
        <v>0.61099999999999999</v>
      </c>
      <c r="M3156" s="1">
        <v>0.755</v>
      </c>
      <c r="N3156">
        <v>4</v>
      </c>
      <c r="O3156" s="1">
        <v>-3.871</v>
      </c>
      <c r="P3156">
        <v>0</v>
      </c>
      <c r="Q3156" s="1">
        <v>0.34100000000000003</v>
      </c>
      <c r="R3156" s="1">
        <v>0.21099999999999999</v>
      </c>
      <c r="S3156" s="1">
        <v>0.14000000000000001</v>
      </c>
      <c r="T3156" s="1">
        <v>0.3</v>
      </c>
      <c r="U3156" s="1">
        <v>0.24</v>
      </c>
      <c r="V3156" s="1">
        <v>152.02699999999999</v>
      </c>
      <c r="W3156">
        <v>4</v>
      </c>
    </row>
    <row r="3157" spans="1:23" x14ac:dyDescent="0.25">
      <c r="A3157" s="1" t="s">
        <v>20403</v>
      </c>
      <c r="B3157" s="1" t="s">
        <v>18574</v>
      </c>
      <c r="C3157" s="1" t="s">
        <v>8057</v>
      </c>
      <c r="D3157" s="1" t="s">
        <v>8057</v>
      </c>
      <c r="E3157" s="1" t="s">
        <v>6439</v>
      </c>
      <c r="F3157" s="1" t="s">
        <v>15664</v>
      </c>
      <c r="G3157">
        <v>181978</v>
      </c>
      <c r="H3157">
        <v>25</v>
      </c>
      <c r="I3157" s="1" t="s">
        <v>11063</v>
      </c>
      <c r="J3157" s="11">
        <v>44729.706458333334</v>
      </c>
      <c r="K3157" s="1" t="s">
        <v>1001</v>
      </c>
      <c r="L3157" s="1">
        <v>0.376</v>
      </c>
      <c r="M3157" s="1">
        <v>0.78</v>
      </c>
      <c r="N3157">
        <v>2</v>
      </c>
      <c r="O3157" s="1">
        <v>-4.3710000000000004</v>
      </c>
      <c r="P3157">
        <v>0</v>
      </c>
      <c r="Q3157" s="1">
        <v>0.39400000000000002</v>
      </c>
      <c r="R3157" s="1">
        <v>0.38500000000000001</v>
      </c>
      <c r="S3157" s="1">
        <v>0.13400000000000001</v>
      </c>
      <c r="T3157" s="1">
        <v>0.372</v>
      </c>
      <c r="U3157" s="1">
        <v>0.222</v>
      </c>
      <c r="V3157" s="1">
        <v>91.009</v>
      </c>
      <c r="W3157">
        <v>4</v>
      </c>
    </row>
    <row r="3158" spans="1:23" x14ac:dyDescent="0.25">
      <c r="A3158" s="1" t="s">
        <v>20404</v>
      </c>
      <c r="B3158" s="1" t="s">
        <v>18574</v>
      </c>
      <c r="C3158" s="1" t="s">
        <v>8058</v>
      </c>
      <c r="D3158" s="1" t="s">
        <v>8058</v>
      </c>
      <c r="E3158" s="1" t="s">
        <v>6439</v>
      </c>
      <c r="F3158" s="1" t="s">
        <v>20405</v>
      </c>
      <c r="G3158">
        <v>209361</v>
      </c>
      <c r="H3158">
        <v>21</v>
      </c>
      <c r="I3158" s="1" t="s">
        <v>11063</v>
      </c>
      <c r="J3158" s="11">
        <v>44729.706458333334</v>
      </c>
      <c r="K3158" s="1" t="s">
        <v>1001</v>
      </c>
      <c r="L3158" s="1">
        <v>0.51300000000000001</v>
      </c>
      <c r="M3158" s="1">
        <v>0.71099999999999997</v>
      </c>
      <c r="N3158">
        <v>6</v>
      </c>
      <c r="O3158" s="1">
        <v>-4.0519999999999996</v>
      </c>
      <c r="P3158">
        <v>0</v>
      </c>
      <c r="Q3158" s="1">
        <v>0.41899999999999998</v>
      </c>
      <c r="R3158" s="1">
        <v>0.83499999999999996</v>
      </c>
      <c r="S3158" s="1">
        <v>0.73499999999999999</v>
      </c>
      <c r="T3158" s="1">
        <v>0.107</v>
      </c>
      <c r="U3158" s="1">
        <v>0.60799999999999998</v>
      </c>
      <c r="V3158" s="1">
        <v>94.018000000000001</v>
      </c>
      <c r="W3158">
        <v>4</v>
      </c>
    </row>
    <row r="3159" spans="1:23" x14ac:dyDescent="0.25">
      <c r="A3159" s="1" t="s">
        <v>20406</v>
      </c>
      <c r="B3159" s="1" t="s">
        <v>18574</v>
      </c>
      <c r="C3159" s="1" t="s">
        <v>1253</v>
      </c>
      <c r="D3159" s="1" t="s">
        <v>1253</v>
      </c>
      <c r="E3159" s="1" t="s">
        <v>6439</v>
      </c>
      <c r="F3159" s="1" t="s">
        <v>13449</v>
      </c>
      <c r="G3159">
        <v>244897</v>
      </c>
      <c r="H3159">
        <v>28</v>
      </c>
      <c r="I3159" s="1" t="s">
        <v>11063</v>
      </c>
      <c r="J3159" s="11">
        <v>44729.706458333334</v>
      </c>
      <c r="K3159" s="1" t="s">
        <v>1001</v>
      </c>
      <c r="L3159" s="1">
        <v>0.57399999999999995</v>
      </c>
      <c r="M3159" s="1">
        <v>0.85799999999999998</v>
      </c>
      <c r="N3159">
        <v>3</v>
      </c>
      <c r="O3159" s="1">
        <v>-4.8360000000000003</v>
      </c>
      <c r="P3159">
        <v>0</v>
      </c>
      <c r="Q3159" s="1">
        <v>0.308</v>
      </c>
      <c r="R3159" s="1">
        <v>0.248</v>
      </c>
      <c r="S3159" s="1">
        <v>0.72</v>
      </c>
      <c r="T3159" s="1">
        <v>0.85499999999999998</v>
      </c>
      <c r="U3159" s="1">
        <v>0.42099999999999999</v>
      </c>
      <c r="V3159" s="1">
        <v>98.03</v>
      </c>
      <c r="W3159">
        <v>4</v>
      </c>
    </row>
    <row r="3160" spans="1:23" x14ac:dyDescent="0.25">
      <c r="A3160" s="1" t="s">
        <v>20407</v>
      </c>
      <c r="B3160" s="1" t="s">
        <v>18574</v>
      </c>
      <c r="C3160" s="1" t="s">
        <v>8059</v>
      </c>
      <c r="D3160" s="1" t="s">
        <v>8059</v>
      </c>
      <c r="E3160" s="1" t="s">
        <v>6439</v>
      </c>
      <c r="F3160" s="1" t="s">
        <v>20374</v>
      </c>
      <c r="G3160">
        <v>201931</v>
      </c>
      <c r="H3160">
        <v>28</v>
      </c>
      <c r="I3160" s="1" t="s">
        <v>11063</v>
      </c>
      <c r="J3160" s="11">
        <v>44729.706458333334</v>
      </c>
      <c r="K3160" s="1" t="s">
        <v>1001</v>
      </c>
      <c r="L3160" s="1">
        <v>0.46</v>
      </c>
      <c r="M3160" s="1">
        <v>0.79500000000000004</v>
      </c>
      <c r="N3160">
        <v>6</v>
      </c>
      <c r="O3160" s="1">
        <v>-4.34</v>
      </c>
      <c r="P3160">
        <v>1</v>
      </c>
      <c r="Q3160" s="1">
        <v>0.42499999999999999</v>
      </c>
      <c r="R3160" s="1">
        <v>0.56999999999999995</v>
      </c>
      <c r="S3160" s="1">
        <v>0.35</v>
      </c>
      <c r="T3160" s="1">
        <v>0.1</v>
      </c>
      <c r="U3160" s="1">
        <v>0.153</v>
      </c>
      <c r="V3160" s="1">
        <v>72.662000000000006</v>
      </c>
      <c r="W3160">
        <v>4</v>
      </c>
    </row>
    <row r="3161" spans="1:23" x14ac:dyDescent="0.25">
      <c r="A3161" s="1" t="s">
        <v>20408</v>
      </c>
      <c r="B3161" s="1" t="s">
        <v>18574</v>
      </c>
      <c r="C3161" s="1" t="s">
        <v>4761</v>
      </c>
      <c r="D3161" s="1" t="s">
        <v>4761</v>
      </c>
      <c r="E3161" s="1" t="s">
        <v>6439</v>
      </c>
      <c r="F3161" s="1" t="s">
        <v>17027</v>
      </c>
      <c r="G3161">
        <v>215520</v>
      </c>
      <c r="H3161">
        <v>32</v>
      </c>
      <c r="I3161" s="1" t="s">
        <v>11063</v>
      </c>
      <c r="J3161" s="11">
        <v>44729.706458333334</v>
      </c>
      <c r="K3161" s="1" t="s">
        <v>1001</v>
      </c>
      <c r="L3161" s="1">
        <v>0.69699999999999995</v>
      </c>
      <c r="M3161" s="1">
        <v>0.628</v>
      </c>
      <c r="N3161">
        <v>0</v>
      </c>
      <c r="O3161" s="1">
        <v>-6.2930000000000001</v>
      </c>
      <c r="P3161">
        <v>1</v>
      </c>
      <c r="Q3161" s="1">
        <v>0.30099999999999999</v>
      </c>
      <c r="R3161" s="1">
        <v>0.91100000000000003</v>
      </c>
      <c r="S3161" s="1">
        <v>0.36199999999999999</v>
      </c>
      <c r="T3161" s="1">
        <v>0.14199999999999999</v>
      </c>
      <c r="U3161" s="1">
        <v>0.30199999999999999</v>
      </c>
      <c r="V3161" s="1">
        <v>125.017</v>
      </c>
      <c r="W3161">
        <v>4</v>
      </c>
    </row>
    <row r="3162" spans="1:23" x14ac:dyDescent="0.25">
      <c r="A3162" s="1" t="s">
        <v>20409</v>
      </c>
      <c r="B3162" s="1" t="s">
        <v>18574</v>
      </c>
      <c r="C3162" s="1" t="s">
        <v>8060</v>
      </c>
      <c r="D3162" s="1" t="s">
        <v>8060</v>
      </c>
      <c r="E3162" s="1" t="s">
        <v>6439</v>
      </c>
      <c r="F3162" s="1" t="s">
        <v>15624</v>
      </c>
      <c r="G3162">
        <v>196097</v>
      </c>
      <c r="H3162">
        <v>39</v>
      </c>
      <c r="I3162" s="1" t="s">
        <v>11063</v>
      </c>
      <c r="J3162" s="11">
        <v>44729.706458333334</v>
      </c>
      <c r="K3162" s="1" t="s">
        <v>1001</v>
      </c>
      <c r="L3162" s="1">
        <v>0.67500000000000004</v>
      </c>
      <c r="M3162" s="1">
        <v>0.68200000000000005</v>
      </c>
      <c r="N3162">
        <v>1</v>
      </c>
      <c r="O3162" s="1">
        <v>-5.7830000000000004</v>
      </c>
      <c r="P3162">
        <v>1</v>
      </c>
      <c r="Q3162" s="1">
        <v>0.70699999999999996</v>
      </c>
      <c r="R3162" s="1">
        <v>0.183</v>
      </c>
      <c r="S3162" s="1">
        <v>0.104</v>
      </c>
      <c r="T3162" s="1">
        <v>0.93600000000000005</v>
      </c>
      <c r="U3162" s="1">
        <v>0.185</v>
      </c>
      <c r="V3162" s="1">
        <v>161.905</v>
      </c>
      <c r="W3162">
        <v>4</v>
      </c>
    </row>
    <row r="3163" spans="1:23" x14ac:dyDescent="0.25">
      <c r="A3163" s="1" t="s">
        <v>20410</v>
      </c>
      <c r="B3163" s="1" t="s">
        <v>19265</v>
      </c>
      <c r="C3163" s="1" t="s">
        <v>8061</v>
      </c>
      <c r="D3163" s="1" t="s">
        <v>8061</v>
      </c>
      <c r="E3163" s="1" t="s">
        <v>7048</v>
      </c>
      <c r="F3163" s="1" t="s">
        <v>15104</v>
      </c>
      <c r="G3163">
        <v>206666</v>
      </c>
      <c r="H3163">
        <v>35</v>
      </c>
      <c r="I3163" s="1" t="s">
        <v>11063</v>
      </c>
      <c r="J3163" s="11">
        <v>44729.706458333334</v>
      </c>
      <c r="K3163" s="1" t="s">
        <v>7049</v>
      </c>
      <c r="L3163" s="1">
        <v>0.56299999999999994</v>
      </c>
      <c r="M3163" s="1">
        <v>0.77900000000000003</v>
      </c>
      <c r="N3163">
        <v>5</v>
      </c>
      <c r="O3163" s="1">
        <v>-5.55</v>
      </c>
      <c r="P3163">
        <v>0</v>
      </c>
      <c r="Q3163" s="1">
        <v>0.32300000000000001</v>
      </c>
      <c r="R3163" s="1">
        <v>0.15</v>
      </c>
      <c r="S3163" s="1">
        <v>0.745</v>
      </c>
      <c r="T3163" s="1">
        <v>0.13500000000000001</v>
      </c>
      <c r="U3163" s="1">
        <v>0.35799999999999998</v>
      </c>
      <c r="V3163" s="1">
        <v>135.01499999999999</v>
      </c>
      <c r="W3163">
        <v>4</v>
      </c>
    </row>
    <row r="3164" spans="1:23" x14ac:dyDescent="0.25">
      <c r="A3164" s="1" t="s">
        <v>20411</v>
      </c>
      <c r="B3164" s="1" t="s">
        <v>18574</v>
      </c>
      <c r="C3164" s="1" t="s">
        <v>4776</v>
      </c>
      <c r="D3164" s="1" t="s">
        <v>4776</v>
      </c>
      <c r="E3164" s="1" t="s">
        <v>6439</v>
      </c>
      <c r="F3164" s="1" t="s">
        <v>11492</v>
      </c>
      <c r="G3164">
        <v>141176</v>
      </c>
      <c r="H3164">
        <v>68</v>
      </c>
      <c r="I3164" s="1" t="s">
        <v>11063</v>
      </c>
      <c r="J3164" s="11">
        <v>44729.706458333334</v>
      </c>
      <c r="K3164" s="1" t="s">
        <v>1001</v>
      </c>
      <c r="L3164" s="1">
        <v>0.66100000000000003</v>
      </c>
      <c r="M3164" s="1">
        <v>0.432</v>
      </c>
      <c r="N3164">
        <v>3</v>
      </c>
      <c r="O3164" s="1">
        <v>-7.0780000000000003</v>
      </c>
      <c r="P3164">
        <v>0</v>
      </c>
      <c r="Q3164" s="1">
        <v>0.36199999999999999</v>
      </c>
      <c r="R3164" s="1">
        <v>0.39300000000000002</v>
      </c>
      <c r="S3164" s="1">
        <v>0.158</v>
      </c>
      <c r="T3164" s="1">
        <v>0.96</v>
      </c>
      <c r="U3164" s="1">
        <v>0.55400000000000005</v>
      </c>
      <c r="V3164" s="1">
        <v>169.97800000000001</v>
      </c>
      <c r="W3164">
        <v>4</v>
      </c>
    </row>
    <row r="3165" spans="1:23" x14ac:dyDescent="0.25">
      <c r="A3165" s="1" t="s">
        <v>20412</v>
      </c>
      <c r="B3165" s="1" t="s">
        <v>18574</v>
      </c>
      <c r="C3165" s="1" t="s">
        <v>3122</v>
      </c>
      <c r="D3165" s="1" t="s">
        <v>3122</v>
      </c>
      <c r="E3165" s="1" t="s">
        <v>6439</v>
      </c>
      <c r="F3165" s="1" t="s">
        <v>11434</v>
      </c>
      <c r="G3165">
        <v>201481</v>
      </c>
      <c r="H3165">
        <v>43</v>
      </c>
      <c r="I3165" s="1" t="s">
        <v>11063</v>
      </c>
      <c r="J3165" s="11">
        <v>44729.706458333334</v>
      </c>
      <c r="K3165" s="1" t="s">
        <v>1001</v>
      </c>
      <c r="L3165" s="1">
        <v>0.59499999999999997</v>
      </c>
      <c r="M3165" s="1">
        <v>0.70299999999999996</v>
      </c>
      <c r="N3165">
        <v>2</v>
      </c>
      <c r="O3165" s="1">
        <v>-4.6529999999999996</v>
      </c>
      <c r="P3165">
        <v>1</v>
      </c>
      <c r="Q3165" s="1">
        <v>0.36699999999999999</v>
      </c>
      <c r="R3165" s="1">
        <v>0.18099999999999999</v>
      </c>
      <c r="S3165" s="1">
        <v>0.46700000000000003</v>
      </c>
      <c r="T3165" s="1">
        <v>0.17100000000000001</v>
      </c>
      <c r="U3165" s="1">
        <v>0.35899999999999999</v>
      </c>
      <c r="V3165" s="1">
        <v>162.13399999999999</v>
      </c>
      <c r="W3165">
        <v>4</v>
      </c>
    </row>
    <row r="3166" spans="1:23" x14ac:dyDescent="0.25">
      <c r="A3166" s="1" t="s">
        <v>20413</v>
      </c>
      <c r="B3166" s="1" t="s">
        <v>18574</v>
      </c>
      <c r="C3166" s="1" t="s">
        <v>8062</v>
      </c>
      <c r="D3166" s="1" t="s">
        <v>8062</v>
      </c>
      <c r="E3166" s="1" t="s">
        <v>6439</v>
      </c>
      <c r="F3166" s="1" t="s">
        <v>18842</v>
      </c>
      <c r="G3166">
        <v>178604</v>
      </c>
      <c r="H3166">
        <v>54</v>
      </c>
      <c r="I3166" s="1" t="s">
        <v>11063</v>
      </c>
      <c r="J3166" s="11">
        <v>44729.706458333334</v>
      </c>
      <c r="K3166" s="1" t="s">
        <v>1001</v>
      </c>
      <c r="L3166" s="1">
        <v>0.61499999999999999</v>
      </c>
      <c r="M3166" s="1">
        <v>0.72399999999999998</v>
      </c>
      <c r="N3166">
        <v>6</v>
      </c>
      <c r="O3166" s="1">
        <v>-4.5469999999999997</v>
      </c>
      <c r="P3166">
        <v>0</v>
      </c>
      <c r="Q3166" s="1">
        <v>0.44</v>
      </c>
      <c r="R3166" s="1">
        <v>0.38700000000000001</v>
      </c>
      <c r="S3166" s="1">
        <v>0.67500000000000004</v>
      </c>
      <c r="T3166" s="1">
        <v>0.183</v>
      </c>
      <c r="U3166" s="1">
        <v>0.377</v>
      </c>
      <c r="V3166" s="1">
        <v>171.971</v>
      </c>
      <c r="W3166">
        <v>4</v>
      </c>
    </row>
    <row r="3167" spans="1:23" x14ac:dyDescent="0.25">
      <c r="A3167" s="1" t="s">
        <v>20414</v>
      </c>
      <c r="B3167" s="1" t="s">
        <v>20415</v>
      </c>
      <c r="C3167" s="1" t="s">
        <v>8063</v>
      </c>
      <c r="D3167" s="1" t="s">
        <v>20416</v>
      </c>
      <c r="E3167" s="1" t="s">
        <v>8064</v>
      </c>
      <c r="F3167" s="1" t="s">
        <v>18317</v>
      </c>
      <c r="G3167">
        <v>180333</v>
      </c>
      <c r="H3167">
        <v>61</v>
      </c>
      <c r="I3167" s="1" t="s">
        <v>11063</v>
      </c>
      <c r="J3167" s="11">
        <v>44729.706458333334</v>
      </c>
      <c r="K3167" s="1" t="s">
        <v>8065</v>
      </c>
      <c r="L3167" s="1">
        <v>0.67400000000000004</v>
      </c>
      <c r="M3167" s="1">
        <v>0.93200000000000005</v>
      </c>
      <c r="N3167">
        <v>8</v>
      </c>
      <c r="O3167" s="1">
        <v>-4.8760000000000003</v>
      </c>
      <c r="P3167">
        <v>1</v>
      </c>
      <c r="Q3167" s="1">
        <v>0.71799999999999997</v>
      </c>
      <c r="R3167" s="1">
        <v>0.36299999999999999</v>
      </c>
      <c r="S3167" s="1">
        <v>0</v>
      </c>
      <c r="T3167" s="1">
        <v>0.57599999999999996</v>
      </c>
      <c r="U3167" s="1">
        <v>0.82599999999999996</v>
      </c>
      <c r="V3167" s="1">
        <v>144.03899999999999</v>
      </c>
      <c r="W3167">
        <v>4</v>
      </c>
    </row>
    <row r="3168" spans="1:23" x14ac:dyDescent="0.25">
      <c r="A3168" s="1" t="s">
        <v>20417</v>
      </c>
      <c r="B3168" s="1" t="s">
        <v>20418</v>
      </c>
      <c r="C3168" s="1" t="s">
        <v>8066</v>
      </c>
      <c r="D3168" s="1" t="s">
        <v>8066</v>
      </c>
      <c r="E3168" s="1" t="s">
        <v>8067</v>
      </c>
      <c r="F3168" s="1" t="s">
        <v>14364</v>
      </c>
      <c r="G3168">
        <v>221568</v>
      </c>
      <c r="H3168">
        <v>48</v>
      </c>
      <c r="I3168" s="1" t="s">
        <v>11063</v>
      </c>
      <c r="J3168" s="11">
        <v>44729.706458333334</v>
      </c>
      <c r="K3168" s="1" t="s">
        <v>8068</v>
      </c>
      <c r="L3168" s="1">
        <v>0.64900000000000002</v>
      </c>
      <c r="M3168" s="1">
        <v>0.76600000000000001</v>
      </c>
      <c r="N3168">
        <v>5</v>
      </c>
      <c r="O3168" s="1">
        <v>-5.5259999999999998</v>
      </c>
      <c r="P3168">
        <v>1</v>
      </c>
      <c r="Q3168" s="1">
        <v>0.30399999999999999</v>
      </c>
      <c r="R3168" s="1">
        <v>0.374</v>
      </c>
      <c r="S3168" s="1">
        <v>0.871</v>
      </c>
      <c r="T3168" s="1">
        <v>0.94199999999999995</v>
      </c>
      <c r="U3168" s="1">
        <v>0.20200000000000001</v>
      </c>
      <c r="V3168" s="1">
        <v>97.953000000000003</v>
      </c>
      <c r="W3168">
        <v>4</v>
      </c>
    </row>
    <row r="3169" spans="1:23" x14ac:dyDescent="0.25">
      <c r="A3169" s="1" t="s">
        <v>20419</v>
      </c>
      <c r="B3169" s="1" t="s">
        <v>20420</v>
      </c>
      <c r="C3169" s="1" t="s">
        <v>8069</v>
      </c>
      <c r="D3169" s="1" t="s">
        <v>8069</v>
      </c>
      <c r="E3169" s="1" t="s">
        <v>8070</v>
      </c>
      <c r="F3169" s="1" t="s">
        <v>11395</v>
      </c>
      <c r="G3169">
        <v>225686</v>
      </c>
      <c r="H3169">
        <v>43</v>
      </c>
      <c r="I3169" s="1" t="s">
        <v>11063</v>
      </c>
      <c r="J3169" s="11">
        <v>44729.706458333334</v>
      </c>
      <c r="K3169" s="1" t="s">
        <v>8071</v>
      </c>
      <c r="L3169" s="1">
        <v>0.63700000000000001</v>
      </c>
      <c r="M3169" s="1">
        <v>0.85099999999999998</v>
      </c>
      <c r="N3169">
        <v>11</v>
      </c>
      <c r="O3169" s="1">
        <v>-3.5009999999999999</v>
      </c>
      <c r="P3169">
        <v>1</v>
      </c>
      <c r="Q3169" s="1">
        <v>0.434</v>
      </c>
      <c r="R3169" s="1">
        <v>0.21099999999999999</v>
      </c>
      <c r="S3169" s="1">
        <v>0.12</v>
      </c>
      <c r="T3169" s="1">
        <v>0.161</v>
      </c>
      <c r="U3169" s="1">
        <v>0.39</v>
      </c>
      <c r="V3169" s="1">
        <v>132.923</v>
      </c>
      <c r="W3169">
        <v>4</v>
      </c>
    </row>
    <row r="3170" spans="1:23" x14ac:dyDescent="0.25">
      <c r="A3170" s="1" t="s">
        <v>20421</v>
      </c>
      <c r="B3170" s="1" t="s">
        <v>20422</v>
      </c>
      <c r="C3170" s="1" t="s">
        <v>3533</v>
      </c>
      <c r="D3170" s="1" t="s">
        <v>3533</v>
      </c>
      <c r="E3170" s="1" t="s">
        <v>8072</v>
      </c>
      <c r="F3170" s="1" t="s">
        <v>14228</v>
      </c>
      <c r="G3170">
        <v>207427</v>
      </c>
      <c r="H3170">
        <v>52</v>
      </c>
      <c r="I3170" s="1" t="s">
        <v>11063</v>
      </c>
      <c r="J3170" s="11">
        <v>44729.706458333334</v>
      </c>
      <c r="K3170" s="1" t="s">
        <v>8073</v>
      </c>
      <c r="L3170" s="1">
        <v>0.61899999999999999</v>
      </c>
      <c r="M3170" s="1">
        <v>0.93799999999999994</v>
      </c>
      <c r="N3170">
        <v>5</v>
      </c>
      <c r="O3170" s="1">
        <v>-5.2450000000000001</v>
      </c>
      <c r="P3170">
        <v>1</v>
      </c>
      <c r="Q3170" s="1">
        <v>0.35</v>
      </c>
      <c r="R3170" s="1">
        <v>0.25700000000000001</v>
      </c>
      <c r="S3170" s="1">
        <v>0.13900000000000001</v>
      </c>
      <c r="T3170" s="1">
        <v>0.128</v>
      </c>
      <c r="U3170" s="1">
        <v>0.60099999999999998</v>
      </c>
      <c r="V3170" s="1">
        <v>94.38</v>
      </c>
      <c r="W3170">
        <v>4</v>
      </c>
    </row>
    <row r="3171" spans="1:23" x14ac:dyDescent="0.25">
      <c r="A3171" s="1" t="s">
        <v>20423</v>
      </c>
      <c r="B3171" s="1" t="s">
        <v>20424</v>
      </c>
      <c r="C3171" s="1" t="s">
        <v>8074</v>
      </c>
      <c r="D3171" s="1" t="s">
        <v>8074</v>
      </c>
      <c r="E3171" s="1" t="s">
        <v>8075</v>
      </c>
      <c r="F3171" s="1" t="s">
        <v>11700</v>
      </c>
      <c r="G3171">
        <v>215564</v>
      </c>
      <c r="H3171">
        <v>55</v>
      </c>
      <c r="I3171" s="1" t="s">
        <v>11063</v>
      </c>
      <c r="J3171" s="11">
        <v>44729.706458333334</v>
      </c>
      <c r="K3171" s="1" t="s">
        <v>8076</v>
      </c>
      <c r="L3171" s="1">
        <v>0.59899999999999998</v>
      </c>
      <c r="M3171" s="1">
        <v>0.68200000000000005</v>
      </c>
      <c r="N3171">
        <v>9</v>
      </c>
      <c r="O3171" s="1">
        <v>-5.3929999999999998</v>
      </c>
      <c r="P3171">
        <v>0</v>
      </c>
      <c r="Q3171" s="1">
        <v>0.88200000000000001</v>
      </c>
      <c r="R3171" s="1">
        <v>0.68400000000000005</v>
      </c>
      <c r="S3171" s="1">
        <v>0</v>
      </c>
      <c r="T3171" s="1">
        <v>0.11700000000000001</v>
      </c>
      <c r="U3171" s="1">
        <v>0.45900000000000002</v>
      </c>
      <c r="V3171" s="1">
        <v>143.834</v>
      </c>
      <c r="W3171">
        <v>4</v>
      </c>
    </row>
    <row r="3172" spans="1:23" x14ac:dyDescent="0.25">
      <c r="A3172" s="1" t="s">
        <v>20425</v>
      </c>
      <c r="B3172" s="1" t="s">
        <v>20426</v>
      </c>
      <c r="C3172" s="1" t="s">
        <v>8077</v>
      </c>
      <c r="D3172" s="1" t="s">
        <v>8077</v>
      </c>
      <c r="E3172" s="1" t="s">
        <v>8078</v>
      </c>
      <c r="F3172" s="1" t="s">
        <v>14068</v>
      </c>
      <c r="G3172">
        <v>193911</v>
      </c>
      <c r="H3172">
        <v>62</v>
      </c>
      <c r="I3172" s="1" t="s">
        <v>11063</v>
      </c>
      <c r="J3172" s="11">
        <v>44729.706458333334</v>
      </c>
      <c r="K3172" s="1" t="s">
        <v>8076</v>
      </c>
      <c r="L3172" s="1">
        <v>0.54700000000000004</v>
      </c>
      <c r="M3172" s="1">
        <v>0.78900000000000003</v>
      </c>
      <c r="N3172">
        <v>8</v>
      </c>
      <c r="O3172" s="1">
        <v>-5.6189999999999998</v>
      </c>
      <c r="P3172">
        <v>1</v>
      </c>
      <c r="Q3172" s="1">
        <v>0.42</v>
      </c>
      <c r="R3172" s="1">
        <v>0.871</v>
      </c>
      <c r="S3172" s="1">
        <v>0</v>
      </c>
      <c r="T3172" s="1">
        <v>0.1</v>
      </c>
      <c r="U3172" s="1">
        <v>0.34499999999999997</v>
      </c>
      <c r="V3172" s="1">
        <v>129.916</v>
      </c>
      <c r="W3172">
        <v>4</v>
      </c>
    </row>
    <row r="3173" spans="1:23" x14ac:dyDescent="0.25">
      <c r="A3173" s="1" t="s">
        <v>20427</v>
      </c>
      <c r="B3173" s="1" t="s">
        <v>20428</v>
      </c>
      <c r="C3173" s="1" t="s">
        <v>8079</v>
      </c>
      <c r="D3173" s="1" t="s">
        <v>8079</v>
      </c>
      <c r="E3173" s="1" t="s">
        <v>8080</v>
      </c>
      <c r="F3173" s="1" t="s">
        <v>15395</v>
      </c>
      <c r="G3173">
        <v>177094</v>
      </c>
      <c r="H3173">
        <v>49</v>
      </c>
      <c r="I3173" s="1" t="s">
        <v>11063</v>
      </c>
      <c r="J3173" s="11">
        <v>44729.706458333334</v>
      </c>
      <c r="K3173" s="1" t="s">
        <v>2710</v>
      </c>
      <c r="L3173" s="1">
        <v>0.77900000000000003</v>
      </c>
      <c r="M3173" s="1">
        <v>0.67100000000000004</v>
      </c>
      <c r="N3173">
        <v>9</v>
      </c>
      <c r="O3173" s="1">
        <v>-5.8289999999999997</v>
      </c>
      <c r="P3173">
        <v>1</v>
      </c>
      <c r="Q3173" s="1">
        <v>0.81399999999999995</v>
      </c>
      <c r="R3173" s="1">
        <v>0.153</v>
      </c>
      <c r="S3173" s="1">
        <v>0.112</v>
      </c>
      <c r="T3173" s="1">
        <v>0.115</v>
      </c>
      <c r="U3173" s="1">
        <v>0.71799999999999997</v>
      </c>
      <c r="V3173" s="1">
        <v>104.953</v>
      </c>
      <c r="W3173">
        <v>4</v>
      </c>
    </row>
    <row r="3174" spans="1:23" x14ac:dyDescent="0.25">
      <c r="A3174" s="1" t="s">
        <v>20429</v>
      </c>
      <c r="B3174" s="1" t="s">
        <v>20430</v>
      </c>
      <c r="C3174" s="1" t="s">
        <v>8081</v>
      </c>
      <c r="D3174" s="1" t="s">
        <v>20431</v>
      </c>
      <c r="E3174" s="1" t="s">
        <v>8082</v>
      </c>
      <c r="F3174" s="1" t="s">
        <v>20432</v>
      </c>
      <c r="G3174">
        <v>179882</v>
      </c>
      <c r="H3174">
        <v>1</v>
      </c>
      <c r="I3174" s="1" t="s">
        <v>11063</v>
      </c>
      <c r="J3174" s="11">
        <v>44729.706458333334</v>
      </c>
      <c r="K3174" s="1" t="s">
        <v>8083</v>
      </c>
      <c r="L3174" s="1">
        <v>0.48099999999999998</v>
      </c>
      <c r="M3174" s="1">
        <v>0.22900000000000001</v>
      </c>
      <c r="N3174">
        <v>9</v>
      </c>
      <c r="O3174" s="1">
        <v>-8.84</v>
      </c>
      <c r="P3174">
        <v>1</v>
      </c>
      <c r="Q3174" s="1">
        <v>0.40600000000000003</v>
      </c>
      <c r="R3174" s="1">
        <v>0.91900000000000004</v>
      </c>
      <c r="S3174" s="1">
        <v>0</v>
      </c>
      <c r="T3174" s="1">
        <v>0.86699999999999999</v>
      </c>
      <c r="U3174" s="1">
        <v>0.42799999999999999</v>
      </c>
      <c r="V3174" s="1">
        <v>127.95099999999999</v>
      </c>
      <c r="W3174">
        <v>4</v>
      </c>
    </row>
    <row r="3175" spans="1:23" x14ac:dyDescent="0.25">
      <c r="A3175" s="1" t="s">
        <v>20433</v>
      </c>
      <c r="B3175" s="1" t="s">
        <v>20430</v>
      </c>
      <c r="C3175" s="1" t="s">
        <v>8084</v>
      </c>
      <c r="D3175" s="1" t="s">
        <v>8084</v>
      </c>
      <c r="E3175" s="1" t="s">
        <v>8082</v>
      </c>
      <c r="F3175" s="1" t="s">
        <v>15191</v>
      </c>
      <c r="G3175">
        <v>189621</v>
      </c>
      <c r="H3175">
        <v>54</v>
      </c>
      <c r="I3175" s="1" t="s">
        <v>11063</v>
      </c>
      <c r="J3175" s="11">
        <v>44729.706458333334</v>
      </c>
      <c r="K3175" s="1" t="s">
        <v>8083</v>
      </c>
      <c r="L3175" s="1">
        <v>0.373</v>
      </c>
      <c r="M3175" s="1">
        <v>0.17</v>
      </c>
      <c r="N3175">
        <v>7</v>
      </c>
      <c r="O3175" s="1">
        <v>-10.911</v>
      </c>
      <c r="P3175">
        <v>1</v>
      </c>
      <c r="Q3175" s="1">
        <v>0.373</v>
      </c>
      <c r="R3175" s="1">
        <v>0.96399999999999997</v>
      </c>
      <c r="S3175" s="1">
        <v>0</v>
      </c>
      <c r="T3175" s="1">
        <v>0.85799999999999998</v>
      </c>
      <c r="U3175" s="1">
        <v>0.221</v>
      </c>
      <c r="V3175" s="1">
        <v>172.24100000000001</v>
      </c>
      <c r="W3175">
        <v>4</v>
      </c>
    </row>
    <row r="3176" spans="1:23" x14ac:dyDescent="0.25">
      <c r="A3176" s="1" t="s">
        <v>20434</v>
      </c>
      <c r="B3176" s="1" t="s">
        <v>20430</v>
      </c>
      <c r="C3176" s="1" t="s">
        <v>8085</v>
      </c>
      <c r="D3176" s="1" t="s">
        <v>20435</v>
      </c>
      <c r="E3176" s="1" t="s">
        <v>8082</v>
      </c>
      <c r="F3176" s="1" t="s">
        <v>16928</v>
      </c>
      <c r="G3176">
        <v>178355</v>
      </c>
      <c r="H3176">
        <v>58</v>
      </c>
      <c r="I3176" s="1" t="s">
        <v>11063</v>
      </c>
      <c r="J3176" s="11">
        <v>44729.706458333334</v>
      </c>
      <c r="K3176" s="1" t="s">
        <v>8083</v>
      </c>
      <c r="L3176" s="1">
        <v>0.51200000000000001</v>
      </c>
      <c r="M3176" s="1">
        <v>0.245</v>
      </c>
      <c r="N3176">
        <v>2</v>
      </c>
      <c r="O3176" s="1">
        <v>-8.8279999999999994</v>
      </c>
      <c r="P3176">
        <v>0</v>
      </c>
      <c r="Q3176" s="1">
        <v>0.33800000000000002</v>
      </c>
      <c r="R3176" s="1">
        <v>0.85099999999999998</v>
      </c>
      <c r="S3176" s="1">
        <v>0</v>
      </c>
      <c r="T3176" s="1">
        <v>0.13100000000000001</v>
      </c>
      <c r="U3176" s="1">
        <v>0.26600000000000001</v>
      </c>
      <c r="V3176" s="1">
        <v>93.971000000000004</v>
      </c>
      <c r="W3176">
        <v>4</v>
      </c>
    </row>
    <row r="3177" spans="1:23" x14ac:dyDescent="0.25">
      <c r="A3177" s="1" t="s">
        <v>20436</v>
      </c>
      <c r="B3177" s="1" t="s">
        <v>20430</v>
      </c>
      <c r="C3177" s="1" t="s">
        <v>8086</v>
      </c>
      <c r="D3177" s="1" t="s">
        <v>20431</v>
      </c>
      <c r="E3177" s="1" t="s">
        <v>8082</v>
      </c>
      <c r="F3177" s="1" t="s">
        <v>20432</v>
      </c>
      <c r="G3177">
        <v>172149</v>
      </c>
      <c r="H3177">
        <v>2</v>
      </c>
      <c r="I3177" s="1" t="s">
        <v>11063</v>
      </c>
      <c r="J3177" s="11">
        <v>44729.706458333334</v>
      </c>
      <c r="K3177" s="1" t="s">
        <v>8083</v>
      </c>
      <c r="L3177" s="1">
        <v>0.44500000000000001</v>
      </c>
      <c r="M3177" s="1">
        <v>0.40699999999999997</v>
      </c>
      <c r="N3177">
        <v>3</v>
      </c>
      <c r="O3177" s="1">
        <v>-6.883</v>
      </c>
      <c r="P3177">
        <v>1</v>
      </c>
      <c r="Q3177" s="1">
        <v>0.34899999999999998</v>
      </c>
      <c r="R3177" s="1">
        <v>0.95</v>
      </c>
      <c r="S3177" s="1">
        <v>0</v>
      </c>
      <c r="T3177" s="1">
        <v>0.22700000000000001</v>
      </c>
      <c r="U3177" s="1">
        <v>0.23100000000000001</v>
      </c>
      <c r="V3177" s="1">
        <v>131.47900000000001</v>
      </c>
      <c r="W3177">
        <v>3</v>
      </c>
    </row>
    <row r="3178" spans="1:23" x14ac:dyDescent="0.25">
      <c r="A3178" s="1" t="s">
        <v>20437</v>
      </c>
      <c r="B3178" s="1" t="s">
        <v>20430</v>
      </c>
      <c r="C3178" s="1" t="s">
        <v>8087</v>
      </c>
      <c r="D3178" s="1" t="s">
        <v>8087</v>
      </c>
      <c r="E3178" s="1" t="s">
        <v>8082</v>
      </c>
      <c r="F3178" s="1" t="s">
        <v>17296</v>
      </c>
      <c r="G3178">
        <v>187466</v>
      </c>
      <c r="H3178">
        <v>25</v>
      </c>
      <c r="I3178" s="1" t="s">
        <v>11063</v>
      </c>
      <c r="J3178" s="11">
        <v>44729.706458333334</v>
      </c>
      <c r="K3178" s="1" t="s">
        <v>8083</v>
      </c>
      <c r="L3178" s="1">
        <v>0.76400000000000001</v>
      </c>
      <c r="M3178" s="1">
        <v>0.71199999999999997</v>
      </c>
      <c r="N3178">
        <v>7</v>
      </c>
      <c r="O3178" s="1">
        <v>-5.0529999999999999</v>
      </c>
      <c r="P3178">
        <v>1</v>
      </c>
      <c r="Q3178" s="1">
        <v>0.33400000000000002</v>
      </c>
      <c r="R3178" s="1">
        <v>0.89</v>
      </c>
      <c r="S3178" s="1">
        <v>0.111</v>
      </c>
      <c r="T3178" s="1">
        <v>0.182</v>
      </c>
      <c r="U3178" s="1">
        <v>0.754</v>
      </c>
      <c r="V3178" s="1">
        <v>120.036</v>
      </c>
      <c r="W3178">
        <v>4</v>
      </c>
    </row>
    <row r="3179" spans="1:23" x14ac:dyDescent="0.25">
      <c r="A3179" s="1" t="s">
        <v>20438</v>
      </c>
      <c r="B3179" s="1" t="s">
        <v>20430</v>
      </c>
      <c r="C3179" s="1" t="s">
        <v>8088</v>
      </c>
      <c r="D3179" s="1" t="s">
        <v>20439</v>
      </c>
      <c r="E3179" s="1" t="s">
        <v>8082</v>
      </c>
      <c r="F3179" s="1" t="s">
        <v>20440</v>
      </c>
      <c r="G3179">
        <v>247816</v>
      </c>
      <c r="H3179">
        <v>3</v>
      </c>
      <c r="I3179" s="1" t="s">
        <v>11063</v>
      </c>
      <c r="J3179" s="11">
        <v>44729.706458333334</v>
      </c>
      <c r="K3179" s="1" t="s">
        <v>8083</v>
      </c>
      <c r="L3179" s="1">
        <v>0.53400000000000003</v>
      </c>
      <c r="M3179" s="1">
        <v>0.33200000000000002</v>
      </c>
      <c r="N3179">
        <v>11</v>
      </c>
      <c r="O3179" s="1">
        <v>-7.44</v>
      </c>
      <c r="P3179">
        <v>1</v>
      </c>
      <c r="Q3179" s="1">
        <v>0.374</v>
      </c>
      <c r="R3179" s="1">
        <v>0.83699999999999997</v>
      </c>
      <c r="S3179" s="1">
        <v>0</v>
      </c>
      <c r="T3179" s="1">
        <v>0.997</v>
      </c>
      <c r="U3179" s="1">
        <v>0.50900000000000001</v>
      </c>
      <c r="V3179" s="1">
        <v>110.771</v>
      </c>
      <c r="W3179">
        <v>4</v>
      </c>
    </row>
    <row r="3180" spans="1:23" x14ac:dyDescent="0.25">
      <c r="A3180" s="1" t="s">
        <v>20441</v>
      </c>
      <c r="B3180" s="1" t="s">
        <v>13939</v>
      </c>
      <c r="C3180" s="1" t="s">
        <v>8089</v>
      </c>
      <c r="D3180" s="1" t="s">
        <v>11150</v>
      </c>
      <c r="E3180" s="1" t="s">
        <v>2343</v>
      </c>
      <c r="F3180" s="1" t="s">
        <v>14552</v>
      </c>
      <c r="G3180">
        <v>187185</v>
      </c>
      <c r="H3180">
        <v>31</v>
      </c>
      <c r="I3180" s="1" t="s">
        <v>11063</v>
      </c>
      <c r="J3180" s="11">
        <v>44729.706458333334</v>
      </c>
      <c r="K3180" s="1" t="s">
        <v>2344</v>
      </c>
      <c r="L3180" s="1">
        <v>0.54800000000000004</v>
      </c>
      <c r="M3180" s="1">
        <v>0.92900000000000005</v>
      </c>
      <c r="N3180">
        <v>3</v>
      </c>
      <c r="O3180" s="1">
        <v>-2.7389999999999999</v>
      </c>
      <c r="P3180">
        <v>0</v>
      </c>
      <c r="Q3180" s="1">
        <v>0.54300000000000004</v>
      </c>
      <c r="R3180" s="1">
        <v>0.28799999999999998</v>
      </c>
      <c r="S3180" s="1">
        <v>0.317</v>
      </c>
      <c r="T3180" s="1">
        <v>0.376</v>
      </c>
      <c r="U3180" s="1">
        <v>0.53800000000000003</v>
      </c>
      <c r="V3180" s="1">
        <v>123.809</v>
      </c>
      <c r="W3180">
        <v>4</v>
      </c>
    </row>
    <row r="3181" spans="1:23" x14ac:dyDescent="0.25">
      <c r="A3181" s="1" t="s">
        <v>11148</v>
      </c>
      <c r="B3181" s="1" t="s">
        <v>11149</v>
      </c>
      <c r="C3181" s="1" t="s">
        <v>5982</v>
      </c>
      <c r="D3181" s="1" t="s">
        <v>11150</v>
      </c>
      <c r="E3181" s="1" t="s">
        <v>8090</v>
      </c>
      <c r="F3181" s="1" t="s">
        <v>14552</v>
      </c>
      <c r="G3181">
        <v>217016</v>
      </c>
      <c r="H3181">
        <v>32</v>
      </c>
      <c r="I3181" s="1" t="s">
        <v>11063</v>
      </c>
      <c r="J3181" s="11">
        <v>44729.706458333334</v>
      </c>
      <c r="K3181" s="1" t="s">
        <v>8091</v>
      </c>
      <c r="L3181" s="1">
        <v>0.498</v>
      </c>
      <c r="M3181" s="1">
        <v>0.755</v>
      </c>
      <c r="N3181">
        <v>7</v>
      </c>
      <c r="O3181" s="1">
        <v>-4.8620000000000001</v>
      </c>
      <c r="P3181">
        <v>0</v>
      </c>
      <c r="Q3181" s="1">
        <v>0.77600000000000002</v>
      </c>
      <c r="R3181" s="1">
        <v>0.32800000000000001</v>
      </c>
      <c r="S3181" s="1">
        <v>0</v>
      </c>
      <c r="T3181" s="1">
        <v>0.14299999999999999</v>
      </c>
      <c r="U3181" s="1">
        <v>0.442</v>
      </c>
      <c r="V3181" s="1">
        <v>123.63</v>
      </c>
      <c r="W3181">
        <v>4</v>
      </c>
    </row>
    <row r="3182" spans="1:23" x14ac:dyDescent="0.25">
      <c r="A3182" s="1" t="s">
        <v>20442</v>
      </c>
      <c r="B3182" s="1" t="s">
        <v>20443</v>
      </c>
      <c r="C3182" s="1" t="s">
        <v>8092</v>
      </c>
      <c r="D3182" s="1" t="s">
        <v>8092</v>
      </c>
      <c r="E3182" s="1" t="s">
        <v>8093</v>
      </c>
      <c r="F3182" s="1" t="s">
        <v>14969</v>
      </c>
      <c r="G3182">
        <v>209659</v>
      </c>
      <c r="H3182">
        <v>53</v>
      </c>
      <c r="I3182" s="1" t="s">
        <v>11063</v>
      </c>
      <c r="J3182" s="11">
        <v>44729.706458333334</v>
      </c>
      <c r="K3182" s="1" t="s">
        <v>8094</v>
      </c>
      <c r="L3182" s="1">
        <v>0.60299999999999998</v>
      </c>
      <c r="M3182" s="1">
        <v>0.74399999999999999</v>
      </c>
      <c r="N3182">
        <v>0</v>
      </c>
      <c r="O3182" s="1">
        <v>-5.7240000000000002</v>
      </c>
      <c r="P3182">
        <v>1</v>
      </c>
      <c r="Q3182" s="1">
        <v>0.45800000000000002</v>
      </c>
      <c r="R3182" s="1">
        <v>0.27900000000000003</v>
      </c>
      <c r="S3182" s="1">
        <v>0.48699999999999999</v>
      </c>
      <c r="T3182" s="1">
        <v>0.106</v>
      </c>
      <c r="U3182" s="1">
        <v>0.60499999999999998</v>
      </c>
      <c r="V3182" s="1">
        <v>101.991</v>
      </c>
      <c r="W3182">
        <v>4</v>
      </c>
    </row>
    <row r="3183" spans="1:23" x14ac:dyDescent="0.25">
      <c r="A3183" s="1" t="s">
        <v>20444</v>
      </c>
      <c r="B3183" s="1" t="s">
        <v>20445</v>
      </c>
      <c r="C3183" s="1" t="s">
        <v>8095</v>
      </c>
      <c r="D3183" s="1" t="s">
        <v>20446</v>
      </c>
      <c r="E3183" s="1" t="s">
        <v>8096</v>
      </c>
      <c r="F3183" s="1" t="s">
        <v>20447</v>
      </c>
      <c r="G3183">
        <v>206452</v>
      </c>
      <c r="H3183">
        <v>44</v>
      </c>
      <c r="I3183" s="1" t="s">
        <v>11063</v>
      </c>
      <c r="J3183" s="11">
        <v>44729.706458333334</v>
      </c>
      <c r="K3183" s="1" t="s">
        <v>8097</v>
      </c>
      <c r="L3183" s="1">
        <v>0.69899999999999995</v>
      </c>
      <c r="M3183" s="1">
        <v>0.86099999999999999</v>
      </c>
      <c r="N3183">
        <v>4</v>
      </c>
      <c r="O3183" s="1">
        <v>-3.09</v>
      </c>
      <c r="P3183">
        <v>0</v>
      </c>
      <c r="Q3183" s="1">
        <v>0.17299999999999999</v>
      </c>
      <c r="R3183" s="1">
        <v>0.58899999999999997</v>
      </c>
      <c r="S3183" s="1">
        <v>0.26400000000000001</v>
      </c>
      <c r="T3183" s="1">
        <v>0.79400000000000004</v>
      </c>
      <c r="U3183" s="1">
        <v>0.315</v>
      </c>
      <c r="V3183" s="1">
        <v>125.94199999999999</v>
      </c>
      <c r="W3183">
        <v>3</v>
      </c>
    </row>
    <row r="3184" spans="1:23" x14ac:dyDescent="0.25">
      <c r="A3184" s="1" t="s">
        <v>20448</v>
      </c>
      <c r="B3184" s="1" t="s">
        <v>20449</v>
      </c>
      <c r="C3184" s="1" t="s">
        <v>8098</v>
      </c>
      <c r="D3184" s="1" t="s">
        <v>8098</v>
      </c>
      <c r="E3184" s="1" t="s">
        <v>8099</v>
      </c>
      <c r="F3184" s="1" t="s">
        <v>11492</v>
      </c>
      <c r="G3184">
        <v>175402</v>
      </c>
      <c r="H3184">
        <v>49</v>
      </c>
      <c r="I3184" s="1" t="s">
        <v>11063</v>
      </c>
      <c r="J3184" s="11">
        <v>44729.706458333334</v>
      </c>
      <c r="K3184" s="1" t="s">
        <v>8100</v>
      </c>
      <c r="L3184" s="1">
        <v>0.68799999999999994</v>
      </c>
      <c r="M3184" s="1">
        <v>0.92400000000000004</v>
      </c>
      <c r="N3184">
        <v>11</v>
      </c>
      <c r="O3184" s="1">
        <v>-2.762</v>
      </c>
      <c r="P3184">
        <v>0</v>
      </c>
      <c r="Q3184" s="1">
        <v>0.85099999999999998</v>
      </c>
      <c r="R3184" s="1">
        <v>0.14699999999999999</v>
      </c>
      <c r="S3184" s="1">
        <v>0.46800000000000003</v>
      </c>
      <c r="T3184" s="1">
        <v>0.94899999999999995</v>
      </c>
      <c r="U3184" s="1">
        <v>0.50700000000000001</v>
      </c>
      <c r="V3184" s="1">
        <v>125.995</v>
      </c>
      <c r="W3184">
        <v>4</v>
      </c>
    </row>
    <row r="3185" spans="1:23" x14ac:dyDescent="0.25">
      <c r="A3185" s="1" t="s">
        <v>20450</v>
      </c>
      <c r="B3185" s="1" t="s">
        <v>20451</v>
      </c>
      <c r="C3185" s="1" t="s">
        <v>8101</v>
      </c>
      <c r="D3185" s="1" t="s">
        <v>8101</v>
      </c>
      <c r="E3185" s="1" t="s">
        <v>8102</v>
      </c>
      <c r="F3185" s="1" t="s">
        <v>16199</v>
      </c>
      <c r="G3185">
        <v>189426</v>
      </c>
      <c r="H3185">
        <v>58</v>
      </c>
      <c r="I3185" s="1" t="s">
        <v>11063</v>
      </c>
      <c r="J3185" s="11">
        <v>44729.706458333334</v>
      </c>
      <c r="K3185" s="1" t="s">
        <v>8103</v>
      </c>
      <c r="L3185" s="1">
        <v>0.58499999999999996</v>
      </c>
      <c r="M3185" s="1">
        <v>0.77200000000000002</v>
      </c>
      <c r="N3185">
        <v>10</v>
      </c>
      <c r="O3185" s="1">
        <v>-6.6189999999999998</v>
      </c>
      <c r="P3185">
        <v>0</v>
      </c>
      <c r="Q3185" s="1">
        <v>0.19600000000000001</v>
      </c>
      <c r="R3185" s="1">
        <v>0.71399999999999997</v>
      </c>
      <c r="S3185" s="1">
        <v>0.69699999999999995</v>
      </c>
      <c r="T3185" s="1">
        <v>0.113</v>
      </c>
      <c r="U3185" s="1">
        <v>0.36399999999999999</v>
      </c>
      <c r="V3185" s="1">
        <v>99.564999999999998</v>
      </c>
      <c r="W3185">
        <v>4</v>
      </c>
    </row>
    <row r="3186" spans="1:23" x14ac:dyDescent="0.25">
      <c r="A3186" s="1" t="s">
        <v>20452</v>
      </c>
      <c r="B3186" s="1" t="s">
        <v>13939</v>
      </c>
      <c r="C3186" s="1" t="s">
        <v>8104</v>
      </c>
      <c r="D3186" s="1" t="s">
        <v>8104</v>
      </c>
      <c r="E3186" s="1" t="s">
        <v>2343</v>
      </c>
      <c r="F3186" s="1" t="s">
        <v>14995</v>
      </c>
      <c r="G3186">
        <v>157024</v>
      </c>
      <c r="H3186">
        <v>48</v>
      </c>
      <c r="I3186" s="1" t="s">
        <v>11063</v>
      </c>
      <c r="J3186" s="11">
        <v>44729.706458333334</v>
      </c>
      <c r="K3186" s="1" t="s">
        <v>2344</v>
      </c>
      <c r="L3186" s="1">
        <v>0.67</v>
      </c>
      <c r="M3186" s="1">
        <v>0.96799999999999997</v>
      </c>
      <c r="N3186">
        <v>8</v>
      </c>
      <c r="O3186" s="1">
        <v>-2.5150000000000001</v>
      </c>
      <c r="P3186">
        <v>0</v>
      </c>
      <c r="Q3186" s="1">
        <v>0.56000000000000005</v>
      </c>
      <c r="R3186" s="1">
        <v>0.77800000000000002</v>
      </c>
      <c r="S3186" s="1">
        <v>0.20899999999999999</v>
      </c>
      <c r="T3186" s="1">
        <v>0.317</v>
      </c>
      <c r="U3186" s="1">
        <v>0.39900000000000002</v>
      </c>
      <c r="V3186" s="1">
        <v>125.991</v>
      </c>
      <c r="W3186">
        <v>4</v>
      </c>
    </row>
    <row r="3187" spans="1:23" x14ac:dyDescent="0.25">
      <c r="A3187" s="1" t="s">
        <v>20453</v>
      </c>
      <c r="B3187" s="1" t="s">
        <v>20454</v>
      </c>
      <c r="C3187" s="1" t="s">
        <v>8105</v>
      </c>
      <c r="D3187" s="1" t="s">
        <v>20455</v>
      </c>
      <c r="E3187" s="1" t="s">
        <v>8106</v>
      </c>
      <c r="F3187" s="1" t="s">
        <v>15585</v>
      </c>
      <c r="G3187">
        <v>243490</v>
      </c>
      <c r="H3187">
        <v>76</v>
      </c>
      <c r="I3187" s="1" t="s">
        <v>11063</v>
      </c>
      <c r="J3187" s="11">
        <v>44729.706458333334</v>
      </c>
      <c r="K3187" s="1" t="s">
        <v>8107</v>
      </c>
      <c r="L3187" s="1">
        <v>0.502</v>
      </c>
      <c r="M3187" s="1">
        <v>0.78600000000000003</v>
      </c>
      <c r="N3187">
        <v>9</v>
      </c>
      <c r="O3187" s="1">
        <v>-4.3780000000000001</v>
      </c>
      <c r="P3187">
        <v>0</v>
      </c>
      <c r="Q3187" s="1">
        <v>0.317</v>
      </c>
      <c r="R3187" s="1">
        <v>0.255</v>
      </c>
      <c r="S3187" s="1">
        <v>0</v>
      </c>
      <c r="T3187" s="1">
        <v>0.65</v>
      </c>
      <c r="U3187" s="1">
        <v>0.73899999999999999</v>
      </c>
      <c r="V3187" s="1">
        <v>169.02099999999999</v>
      </c>
      <c r="W3187">
        <v>4</v>
      </c>
    </row>
    <row r="3188" spans="1:23" x14ac:dyDescent="0.25">
      <c r="A3188" s="1" t="s">
        <v>20456</v>
      </c>
      <c r="B3188" s="1" t="s">
        <v>11315</v>
      </c>
      <c r="C3188" s="1" t="s">
        <v>7594</v>
      </c>
      <c r="D3188" s="1" t="s">
        <v>20457</v>
      </c>
      <c r="E3188" s="1" t="s">
        <v>112</v>
      </c>
      <c r="F3188" s="1" t="s">
        <v>14073</v>
      </c>
      <c r="G3188">
        <v>260773</v>
      </c>
      <c r="H3188">
        <v>80</v>
      </c>
      <c r="I3188" s="1" t="s">
        <v>11063</v>
      </c>
      <c r="J3188" s="11">
        <v>44729.706458333334</v>
      </c>
      <c r="K3188" s="1" t="s">
        <v>113</v>
      </c>
      <c r="L3188" s="1">
        <v>0.38300000000000001</v>
      </c>
      <c r="M3188" s="1">
        <v>0.63700000000000001</v>
      </c>
      <c r="N3188">
        <v>3</v>
      </c>
      <c r="O3188" s="1">
        <v>-6.9930000000000003</v>
      </c>
      <c r="P3188">
        <v>1</v>
      </c>
      <c r="Q3188" s="1">
        <v>0.70299999999999996</v>
      </c>
      <c r="R3188" s="1">
        <v>0.72199999999999998</v>
      </c>
      <c r="S3188" s="1">
        <v>0</v>
      </c>
      <c r="T3188" s="1">
        <v>0.36799999999999999</v>
      </c>
      <c r="U3188" s="1">
        <v>0.82699999999999996</v>
      </c>
      <c r="V3188" s="1">
        <v>177.91300000000001</v>
      </c>
      <c r="W3188">
        <v>4</v>
      </c>
    </row>
    <row r="3189" spans="1:23" x14ac:dyDescent="0.25">
      <c r="A3189" s="1" t="s">
        <v>20458</v>
      </c>
      <c r="B3189" s="1" t="s">
        <v>11315</v>
      </c>
      <c r="C3189" s="1" t="s">
        <v>8108</v>
      </c>
      <c r="D3189" s="1" t="s">
        <v>13595</v>
      </c>
      <c r="E3189" s="1" t="s">
        <v>112</v>
      </c>
      <c r="F3189" s="1" t="s">
        <v>11319</v>
      </c>
      <c r="G3189">
        <v>204346</v>
      </c>
      <c r="H3189">
        <v>87</v>
      </c>
      <c r="I3189" s="1" t="s">
        <v>11063</v>
      </c>
      <c r="J3189" s="11">
        <v>44729.706458333334</v>
      </c>
      <c r="K3189" s="1" t="s">
        <v>113</v>
      </c>
      <c r="L3189" s="1">
        <v>0.77600000000000002</v>
      </c>
      <c r="M3189" s="1">
        <v>0.78</v>
      </c>
      <c r="N3189">
        <v>10</v>
      </c>
      <c r="O3189" s="1">
        <v>-4.3739999999999997</v>
      </c>
      <c r="P3189">
        <v>0</v>
      </c>
      <c r="Q3189" s="1">
        <v>0.128</v>
      </c>
      <c r="R3189" s="1">
        <v>0.622</v>
      </c>
      <c r="S3189" s="1">
        <v>0</v>
      </c>
      <c r="T3189" s="1">
        <v>0.81</v>
      </c>
      <c r="U3189" s="1">
        <v>0.66600000000000004</v>
      </c>
      <c r="V3189" s="1">
        <v>124.949</v>
      </c>
      <c r="W3189">
        <v>4</v>
      </c>
    </row>
    <row r="3190" spans="1:23" x14ac:dyDescent="0.25">
      <c r="A3190" s="1" t="s">
        <v>20459</v>
      </c>
      <c r="B3190" s="1" t="s">
        <v>11315</v>
      </c>
      <c r="C3190" s="1" t="s">
        <v>1267</v>
      </c>
      <c r="D3190" s="1" t="s">
        <v>13595</v>
      </c>
      <c r="E3190" s="1" t="s">
        <v>112</v>
      </c>
      <c r="F3190" s="1" t="s">
        <v>11319</v>
      </c>
      <c r="G3190">
        <v>187146</v>
      </c>
      <c r="H3190">
        <v>84</v>
      </c>
      <c r="I3190" s="1" t="s">
        <v>11063</v>
      </c>
      <c r="J3190" s="11">
        <v>44729.706458333334</v>
      </c>
      <c r="K3190" s="1" t="s">
        <v>113</v>
      </c>
      <c r="L3190" s="1">
        <v>0.60499999999999998</v>
      </c>
      <c r="M3190" s="1">
        <v>0.82199999999999995</v>
      </c>
      <c r="N3190">
        <v>0</v>
      </c>
      <c r="O3190" s="1">
        <v>-4.8330000000000002</v>
      </c>
      <c r="P3190">
        <v>1</v>
      </c>
      <c r="Q3190" s="1">
        <v>0.438</v>
      </c>
      <c r="R3190" s="1">
        <v>0.67100000000000004</v>
      </c>
      <c r="S3190" s="1">
        <v>0.13400000000000001</v>
      </c>
      <c r="T3190" s="1">
        <v>0.14699999999999999</v>
      </c>
      <c r="U3190" s="1">
        <v>0.28799999999999998</v>
      </c>
      <c r="V3190" s="1">
        <v>167.99700000000001</v>
      </c>
      <c r="W3190">
        <v>4</v>
      </c>
    </row>
    <row r="3191" spans="1:23" x14ac:dyDescent="0.25">
      <c r="A3191" s="1" t="s">
        <v>20460</v>
      </c>
      <c r="B3191" s="1" t="s">
        <v>11315</v>
      </c>
      <c r="C3191" s="1" t="s">
        <v>8109</v>
      </c>
      <c r="D3191" s="1" t="s">
        <v>13595</v>
      </c>
      <c r="E3191" s="1" t="s">
        <v>112</v>
      </c>
      <c r="F3191" s="1" t="s">
        <v>11319</v>
      </c>
      <c r="G3191">
        <v>201240</v>
      </c>
      <c r="H3191">
        <v>81</v>
      </c>
      <c r="I3191" s="1" t="s">
        <v>11063</v>
      </c>
      <c r="J3191" s="11">
        <v>44729.706458333334</v>
      </c>
      <c r="K3191" s="1" t="s">
        <v>113</v>
      </c>
      <c r="L3191" s="1">
        <v>0.67200000000000004</v>
      </c>
      <c r="M3191" s="1">
        <v>0.65500000000000003</v>
      </c>
      <c r="N3191">
        <v>10</v>
      </c>
      <c r="O3191" s="1">
        <v>-5.0209999999999999</v>
      </c>
      <c r="P3191">
        <v>0</v>
      </c>
      <c r="Q3191" s="1">
        <v>0.311</v>
      </c>
      <c r="R3191" s="1">
        <v>0.36199999999999999</v>
      </c>
      <c r="S3191" s="1">
        <v>0</v>
      </c>
      <c r="T3191" s="1">
        <v>0.11700000000000001</v>
      </c>
      <c r="U3191" s="1">
        <v>0.55600000000000005</v>
      </c>
      <c r="V3191" s="1">
        <v>134.94499999999999</v>
      </c>
      <c r="W3191">
        <v>4</v>
      </c>
    </row>
    <row r="3192" spans="1:23" x14ac:dyDescent="0.25">
      <c r="A3192" s="1" t="s">
        <v>20461</v>
      </c>
      <c r="B3192" s="1" t="s">
        <v>11315</v>
      </c>
      <c r="C3192" s="1" t="s">
        <v>8110</v>
      </c>
      <c r="D3192" s="1" t="s">
        <v>20457</v>
      </c>
      <c r="E3192" s="1" t="s">
        <v>112</v>
      </c>
      <c r="F3192" s="1" t="s">
        <v>14073</v>
      </c>
      <c r="G3192">
        <v>189466</v>
      </c>
      <c r="H3192">
        <v>81</v>
      </c>
      <c r="I3192" s="1" t="s">
        <v>11063</v>
      </c>
      <c r="J3192" s="11">
        <v>44729.706458333334</v>
      </c>
      <c r="K3192" s="1" t="s">
        <v>113</v>
      </c>
      <c r="L3192" s="1">
        <v>0.70399999999999996</v>
      </c>
      <c r="M3192" s="1">
        <v>0.61099999999999999</v>
      </c>
      <c r="N3192">
        <v>2</v>
      </c>
      <c r="O3192" s="1">
        <v>-6.1120000000000001</v>
      </c>
      <c r="P3192">
        <v>1</v>
      </c>
      <c r="Q3192" s="1">
        <v>0.40899999999999997</v>
      </c>
      <c r="R3192" s="1">
        <v>0.217</v>
      </c>
      <c r="S3192" s="1">
        <v>0</v>
      </c>
      <c r="T3192" s="1">
        <v>0.81200000000000006</v>
      </c>
      <c r="U3192" s="1">
        <v>0.22</v>
      </c>
      <c r="V3192" s="1">
        <v>100</v>
      </c>
      <c r="W3192">
        <v>4</v>
      </c>
    </row>
    <row r="3193" spans="1:23" x14ac:dyDescent="0.25">
      <c r="A3193" s="1" t="s">
        <v>20462</v>
      </c>
      <c r="B3193" s="1" t="s">
        <v>11315</v>
      </c>
      <c r="C3193" s="1" t="s">
        <v>4731</v>
      </c>
      <c r="D3193" s="1" t="s">
        <v>17366</v>
      </c>
      <c r="E3193" s="1" t="s">
        <v>112</v>
      </c>
      <c r="F3193" s="1" t="s">
        <v>17367</v>
      </c>
      <c r="G3193">
        <v>177506</v>
      </c>
      <c r="H3193">
        <v>82</v>
      </c>
      <c r="I3193" s="1" t="s">
        <v>11063</v>
      </c>
      <c r="J3193" s="11">
        <v>44729.706458333334</v>
      </c>
      <c r="K3193" s="1" t="s">
        <v>113</v>
      </c>
      <c r="L3193" s="1">
        <v>0.505</v>
      </c>
      <c r="M3193" s="1">
        <v>0.71</v>
      </c>
      <c r="N3193">
        <v>3</v>
      </c>
      <c r="O3193" s="1">
        <v>-3.0150000000000001</v>
      </c>
      <c r="P3193">
        <v>1</v>
      </c>
      <c r="Q3193" s="1">
        <v>0.32100000000000001</v>
      </c>
      <c r="R3193" s="1">
        <v>0.19</v>
      </c>
      <c r="S3193" s="1">
        <v>0.25</v>
      </c>
      <c r="T3193" s="1">
        <v>0.26900000000000002</v>
      </c>
      <c r="U3193" s="1">
        <v>0.42799999999999999</v>
      </c>
      <c r="V3193" s="1">
        <v>89.938000000000002</v>
      </c>
      <c r="W3193">
        <v>4</v>
      </c>
    </row>
    <row r="3194" spans="1:23" x14ac:dyDescent="0.25">
      <c r="A3194" s="1" t="s">
        <v>20463</v>
      </c>
      <c r="B3194" s="1" t="s">
        <v>11315</v>
      </c>
      <c r="C3194" s="1" t="s">
        <v>3181</v>
      </c>
      <c r="D3194" s="1" t="s">
        <v>17366</v>
      </c>
      <c r="E3194" s="1" t="s">
        <v>112</v>
      </c>
      <c r="F3194" s="1" t="s">
        <v>17367</v>
      </c>
      <c r="G3194">
        <v>186813</v>
      </c>
      <c r="H3194">
        <v>77</v>
      </c>
      <c r="I3194" s="1" t="s">
        <v>11063</v>
      </c>
      <c r="J3194" s="11">
        <v>44729.706458333334</v>
      </c>
      <c r="K3194" s="1" t="s">
        <v>113</v>
      </c>
      <c r="L3194" s="1">
        <v>0.44800000000000001</v>
      </c>
      <c r="M3194" s="1">
        <v>0.78400000000000003</v>
      </c>
      <c r="N3194">
        <v>9</v>
      </c>
      <c r="O3194" s="1">
        <v>-3.6859999999999999</v>
      </c>
      <c r="P3194">
        <v>1</v>
      </c>
      <c r="Q3194" s="1">
        <v>0.627</v>
      </c>
      <c r="R3194" s="1">
        <v>0.106</v>
      </c>
      <c r="S3194" s="1">
        <v>0.108</v>
      </c>
      <c r="T3194" s="1">
        <v>0.66800000000000004</v>
      </c>
      <c r="U3194" s="1">
        <v>0.23599999999999999</v>
      </c>
      <c r="V3194" s="1">
        <v>136.245</v>
      </c>
      <c r="W3194">
        <v>4</v>
      </c>
    </row>
    <row r="3195" spans="1:23" x14ac:dyDescent="0.25">
      <c r="A3195" s="1" t="s">
        <v>20464</v>
      </c>
      <c r="B3195" s="1" t="s">
        <v>20465</v>
      </c>
      <c r="C3195" s="1" t="s">
        <v>3181</v>
      </c>
      <c r="D3195" s="1" t="s">
        <v>3181</v>
      </c>
      <c r="E3195" s="1" t="s">
        <v>8111</v>
      </c>
      <c r="F3195" s="1" t="s">
        <v>11471</v>
      </c>
      <c r="G3195">
        <v>276040</v>
      </c>
      <c r="H3195">
        <v>71</v>
      </c>
      <c r="I3195" s="1" t="s">
        <v>11063</v>
      </c>
      <c r="J3195" s="11">
        <v>44729.706458333334</v>
      </c>
      <c r="K3195" s="1" t="s">
        <v>8112</v>
      </c>
      <c r="L3195" s="1">
        <v>0.48299999999999998</v>
      </c>
      <c r="M3195" s="1">
        <v>0.89400000000000002</v>
      </c>
      <c r="N3195">
        <v>9</v>
      </c>
      <c r="O3195" s="1">
        <v>-3.9</v>
      </c>
      <c r="P3195">
        <v>1</v>
      </c>
      <c r="Q3195" s="1">
        <v>0.223</v>
      </c>
      <c r="R3195" s="1">
        <v>0.40699999999999997</v>
      </c>
      <c r="S3195" s="1">
        <v>0</v>
      </c>
      <c r="T3195" s="1">
        <v>0.28199999999999997</v>
      </c>
      <c r="U3195" s="1">
        <v>0.27800000000000002</v>
      </c>
      <c r="V3195" s="1">
        <v>139.858</v>
      </c>
      <c r="W3195">
        <v>4</v>
      </c>
    </row>
    <row r="3196" spans="1:23" x14ac:dyDescent="0.25">
      <c r="A3196" s="1" t="s">
        <v>20466</v>
      </c>
      <c r="B3196" s="1" t="s">
        <v>20467</v>
      </c>
      <c r="C3196" s="1" t="s">
        <v>8113</v>
      </c>
      <c r="D3196" s="1" t="s">
        <v>20468</v>
      </c>
      <c r="E3196" s="1" t="s">
        <v>8114</v>
      </c>
      <c r="F3196" s="1" t="s">
        <v>14868</v>
      </c>
      <c r="G3196">
        <v>233454</v>
      </c>
      <c r="H3196">
        <v>34</v>
      </c>
      <c r="I3196" s="1" t="s">
        <v>11063</v>
      </c>
      <c r="J3196" s="11">
        <v>44729.706458333334</v>
      </c>
      <c r="K3196" s="1" t="s">
        <v>50</v>
      </c>
      <c r="L3196" s="1">
        <v>0.69499999999999995</v>
      </c>
      <c r="M3196" s="1">
        <v>0.65700000000000003</v>
      </c>
      <c r="N3196">
        <v>10</v>
      </c>
      <c r="O3196" s="1">
        <v>-7.8449999999999998</v>
      </c>
      <c r="P3196">
        <v>0</v>
      </c>
      <c r="Q3196" s="1">
        <v>0.35099999999999998</v>
      </c>
      <c r="R3196" s="1">
        <v>0.436</v>
      </c>
      <c r="S3196" s="1">
        <v>0.32500000000000001</v>
      </c>
      <c r="T3196" s="1">
        <v>0.26500000000000001</v>
      </c>
      <c r="U3196" s="1">
        <v>0.37</v>
      </c>
      <c r="V3196" s="1">
        <v>110.003</v>
      </c>
      <c r="W3196">
        <v>4</v>
      </c>
    </row>
    <row r="3197" spans="1:23" x14ac:dyDescent="0.25">
      <c r="A3197" s="1" t="s">
        <v>20469</v>
      </c>
      <c r="B3197" s="1" t="s">
        <v>20470</v>
      </c>
      <c r="C3197" s="1" t="s">
        <v>8115</v>
      </c>
      <c r="D3197" s="1" t="s">
        <v>8115</v>
      </c>
      <c r="E3197" s="1" t="s">
        <v>8116</v>
      </c>
      <c r="F3197" s="1" t="s">
        <v>16699</v>
      </c>
      <c r="G3197">
        <v>178233</v>
      </c>
      <c r="H3197">
        <v>49</v>
      </c>
      <c r="I3197" s="1" t="s">
        <v>11063</v>
      </c>
      <c r="J3197" s="11">
        <v>44729.706458333334</v>
      </c>
      <c r="K3197" s="1" t="s">
        <v>8117</v>
      </c>
      <c r="L3197" s="1">
        <v>0.745</v>
      </c>
      <c r="M3197" s="1">
        <v>0.66400000000000003</v>
      </c>
      <c r="N3197">
        <v>1</v>
      </c>
      <c r="O3197" s="1">
        <v>-4.28</v>
      </c>
      <c r="P3197">
        <v>1</v>
      </c>
      <c r="Q3197" s="1">
        <v>0.61299999999999999</v>
      </c>
      <c r="R3197" s="1">
        <v>0.498</v>
      </c>
      <c r="S3197" s="1">
        <v>0.81499999999999995</v>
      </c>
      <c r="T3197" s="1">
        <v>0.77700000000000002</v>
      </c>
      <c r="U3197" s="1">
        <v>0.46800000000000003</v>
      </c>
      <c r="V3197" s="1">
        <v>108.06699999999999</v>
      </c>
      <c r="W3197">
        <v>4</v>
      </c>
    </row>
    <row r="3198" spans="1:23" x14ac:dyDescent="0.25">
      <c r="A3198" s="1" t="s">
        <v>20471</v>
      </c>
      <c r="B3198" s="1" t="s">
        <v>20472</v>
      </c>
      <c r="C3198" s="1" t="s">
        <v>8118</v>
      </c>
      <c r="D3198" s="1" t="s">
        <v>20473</v>
      </c>
      <c r="E3198" s="1" t="s">
        <v>8119</v>
      </c>
      <c r="F3198" s="1" t="s">
        <v>16087</v>
      </c>
      <c r="G3198">
        <v>217603</v>
      </c>
      <c r="H3198">
        <v>71</v>
      </c>
      <c r="I3198" s="1" t="s">
        <v>11063</v>
      </c>
      <c r="J3198" s="11">
        <v>44729.706458333334</v>
      </c>
      <c r="K3198" s="1" t="s">
        <v>924</v>
      </c>
      <c r="L3198" s="1">
        <v>0.61699999999999999</v>
      </c>
      <c r="M3198" s="1">
        <v>0.56699999999999995</v>
      </c>
      <c r="N3198">
        <v>0</v>
      </c>
      <c r="O3198" s="1">
        <v>-4.1879999999999997</v>
      </c>
      <c r="P3198">
        <v>1</v>
      </c>
      <c r="Q3198" s="1">
        <v>0.82799999999999996</v>
      </c>
      <c r="R3198" s="1">
        <v>0.58399999999999996</v>
      </c>
      <c r="S3198" s="1">
        <v>0</v>
      </c>
      <c r="T3198" s="1">
        <v>0.93300000000000005</v>
      </c>
      <c r="U3198" s="1">
        <v>0.505</v>
      </c>
      <c r="V3198" s="1">
        <v>90.245999999999995</v>
      </c>
      <c r="W3198">
        <v>4</v>
      </c>
    </row>
    <row r="3199" spans="1:23" x14ac:dyDescent="0.25">
      <c r="A3199" s="1" t="s">
        <v>20474</v>
      </c>
      <c r="B3199" s="1" t="s">
        <v>20475</v>
      </c>
      <c r="C3199" s="1" t="s">
        <v>8120</v>
      </c>
      <c r="D3199" s="1" t="s">
        <v>13937</v>
      </c>
      <c r="E3199" s="1" t="s">
        <v>8121</v>
      </c>
      <c r="F3199" s="1" t="s">
        <v>13863</v>
      </c>
      <c r="G3199">
        <v>223186</v>
      </c>
      <c r="H3199">
        <v>75</v>
      </c>
      <c r="I3199" s="1" t="s">
        <v>11063</v>
      </c>
      <c r="J3199" s="11">
        <v>44729.706458333334</v>
      </c>
      <c r="K3199" s="1" t="s">
        <v>8122</v>
      </c>
      <c r="L3199" s="1">
        <v>0.64</v>
      </c>
      <c r="M3199" s="1">
        <v>0.63500000000000001</v>
      </c>
      <c r="N3199">
        <v>8</v>
      </c>
      <c r="O3199" s="1">
        <v>-7.5650000000000004</v>
      </c>
      <c r="P3199">
        <v>0</v>
      </c>
      <c r="Q3199" s="1">
        <v>0.22600000000000001</v>
      </c>
      <c r="R3199" s="1">
        <v>0.27100000000000002</v>
      </c>
      <c r="S3199" s="1">
        <v>0</v>
      </c>
      <c r="T3199" s="1">
        <v>0.31900000000000001</v>
      </c>
      <c r="U3199" s="1">
        <v>0.47499999999999998</v>
      </c>
      <c r="V3199" s="1">
        <v>100.03400000000001</v>
      </c>
      <c r="W3199">
        <v>4</v>
      </c>
    </row>
    <row r="3200" spans="1:23" x14ac:dyDescent="0.25">
      <c r="A3200" s="1" t="s">
        <v>20476</v>
      </c>
      <c r="B3200" s="1" t="s">
        <v>20477</v>
      </c>
      <c r="C3200" s="1" t="s">
        <v>8123</v>
      </c>
      <c r="D3200" s="1" t="s">
        <v>20478</v>
      </c>
      <c r="E3200" s="1" t="s">
        <v>8124</v>
      </c>
      <c r="F3200" s="1" t="s">
        <v>15379</v>
      </c>
      <c r="G3200">
        <v>236853</v>
      </c>
      <c r="H3200">
        <v>68</v>
      </c>
      <c r="I3200" s="1" t="s">
        <v>11063</v>
      </c>
      <c r="J3200" s="11">
        <v>44729.706458333334</v>
      </c>
      <c r="K3200" s="1" t="s">
        <v>8125</v>
      </c>
      <c r="L3200" s="1">
        <v>0.67700000000000005</v>
      </c>
      <c r="M3200" s="1">
        <v>0.497</v>
      </c>
      <c r="N3200">
        <v>5</v>
      </c>
      <c r="O3200" s="1">
        <v>-5.7629999999999999</v>
      </c>
      <c r="P3200">
        <v>1</v>
      </c>
      <c r="Q3200" s="1">
        <v>0.80900000000000005</v>
      </c>
      <c r="R3200" s="1">
        <v>0.152</v>
      </c>
      <c r="S3200" s="1">
        <v>0</v>
      </c>
      <c r="T3200" s="1">
        <v>0.91100000000000003</v>
      </c>
      <c r="U3200" s="1">
        <v>0.41899999999999998</v>
      </c>
      <c r="V3200" s="1">
        <v>99.137</v>
      </c>
      <c r="W3200">
        <v>4</v>
      </c>
    </row>
    <row r="3201" spans="1:23" x14ac:dyDescent="0.25">
      <c r="A3201" s="1" t="s">
        <v>20479</v>
      </c>
      <c r="B3201" s="1" t="s">
        <v>20480</v>
      </c>
      <c r="C3201" s="1" t="s">
        <v>1224</v>
      </c>
      <c r="D3201" s="1" t="s">
        <v>13937</v>
      </c>
      <c r="E3201" s="1" t="s">
        <v>8126</v>
      </c>
      <c r="F3201" s="1" t="s">
        <v>13863</v>
      </c>
      <c r="G3201">
        <v>271640</v>
      </c>
      <c r="H3201">
        <v>77</v>
      </c>
      <c r="I3201" s="1" t="s">
        <v>11063</v>
      </c>
      <c r="J3201" s="11">
        <v>44729.706458333334</v>
      </c>
      <c r="K3201" s="1" t="s">
        <v>8127</v>
      </c>
      <c r="L3201" s="1">
        <v>0.70399999999999996</v>
      </c>
      <c r="M3201" s="1">
        <v>0.63400000000000001</v>
      </c>
      <c r="N3201">
        <v>11</v>
      </c>
      <c r="O3201" s="1">
        <v>-7.3739999999999997</v>
      </c>
      <c r="P3201">
        <v>0</v>
      </c>
      <c r="Q3201" s="1">
        <v>0.42799999999999999</v>
      </c>
      <c r="R3201" s="1">
        <v>0.39300000000000002</v>
      </c>
      <c r="S3201" s="1">
        <v>0.317</v>
      </c>
      <c r="T3201" s="1">
        <v>0.95199999999999996</v>
      </c>
      <c r="U3201" s="1">
        <v>0.41099999999999998</v>
      </c>
      <c r="V3201" s="1">
        <v>113.92700000000001</v>
      </c>
      <c r="W3201">
        <v>4</v>
      </c>
    </row>
    <row r="3202" spans="1:23" x14ac:dyDescent="0.25">
      <c r="A3202" s="1" t="s">
        <v>20481</v>
      </c>
      <c r="B3202" s="1" t="s">
        <v>20482</v>
      </c>
      <c r="C3202" s="1" t="s">
        <v>8128</v>
      </c>
      <c r="D3202" s="1" t="s">
        <v>8128</v>
      </c>
      <c r="E3202" s="1" t="s">
        <v>8129</v>
      </c>
      <c r="F3202" s="1" t="s">
        <v>20483</v>
      </c>
      <c r="G3202">
        <v>220780</v>
      </c>
      <c r="H3202">
        <v>76</v>
      </c>
      <c r="I3202" s="1" t="s">
        <v>11063</v>
      </c>
      <c r="J3202" s="11">
        <v>44729.706458333334</v>
      </c>
      <c r="K3202" s="1" t="s">
        <v>62</v>
      </c>
      <c r="L3202" s="1">
        <v>0.64</v>
      </c>
      <c r="M3202" s="1">
        <v>0.53300000000000003</v>
      </c>
      <c r="N3202">
        <v>0</v>
      </c>
      <c r="O3202" s="1">
        <v>-6.5960000000000001</v>
      </c>
      <c r="P3202">
        <v>1</v>
      </c>
      <c r="Q3202" s="1">
        <v>0.70599999999999996</v>
      </c>
      <c r="R3202" s="1">
        <v>0.11899999999999999</v>
      </c>
      <c r="S3202" s="1">
        <v>0</v>
      </c>
      <c r="T3202" s="1">
        <v>0.86399999999999999</v>
      </c>
      <c r="U3202" s="1">
        <v>0.51500000000000001</v>
      </c>
      <c r="V3202" s="1">
        <v>99.968000000000004</v>
      </c>
      <c r="W3202">
        <v>4</v>
      </c>
    </row>
    <row r="3203" spans="1:23" x14ac:dyDescent="0.25">
      <c r="A3203" s="1" t="s">
        <v>20484</v>
      </c>
      <c r="B3203" s="1" t="s">
        <v>17780</v>
      </c>
      <c r="C3203" s="1" t="s">
        <v>8130</v>
      </c>
      <c r="D3203" s="1" t="s">
        <v>8130</v>
      </c>
      <c r="E3203" s="1" t="s">
        <v>5682</v>
      </c>
      <c r="F3203" s="1" t="s">
        <v>17008</v>
      </c>
      <c r="G3203">
        <v>208566</v>
      </c>
      <c r="H3203">
        <v>59</v>
      </c>
      <c r="I3203" s="1" t="s">
        <v>11063</v>
      </c>
      <c r="J3203" s="11">
        <v>44729.706458333334</v>
      </c>
      <c r="K3203" s="1" t="s">
        <v>5683</v>
      </c>
      <c r="L3203" s="1">
        <v>0.67300000000000004</v>
      </c>
      <c r="M3203" s="1">
        <v>0.59599999999999997</v>
      </c>
      <c r="N3203">
        <v>10</v>
      </c>
      <c r="O3203" s="1">
        <v>-7.891</v>
      </c>
      <c r="P3203">
        <v>1</v>
      </c>
      <c r="Q3203" s="1">
        <v>0.35399999999999998</v>
      </c>
      <c r="R3203" s="1">
        <v>0.16600000000000001</v>
      </c>
      <c r="S3203" s="1">
        <v>0</v>
      </c>
      <c r="T3203" s="1">
        <v>0.11</v>
      </c>
      <c r="U3203" s="1">
        <v>0.19</v>
      </c>
      <c r="V3203" s="1">
        <v>123.96899999999999</v>
      </c>
      <c r="W3203">
        <v>4</v>
      </c>
    </row>
    <row r="3204" spans="1:23" x14ac:dyDescent="0.25">
      <c r="A3204" s="1" t="s">
        <v>20485</v>
      </c>
      <c r="B3204" s="1" t="s">
        <v>20486</v>
      </c>
      <c r="C3204" s="1" t="s">
        <v>8131</v>
      </c>
      <c r="D3204" s="1" t="s">
        <v>20487</v>
      </c>
      <c r="E3204" s="1" t="s">
        <v>8132</v>
      </c>
      <c r="F3204" s="1" t="s">
        <v>11498</v>
      </c>
      <c r="G3204">
        <v>217293</v>
      </c>
      <c r="H3204">
        <v>63</v>
      </c>
      <c r="I3204" s="1" t="s">
        <v>11063</v>
      </c>
      <c r="J3204" s="11">
        <v>44729.706458333334</v>
      </c>
      <c r="K3204" s="1" t="s">
        <v>8133</v>
      </c>
      <c r="L3204" s="1">
        <v>0.68899999999999995</v>
      </c>
      <c r="M3204" s="1">
        <v>0.505</v>
      </c>
      <c r="N3204">
        <v>0</v>
      </c>
      <c r="O3204" s="1">
        <v>-6.3890000000000002</v>
      </c>
      <c r="P3204">
        <v>1</v>
      </c>
      <c r="Q3204" s="1">
        <v>0.93300000000000005</v>
      </c>
      <c r="R3204" s="1">
        <v>0.158</v>
      </c>
      <c r="S3204" s="1">
        <v>0</v>
      </c>
      <c r="T3204" s="1">
        <v>0.13800000000000001</v>
      </c>
      <c r="U3204" s="1">
        <v>0.312</v>
      </c>
      <c r="V3204" s="1">
        <v>99.016999999999996</v>
      </c>
      <c r="W3204">
        <v>4</v>
      </c>
    </row>
    <row r="3205" spans="1:23" x14ac:dyDescent="0.25">
      <c r="A3205" s="1" t="s">
        <v>20488</v>
      </c>
      <c r="B3205" s="1" t="s">
        <v>20489</v>
      </c>
      <c r="C3205" s="1" t="s">
        <v>8134</v>
      </c>
      <c r="D3205" s="1" t="s">
        <v>8134</v>
      </c>
      <c r="E3205" s="1" t="s">
        <v>8135</v>
      </c>
      <c r="F3205" s="1" t="s">
        <v>14440</v>
      </c>
      <c r="G3205">
        <v>193320</v>
      </c>
      <c r="H3205">
        <v>69</v>
      </c>
      <c r="I3205" s="1" t="s">
        <v>11063</v>
      </c>
      <c r="J3205" s="11">
        <v>44729.706458333334</v>
      </c>
      <c r="K3205" s="1" t="s">
        <v>8136</v>
      </c>
      <c r="L3205" s="1">
        <v>0.68799999999999994</v>
      </c>
      <c r="M3205" s="1">
        <v>0.68799999999999994</v>
      </c>
      <c r="N3205">
        <v>3</v>
      </c>
      <c r="O3205" s="1">
        <v>-5.84</v>
      </c>
      <c r="P3205">
        <v>1</v>
      </c>
      <c r="Q3205" s="1">
        <v>0.35699999999999998</v>
      </c>
      <c r="R3205" s="1">
        <v>0.3</v>
      </c>
      <c r="S3205" s="1">
        <v>0</v>
      </c>
      <c r="T3205" s="1">
        <v>0.98199999999999998</v>
      </c>
      <c r="U3205" s="1">
        <v>0.45100000000000001</v>
      </c>
      <c r="V3205" s="1">
        <v>114.011</v>
      </c>
      <c r="W3205">
        <v>4</v>
      </c>
    </row>
    <row r="3206" spans="1:23" x14ac:dyDescent="0.25">
      <c r="A3206" s="1" t="s">
        <v>20490</v>
      </c>
      <c r="B3206" s="1" t="s">
        <v>20491</v>
      </c>
      <c r="C3206" s="1" t="s">
        <v>8137</v>
      </c>
      <c r="D3206" s="1" t="s">
        <v>8137</v>
      </c>
      <c r="E3206" s="1" t="s">
        <v>8138</v>
      </c>
      <c r="F3206" s="1" t="s">
        <v>18899</v>
      </c>
      <c r="G3206">
        <v>210943</v>
      </c>
      <c r="H3206">
        <v>59</v>
      </c>
      <c r="I3206" s="1" t="s">
        <v>11063</v>
      </c>
      <c r="J3206" s="11">
        <v>44729.706458333334</v>
      </c>
      <c r="K3206" s="1" t="s">
        <v>8139</v>
      </c>
      <c r="L3206" s="1">
        <v>0.61799999999999999</v>
      </c>
      <c r="M3206" s="1">
        <v>0.66</v>
      </c>
      <c r="N3206">
        <v>11</v>
      </c>
      <c r="O3206" s="1">
        <v>-8.14</v>
      </c>
      <c r="P3206">
        <v>0</v>
      </c>
      <c r="Q3206" s="1">
        <v>0.372</v>
      </c>
      <c r="R3206" s="1">
        <v>0.29199999999999998</v>
      </c>
      <c r="S3206" s="1">
        <v>0.20699999999999999</v>
      </c>
      <c r="T3206" s="1">
        <v>0.32500000000000001</v>
      </c>
      <c r="U3206" s="1">
        <v>0.40799999999999997</v>
      </c>
      <c r="V3206" s="1">
        <v>105</v>
      </c>
      <c r="W3206">
        <v>4</v>
      </c>
    </row>
    <row r="3207" spans="1:23" x14ac:dyDescent="0.25">
      <c r="A3207" s="1" t="s">
        <v>20492</v>
      </c>
      <c r="B3207" s="1" t="s">
        <v>20493</v>
      </c>
      <c r="C3207" s="1" t="s">
        <v>7948</v>
      </c>
      <c r="D3207" s="1" t="s">
        <v>7948</v>
      </c>
      <c r="E3207" s="1" t="s">
        <v>8140</v>
      </c>
      <c r="F3207" s="1" t="s">
        <v>14767</v>
      </c>
      <c r="G3207">
        <v>211362</v>
      </c>
      <c r="H3207">
        <v>69</v>
      </c>
      <c r="I3207" s="1" t="s">
        <v>11063</v>
      </c>
      <c r="J3207" s="11">
        <v>44729.706458333334</v>
      </c>
      <c r="K3207" s="1" t="s">
        <v>8141</v>
      </c>
      <c r="L3207" s="1">
        <v>0.69299999999999995</v>
      </c>
      <c r="M3207" s="1">
        <v>0.57499999999999996</v>
      </c>
      <c r="N3207">
        <v>9</v>
      </c>
      <c r="O3207" s="1">
        <v>-6.9980000000000002</v>
      </c>
      <c r="P3207">
        <v>1</v>
      </c>
      <c r="Q3207" s="1">
        <v>0.80100000000000005</v>
      </c>
      <c r="R3207" s="1">
        <v>0.374</v>
      </c>
      <c r="S3207" s="1">
        <v>0</v>
      </c>
      <c r="T3207" s="1">
        <v>0.252</v>
      </c>
      <c r="U3207" s="1">
        <v>0.49199999999999999</v>
      </c>
      <c r="V3207" s="1">
        <v>117.999</v>
      </c>
      <c r="W3207">
        <v>4</v>
      </c>
    </row>
    <row r="3208" spans="1:23" x14ac:dyDescent="0.25">
      <c r="A3208" s="1" t="s">
        <v>20494</v>
      </c>
      <c r="B3208" s="1" t="s">
        <v>20495</v>
      </c>
      <c r="C3208" s="1" t="s">
        <v>8142</v>
      </c>
      <c r="D3208" s="1" t="s">
        <v>20496</v>
      </c>
      <c r="E3208" s="1" t="s">
        <v>8143</v>
      </c>
      <c r="F3208" s="1" t="s">
        <v>14617</v>
      </c>
      <c r="G3208">
        <v>166679</v>
      </c>
      <c r="H3208">
        <v>19</v>
      </c>
      <c r="I3208" s="1" t="s">
        <v>11063</v>
      </c>
      <c r="J3208" s="11">
        <v>44729.706458333334</v>
      </c>
      <c r="K3208" s="1" t="s">
        <v>8144</v>
      </c>
      <c r="L3208" s="1">
        <v>0.55200000000000005</v>
      </c>
      <c r="M3208" s="1">
        <v>0.84699999999999998</v>
      </c>
      <c r="N3208">
        <v>1</v>
      </c>
      <c r="O3208" s="1">
        <v>-5.2930000000000001</v>
      </c>
      <c r="P3208">
        <v>1</v>
      </c>
      <c r="Q3208" s="1">
        <v>0.27900000000000003</v>
      </c>
      <c r="R3208" s="1">
        <v>0.54</v>
      </c>
      <c r="S3208" s="1">
        <v>0</v>
      </c>
      <c r="T3208" s="1">
        <v>0.82399999999999995</v>
      </c>
      <c r="U3208" s="1">
        <v>0.628</v>
      </c>
      <c r="V3208" s="1">
        <v>101.042</v>
      </c>
      <c r="W3208">
        <v>4</v>
      </c>
    </row>
    <row r="3209" spans="1:23" x14ac:dyDescent="0.25">
      <c r="A3209" s="1" t="s">
        <v>20497</v>
      </c>
      <c r="B3209" s="1" t="s">
        <v>20498</v>
      </c>
      <c r="C3209" s="1" t="s">
        <v>8145</v>
      </c>
      <c r="D3209" s="1" t="s">
        <v>8145</v>
      </c>
      <c r="E3209" s="1" t="s">
        <v>8146</v>
      </c>
      <c r="F3209" s="1" t="s">
        <v>14228</v>
      </c>
      <c r="G3209">
        <v>216075</v>
      </c>
      <c r="H3209">
        <v>23</v>
      </c>
      <c r="I3209" s="1" t="s">
        <v>11063</v>
      </c>
      <c r="J3209" s="11">
        <v>44729.706458333334</v>
      </c>
      <c r="K3209" s="1" t="s">
        <v>50</v>
      </c>
      <c r="L3209" s="1">
        <v>0.71499999999999997</v>
      </c>
      <c r="M3209" s="1">
        <v>0.71899999999999997</v>
      </c>
      <c r="N3209">
        <v>6</v>
      </c>
      <c r="O3209" s="1">
        <v>-5.1959999999999997</v>
      </c>
      <c r="P3209">
        <v>1</v>
      </c>
      <c r="Q3209" s="1">
        <v>0.45700000000000002</v>
      </c>
      <c r="R3209" s="1">
        <v>0.81599999999999995</v>
      </c>
      <c r="S3209" s="1">
        <v>0.30099999999999999</v>
      </c>
      <c r="T3209" s="1">
        <v>0.69</v>
      </c>
      <c r="U3209" s="1">
        <v>0.61</v>
      </c>
      <c r="V3209" s="1">
        <v>112.01600000000001</v>
      </c>
      <c r="W3209">
        <v>4</v>
      </c>
    </row>
    <row r="3210" spans="1:23" x14ac:dyDescent="0.25">
      <c r="A3210" s="1" t="s">
        <v>20499</v>
      </c>
      <c r="B3210" s="1" t="s">
        <v>20500</v>
      </c>
      <c r="C3210" s="1" t="s">
        <v>8147</v>
      </c>
      <c r="D3210" s="1" t="s">
        <v>8147</v>
      </c>
      <c r="E3210" s="1" t="s">
        <v>8148</v>
      </c>
      <c r="F3210" s="1" t="s">
        <v>13855</v>
      </c>
      <c r="G3210">
        <v>173186</v>
      </c>
      <c r="H3210">
        <v>45</v>
      </c>
      <c r="I3210" s="1" t="s">
        <v>11063</v>
      </c>
      <c r="J3210" s="11">
        <v>44729.706458333334</v>
      </c>
      <c r="K3210" s="1" t="s">
        <v>50</v>
      </c>
      <c r="L3210" s="1">
        <v>0.69099999999999995</v>
      </c>
      <c r="M3210" s="1">
        <v>0.76800000000000002</v>
      </c>
      <c r="N3210">
        <v>6</v>
      </c>
      <c r="O3210" s="1">
        <v>-4.2469999999999999</v>
      </c>
      <c r="P3210">
        <v>0</v>
      </c>
      <c r="Q3210" s="1">
        <v>0.92400000000000004</v>
      </c>
      <c r="R3210" s="1">
        <v>0.14399999999999999</v>
      </c>
      <c r="S3210" s="1">
        <v>0</v>
      </c>
      <c r="T3210" s="1">
        <v>0.14199999999999999</v>
      </c>
      <c r="U3210" s="1">
        <v>0.52600000000000002</v>
      </c>
      <c r="V3210" s="1">
        <v>110.977</v>
      </c>
      <c r="W3210">
        <v>4</v>
      </c>
    </row>
    <row r="3211" spans="1:23" x14ac:dyDescent="0.25">
      <c r="A3211" s="1" t="s">
        <v>20501</v>
      </c>
      <c r="B3211" s="1" t="s">
        <v>17193</v>
      </c>
      <c r="C3211" s="1" t="s">
        <v>8149</v>
      </c>
      <c r="D3211" s="1" t="s">
        <v>20502</v>
      </c>
      <c r="E3211" s="1" t="s">
        <v>5172</v>
      </c>
      <c r="F3211" s="1" t="s">
        <v>18610</v>
      </c>
      <c r="G3211">
        <v>159346</v>
      </c>
      <c r="H3211">
        <v>36</v>
      </c>
      <c r="I3211" s="1" t="s">
        <v>11063</v>
      </c>
      <c r="J3211" s="11">
        <v>44729.706458333334</v>
      </c>
      <c r="K3211" s="1" t="s">
        <v>5173</v>
      </c>
      <c r="L3211" s="1">
        <v>0.40899999999999997</v>
      </c>
      <c r="M3211" s="1">
        <v>0.38400000000000001</v>
      </c>
      <c r="N3211">
        <v>8</v>
      </c>
      <c r="O3211" s="1">
        <v>-8.0630000000000006</v>
      </c>
      <c r="P3211">
        <v>1</v>
      </c>
      <c r="Q3211" s="1">
        <v>0.48499999999999999</v>
      </c>
      <c r="R3211" s="1">
        <v>0.86899999999999999</v>
      </c>
      <c r="S3211" s="1">
        <v>0.91100000000000003</v>
      </c>
      <c r="T3211" s="1">
        <v>0.23</v>
      </c>
      <c r="U3211" s="1">
        <v>0.50600000000000001</v>
      </c>
      <c r="V3211" s="1">
        <v>90.980999999999995</v>
      </c>
      <c r="W3211">
        <v>3</v>
      </c>
    </row>
    <row r="3212" spans="1:23" x14ac:dyDescent="0.25">
      <c r="A3212" s="1" t="s">
        <v>20503</v>
      </c>
      <c r="B3212" s="1" t="s">
        <v>18392</v>
      </c>
      <c r="C3212" s="1" t="s">
        <v>8150</v>
      </c>
      <c r="D3212" s="1" t="s">
        <v>8150</v>
      </c>
      <c r="E3212" s="1" t="s">
        <v>6280</v>
      </c>
      <c r="F3212" s="1" t="s">
        <v>20504</v>
      </c>
      <c r="G3212">
        <v>273397</v>
      </c>
      <c r="H3212">
        <v>50</v>
      </c>
      <c r="I3212" s="1" t="s">
        <v>11063</v>
      </c>
      <c r="J3212" s="11">
        <v>44729.706458333334</v>
      </c>
      <c r="K3212" s="1" t="s">
        <v>921</v>
      </c>
      <c r="L3212" s="1">
        <v>0.69899999999999995</v>
      </c>
      <c r="M3212" s="1">
        <v>0.53600000000000003</v>
      </c>
      <c r="N3212">
        <v>9</v>
      </c>
      <c r="O3212" s="1">
        <v>-9.4809999999999999</v>
      </c>
      <c r="P3212">
        <v>0</v>
      </c>
      <c r="Q3212" s="1">
        <v>0.376</v>
      </c>
      <c r="R3212" s="1">
        <v>0.433</v>
      </c>
      <c r="S3212" s="1">
        <v>0.56599999999999995</v>
      </c>
      <c r="T3212" s="1">
        <v>0.91900000000000004</v>
      </c>
      <c r="U3212" s="1">
        <v>0.625</v>
      </c>
      <c r="V3212" s="1">
        <v>107.97</v>
      </c>
      <c r="W3212">
        <v>4</v>
      </c>
    </row>
    <row r="3213" spans="1:23" x14ac:dyDescent="0.25">
      <c r="A3213" s="1" t="s">
        <v>20505</v>
      </c>
      <c r="B3213" s="1" t="s">
        <v>20506</v>
      </c>
      <c r="C3213" s="1" t="s">
        <v>8151</v>
      </c>
      <c r="D3213" s="1" t="s">
        <v>8151</v>
      </c>
      <c r="E3213" s="1" t="s">
        <v>8152</v>
      </c>
      <c r="F3213" s="1" t="s">
        <v>20507</v>
      </c>
      <c r="G3213">
        <v>197647</v>
      </c>
      <c r="H3213">
        <v>38</v>
      </c>
      <c r="I3213" s="1" t="s">
        <v>11063</v>
      </c>
      <c r="J3213" s="11">
        <v>44729.706458333334</v>
      </c>
      <c r="K3213" s="1" t="s">
        <v>933</v>
      </c>
      <c r="L3213" s="1">
        <v>0.45500000000000002</v>
      </c>
      <c r="M3213" s="1">
        <v>0.82</v>
      </c>
      <c r="N3213">
        <v>7</v>
      </c>
      <c r="O3213" s="1">
        <v>-5.6459999999999999</v>
      </c>
      <c r="P3213">
        <v>0</v>
      </c>
      <c r="Q3213" s="1">
        <v>0.86399999999999999</v>
      </c>
      <c r="R3213" s="1">
        <v>0.61299999999999999</v>
      </c>
      <c r="S3213" s="1">
        <v>0.11</v>
      </c>
      <c r="T3213" s="1">
        <v>0.30499999999999999</v>
      </c>
      <c r="U3213" s="1">
        <v>0.34599999999999997</v>
      </c>
      <c r="V3213" s="1">
        <v>170.05799999999999</v>
      </c>
      <c r="W3213">
        <v>4</v>
      </c>
    </row>
    <row r="3214" spans="1:23" x14ac:dyDescent="0.25">
      <c r="A3214" s="1" t="s">
        <v>20508</v>
      </c>
      <c r="B3214" s="1" t="s">
        <v>15553</v>
      </c>
      <c r="C3214" s="1" t="s">
        <v>8153</v>
      </c>
      <c r="D3214" s="1" t="s">
        <v>19497</v>
      </c>
      <c r="E3214" s="1" t="s">
        <v>3771</v>
      </c>
      <c r="F3214" s="1" t="s">
        <v>11434</v>
      </c>
      <c r="G3214">
        <v>181705</v>
      </c>
      <c r="H3214">
        <v>70</v>
      </c>
      <c r="I3214" s="1" t="s">
        <v>11063</v>
      </c>
      <c r="J3214" s="11">
        <v>44729.706458333334</v>
      </c>
      <c r="K3214" s="1" t="s">
        <v>3772</v>
      </c>
      <c r="L3214" s="1">
        <v>0.81699999999999995</v>
      </c>
      <c r="M3214" s="1">
        <v>0.57799999999999996</v>
      </c>
      <c r="N3214">
        <v>11</v>
      </c>
      <c r="O3214" s="1">
        <v>-7.5789999999999997</v>
      </c>
      <c r="P3214">
        <v>0</v>
      </c>
      <c r="Q3214" s="1">
        <v>0.82399999999999995</v>
      </c>
      <c r="R3214" s="1">
        <v>0.224</v>
      </c>
      <c r="S3214" s="1">
        <v>0.10299999999999999</v>
      </c>
      <c r="T3214" s="1">
        <v>0.251</v>
      </c>
      <c r="U3214" s="1">
        <v>0.85099999999999998</v>
      </c>
      <c r="V3214" s="1">
        <v>143.982</v>
      </c>
      <c r="W3214">
        <v>4</v>
      </c>
    </row>
    <row r="3215" spans="1:23" x14ac:dyDescent="0.25">
      <c r="A3215" s="1" t="s">
        <v>20509</v>
      </c>
      <c r="B3215" s="1" t="s">
        <v>20510</v>
      </c>
      <c r="C3215" s="1" t="s">
        <v>8154</v>
      </c>
      <c r="D3215" s="1" t="s">
        <v>20511</v>
      </c>
      <c r="E3215" s="1" t="s">
        <v>8155</v>
      </c>
      <c r="F3215" s="1" t="s">
        <v>20512</v>
      </c>
      <c r="G3215">
        <v>218640</v>
      </c>
      <c r="H3215">
        <v>45</v>
      </c>
      <c r="I3215" s="1" t="s">
        <v>11063</v>
      </c>
      <c r="J3215" s="11">
        <v>44729.706458333334</v>
      </c>
      <c r="K3215" s="1" t="s">
        <v>8156</v>
      </c>
      <c r="L3215" s="1">
        <v>0.64200000000000002</v>
      </c>
      <c r="M3215" s="1">
        <v>0.71499999999999997</v>
      </c>
      <c r="N3215">
        <v>0</v>
      </c>
      <c r="O3215" s="1">
        <v>-5.3639999999999999</v>
      </c>
      <c r="P3215">
        <v>1</v>
      </c>
      <c r="Q3215" s="1">
        <v>0.89800000000000002</v>
      </c>
      <c r="R3215" s="1">
        <v>0.33800000000000002</v>
      </c>
      <c r="S3215" s="1">
        <v>0</v>
      </c>
      <c r="T3215" s="1">
        <v>0.16700000000000001</v>
      </c>
      <c r="U3215" s="1">
        <v>0.65</v>
      </c>
      <c r="V3215" s="1">
        <v>151.95500000000001</v>
      </c>
      <c r="W3215">
        <v>4</v>
      </c>
    </row>
    <row r="3216" spans="1:23" x14ac:dyDescent="0.25">
      <c r="A3216" s="1" t="s">
        <v>20513</v>
      </c>
      <c r="B3216" s="1" t="s">
        <v>20514</v>
      </c>
      <c r="C3216" s="1" t="s">
        <v>3107</v>
      </c>
      <c r="D3216" s="1" t="s">
        <v>20515</v>
      </c>
      <c r="E3216" s="1" t="s">
        <v>8157</v>
      </c>
      <c r="F3216" s="1" t="s">
        <v>14014</v>
      </c>
      <c r="G3216">
        <v>238693</v>
      </c>
      <c r="H3216">
        <v>70</v>
      </c>
      <c r="I3216" s="1" t="s">
        <v>11063</v>
      </c>
      <c r="J3216" s="11">
        <v>44729.706458333334</v>
      </c>
      <c r="K3216" s="1" t="s">
        <v>8158</v>
      </c>
      <c r="L3216" s="1">
        <v>0.39200000000000002</v>
      </c>
      <c r="M3216" s="1">
        <v>0.83899999999999997</v>
      </c>
      <c r="N3216">
        <v>7</v>
      </c>
      <c r="O3216" s="1">
        <v>-1.921</v>
      </c>
      <c r="P3216">
        <v>1</v>
      </c>
      <c r="Q3216" s="1">
        <v>0.193</v>
      </c>
      <c r="R3216" s="1">
        <v>0.158</v>
      </c>
      <c r="S3216" s="1">
        <v>0</v>
      </c>
      <c r="T3216" s="1">
        <v>0.3</v>
      </c>
      <c r="U3216" s="1">
        <v>0.23200000000000001</v>
      </c>
      <c r="V3216" s="1">
        <v>168.001</v>
      </c>
      <c r="W3216">
        <v>4</v>
      </c>
    </row>
    <row r="3217" spans="1:23" x14ac:dyDescent="0.25">
      <c r="A3217" s="1" t="s">
        <v>20516</v>
      </c>
      <c r="B3217" s="1" t="s">
        <v>13582</v>
      </c>
      <c r="C3217" s="1" t="s">
        <v>8159</v>
      </c>
      <c r="D3217" s="1" t="s">
        <v>8159</v>
      </c>
      <c r="E3217" s="1" t="s">
        <v>2035</v>
      </c>
      <c r="F3217" s="1" t="s">
        <v>14443</v>
      </c>
      <c r="G3217">
        <v>189185</v>
      </c>
      <c r="H3217">
        <v>0</v>
      </c>
      <c r="I3217" s="1" t="s">
        <v>11063</v>
      </c>
      <c r="J3217" s="11">
        <v>44729.706458333334</v>
      </c>
      <c r="K3217" s="1" t="s">
        <v>2036</v>
      </c>
      <c r="L3217" s="1">
        <v>0.64</v>
      </c>
      <c r="M3217" s="1">
        <v>0.64600000000000002</v>
      </c>
      <c r="N3217">
        <v>5</v>
      </c>
      <c r="O3217" s="1">
        <v>-6.1609999999999996</v>
      </c>
      <c r="P3217">
        <v>0</v>
      </c>
      <c r="Q3217" s="1">
        <v>0.13</v>
      </c>
      <c r="R3217" s="1">
        <v>0.27600000000000002</v>
      </c>
      <c r="S3217" s="1">
        <v>0</v>
      </c>
      <c r="T3217" s="1">
        <v>0.126</v>
      </c>
      <c r="U3217" s="1">
        <v>0.37</v>
      </c>
      <c r="V3217" s="1">
        <v>97.864000000000004</v>
      </c>
      <c r="W3217">
        <v>4</v>
      </c>
    </row>
    <row r="3218" spans="1:23" x14ac:dyDescent="0.25">
      <c r="A3218" s="1" t="s">
        <v>20517</v>
      </c>
      <c r="B3218" s="1" t="s">
        <v>20518</v>
      </c>
      <c r="C3218" s="1" t="s">
        <v>8160</v>
      </c>
      <c r="D3218" s="1" t="s">
        <v>8160</v>
      </c>
      <c r="E3218" s="1" t="s">
        <v>8161</v>
      </c>
      <c r="F3218" s="1" t="s">
        <v>14995</v>
      </c>
      <c r="G3218">
        <v>241893</v>
      </c>
      <c r="H3218">
        <v>48</v>
      </c>
      <c r="I3218" s="1" t="s">
        <v>11063</v>
      </c>
      <c r="J3218" s="11">
        <v>44729.706458333334</v>
      </c>
      <c r="K3218" s="1" t="s">
        <v>8162</v>
      </c>
      <c r="L3218" s="1">
        <v>0.70399999999999996</v>
      </c>
      <c r="M3218" s="1">
        <v>0.66400000000000003</v>
      </c>
      <c r="N3218">
        <v>9</v>
      </c>
      <c r="O3218" s="1">
        <v>-3.2090000000000001</v>
      </c>
      <c r="P3218">
        <v>0</v>
      </c>
      <c r="Q3218" s="1">
        <v>0.46800000000000003</v>
      </c>
      <c r="R3218" s="1">
        <v>0.14099999999999999</v>
      </c>
      <c r="S3218" s="1">
        <v>0</v>
      </c>
      <c r="T3218" s="1">
        <v>0.107</v>
      </c>
      <c r="U3218" s="1">
        <v>0.53300000000000003</v>
      </c>
      <c r="V3218" s="1">
        <v>99.962999999999994</v>
      </c>
      <c r="W3218">
        <v>4</v>
      </c>
    </row>
    <row r="3219" spans="1:23" x14ac:dyDescent="0.25">
      <c r="A3219" s="1" t="s">
        <v>20519</v>
      </c>
      <c r="B3219" s="1" t="s">
        <v>20520</v>
      </c>
      <c r="C3219" s="1" t="s">
        <v>8163</v>
      </c>
      <c r="D3219" s="1" t="s">
        <v>20521</v>
      </c>
      <c r="E3219" s="1" t="s">
        <v>8164</v>
      </c>
      <c r="F3219" s="1" t="s">
        <v>14440</v>
      </c>
      <c r="G3219">
        <v>204733</v>
      </c>
      <c r="H3219">
        <v>59</v>
      </c>
      <c r="I3219" s="1" t="s">
        <v>11063</v>
      </c>
      <c r="J3219" s="11">
        <v>44729.706458333334</v>
      </c>
      <c r="K3219" s="1" t="s">
        <v>8165</v>
      </c>
      <c r="L3219" s="1">
        <v>0.621</v>
      </c>
      <c r="M3219" s="1">
        <v>0.69199999999999995</v>
      </c>
      <c r="N3219">
        <v>7</v>
      </c>
      <c r="O3219" s="1">
        <v>-5.2789999999999999</v>
      </c>
      <c r="P3219">
        <v>1</v>
      </c>
      <c r="Q3219" s="1">
        <v>0.217</v>
      </c>
      <c r="R3219" s="1">
        <v>0.79700000000000004</v>
      </c>
      <c r="S3219" s="1">
        <v>0</v>
      </c>
      <c r="T3219" s="1">
        <v>0.80600000000000005</v>
      </c>
      <c r="U3219" s="1">
        <v>0.70499999999999996</v>
      </c>
      <c r="V3219" s="1">
        <v>165.96700000000001</v>
      </c>
      <c r="W3219">
        <v>4</v>
      </c>
    </row>
    <row r="3220" spans="1:23" x14ac:dyDescent="0.25">
      <c r="A3220" s="1" t="s">
        <v>20522</v>
      </c>
      <c r="B3220" s="1" t="s">
        <v>16284</v>
      </c>
      <c r="C3220" s="1" t="s">
        <v>8166</v>
      </c>
      <c r="D3220" s="1" t="s">
        <v>20523</v>
      </c>
      <c r="E3220" s="1" t="s">
        <v>4386</v>
      </c>
      <c r="F3220" s="1" t="s">
        <v>11399</v>
      </c>
      <c r="G3220">
        <v>174628</v>
      </c>
      <c r="H3220">
        <v>38</v>
      </c>
      <c r="I3220" s="1" t="s">
        <v>11063</v>
      </c>
      <c r="J3220" s="11">
        <v>44729.706458333334</v>
      </c>
      <c r="K3220" s="1" t="s">
        <v>4387</v>
      </c>
      <c r="L3220" s="1">
        <v>0.71399999999999997</v>
      </c>
      <c r="M3220" s="1">
        <v>0.29799999999999999</v>
      </c>
      <c r="N3220">
        <v>2</v>
      </c>
      <c r="O3220" s="1">
        <v>-11.523999999999999</v>
      </c>
      <c r="P3220">
        <v>1</v>
      </c>
      <c r="Q3220" s="1">
        <v>0.46800000000000003</v>
      </c>
      <c r="R3220" s="1">
        <v>0.69399999999999995</v>
      </c>
      <c r="S3220" s="1">
        <v>0</v>
      </c>
      <c r="T3220" s="1">
        <v>0.121</v>
      </c>
      <c r="U3220" s="1">
        <v>0.14099999999999999</v>
      </c>
      <c r="V3220" s="1">
        <v>127.006</v>
      </c>
      <c r="W3220">
        <v>4</v>
      </c>
    </row>
    <row r="3221" spans="1:23" x14ac:dyDescent="0.25">
      <c r="A3221" s="1" t="s">
        <v>20524</v>
      </c>
      <c r="B3221" s="1" t="s">
        <v>20525</v>
      </c>
      <c r="C3221" s="1" t="s">
        <v>8167</v>
      </c>
      <c r="D3221" s="1" t="s">
        <v>8168</v>
      </c>
      <c r="E3221" s="1" t="s">
        <v>8168</v>
      </c>
      <c r="F3221" s="1" t="s">
        <v>20526</v>
      </c>
      <c r="G3221">
        <v>214174</v>
      </c>
      <c r="H3221">
        <v>60</v>
      </c>
      <c r="I3221" s="1" t="s">
        <v>11063</v>
      </c>
      <c r="J3221" s="11">
        <v>44729.706458333334</v>
      </c>
      <c r="K3221" s="1" t="s">
        <v>8169</v>
      </c>
      <c r="L3221" s="1">
        <v>0.59</v>
      </c>
      <c r="M3221" s="1">
        <v>0.24199999999999999</v>
      </c>
      <c r="N3221">
        <v>10</v>
      </c>
      <c r="O3221" s="1">
        <v>-11.724</v>
      </c>
      <c r="P3221">
        <v>0</v>
      </c>
      <c r="Q3221" s="1">
        <v>0.51600000000000001</v>
      </c>
      <c r="R3221" s="1">
        <v>0.97799999999999998</v>
      </c>
      <c r="S3221" s="1">
        <v>0.124</v>
      </c>
      <c r="T3221" s="1">
        <v>0.90600000000000003</v>
      </c>
      <c r="U3221" s="1">
        <v>0.36599999999999999</v>
      </c>
      <c r="V3221" s="1">
        <v>126.721</v>
      </c>
      <c r="W3221">
        <v>4</v>
      </c>
    </row>
    <row r="3222" spans="1:23" x14ac:dyDescent="0.25">
      <c r="A3222" s="1" t="s">
        <v>11095</v>
      </c>
      <c r="B3222" s="1" t="s">
        <v>11096</v>
      </c>
      <c r="C3222" s="1" t="s">
        <v>8170</v>
      </c>
      <c r="D3222" s="1" t="s">
        <v>11097</v>
      </c>
      <c r="E3222" s="1" t="s">
        <v>8171</v>
      </c>
      <c r="F3222" s="1" t="s">
        <v>20527</v>
      </c>
      <c r="G3222">
        <v>174777</v>
      </c>
      <c r="H3222">
        <v>38</v>
      </c>
      <c r="I3222" s="1" t="s">
        <v>11063</v>
      </c>
      <c r="J3222" s="11">
        <v>44729.706458333334</v>
      </c>
      <c r="K3222" s="1" t="s">
        <v>8172</v>
      </c>
      <c r="L3222" s="1">
        <v>0.67800000000000005</v>
      </c>
      <c r="M3222" s="1">
        <v>0.69899999999999995</v>
      </c>
      <c r="N3222">
        <v>11</v>
      </c>
      <c r="O3222" s="1">
        <v>-6.8719999999999999</v>
      </c>
      <c r="P3222">
        <v>0</v>
      </c>
      <c r="Q3222" s="1">
        <v>0.53100000000000003</v>
      </c>
      <c r="R3222" s="1">
        <v>0.26700000000000002</v>
      </c>
      <c r="S3222" s="1">
        <v>0.64</v>
      </c>
      <c r="T3222" s="1">
        <v>0.13400000000000001</v>
      </c>
      <c r="U3222" s="1">
        <v>0.53600000000000003</v>
      </c>
      <c r="V3222" s="1">
        <v>116.895</v>
      </c>
      <c r="W3222">
        <v>4</v>
      </c>
    </row>
    <row r="3223" spans="1:23" x14ac:dyDescent="0.25">
      <c r="A3223" s="1" t="s">
        <v>20528</v>
      </c>
      <c r="B3223" s="1" t="s">
        <v>18151</v>
      </c>
      <c r="C3223" s="1" t="s">
        <v>8173</v>
      </c>
      <c r="D3223" s="1" t="s">
        <v>19542</v>
      </c>
      <c r="E3223" s="1" t="s">
        <v>6040</v>
      </c>
      <c r="F3223" s="1" t="s">
        <v>15607</v>
      </c>
      <c r="G3223">
        <v>338333</v>
      </c>
      <c r="H3223">
        <v>62</v>
      </c>
      <c r="I3223" s="1" t="s">
        <v>11063</v>
      </c>
      <c r="J3223" s="11">
        <v>44729.706458333334</v>
      </c>
      <c r="K3223" s="1" t="s">
        <v>2372</v>
      </c>
      <c r="L3223" s="1">
        <v>0.48399999999999999</v>
      </c>
      <c r="M3223" s="1">
        <v>0.44400000000000001</v>
      </c>
      <c r="N3223">
        <v>4</v>
      </c>
      <c r="O3223" s="1">
        <v>-6.9349999999999996</v>
      </c>
      <c r="P3223">
        <v>0</v>
      </c>
      <c r="Q3223" s="1">
        <v>0.63600000000000001</v>
      </c>
      <c r="R3223" s="1">
        <v>0.60099999999999998</v>
      </c>
      <c r="S3223" s="1">
        <v>0</v>
      </c>
      <c r="T3223" s="1">
        <v>0.23799999999999999</v>
      </c>
      <c r="U3223" s="1">
        <v>0.22600000000000001</v>
      </c>
      <c r="V3223" s="1">
        <v>144.21</v>
      </c>
      <c r="W3223">
        <v>4</v>
      </c>
    </row>
    <row r="3224" spans="1:23" x14ac:dyDescent="0.25">
      <c r="A3224" s="1" t="s">
        <v>20529</v>
      </c>
      <c r="B3224" s="1" t="s">
        <v>20530</v>
      </c>
      <c r="C3224" s="1" t="s">
        <v>8174</v>
      </c>
      <c r="D3224" s="1" t="s">
        <v>8174</v>
      </c>
      <c r="E3224" s="1" t="s">
        <v>8175</v>
      </c>
      <c r="F3224" s="1" t="s">
        <v>14499</v>
      </c>
      <c r="G3224">
        <v>180981</v>
      </c>
      <c r="H3224">
        <v>46</v>
      </c>
      <c r="I3224" s="1" t="s">
        <v>11063</v>
      </c>
      <c r="J3224" s="11">
        <v>44729.706458333334</v>
      </c>
      <c r="K3224" s="1" t="s">
        <v>8176</v>
      </c>
      <c r="L3224" s="1">
        <v>0.76500000000000001</v>
      </c>
      <c r="M3224" s="1">
        <v>0.52200000000000002</v>
      </c>
      <c r="N3224">
        <v>11</v>
      </c>
      <c r="O3224" s="1">
        <v>-8.69</v>
      </c>
      <c r="P3224">
        <v>0</v>
      </c>
      <c r="Q3224" s="1">
        <v>0.76300000000000001</v>
      </c>
      <c r="R3224" s="1">
        <v>0.79</v>
      </c>
      <c r="S3224" s="1">
        <v>0.68899999999999995</v>
      </c>
      <c r="T3224" s="1">
        <v>0.109</v>
      </c>
      <c r="U3224" s="1">
        <v>0.39100000000000001</v>
      </c>
      <c r="V3224" s="1">
        <v>100.017</v>
      </c>
      <c r="W3224">
        <v>4</v>
      </c>
    </row>
    <row r="3225" spans="1:23" x14ac:dyDescent="0.25">
      <c r="A3225" s="1" t="s">
        <v>20531</v>
      </c>
      <c r="B3225" s="1" t="s">
        <v>14312</v>
      </c>
      <c r="C3225" s="1" t="s">
        <v>8177</v>
      </c>
      <c r="D3225" s="1" t="s">
        <v>8177</v>
      </c>
      <c r="E3225" s="1" t="s">
        <v>2667</v>
      </c>
      <c r="F3225" s="1" t="s">
        <v>13855</v>
      </c>
      <c r="G3225">
        <v>232758</v>
      </c>
      <c r="H3225">
        <v>27</v>
      </c>
      <c r="I3225" s="1" t="s">
        <v>11063</v>
      </c>
      <c r="J3225" s="11">
        <v>44729.706458333334</v>
      </c>
      <c r="K3225" s="1" t="s">
        <v>2668</v>
      </c>
      <c r="L3225" s="1">
        <v>0.42599999999999999</v>
      </c>
      <c r="M3225" s="1">
        <v>0.47599999999999998</v>
      </c>
      <c r="N3225">
        <v>2</v>
      </c>
      <c r="O3225" s="1">
        <v>-6.64</v>
      </c>
      <c r="P3225">
        <v>1</v>
      </c>
      <c r="Q3225" s="1">
        <v>0.74099999999999999</v>
      </c>
      <c r="R3225" s="1">
        <v>0.185</v>
      </c>
      <c r="S3225" s="1">
        <v>0</v>
      </c>
      <c r="T3225" s="1">
        <v>0.32700000000000001</v>
      </c>
      <c r="U3225" s="1">
        <v>0.16900000000000001</v>
      </c>
      <c r="V3225" s="1">
        <v>179.79300000000001</v>
      </c>
      <c r="W3225">
        <v>4</v>
      </c>
    </row>
    <row r="3226" spans="1:23" x14ac:dyDescent="0.25">
      <c r="A3226" s="1" t="s">
        <v>20532</v>
      </c>
      <c r="B3226" s="1" t="s">
        <v>18313</v>
      </c>
      <c r="C3226" s="1" t="s">
        <v>8178</v>
      </c>
      <c r="D3226" s="1" t="s">
        <v>20533</v>
      </c>
      <c r="E3226" s="1" t="s">
        <v>6211</v>
      </c>
      <c r="F3226" s="1" t="s">
        <v>20534</v>
      </c>
      <c r="G3226">
        <v>264834</v>
      </c>
      <c r="H3226">
        <v>0</v>
      </c>
      <c r="I3226" s="1" t="s">
        <v>11063</v>
      </c>
      <c r="J3226" s="11">
        <v>44729.706458333334</v>
      </c>
      <c r="K3226" s="1" t="s">
        <v>2568</v>
      </c>
      <c r="L3226" s="1">
        <v>0.501</v>
      </c>
      <c r="M3226" s="1">
        <v>0.81399999999999995</v>
      </c>
      <c r="N3226">
        <v>7</v>
      </c>
      <c r="O3226" s="1">
        <v>-5.883</v>
      </c>
      <c r="P3226">
        <v>0</v>
      </c>
      <c r="Q3226" s="1">
        <v>0.74399999999999999</v>
      </c>
      <c r="R3226" s="1">
        <v>0.441</v>
      </c>
      <c r="S3226" s="1">
        <v>0.115</v>
      </c>
      <c r="T3226" s="1">
        <v>0.26900000000000002</v>
      </c>
      <c r="U3226" s="1">
        <v>0.17199999999999999</v>
      </c>
      <c r="V3226" s="1">
        <v>173.93600000000001</v>
      </c>
      <c r="W3226">
        <v>4</v>
      </c>
    </row>
    <row r="3227" spans="1:23" x14ac:dyDescent="0.25">
      <c r="A3227" s="1" t="s">
        <v>20535</v>
      </c>
      <c r="B3227" s="1" t="s">
        <v>13939</v>
      </c>
      <c r="C3227" s="1" t="s">
        <v>2342</v>
      </c>
      <c r="D3227" s="1" t="s">
        <v>13940</v>
      </c>
      <c r="E3227" s="1" t="s">
        <v>2343</v>
      </c>
      <c r="F3227" s="1" t="s">
        <v>13941</v>
      </c>
      <c r="G3227">
        <v>179047</v>
      </c>
      <c r="H3227">
        <v>0</v>
      </c>
      <c r="I3227" s="1" t="s">
        <v>11063</v>
      </c>
      <c r="J3227" s="11">
        <v>44729.706458333334</v>
      </c>
      <c r="K3227" s="1" t="s">
        <v>2344</v>
      </c>
      <c r="L3227" s="1">
        <v>0.66800000000000004</v>
      </c>
      <c r="M3227" s="1">
        <v>0.91</v>
      </c>
      <c r="N3227">
        <v>0</v>
      </c>
      <c r="O3227" s="1">
        <v>-3.8839999999999999</v>
      </c>
      <c r="P3227">
        <v>1</v>
      </c>
      <c r="Q3227" s="1">
        <v>0.22500000000000001</v>
      </c>
      <c r="R3227" s="1">
        <v>0.254</v>
      </c>
      <c r="S3227" s="1">
        <v>0</v>
      </c>
      <c r="T3227" s="1">
        <v>0.93700000000000006</v>
      </c>
      <c r="U3227" s="1">
        <v>0.57699999999999996</v>
      </c>
      <c r="V3227" s="1">
        <v>125.812</v>
      </c>
      <c r="W3227">
        <v>4</v>
      </c>
    </row>
    <row r="3228" spans="1:23" x14ac:dyDescent="0.25">
      <c r="A3228" s="1" t="s">
        <v>20536</v>
      </c>
      <c r="B3228" s="1" t="s">
        <v>16492</v>
      </c>
      <c r="C3228" s="1" t="s">
        <v>4548</v>
      </c>
      <c r="D3228" s="1" t="s">
        <v>4548</v>
      </c>
      <c r="E3228" s="1" t="s">
        <v>4549</v>
      </c>
      <c r="F3228" s="1" t="s">
        <v>16493</v>
      </c>
      <c r="G3228">
        <v>170962</v>
      </c>
      <c r="H3228">
        <v>0</v>
      </c>
      <c r="I3228" s="1" t="s">
        <v>11063</v>
      </c>
      <c r="J3228" s="11">
        <v>44729.706458333334</v>
      </c>
      <c r="K3228" s="1" t="s">
        <v>4550</v>
      </c>
      <c r="L3228" s="1">
        <v>0.78400000000000003</v>
      </c>
      <c r="M3228" s="1">
        <v>0.63500000000000001</v>
      </c>
      <c r="N3228">
        <v>6</v>
      </c>
      <c r="O3228" s="1">
        <v>-4.9349999999999996</v>
      </c>
      <c r="P3228">
        <v>0</v>
      </c>
      <c r="Q3228" s="1">
        <v>0.48099999999999998</v>
      </c>
      <c r="R3228" s="1">
        <v>0.153</v>
      </c>
      <c r="S3228" s="1">
        <v>0.23400000000000001</v>
      </c>
      <c r="T3228" s="1">
        <v>0.111</v>
      </c>
      <c r="U3228" s="1">
        <v>0.76800000000000002</v>
      </c>
      <c r="V3228" s="1">
        <v>125.989</v>
      </c>
      <c r="W3228">
        <v>4</v>
      </c>
    </row>
    <row r="3229" spans="1:23" x14ac:dyDescent="0.25">
      <c r="A3229" s="1" t="s">
        <v>20537</v>
      </c>
      <c r="B3229" s="1" t="s">
        <v>20538</v>
      </c>
      <c r="C3229" s="1" t="s">
        <v>8179</v>
      </c>
      <c r="D3229" s="1" t="s">
        <v>20539</v>
      </c>
      <c r="E3229" s="1" t="s">
        <v>8180</v>
      </c>
      <c r="F3229" s="1" t="s">
        <v>16130</v>
      </c>
      <c r="G3229">
        <v>203720</v>
      </c>
      <c r="H3229">
        <v>40</v>
      </c>
      <c r="I3229" s="1" t="s">
        <v>11063</v>
      </c>
      <c r="J3229" s="11">
        <v>44729.706458333334</v>
      </c>
      <c r="K3229" s="1" t="s">
        <v>8181</v>
      </c>
      <c r="L3229" s="1">
        <v>0.59099999999999997</v>
      </c>
      <c r="M3229" s="1">
        <v>0.53200000000000003</v>
      </c>
      <c r="N3229">
        <v>0</v>
      </c>
      <c r="O3229" s="1">
        <v>-7.5090000000000003</v>
      </c>
      <c r="P3229">
        <v>1</v>
      </c>
      <c r="Q3229" s="1">
        <v>0.22600000000000001</v>
      </c>
      <c r="R3229" s="1">
        <v>0.33800000000000002</v>
      </c>
      <c r="S3229" s="1">
        <v>0.88300000000000001</v>
      </c>
      <c r="T3229" s="1">
        <v>0.35899999999999999</v>
      </c>
      <c r="U3229" s="1">
        <v>0.254</v>
      </c>
      <c r="V3229" s="1">
        <v>171.95699999999999</v>
      </c>
      <c r="W3229">
        <v>4</v>
      </c>
    </row>
    <row r="3230" spans="1:23" x14ac:dyDescent="0.25">
      <c r="A3230" s="1" t="s">
        <v>11109</v>
      </c>
      <c r="B3230" s="1" t="s">
        <v>11110</v>
      </c>
      <c r="C3230" s="1" t="s">
        <v>8182</v>
      </c>
      <c r="D3230" s="1" t="s">
        <v>11111</v>
      </c>
      <c r="E3230" s="1" t="s">
        <v>8183</v>
      </c>
      <c r="F3230" s="1" t="s">
        <v>16325</v>
      </c>
      <c r="G3230">
        <v>235186</v>
      </c>
      <c r="H3230">
        <v>28</v>
      </c>
      <c r="I3230" s="1" t="s">
        <v>11063</v>
      </c>
      <c r="J3230" s="11">
        <v>44729.706458333334</v>
      </c>
      <c r="K3230" s="1" t="s">
        <v>8184</v>
      </c>
      <c r="L3230" s="1">
        <v>0.57599999999999996</v>
      </c>
      <c r="M3230" s="1">
        <v>0.60199999999999998</v>
      </c>
      <c r="N3230">
        <v>0</v>
      </c>
      <c r="O3230" s="1">
        <v>-6.5910000000000002</v>
      </c>
      <c r="P3230">
        <v>0</v>
      </c>
      <c r="Q3230" s="1">
        <v>0.315</v>
      </c>
      <c r="R3230" s="1">
        <v>0.249</v>
      </c>
      <c r="S3230" s="1">
        <v>0.62</v>
      </c>
      <c r="T3230" s="1">
        <v>0.14399999999999999</v>
      </c>
      <c r="U3230" s="1">
        <v>0.56000000000000005</v>
      </c>
      <c r="V3230" s="1">
        <v>141.345</v>
      </c>
      <c r="W3230">
        <v>4</v>
      </c>
    </row>
    <row r="3231" spans="1:23" x14ac:dyDescent="0.25">
      <c r="A3231" s="1" t="s">
        <v>20540</v>
      </c>
      <c r="B3231" s="1" t="s">
        <v>20541</v>
      </c>
      <c r="C3231" s="1" t="s">
        <v>8185</v>
      </c>
      <c r="D3231" s="1" t="s">
        <v>20542</v>
      </c>
      <c r="E3231" s="1" t="s">
        <v>8186</v>
      </c>
      <c r="F3231" s="1" t="s">
        <v>17296</v>
      </c>
      <c r="G3231">
        <v>235275</v>
      </c>
      <c r="H3231">
        <v>53</v>
      </c>
      <c r="I3231" s="1" t="s">
        <v>11063</v>
      </c>
      <c r="J3231" s="11">
        <v>44729.706458333334</v>
      </c>
      <c r="K3231" s="1" t="s">
        <v>8187</v>
      </c>
      <c r="L3231" s="1">
        <v>0.33500000000000002</v>
      </c>
      <c r="M3231" s="1">
        <v>0.86499999999999999</v>
      </c>
      <c r="N3231">
        <v>11</v>
      </c>
      <c r="O3231" s="1">
        <v>-4.6719999999999997</v>
      </c>
      <c r="P3231">
        <v>0</v>
      </c>
      <c r="Q3231" s="1">
        <v>0.94399999999999995</v>
      </c>
      <c r="R3231" s="1">
        <v>0.27</v>
      </c>
      <c r="S3231" s="1">
        <v>0.27600000000000002</v>
      </c>
      <c r="T3231" s="1">
        <v>0.107</v>
      </c>
      <c r="U3231" s="1">
        <v>0.41099999999999998</v>
      </c>
      <c r="V3231" s="1">
        <v>149.85</v>
      </c>
      <c r="W3231">
        <v>4</v>
      </c>
    </row>
    <row r="3232" spans="1:23" x14ac:dyDescent="0.25">
      <c r="A3232" s="1" t="s">
        <v>11202</v>
      </c>
      <c r="B3232" s="1" t="s">
        <v>11203</v>
      </c>
      <c r="C3232" s="1" t="s">
        <v>8188</v>
      </c>
      <c r="D3232" s="1" t="s">
        <v>8188</v>
      </c>
      <c r="E3232" s="1" t="s">
        <v>8189</v>
      </c>
      <c r="F3232" s="1" t="s">
        <v>20543</v>
      </c>
      <c r="G3232">
        <v>443478</v>
      </c>
      <c r="H3232">
        <v>0</v>
      </c>
      <c r="I3232" s="1" t="s">
        <v>11063</v>
      </c>
      <c r="J3232" s="11">
        <v>44729.706458333334</v>
      </c>
      <c r="K3232" s="1" t="s">
        <v>8190</v>
      </c>
      <c r="L3232" s="1">
        <v>0.52500000000000002</v>
      </c>
      <c r="M3232" s="1">
        <v>0.69899999999999995</v>
      </c>
      <c r="N3232">
        <v>9</v>
      </c>
      <c r="O3232" s="1">
        <v>-4.5709999999999997</v>
      </c>
      <c r="P3232">
        <v>1</v>
      </c>
      <c r="Q3232" s="1">
        <v>0.35299999999999998</v>
      </c>
      <c r="R3232" s="1">
        <v>0.17799999999999999</v>
      </c>
      <c r="S3232" s="1">
        <v>0.88</v>
      </c>
      <c r="T3232" s="1">
        <v>0.88800000000000001</v>
      </c>
      <c r="U3232" s="1">
        <v>0.19900000000000001</v>
      </c>
      <c r="V3232" s="1">
        <v>92.010999999999996</v>
      </c>
      <c r="W3232">
        <v>4</v>
      </c>
    </row>
    <row r="3233" spans="1:23" x14ac:dyDescent="0.25">
      <c r="A3233" s="1" t="s">
        <v>20544</v>
      </c>
      <c r="B3233" s="1" t="s">
        <v>20545</v>
      </c>
      <c r="C3233" s="1" t="s">
        <v>5188</v>
      </c>
      <c r="D3233" s="1" t="s">
        <v>20546</v>
      </c>
      <c r="E3233" s="1" t="s">
        <v>8191</v>
      </c>
      <c r="F3233" s="1" t="s">
        <v>11587</v>
      </c>
      <c r="G3233">
        <v>258973</v>
      </c>
      <c r="H3233">
        <v>0</v>
      </c>
      <c r="I3233" s="1" t="s">
        <v>11063</v>
      </c>
      <c r="J3233" s="11">
        <v>44729.706458333334</v>
      </c>
      <c r="K3233" s="1" t="s">
        <v>8192</v>
      </c>
      <c r="L3233" s="1">
        <v>0.24299999999999999</v>
      </c>
      <c r="M3233" s="1">
        <v>0.313</v>
      </c>
      <c r="N3233">
        <v>3</v>
      </c>
      <c r="O3233" s="1">
        <v>-12.069000000000001</v>
      </c>
      <c r="P3233">
        <v>1</v>
      </c>
      <c r="Q3233" s="1">
        <v>0.28499999999999998</v>
      </c>
      <c r="R3233" s="1">
        <v>0.115</v>
      </c>
      <c r="S3233" s="1">
        <v>0.23699999999999999</v>
      </c>
      <c r="T3233" s="1">
        <v>0.59299999999999997</v>
      </c>
      <c r="U3233" s="1">
        <v>0.22</v>
      </c>
      <c r="V3233" s="1">
        <v>92.974999999999994</v>
      </c>
      <c r="W3233">
        <v>3</v>
      </c>
    </row>
    <row r="3234" spans="1:23" x14ac:dyDescent="0.25">
      <c r="A3234" s="1" t="s">
        <v>20547</v>
      </c>
      <c r="B3234" s="1" t="s">
        <v>20548</v>
      </c>
      <c r="C3234" s="1" t="s">
        <v>8193</v>
      </c>
      <c r="D3234" s="1" t="s">
        <v>8193</v>
      </c>
      <c r="E3234" s="1" t="s">
        <v>8194</v>
      </c>
      <c r="F3234" s="1" t="s">
        <v>20549</v>
      </c>
      <c r="G3234">
        <v>226731</v>
      </c>
      <c r="H3234">
        <v>34</v>
      </c>
      <c r="I3234" s="1" t="s">
        <v>11063</v>
      </c>
      <c r="J3234" s="11">
        <v>44729.706458333334</v>
      </c>
      <c r="K3234" s="1" t="s">
        <v>8195</v>
      </c>
      <c r="L3234" s="1">
        <v>0.53600000000000003</v>
      </c>
      <c r="M3234" s="1">
        <v>0.55900000000000005</v>
      </c>
      <c r="N3234">
        <v>4</v>
      </c>
      <c r="O3234" s="1">
        <v>-5.274</v>
      </c>
      <c r="P3234">
        <v>0</v>
      </c>
      <c r="Q3234" s="1">
        <v>0.44700000000000001</v>
      </c>
      <c r="R3234" s="1">
        <v>0.67800000000000005</v>
      </c>
      <c r="S3234" s="1">
        <v>0.245</v>
      </c>
      <c r="T3234" s="1">
        <v>0.16600000000000001</v>
      </c>
      <c r="U3234" s="1">
        <v>0.59</v>
      </c>
      <c r="V3234" s="1">
        <v>137.83199999999999</v>
      </c>
      <c r="W3234">
        <v>4</v>
      </c>
    </row>
    <row r="3235" spans="1:23" x14ac:dyDescent="0.25">
      <c r="A3235" s="1" t="s">
        <v>20550</v>
      </c>
      <c r="B3235" s="1" t="s">
        <v>20551</v>
      </c>
      <c r="C3235" s="1" t="s">
        <v>8196</v>
      </c>
      <c r="D3235" s="1" t="s">
        <v>8196</v>
      </c>
      <c r="E3235" s="1" t="s">
        <v>8197</v>
      </c>
      <c r="F3235" s="1" t="s">
        <v>20552</v>
      </c>
      <c r="G3235">
        <v>138527</v>
      </c>
      <c r="H3235">
        <v>35</v>
      </c>
      <c r="I3235" s="1" t="s">
        <v>11063</v>
      </c>
      <c r="J3235" s="11">
        <v>44729.706458333334</v>
      </c>
      <c r="K3235" s="1" t="s">
        <v>1082</v>
      </c>
      <c r="L3235" s="1">
        <v>0.92500000000000004</v>
      </c>
      <c r="M3235" s="1">
        <v>0.504</v>
      </c>
      <c r="N3235">
        <v>11</v>
      </c>
      <c r="O3235" s="1">
        <v>-2.98</v>
      </c>
      <c r="P3235">
        <v>0</v>
      </c>
      <c r="Q3235" s="1">
        <v>0.97199999999999998</v>
      </c>
      <c r="R3235" s="1">
        <v>0.21299999999999999</v>
      </c>
      <c r="S3235" s="1">
        <v>0</v>
      </c>
      <c r="T3235" s="1">
        <v>0.13700000000000001</v>
      </c>
      <c r="U3235" s="1">
        <v>0.67200000000000004</v>
      </c>
      <c r="V3235" s="1">
        <v>130.124</v>
      </c>
      <c r="W3235">
        <v>3</v>
      </c>
    </row>
    <row r="3236" spans="1:23" x14ac:dyDescent="0.25">
      <c r="A3236" s="1" t="s">
        <v>20553</v>
      </c>
      <c r="B3236" s="1" t="s">
        <v>20554</v>
      </c>
      <c r="C3236" s="1" t="s">
        <v>8198</v>
      </c>
      <c r="D3236" s="1" t="s">
        <v>8198</v>
      </c>
      <c r="E3236" s="1" t="s">
        <v>8199</v>
      </c>
      <c r="F3236" s="1" t="s">
        <v>11754</v>
      </c>
      <c r="G3236">
        <v>228979</v>
      </c>
      <c r="H3236">
        <v>0</v>
      </c>
      <c r="I3236" s="1" t="s">
        <v>11063</v>
      </c>
      <c r="J3236" s="11">
        <v>44729.706458333334</v>
      </c>
      <c r="K3236" s="1" t="s">
        <v>1973</v>
      </c>
      <c r="L3236" s="1">
        <v>0.62</v>
      </c>
      <c r="M3236" s="1">
        <v>0.86399999999999999</v>
      </c>
      <c r="N3236">
        <v>5</v>
      </c>
      <c r="O3236" s="1">
        <v>-4.3339999999999996</v>
      </c>
      <c r="P3236">
        <v>0</v>
      </c>
      <c r="Q3236" s="1">
        <v>0.114</v>
      </c>
      <c r="R3236" s="1">
        <v>0.32300000000000001</v>
      </c>
      <c r="S3236" s="1">
        <v>0</v>
      </c>
      <c r="T3236" s="1">
        <v>0.11700000000000001</v>
      </c>
      <c r="U3236" s="1">
        <v>0.39500000000000002</v>
      </c>
      <c r="V3236" s="1">
        <v>98.058999999999997</v>
      </c>
      <c r="W3236">
        <v>4</v>
      </c>
    </row>
    <row r="3237" spans="1:23" x14ac:dyDescent="0.25">
      <c r="A3237" s="1" t="s">
        <v>20555</v>
      </c>
      <c r="B3237" s="1" t="s">
        <v>20556</v>
      </c>
      <c r="C3237" s="1" t="s">
        <v>8200</v>
      </c>
      <c r="D3237" s="1" t="s">
        <v>8200</v>
      </c>
      <c r="E3237" s="1" t="s">
        <v>8201</v>
      </c>
      <c r="F3237" s="1" t="s">
        <v>15395</v>
      </c>
      <c r="G3237">
        <v>189319</v>
      </c>
      <c r="H3237">
        <v>0</v>
      </c>
      <c r="I3237" s="1" t="s">
        <v>11063</v>
      </c>
      <c r="J3237" s="11">
        <v>44729.706458333334</v>
      </c>
      <c r="K3237" s="1" t="s">
        <v>8202</v>
      </c>
      <c r="L3237" s="1">
        <v>0.67300000000000004</v>
      </c>
      <c r="M3237" s="1">
        <v>0.85</v>
      </c>
      <c r="N3237">
        <v>7</v>
      </c>
      <c r="O3237" s="1">
        <v>-4.9980000000000002</v>
      </c>
      <c r="P3237">
        <v>0</v>
      </c>
      <c r="Q3237" s="1">
        <v>0.115</v>
      </c>
      <c r="R3237" s="1">
        <v>0.85599999999999998</v>
      </c>
      <c r="S3237" s="1">
        <v>0.214</v>
      </c>
      <c r="T3237" s="1">
        <v>0.112</v>
      </c>
      <c r="U3237" s="1">
        <v>0.27400000000000002</v>
      </c>
      <c r="V3237" s="1">
        <v>117.986</v>
      </c>
      <c r="W3237">
        <v>4</v>
      </c>
    </row>
    <row r="3238" spans="1:23" x14ac:dyDescent="0.25">
      <c r="A3238" s="1" t="s">
        <v>20557</v>
      </c>
      <c r="B3238" s="1" t="s">
        <v>20558</v>
      </c>
      <c r="C3238" s="1" t="s">
        <v>8203</v>
      </c>
      <c r="D3238" s="1" t="s">
        <v>8203</v>
      </c>
      <c r="E3238" s="1" t="s">
        <v>8204</v>
      </c>
      <c r="F3238" s="1" t="s">
        <v>11437</v>
      </c>
      <c r="G3238">
        <v>214787</v>
      </c>
      <c r="H3238">
        <v>0</v>
      </c>
      <c r="I3238" s="1" t="s">
        <v>11063</v>
      </c>
      <c r="J3238" s="11">
        <v>44729.706458333334</v>
      </c>
      <c r="K3238" s="1" t="s">
        <v>8205</v>
      </c>
      <c r="L3238" s="1">
        <v>0.61</v>
      </c>
      <c r="M3238" s="1">
        <v>0.80800000000000005</v>
      </c>
      <c r="N3238">
        <v>5</v>
      </c>
      <c r="O3238" s="1">
        <v>-4.0179999999999998</v>
      </c>
      <c r="P3238">
        <v>0</v>
      </c>
      <c r="Q3238" s="1">
        <v>0.38100000000000001</v>
      </c>
      <c r="R3238" s="1">
        <v>0.499</v>
      </c>
      <c r="S3238" s="1">
        <v>0.11700000000000001</v>
      </c>
      <c r="T3238" s="1">
        <v>0.89700000000000002</v>
      </c>
      <c r="U3238" s="1">
        <v>0.41899999999999998</v>
      </c>
      <c r="V3238" s="1">
        <v>122.943</v>
      </c>
      <c r="W3238">
        <v>4</v>
      </c>
    </row>
    <row r="3239" spans="1:23" x14ac:dyDescent="0.25">
      <c r="A3239" s="1" t="s">
        <v>20559</v>
      </c>
      <c r="B3239" s="1" t="s">
        <v>11367</v>
      </c>
      <c r="C3239" s="1" t="s">
        <v>2502</v>
      </c>
      <c r="D3239" s="1" t="s">
        <v>14123</v>
      </c>
      <c r="E3239" s="1" t="s">
        <v>154</v>
      </c>
      <c r="F3239" s="1" t="s">
        <v>14124</v>
      </c>
      <c r="G3239">
        <v>129599</v>
      </c>
      <c r="H3239">
        <v>0</v>
      </c>
      <c r="I3239" s="1" t="s">
        <v>11063</v>
      </c>
      <c r="J3239" s="11">
        <v>44729.706458333334</v>
      </c>
      <c r="K3239" s="1" t="s">
        <v>2372</v>
      </c>
      <c r="L3239" s="1">
        <v>0.76500000000000001</v>
      </c>
      <c r="M3239" s="1">
        <v>0.32700000000000001</v>
      </c>
      <c r="N3239">
        <v>6</v>
      </c>
      <c r="O3239" s="1">
        <v>-8.0289999999999999</v>
      </c>
      <c r="P3239">
        <v>1</v>
      </c>
      <c r="Q3239" s="1">
        <v>0.27700000000000002</v>
      </c>
      <c r="R3239" s="1">
        <v>0.57099999999999995</v>
      </c>
      <c r="S3239" s="1">
        <v>0.47899999999999998</v>
      </c>
      <c r="T3239" s="1">
        <v>0.78700000000000003</v>
      </c>
      <c r="U3239" s="1">
        <v>0.29199999999999998</v>
      </c>
      <c r="V3239" s="1">
        <v>74.930999999999997</v>
      </c>
      <c r="W3239">
        <v>4</v>
      </c>
    </row>
    <row r="3240" spans="1:23" x14ac:dyDescent="0.25">
      <c r="A3240" s="1" t="s">
        <v>20560</v>
      </c>
      <c r="B3240" s="1" t="s">
        <v>20561</v>
      </c>
      <c r="C3240" s="1" t="s">
        <v>8206</v>
      </c>
      <c r="D3240" s="1" t="s">
        <v>1959</v>
      </c>
      <c r="E3240" s="1" t="s">
        <v>8207</v>
      </c>
      <c r="F3240" s="1" t="s">
        <v>14368</v>
      </c>
      <c r="G3240">
        <v>213427</v>
      </c>
      <c r="H3240">
        <v>74</v>
      </c>
      <c r="I3240" s="1" t="s">
        <v>11063</v>
      </c>
      <c r="J3240" s="11">
        <v>44729.706458333334</v>
      </c>
      <c r="K3240" s="1" t="s">
        <v>8208</v>
      </c>
      <c r="L3240" s="1">
        <v>0.58299999999999996</v>
      </c>
      <c r="M3240" s="1">
        <v>0.73199999999999998</v>
      </c>
      <c r="N3240">
        <v>11</v>
      </c>
      <c r="O3240" s="1">
        <v>-5.7279999999999998</v>
      </c>
      <c r="P3240">
        <v>0</v>
      </c>
      <c r="Q3240" s="1">
        <v>0.45700000000000002</v>
      </c>
      <c r="R3240" s="1">
        <v>0.312</v>
      </c>
      <c r="S3240" s="1">
        <v>0.98599999999999999</v>
      </c>
      <c r="T3240" s="1">
        <v>0.26900000000000002</v>
      </c>
      <c r="U3240" s="1">
        <v>0.27600000000000002</v>
      </c>
      <c r="V3240" s="1">
        <v>145.99199999999999</v>
      </c>
      <c r="W3240">
        <v>4</v>
      </c>
    </row>
    <row r="3241" spans="1:23" x14ac:dyDescent="0.25">
      <c r="A3241" s="1" t="s">
        <v>20562</v>
      </c>
      <c r="B3241" s="1" t="s">
        <v>20563</v>
      </c>
      <c r="C3241" s="1" t="s">
        <v>8209</v>
      </c>
      <c r="D3241" s="1" t="s">
        <v>8209</v>
      </c>
      <c r="E3241" s="1" t="s">
        <v>8210</v>
      </c>
      <c r="F3241" s="1" t="s">
        <v>15944</v>
      </c>
      <c r="G3241">
        <v>195310</v>
      </c>
      <c r="H3241">
        <v>0</v>
      </c>
      <c r="I3241" s="1" t="s">
        <v>11063</v>
      </c>
      <c r="J3241" s="11">
        <v>44729.706458333334</v>
      </c>
      <c r="K3241" s="1" t="s">
        <v>3360</v>
      </c>
      <c r="L3241" s="1">
        <v>0.51200000000000001</v>
      </c>
      <c r="M3241" s="1">
        <v>0.54100000000000004</v>
      </c>
      <c r="N3241">
        <v>9</v>
      </c>
      <c r="O3241" s="1">
        <v>-7.6059999999999999</v>
      </c>
      <c r="P3241">
        <v>1</v>
      </c>
      <c r="Q3241" s="1">
        <v>0.504</v>
      </c>
      <c r="R3241" s="1">
        <v>0.17899999999999999</v>
      </c>
      <c r="S3241" s="1">
        <v>0.11799999999999999</v>
      </c>
      <c r="T3241" s="1">
        <v>0.44700000000000001</v>
      </c>
      <c r="U3241" s="1">
        <v>0.17</v>
      </c>
      <c r="V3241" s="1">
        <v>72.477000000000004</v>
      </c>
      <c r="W3241">
        <v>4</v>
      </c>
    </row>
    <row r="3242" spans="1:23" x14ac:dyDescent="0.25">
      <c r="A3242" s="1" t="s">
        <v>20564</v>
      </c>
      <c r="B3242" s="1" t="s">
        <v>20565</v>
      </c>
      <c r="C3242" s="1" t="s">
        <v>8211</v>
      </c>
      <c r="D3242" s="1" t="s">
        <v>8211</v>
      </c>
      <c r="E3242" s="1" t="s">
        <v>8212</v>
      </c>
      <c r="F3242" s="1" t="s">
        <v>11437</v>
      </c>
      <c r="G3242">
        <v>286265</v>
      </c>
      <c r="H3242">
        <v>32</v>
      </c>
      <c r="I3242" s="1" t="s">
        <v>11063</v>
      </c>
      <c r="J3242" s="11">
        <v>44729.706458333334</v>
      </c>
      <c r="K3242" s="1" t="s">
        <v>50</v>
      </c>
      <c r="L3242" s="1">
        <v>0.48599999999999999</v>
      </c>
      <c r="M3242" s="1">
        <v>0.41199999999999998</v>
      </c>
      <c r="N3242">
        <v>4</v>
      </c>
      <c r="O3242" s="1">
        <v>-10.018000000000001</v>
      </c>
      <c r="P3242">
        <v>0</v>
      </c>
      <c r="Q3242" s="1">
        <v>0.21299999999999999</v>
      </c>
      <c r="R3242" s="1">
        <v>0.21</v>
      </c>
      <c r="S3242" s="1">
        <v>0.23200000000000001</v>
      </c>
      <c r="T3242" s="1">
        <v>0.114</v>
      </c>
      <c r="U3242" s="1">
        <v>0.18</v>
      </c>
      <c r="V3242" s="1">
        <v>82.998000000000005</v>
      </c>
      <c r="W3242">
        <v>4</v>
      </c>
    </row>
    <row r="3243" spans="1:23" x14ac:dyDescent="0.25">
      <c r="A3243" s="1" t="s">
        <v>20566</v>
      </c>
      <c r="B3243" s="1" t="s">
        <v>20567</v>
      </c>
      <c r="C3243" s="1" t="s">
        <v>8213</v>
      </c>
      <c r="D3243" s="1" t="s">
        <v>19645</v>
      </c>
      <c r="E3243" s="1" t="s">
        <v>8214</v>
      </c>
      <c r="F3243" s="1" t="s">
        <v>17314</v>
      </c>
      <c r="G3243">
        <v>204778</v>
      </c>
      <c r="H3243">
        <v>0</v>
      </c>
      <c r="I3243" s="1" t="s">
        <v>11063</v>
      </c>
      <c r="J3243" s="11">
        <v>44729.706458333334</v>
      </c>
      <c r="K3243" s="1" t="s">
        <v>4064</v>
      </c>
      <c r="L3243" s="1">
        <v>0.53600000000000003</v>
      </c>
      <c r="M3243" s="1">
        <v>0.78200000000000003</v>
      </c>
      <c r="N3243">
        <v>7</v>
      </c>
      <c r="O3243" s="1">
        <v>-4.1390000000000002</v>
      </c>
      <c r="P3243">
        <v>0</v>
      </c>
      <c r="Q3243" s="1">
        <v>0.48499999999999999</v>
      </c>
      <c r="R3243" s="1">
        <v>0.39</v>
      </c>
      <c r="S3243" s="1">
        <v>0.36399999999999999</v>
      </c>
      <c r="T3243" s="1">
        <v>0.69099999999999995</v>
      </c>
      <c r="U3243" s="1">
        <v>0.40500000000000003</v>
      </c>
      <c r="V3243" s="1">
        <v>154.93</v>
      </c>
      <c r="W3243">
        <v>4</v>
      </c>
    </row>
    <row r="3244" spans="1:23" x14ac:dyDescent="0.25">
      <c r="A3244" s="1" t="s">
        <v>20568</v>
      </c>
      <c r="B3244" s="1" t="s">
        <v>20569</v>
      </c>
      <c r="C3244" s="1" t="s">
        <v>5787</v>
      </c>
      <c r="D3244" s="1" t="s">
        <v>5787</v>
      </c>
      <c r="E3244" s="1" t="s">
        <v>8215</v>
      </c>
      <c r="F3244" s="1" t="s">
        <v>14898</v>
      </c>
      <c r="G3244">
        <v>264000</v>
      </c>
      <c r="H3244">
        <v>0</v>
      </c>
      <c r="I3244" s="1" t="s">
        <v>11063</v>
      </c>
      <c r="J3244" s="11">
        <v>44729.706458333334</v>
      </c>
      <c r="K3244" s="1" t="s">
        <v>8216</v>
      </c>
      <c r="L3244" s="1">
        <v>0.63100000000000001</v>
      </c>
      <c r="M3244" s="1">
        <v>0.80300000000000005</v>
      </c>
      <c r="N3244">
        <v>7</v>
      </c>
      <c r="O3244" s="1">
        <v>-5.9619999999999997</v>
      </c>
      <c r="P3244">
        <v>0</v>
      </c>
      <c r="Q3244" s="1">
        <v>0.26500000000000001</v>
      </c>
      <c r="R3244" s="1">
        <v>0.35299999999999998</v>
      </c>
      <c r="S3244" s="1">
        <v>0.39100000000000001</v>
      </c>
      <c r="T3244" s="1">
        <v>0.52700000000000002</v>
      </c>
      <c r="U3244" s="1">
        <v>0.42599999999999999</v>
      </c>
      <c r="V3244" s="1">
        <v>89.960999999999999</v>
      </c>
      <c r="W3244">
        <v>4</v>
      </c>
    </row>
    <row r="3245" spans="1:23" x14ac:dyDescent="0.25">
      <c r="A3245" s="1" t="s">
        <v>20570</v>
      </c>
      <c r="B3245" s="1" t="s">
        <v>19698</v>
      </c>
      <c r="C3245" s="1" t="s">
        <v>7456</v>
      </c>
      <c r="D3245" s="1" t="s">
        <v>20571</v>
      </c>
      <c r="E3245" s="1" t="s">
        <v>7442</v>
      </c>
      <c r="F3245" s="1" t="s">
        <v>20572</v>
      </c>
      <c r="G3245">
        <v>225882</v>
      </c>
      <c r="H3245">
        <v>64</v>
      </c>
      <c r="I3245" s="1" t="s">
        <v>11063</v>
      </c>
      <c r="J3245" s="11">
        <v>44729.706458333334</v>
      </c>
      <c r="K3245" s="1" t="s">
        <v>7443</v>
      </c>
      <c r="L3245" s="1">
        <v>0.6</v>
      </c>
      <c r="M3245" s="1">
        <v>0.41199999999999998</v>
      </c>
      <c r="N3245">
        <v>8</v>
      </c>
      <c r="O3245" s="1">
        <v>-9.343</v>
      </c>
      <c r="P3245">
        <v>1</v>
      </c>
      <c r="Q3245" s="1">
        <v>0.34399999999999997</v>
      </c>
      <c r="R3245" s="1">
        <v>0.61499999999999999</v>
      </c>
      <c r="S3245" s="1">
        <v>0.25</v>
      </c>
      <c r="T3245" s="1">
        <v>0.13400000000000001</v>
      </c>
      <c r="U3245" s="1">
        <v>0.40799999999999997</v>
      </c>
      <c r="V3245" s="1">
        <v>113.04900000000001</v>
      </c>
      <c r="W3245">
        <v>5</v>
      </c>
    </row>
    <row r="3246" spans="1:23" x14ac:dyDescent="0.25">
      <c r="A3246" s="1" t="s">
        <v>20573</v>
      </c>
      <c r="B3246" s="1" t="s">
        <v>20574</v>
      </c>
      <c r="C3246" s="1" t="s">
        <v>8217</v>
      </c>
      <c r="D3246" s="1" t="s">
        <v>20575</v>
      </c>
      <c r="E3246" s="1" t="s">
        <v>8218</v>
      </c>
      <c r="F3246" s="1" t="s">
        <v>16886</v>
      </c>
      <c r="G3246">
        <v>203552</v>
      </c>
      <c r="H3246">
        <v>34</v>
      </c>
      <c r="I3246" s="1" t="s">
        <v>11063</v>
      </c>
      <c r="J3246" s="11">
        <v>44729.706458333334</v>
      </c>
      <c r="K3246" s="1" t="s">
        <v>8219</v>
      </c>
      <c r="L3246" s="1">
        <v>0.46</v>
      </c>
      <c r="M3246" s="1">
        <v>0.58199999999999996</v>
      </c>
      <c r="N3246">
        <v>9</v>
      </c>
      <c r="O3246" s="1">
        <v>-4.0069999999999997</v>
      </c>
      <c r="P3246">
        <v>0</v>
      </c>
      <c r="Q3246" s="1">
        <v>0.42199999999999999</v>
      </c>
      <c r="R3246" s="1">
        <v>0.69899999999999995</v>
      </c>
      <c r="S3246" s="1">
        <v>0</v>
      </c>
      <c r="T3246" s="1">
        <v>0.14000000000000001</v>
      </c>
      <c r="U3246" s="1">
        <v>0.127</v>
      </c>
      <c r="V3246" s="1">
        <v>158.095</v>
      </c>
      <c r="W3246">
        <v>4</v>
      </c>
    </row>
    <row r="3247" spans="1:23" x14ac:dyDescent="0.25">
      <c r="A3247" s="1" t="s">
        <v>20576</v>
      </c>
      <c r="B3247" s="1" t="s">
        <v>17010</v>
      </c>
      <c r="C3247" s="1" t="s">
        <v>8220</v>
      </c>
      <c r="D3247" s="1" t="s">
        <v>20577</v>
      </c>
      <c r="E3247" s="1" t="s">
        <v>5003</v>
      </c>
      <c r="F3247" s="1" t="s">
        <v>17949</v>
      </c>
      <c r="G3247">
        <v>251973</v>
      </c>
      <c r="H3247">
        <v>0</v>
      </c>
      <c r="I3247" s="1" t="s">
        <v>11063</v>
      </c>
      <c r="J3247" s="11">
        <v>44729.706458333334</v>
      </c>
      <c r="K3247" s="1" t="s">
        <v>5004</v>
      </c>
      <c r="L3247" s="1">
        <v>0.59499999999999997</v>
      </c>
      <c r="M3247" s="1">
        <v>0.48</v>
      </c>
      <c r="N3247">
        <v>4</v>
      </c>
      <c r="O3247" s="1">
        <v>-9.4550000000000001</v>
      </c>
      <c r="P3247">
        <v>0</v>
      </c>
      <c r="Q3247" s="1">
        <v>0.92600000000000005</v>
      </c>
      <c r="R3247" s="1">
        <v>0.81</v>
      </c>
      <c r="S3247" s="1">
        <v>0</v>
      </c>
      <c r="T3247" s="1">
        <v>0.93799999999999994</v>
      </c>
      <c r="U3247" s="1">
        <v>0.29899999999999999</v>
      </c>
      <c r="V3247" s="1">
        <v>145.56700000000001</v>
      </c>
      <c r="W3247">
        <v>4</v>
      </c>
    </row>
    <row r="3248" spans="1:23" x14ac:dyDescent="0.25">
      <c r="A3248" s="1" t="s">
        <v>20578</v>
      </c>
      <c r="B3248" s="1" t="s">
        <v>17010</v>
      </c>
      <c r="C3248" s="1" t="s">
        <v>6619</v>
      </c>
      <c r="D3248" s="1" t="s">
        <v>20579</v>
      </c>
      <c r="E3248" s="1" t="s">
        <v>5003</v>
      </c>
      <c r="F3248" s="1" t="s">
        <v>11651</v>
      </c>
      <c r="G3248">
        <v>279034</v>
      </c>
      <c r="H3248">
        <v>0</v>
      </c>
      <c r="I3248" s="1" t="s">
        <v>11063</v>
      </c>
      <c r="J3248" s="11">
        <v>44729.706458333334</v>
      </c>
      <c r="K3248" s="1" t="s">
        <v>5004</v>
      </c>
      <c r="L3248" s="1">
        <v>0.41</v>
      </c>
      <c r="M3248" s="1">
        <v>0.73899999999999999</v>
      </c>
      <c r="N3248">
        <v>5</v>
      </c>
      <c r="O3248" s="1">
        <v>-4.4660000000000002</v>
      </c>
      <c r="P3248">
        <v>1</v>
      </c>
      <c r="Q3248" s="1">
        <v>0.48199999999999998</v>
      </c>
      <c r="R3248" s="1">
        <v>0.47099999999999997</v>
      </c>
      <c r="S3248" s="1">
        <v>0</v>
      </c>
      <c r="T3248" s="1">
        <v>0.82699999999999996</v>
      </c>
      <c r="U3248" s="1">
        <v>0.16400000000000001</v>
      </c>
      <c r="V3248" s="1">
        <v>159.911</v>
      </c>
      <c r="W3248">
        <v>4</v>
      </c>
    </row>
    <row r="3249" spans="1:23" x14ac:dyDescent="0.25">
      <c r="A3249" s="1" t="s">
        <v>20580</v>
      </c>
      <c r="B3249" s="1" t="s">
        <v>15884</v>
      </c>
      <c r="C3249" s="1" t="s">
        <v>8221</v>
      </c>
      <c r="D3249" s="1" t="s">
        <v>20581</v>
      </c>
      <c r="E3249" s="1" t="s">
        <v>4054</v>
      </c>
      <c r="F3249" s="1" t="s">
        <v>15610</v>
      </c>
      <c r="G3249">
        <v>282000</v>
      </c>
      <c r="H3249">
        <v>54</v>
      </c>
      <c r="I3249" s="1" t="s">
        <v>11063</v>
      </c>
      <c r="J3249" s="11">
        <v>44729.706458333334</v>
      </c>
      <c r="K3249" s="1" t="s">
        <v>4055</v>
      </c>
      <c r="L3249" s="1">
        <v>0.55200000000000005</v>
      </c>
      <c r="M3249" s="1">
        <v>0.745</v>
      </c>
      <c r="N3249">
        <v>6</v>
      </c>
      <c r="O3249" s="1">
        <v>-5.5640000000000001</v>
      </c>
      <c r="P3249">
        <v>0</v>
      </c>
      <c r="Q3249" s="1">
        <v>0.80700000000000005</v>
      </c>
      <c r="R3249" s="1">
        <v>0.36099999999999999</v>
      </c>
      <c r="S3249" s="1">
        <v>0</v>
      </c>
      <c r="T3249" s="1">
        <v>0.43</v>
      </c>
      <c r="U3249" s="1">
        <v>0.48799999999999999</v>
      </c>
      <c r="V3249" s="1">
        <v>159.91499999999999</v>
      </c>
      <c r="W3249">
        <v>4</v>
      </c>
    </row>
    <row r="3250" spans="1:23" x14ac:dyDescent="0.25">
      <c r="A3250" s="1" t="s">
        <v>20582</v>
      </c>
      <c r="B3250" s="1" t="s">
        <v>20583</v>
      </c>
      <c r="C3250" s="1" t="s">
        <v>8222</v>
      </c>
      <c r="D3250" s="1" t="s">
        <v>8222</v>
      </c>
      <c r="E3250" s="1" t="s">
        <v>8223</v>
      </c>
      <c r="F3250" s="1" t="s">
        <v>13328</v>
      </c>
      <c r="G3250">
        <v>264463</v>
      </c>
      <c r="H3250">
        <v>43</v>
      </c>
      <c r="I3250" s="1" t="s">
        <v>11063</v>
      </c>
      <c r="J3250" s="11">
        <v>44729.706458333334</v>
      </c>
      <c r="K3250" s="1" t="s">
        <v>8224</v>
      </c>
      <c r="L3250" s="1">
        <v>0.69799999999999995</v>
      </c>
      <c r="M3250" s="1">
        <v>0.50800000000000001</v>
      </c>
      <c r="N3250">
        <v>11</v>
      </c>
      <c r="O3250" s="1">
        <v>-6.2720000000000002</v>
      </c>
      <c r="P3250">
        <v>1</v>
      </c>
      <c r="Q3250" s="1">
        <v>0.45400000000000001</v>
      </c>
      <c r="R3250" s="1">
        <v>0.70799999999999996</v>
      </c>
      <c r="S3250" s="1">
        <v>0.27800000000000002</v>
      </c>
      <c r="T3250" s="1">
        <v>0.31900000000000001</v>
      </c>
      <c r="U3250" s="1">
        <v>0.55500000000000005</v>
      </c>
      <c r="V3250" s="1">
        <v>119.999</v>
      </c>
      <c r="W3250">
        <v>4</v>
      </c>
    </row>
    <row r="3251" spans="1:23" x14ac:dyDescent="0.25">
      <c r="A3251" s="1" t="s">
        <v>20584</v>
      </c>
      <c r="B3251" s="1" t="s">
        <v>20585</v>
      </c>
      <c r="C3251" s="1" t="s">
        <v>8225</v>
      </c>
      <c r="D3251" s="1" t="s">
        <v>20586</v>
      </c>
      <c r="E3251" s="1" t="s">
        <v>8226</v>
      </c>
      <c r="F3251" s="1" t="s">
        <v>11399</v>
      </c>
      <c r="G3251">
        <v>174193</v>
      </c>
      <c r="H3251">
        <v>39</v>
      </c>
      <c r="I3251" s="1" t="s">
        <v>11063</v>
      </c>
      <c r="J3251" s="11">
        <v>44729.706458333334</v>
      </c>
      <c r="K3251" s="1" t="s">
        <v>50</v>
      </c>
      <c r="L3251" s="1">
        <v>0.77700000000000002</v>
      </c>
      <c r="M3251" s="1">
        <v>0.65900000000000003</v>
      </c>
      <c r="N3251">
        <v>8</v>
      </c>
      <c r="O3251" s="1">
        <v>-6.5339999999999998</v>
      </c>
      <c r="P3251">
        <v>0</v>
      </c>
      <c r="Q3251" s="1">
        <v>0.48199999999999998</v>
      </c>
      <c r="R3251" s="1">
        <v>0.107</v>
      </c>
      <c r="S3251" s="1">
        <v>0.64600000000000002</v>
      </c>
      <c r="T3251" s="1">
        <v>0.115</v>
      </c>
      <c r="U3251" s="1">
        <v>0.13600000000000001</v>
      </c>
      <c r="V3251" s="1">
        <v>124.012</v>
      </c>
      <c r="W3251">
        <v>4</v>
      </c>
    </row>
    <row r="3252" spans="1:23" x14ac:dyDescent="0.25">
      <c r="A3252" s="1" t="s">
        <v>20587</v>
      </c>
      <c r="B3252" s="1" t="s">
        <v>20588</v>
      </c>
      <c r="C3252" s="1" t="s">
        <v>8227</v>
      </c>
      <c r="D3252" s="1" t="s">
        <v>8227</v>
      </c>
      <c r="E3252" s="1" t="s">
        <v>8228</v>
      </c>
      <c r="F3252" s="1" t="s">
        <v>13520</v>
      </c>
      <c r="G3252">
        <v>174038</v>
      </c>
      <c r="H3252">
        <v>0</v>
      </c>
      <c r="I3252" s="1" t="s">
        <v>11063</v>
      </c>
      <c r="J3252" s="11">
        <v>44729.706458333334</v>
      </c>
      <c r="K3252" s="1" t="s">
        <v>8229</v>
      </c>
      <c r="L3252" s="1">
        <v>0.73</v>
      </c>
      <c r="M3252" s="1">
        <v>0.40100000000000002</v>
      </c>
      <c r="N3252">
        <v>8</v>
      </c>
      <c r="O3252" s="1">
        <v>-7.0620000000000003</v>
      </c>
      <c r="P3252">
        <v>1</v>
      </c>
      <c r="Q3252" s="1">
        <v>0.61199999999999999</v>
      </c>
      <c r="R3252" s="1">
        <v>0.35199999999999998</v>
      </c>
      <c r="S3252" s="1">
        <v>0.23400000000000001</v>
      </c>
      <c r="T3252" s="1">
        <v>0.25600000000000001</v>
      </c>
      <c r="U3252" s="1">
        <v>0.48799999999999999</v>
      </c>
      <c r="V3252" s="1">
        <v>83.509</v>
      </c>
      <c r="W3252">
        <v>4</v>
      </c>
    </row>
    <row r="3253" spans="1:23" x14ac:dyDescent="0.25">
      <c r="A3253" s="1" t="s">
        <v>20589</v>
      </c>
      <c r="B3253" s="1" t="s">
        <v>20590</v>
      </c>
      <c r="C3253" s="1" t="s">
        <v>8230</v>
      </c>
      <c r="D3253" s="1" t="s">
        <v>8230</v>
      </c>
      <c r="E3253" s="1" t="s">
        <v>8231</v>
      </c>
      <c r="F3253" s="1" t="s">
        <v>14350</v>
      </c>
      <c r="G3253">
        <v>182195</v>
      </c>
      <c r="H3253">
        <v>46</v>
      </c>
      <c r="I3253" s="1" t="s">
        <v>11063</v>
      </c>
      <c r="J3253" s="11">
        <v>44729.706458333334</v>
      </c>
      <c r="K3253" s="1" t="s">
        <v>3172</v>
      </c>
      <c r="L3253" s="1">
        <v>0.57699999999999996</v>
      </c>
      <c r="M3253" s="1">
        <v>0.42899999999999999</v>
      </c>
      <c r="N3253">
        <v>4</v>
      </c>
      <c r="O3253" s="1">
        <v>-6.1289999999999996</v>
      </c>
      <c r="P3253">
        <v>0</v>
      </c>
      <c r="Q3253" s="1">
        <v>0.48799999999999999</v>
      </c>
      <c r="R3253" s="1">
        <v>0.42</v>
      </c>
      <c r="S3253" s="1">
        <v>0</v>
      </c>
      <c r="T3253" s="1">
        <v>0.106</v>
      </c>
      <c r="U3253" s="1">
        <v>0.36099999999999999</v>
      </c>
      <c r="V3253" s="1">
        <v>164.089</v>
      </c>
      <c r="W3253">
        <v>4</v>
      </c>
    </row>
    <row r="3254" spans="1:23" x14ac:dyDescent="0.25">
      <c r="A3254" s="1" t="s">
        <v>20591</v>
      </c>
      <c r="B3254" s="1" t="s">
        <v>20592</v>
      </c>
      <c r="C3254" s="1" t="s">
        <v>8232</v>
      </c>
      <c r="D3254" s="1" t="s">
        <v>20593</v>
      </c>
      <c r="E3254" s="1" t="s">
        <v>8233</v>
      </c>
      <c r="F3254" s="1" t="s">
        <v>14235</v>
      </c>
      <c r="G3254">
        <v>214440</v>
      </c>
      <c r="H3254">
        <v>79</v>
      </c>
      <c r="I3254" s="1" t="s">
        <v>11063</v>
      </c>
      <c r="J3254" s="11">
        <v>44729.706458333334</v>
      </c>
      <c r="K3254" s="1" t="s">
        <v>8234</v>
      </c>
      <c r="L3254" s="1">
        <v>0.60299999999999998</v>
      </c>
      <c r="M3254" s="1">
        <v>0.83399999999999996</v>
      </c>
      <c r="N3254">
        <v>5</v>
      </c>
      <c r="O3254" s="1">
        <v>-5.766</v>
      </c>
      <c r="P3254">
        <v>0</v>
      </c>
      <c r="Q3254" s="1">
        <v>0.41699999999999998</v>
      </c>
      <c r="R3254" s="1">
        <v>0.41099999999999998</v>
      </c>
      <c r="S3254" s="1">
        <v>0.60899999999999999</v>
      </c>
      <c r="T3254" s="1">
        <v>0.105</v>
      </c>
      <c r="U3254" s="1">
        <v>0.376</v>
      </c>
      <c r="V3254" s="1">
        <v>89.956999999999994</v>
      </c>
      <c r="W3254">
        <v>4</v>
      </c>
    </row>
    <row r="3255" spans="1:23" x14ac:dyDescent="0.25">
      <c r="A3255" s="1" t="s">
        <v>20594</v>
      </c>
      <c r="B3255" s="1" t="s">
        <v>14725</v>
      </c>
      <c r="C3255" s="1" t="s">
        <v>8235</v>
      </c>
      <c r="D3255" s="1" t="s">
        <v>5551</v>
      </c>
      <c r="E3255" s="1" t="s">
        <v>3024</v>
      </c>
      <c r="F3255" s="1" t="s">
        <v>15395</v>
      </c>
      <c r="G3255">
        <v>216000</v>
      </c>
      <c r="H3255">
        <v>32</v>
      </c>
      <c r="I3255" s="1" t="s">
        <v>11063</v>
      </c>
      <c r="J3255" s="11">
        <v>44729.706458333334</v>
      </c>
      <c r="K3255" s="1" t="s">
        <v>2939</v>
      </c>
      <c r="L3255" s="1">
        <v>0.58099999999999996</v>
      </c>
      <c r="M3255" s="1">
        <v>0.70199999999999996</v>
      </c>
      <c r="N3255">
        <v>7</v>
      </c>
      <c r="O3255" s="1">
        <v>-5.2789999999999999</v>
      </c>
      <c r="P3255">
        <v>0</v>
      </c>
      <c r="Q3255" s="1">
        <v>0.308</v>
      </c>
      <c r="R3255" s="1">
        <v>0.46500000000000002</v>
      </c>
      <c r="S3255" s="1">
        <v>0.47399999999999998</v>
      </c>
      <c r="T3255" s="1">
        <v>0.88600000000000001</v>
      </c>
      <c r="U3255" s="1">
        <v>0.114</v>
      </c>
      <c r="V3255" s="1">
        <v>139.92599999999999</v>
      </c>
      <c r="W3255">
        <v>4</v>
      </c>
    </row>
    <row r="3256" spans="1:23" x14ac:dyDescent="0.25">
      <c r="A3256" s="1" t="s">
        <v>20595</v>
      </c>
      <c r="B3256" s="1" t="s">
        <v>14725</v>
      </c>
      <c r="C3256" s="1" t="s">
        <v>8236</v>
      </c>
      <c r="D3256" s="1" t="s">
        <v>5551</v>
      </c>
      <c r="E3256" s="1" t="s">
        <v>3024</v>
      </c>
      <c r="F3256" s="1" t="s">
        <v>15395</v>
      </c>
      <c r="G3256">
        <v>196800</v>
      </c>
      <c r="H3256">
        <v>24</v>
      </c>
      <c r="I3256" s="1" t="s">
        <v>11063</v>
      </c>
      <c r="J3256" s="11">
        <v>44729.706458333334</v>
      </c>
      <c r="K3256" s="1" t="s">
        <v>2939</v>
      </c>
      <c r="L3256" s="1">
        <v>0.48</v>
      </c>
      <c r="M3256" s="1">
        <v>0.84099999999999997</v>
      </c>
      <c r="N3256">
        <v>8</v>
      </c>
      <c r="O3256" s="1">
        <v>-4.2480000000000002</v>
      </c>
      <c r="P3256">
        <v>0</v>
      </c>
      <c r="Q3256" s="1">
        <v>0.71799999999999997</v>
      </c>
      <c r="R3256" s="1">
        <v>0.32500000000000001</v>
      </c>
      <c r="S3256" s="1">
        <v>0.36499999999999999</v>
      </c>
      <c r="T3256" s="1">
        <v>0.129</v>
      </c>
      <c r="U3256" s="1">
        <v>0.35899999999999999</v>
      </c>
      <c r="V3256" s="1">
        <v>200.10300000000001</v>
      </c>
      <c r="W3256">
        <v>4</v>
      </c>
    </row>
    <row r="3257" spans="1:23" x14ac:dyDescent="0.25">
      <c r="A3257" s="1" t="s">
        <v>20596</v>
      </c>
      <c r="B3257" s="1" t="s">
        <v>14725</v>
      </c>
      <c r="C3257" s="1" t="s">
        <v>3601</v>
      </c>
      <c r="D3257" s="1" t="s">
        <v>5551</v>
      </c>
      <c r="E3257" s="1" t="s">
        <v>3024</v>
      </c>
      <c r="F3257" s="1" t="s">
        <v>15395</v>
      </c>
      <c r="G3257">
        <v>198857</v>
      </c>
      <c r="H3257">
        <v>29</v>
      </c>
      <c r="I3257" s="1" t="s">
        <v>11063</v>
      </c>
      <c r="J3257" s="11">
        <v>44729.706458333334</v>
      </c>
      <c r="K3257" s="1" t="s">
        <v>2939</v>
      </c>
      <c r="L3257" s="1">
        <v>0.57699999999999996</v>
      </c>
      <c r="M3257" s="1">
        <v>0.84099999999999997</v>
      </c>
      <c r="N3257">
        <v>8</v>
      </c>
      <c r="O3257" s="1">
        <v>-4.7220000000000004</v>
      </c>
      <c r="P3257">
        <v>1</v>
      </c>
      <c r="Q3257" s="1">
        <v>0.30399999999999999</v>
      </c>
      <c r="R3257" s="1">
        <v>0.36699999999999999</v>
      </c>
      <c r="S3257" s="1">
        <v>0.23899999999999999</v>
      </c>
      <c r="T3257" s="1">
        <v>0.112</v>
      </c>
      <c r="U3257" s="1">
        <v>0.22500000000000001</v>
      </c>
      <c r="V3257" s="1">
        <v>139.935</v>
      </c>
      <c r="W3257">
        <v>4</v>
      </c>
    </row>
    <row r="3258" spans="1:23" x14ac:dyDescent="0.25">
      <c r="A3258" s="1" t="s">
        <v>20597</v>
      </c>
      <c r="B3258" s="1" t="s">
        <v>14725</v>
      </c>
      <c r="C3258" s="1" t="s">
        <v>8237</v>
      </c>
      <c r="D3258" s="1" t="s">
        <v>5551</v>
      </c>
      <c r="E3258" s="1" t="s">
        <v>3024</v>
      </c>
      <c r="F3258" s="1" t="s">
        <v>15395</v>
      </c>
      <c r="G3258">
        <v>192000</v>
      </c>
      <c r="H3258">
        <v>34</v>
      </c>
      <c r="I3258" s="1" t="s">
        <v>11063</v>
      </c>
      <c r="J3258" s="11">
        <v>44729.706458333334</v>
      </c>
      <c r="K3258" s="1" t="s">
        <v>2939</v>
      </c>
      <c r="L3258" s="1">
        <v>0.56999999999999995</v>
      </c>
      <c r="M3258" s="1">
        <v>0.88600000000000001</v>
      </c>
      <c r="N3258">
        <v>8</v>
      </c>
      <c r="O3258" s="1">
        <v>-4.5410000000000004</v>
      </c>
      <c r="P3258">
        <v>0</v>
      </c>
      <c r="Q3258" s="1">
        <v>0.41099999999999998</v>
      </c>
      <c r="R3258" s="1">
        <v>0.109</v>
      </c>
      <c r="S3258" s="1">
        <v>0.94699999999999995</v>
      </c>
      <c r="T3258" s="1">
        <v>0.87</v>
      </c>
      <c r="U3258" s="1">
        <v>0.40799999999999997</v>
      </c>
      <c r="V3258" s="1">
        <v>140.011</v>
      </c>
      <c r="W3258">
        <v>4</v>
      </c>
    </row>
    <row r="3259" spans="1:23" x14ac:dyDescent="0.25">
      <c r="A3259" s="1" t="s">
        <v>20598</v>
      </c>
      <c r="B3259" s="1" t="s">
        <v>14725</v>
      </c>
      <c r="C3259" s="1" t="s">
        <v>4533</v>
      </c>
      <c r="D3259" s="1" t="s">
        <v>18561</v>
      </c>
      <c r="E3259" s="1" t="s">
        <v>3024</v>
      </c>
      <c r="F3259" s="1" t="s">
        <v>16150</v>
      </c>
      <c r="G3259">
        <v>227368</v>
      </c>
      <c r="H3259">
        <v>32</v>
      </c>
      <c r="I3259" s="1" t="s">
        <v>11063</v>
      </c>
      <c r="J3259" s="11">
        <v>44729.706458333334</v>
      </c>
      <c r="K3259" s="1" t="s">
        <v>2939</v>
      </c>
      <c r="L3259" s="1">
        <v>0.66100000000000003</v>
      </c>
      <c r="M3259" s="1">
        <v>0.56399999999999995</v>
      </c>
      <c r="N3259">
        <v>5</v>
      </c>
      <c r="O3259" s="1">
        <v>-5.3230000000000004</v>
      </c>
      <c r="P3259">
        <v>0</v>
      </c>
      <c r="Q3259" s="1">
        <v>0.27300000000000002</v>
      </c>
      <c r="R3259" s="1">
        <v>0.77500000000000002</v>
      </c>
      <c r="S3259" s="1">
        <v>0.187</v>
      </c>
      <c r="T3259" s="1">
        <v>0.12</v>
      </c>
      <c r="U3259" s="1">
        <v>0.38900000000000001</v>
      </c>
      <c r="V3259" s="1">
        <v>95.02</v>
      </c>
      <c r="W3259">
        <v>4</v>
      </c>
    </row>
    <row r="3260" spans="1:23" x14ac:dyDescent="0.25">
      <c r="A3260" s="1" t="s">
        <v>20599</v>
      </c>
      <c r="B3260" s="1" t="s">
        <v>14725</v>
      </c>
      <c r="C3260" s="1" t="s">
        <v>8238</v>
      </c>
      <c r="D3260" s="1" t="s">
        <v>18561</v>
      </c>
      <c r="E3260" s="1" t="s">
        <v>3024</v>
      </c>
      <c r="F3260" s="1" t="s">
        <v>16150</v>
      </c>
      <c r="G3260">
        <v>236444</v>
      </c>
      <c r="H3260">
        <v>33</v>
      </c>
      <c r="I3260" s="1" t="s">
        <v>11063</v>
      </c>
      <c r="J3260" s="11">
        <v>44729.706458333334</v>
      </c>
      <c r="K3260" s="1" t="s">
        <v>2939</v>
      </c>
      <c r="L3260" s="1">
        <v>0.61199999999999999</v>
      </c>
      <c r="M3260" s="1">
        <v>0.72799999999999998</v>
      </c>
      <c r="N3260">
        <v>1</v>
      </c>
      <c r="O3260" s="1">
        <v>-4.7670000000000003</v>
      </c>
      <c r="P3260">
        <v>1</v>
      </c>
      <c r="Q3260" s="1">
        <v>0.30199999999999999</v>
      </c>
      <c r="R3260" s="1">
        <v>0.73599999999999999</v>
      </c>
      <c r="S3260" s="1">
        <v>0.71599999999999997</v>
      </c>
      <c r="T3260" s="1">
        <v>0.223</v>
      </c>
      <c r="U3260" s="1">
        <v>0.17699999999999999</v>
      </c>
      <c r="V3260" s="1">
        <v>134.92099999999999</v>
      </c>
      <c r="W3260">
        <v>4</v>
      </c>
    </row>
    <row r="3261" spans="1:23" x14ac:dyDescent="0.25">
      <c r="A3261" s="1" t="s">
        <v>20600</v>
      </c>
      <c r="B3261" s="1" t="s">
        <v>14725</v>
      </c>
      <c r="C3261" s="1" t="s">
        <v>8239</v>
      </c>
      <c r="D3261" s="1" t="s">
        <v>14726</v>
      </c>
      <c r="E3261" s="1" t="s">
        <v>3024</v>
      </c>
      <c r="F3261" s="1" t="s">
        <v>14727</v>
      </c>
      <c r="G3261">
        <v>290709</v>
      </c>
      <c r="H3261">
        <v>49</v>
      </c>
      <c r="I3261" s="1" t="s">
        <v>11063</v>
      </c>
      <c r="J3261" s="11">
        <v>44729.706458333334</v>
      </c>
      <c r="K3261" s="1" t="s">
        <v>2939</v>
      </c>
      <c r="L3261" s="1">
        <v>0.41799999999999998</v>
      </c>
      <c r="M3261" s="1">
        <v>0.751</v>
      </c>
      <c r="N3261">
        <v>11</v>
      </c>
      <c r="O3261" s="1">
        <v>-4.891</v>
      </c>
      <c r="P3261">
        <v>0</v>
      </c>
      <c r="Q3261" s="1">
        <v>0.40300000000000002</v>
      </c>
      <c r="R3261" s="1">
        <v>0.22</v>
      </c>
      <c r="S3261" s="1">
        <v>0.95</v>
      </c>
      <c r="T3261" s="1">
        <v>0.186</v>
      </c>
      <c r="U3261" s="1">
        <v>0.192</v>
      </c>
      <c r="V3261" s="1">
        <v>170.02500000000001</v>
      </c>
      <c r="W3261">
        <v>4</v>
      </c>
    </row>
    <row r="3262" spans="1:23" x14ac:dyDescent="0.25">
      <c r="A3262" s="1" t="s">
        <v>20601</v>
      </c>
      <c r="B3262" s="1" t="s">
        <v>14725</v>
      </c>
      <c r="C3262" s="1" t="s">
        <v>8240</v>
      </c>
      <c r="D3262" s="1" t="s">
        <v>5551</v>
      </c>
      <c r="E3262" s="1" t="s">
        <v>3024</v>
      </c>
      <c r="F3262" s="1" t="s">
        <v>15395</v>
      </c>
      <c r="G3262">
        <v>219428</v>
      </c>
      <c r="H3262">
        <v>37</v>
      </c>
      <c r="I3262" s="1" t="s">
        <v>11063</v>
      </c>
      <c r="J3262" s="11">
        <v>44729.706458333334</v>
      </c>
      <c r="K3262" s="1" t="s">
        <v>2939</v>
      </c>
      <c r="L3262" s="1">
        <v>0.51300000000000001</v>
      </c>
      <c r="M3262" s="1">
        <v>0.76900000000000002</v>
      </c>
      <c r="N3262">
        <v>8</v>
      </c>
      <c r="O3262" s="1">
        <v>-5.5750000000000002</v>
      </c>
      <c r="P3262">
        <v>0</v>
      </c>
      <c r="Q3262" s="1">
        <v>0.57899999999999996</v>
      </c>
      <c r="R3262" s="1">
        <v>0.42399999999999999</v>
      </c>
      <c r="S3262" s="1">
        <v>0.56100000000000005</v>
      </c>
      <c r="T3262" s="1">
        <v>0.10299999999999999</v>
      </c>
      <c r="U3262" s="1">
        <v>0.23400000000000001</v>
      </c>
      <c r="V3262" s="1">
        <v>140.02699999999999</v>
      </c>
      <c r="W3262">
        <v>4</v>
      </c>
    </row>
    <row r="3263" spans="1:23" x14ac:dyDescent="0.25">
      <c r="A3263" s="1" t="s">
        <v>20602</v>
      </c>
      <c r="B3263" s="1" t="s">
        <v>14725</v>
      </c>
      <c r="C3263" s="1" t="s">
        <v>8241</v>
      </c>
      <c r="D3263" s="1" t="s">
        <v>14726</v>
      </c>
      <c r="E3263" s="1" t="s">
        <v>3024</v>
      </c>
      <c r="F3263" s="1" t="s">
        <v>14727</v>
      </c>
      <c r="G3263">
        <v>218482</v>
      </c>
      <c r="H3263">
        <v>39</v>
      </c>
      <c r="I3263" s="1" t="s">
        <v>11063</v>
      </c>
      <c r="J3263" s="11">
        <v>44729.706458333334</v>
      </c>
      <c r="K3263" s="1" t="s">
        <v>2939</v>
      </c>
      <c r="L3263" s="1">
        <v>0.45300000000000001</v>
      </c>
      <c r="M3263" s="1">
        <v>0.83599999999999997</v>
      </c>
      <c r="N3263">
        <v>4</v>
      </c>
      <c r="O3263" s="1">
        <v>-3.7559999999999998</v>
      </c>
      <c r="P3263">
        <v>0</v>
      </c>
      <c r="Q3263" s="1">
        <v>0.97099999999999997</v>
      </c>
      <c r="R3263" s="1">
        <v>0.56200000000000006</v>
      </c>
      <c r="S3263" s="1">
        <v>0.36199999999999999</v>
      </c>
      <c r="T3263" s="1">
        <v>0.12</v>
      </c>
      <c r="U3263" s="1">
        <v>0.25600000000000001</v>
      </c>
      <c r="V3263" s="1">
        <v>108.711</v>
      </c>
      <c r="W3263">
        <v>3</v>
      </c>
    </row>
    <row r="3264" spans="1:23" x14ac:dyDescent="0.25">
      <c r="A3264" s="1" t="s">
        <v>20603</v>
      </c>
      <c r="B3264" s="1" t="s">
        <v>14725</v>
      </c>
      <c r="C3264" s="1" t="s">
        <v>2505</v>
      </c>
      <c r="D3264" s="1" t="s">
        <v>14726</v>
      </c>
      <c r="E3264" s="1" t="s">
        <v>3024</v>
      </c>
      <c r="F3264" s="1" t="s">
        <v>14727</v>
      </c>
      <c r="G3264">
        <v>193103</v>
      </c>
      <c r="H3264">
        <v>33</v>
      </c>
      <c r="I3264" s="1" t="s">
        <v>11063</v>
      </c>
      <c r="J3264" s="11">
        <v>44729.706458333334</v>
      </c>
      <c r="K3264" s="1" t="s">
        <v>2939</v>
      </c>
      <c r="L3264" s="1">
        <v>0.40500000000000003</v>
      </c>
      <c r="M3264" s="1">
        <v>0.83699999999999997</v>
      </c>
      <c r="N3264">
        <v>1</v>
      </c>
      <c r="O3264" s="1">
        <v>-4.09</v>
      </c>
      <c r="P3264">
        <v>0</v>
      </c>
      <c r="Q3264" s="1">
        <v>0.55600000000000005</v>
      </c>
      <c r="R3264" s="1">
        <v>0.59099999999999997</v>
      </c>
      <c r="S3264" s="1">
        <v>0.21199999999999999</v>
      </c>
      <c r="T3264" s="1">
        <v>0.76500000000000001</v>
      </c>
      <c r="U3264" s="1">
        <v>0.26400000000000001</v>
      </c>
      <c r="V3264" s="1">
        <v>86.980999999999995</v>
      </c>
      <c r="W3264">
        <v>4</v>
      </c>
    </row>
    <row r="3265" spans="1:23" x14ac:dyDescent="0.25">
      <c r="A3265" s="1" t="s">
        <v>20604</v>
      </c>
      <c r="B3265" s="1" t="s">
        <v>20605</v>
      </c>
      <c r="C3265" s="1" t="s">
        <v>8242</v>
      </c>
      <c r="D3265" s="1" t="s">
        <v>20606</v>
      </c>
      <c r="E3265" s="1" t="s">
        <v>8243</v>
      </c>
      <c r="F3265" s="1" t="s">
        <v>20607</v>
      </c>
      <c r="G3265">
        <v>216933</v>
      </c>
      <c r="H3265">
        <v>81</v>
      </c>
      <c r="I3265" s="1" t="s">
        <v>11063</v>
      </c>
      <c r="J3265" s="11">
        <v>44729.706458333334</v>
      </c>
      <c r="K3265" s="1" t="s">
        <v>8244</v>
      </c>
      <c r="L3265" s="1">
        <v>0.69199999999999995</v>
      </c>
      <c r="M3265" s="1">
        <v>0.71099999999999997</v>
      </c>
      <c r="N3265">
        <v>0</v>
      </c>
      <c r="O3265" s="1">
        <v>-7.4980000000000002</v>
      </c>
      <c r="P3265">
        <v>0</v>
      </c>
      <c r="Q3265" s="1">
        <v>0.317</v>
      </c>
      <c r="R3265" s="1">
        <v>0.22500000000000001</v>
      </c>
      <c r="S3265" s="1">
        <v>0</v>
      </c>
      <c r="T3265" s="1">
        <v>0.12</v>
      </c>
      <c r="U3265" s="1">
        <v>0.875</v>
      </c>
      <c r="V3265" s="1">
        <v>125.13500000000001</v>
      </c>
      <c r="W3265">
        <v>4</v>
      </c>
    </row>
    <row r="3266" spans="1:23" x14ac:dyDescent="0.25">
      <c r="A3266" s="1" t="s">
        <v>20608</v>
      </c>
      <c r="B3266" s="1" t="s">
        <v>20609</v>
      </c>
      <c r="C3266" s="1" t="s">
        <v>8245</v>
      </c>
      <c r="D3266" s="1" t="s">
        <v>20610</v>
      </c>
      <c r="E3266" s="1" t="s">
        <v>8246</v>
      </c>
      <c r="F3266" s="1" t="s">
        <v>11704</v>
      </c>
      <c r="G3266">
        <v>228292</v>
      </c>
      <c r="H3266">
        <v>0</v>
      </c>
      <c r="I3266" s="1" t="s">
        <v>11063</v>
      </c>
      <c r="J3266" s="11">
        <v>44729.706458333334</v>
      </c>
      <c r="K3266" s="1" t="s">
        <v>8247</v>
      </c>
      <c r="L3266" s="1">
        <v>0.497</v>
      </c>
      <c r="M3266" s="1">
        <v>0.64800000000000002</v>
      </c>
      <c r="N3266">
        <v>0</v>
      </c>
      <c r="O3266" s="1">
        <v>-7.0410000000000004</v>
      </c>
      <c r="P3266">
        <v>0</v>
      </c>
      <c r="Q3266" s="1">
        <v>0.502</v>
      </c>
      <c r="R3266" s="1">
        <v>0.219</v>
      </c>
      <c r="S3266" s="1">
        <v>0.32600000000000001</v>
      </c>
      <c r="T3266" s="1">
        <v>0.10199999999999999</v>
      </c>
      <c r="U3266" s="1">
        <v>0.20200000000000001</v>
      </c>
      <c r="V3266" s="1">
        <v>94.995000000000005</v>
      </c>
      <c r="W3266">
        <v>4</v>
      </c>
    </row>
    <row r="3267" spans="1:23" x14ac:dyDescent="0.25">
      <c r="A3267" s="1" t="s">
        <v>20611</v>
      </c>
      <c r="B3267" s="1" t="s">
        <v>20612</v>
      </c>
      <c r="C3267" s="1" t="s">
        <v>8248</v>
      </c>
      <c r="D3267" s="1" t="s">
        <v>20613</v>
      </c>
      <c r="E3267" s="1" t="s">
        <v>8249</v>
      </c>
      <c r="F3267" s="1" t="s">
        <v>16757</v>
      </c>
      <c r="G3267">
        <v>386380</v>
      </c>
      <c r="H3267">
        <v>0</v>
      </c>
      <c r="I3267" s="1" t="s">
        <v>11063</v>
      </c>
      <c r="J3267" s="11">
        <v>44729.706458333334</v>
      </c>
      <c r="K3267" s="1" t="s">
        <v>50</v>
      </c>
      <c r="L3267" s="1">
        <v>0.54100000000000004</v>
      </c>
      <c r="M3267" s="1">
        <v>0.79500000000000004</v>
      </c>
      <c r="N3267">
        <v>8</v>
      </c>
      <c r="O3267" s="1">
        <v>-6.8179999999999996</v>
      </c>
      <c r="P3267">
        <v>1</v>
      </c>
      <c r="Q3267" s="1">
        <v>0.315</v>
      </c>
      <c r="R3267" s="1">
        <v>0.11899999999999999</v>
      </c>
      <c r="S3267" s="1">
        <v>0.60499999999999998</v>
      </c>
      <c r="T3267" s="1">
        <v>0.23699999999999999</v>
      </c>
      <c r="U3267" s="1">
        <v>0.34300000000000003</v>
      </c>
      <c r="V3267" s="1">
        <v>117.009</v>
      </c>
      <c r="W3267">
        <v>4</v>
      </c>
    </row>
    <row r="3268" spans="1:23" x14ac:dyDescent="0.25">
      <c r="A3268" s="1" t="s">
        <v>20614</v>
      </c>
      <c r="B3268" s="1" t="s">
        <v>20615</v>
      </c>
      <c r="C3268" s="1" t="s">
        <v>8250</v>
      </c>
      <c r="D3268" s="1" t="s">
        <v>8250</v>
      </c>
      <c r="E3268" s="1" t="s">
        <v>8251</v>
      </c>
      <c r="F3268" s="1" t="s">
        <v>15689</v>
      </c>
      <c r="G3268">
        <v>182062</v>
      </c>
      <c r="H3268">
        <v>27</v>
      </c>
      <c r="I3268" s="1" t="s">
        <v>11063</v>
      </c>
      <c r="J3268" s="11">
        <v>44729.706458333334</v>
      </c>
      <c r="K3268" s="1" t="s">
        <v>5441</v>
      </c>
      <c r="L3268" s="1">
        <v>0.60099999999999998</v>
      </c>
      <c r="M3268" s="1">
        <v>0.70099999999999996</v>
      </c>
      <c r="N3268">
        <v>5</v>
      </c>
      <c r="O3268" s="1">
        <v>-4.9800000000000004</v>
      </c>
      <c r="P3268">
        <v>1</v>
      </c>
      <c r="Q3268" s="1">
        <v>0.35499999999999998</v>
      </c>
      <c r="R3268" s="1">
        <v>0.17499999999999999</v>
      </c>
      <c r="S3268" s="1">
        <v>0.129</v>
      </c>
      <c r="T3268" s="1">
        <v>0.104</v>
      </c>
      <c r="U3268" s="1">
        <v>0.40899999999999997</v>
      </c>
      <c r="V3268" s="1">
        <v>119.985</v>
      </c>
      <c r="W3268">
        <v>4</v>
      </c>
    </row>
    <row r="3269" spans="1:23" x14ac:dyDescent="0.25">
      <c r="A3269" s="1" t="s">
        <v>20616</v>
      </c>
      <c r="B3269" s="1" t="s">
        <v>14725</v>
      </c>
      <c r="C3269" s="1" t="s">
        <v>8252</v>
      </c>
      <c r="D3269" s="1" t="s">
        <v>14726</v>
      </c>
      <c r="E3269" s="1" t="s">
        <v>3024</v>
      </c>
      <c r="F3269" s="1" t="s">
        <v>14727</v>
      </c>
      <c r="G3269">
        <v>262400</v>
      </c>
      <c r="H3269">
        <v>33</v>
      </c>
      <c r="I3269" s="1" t="s">
        <v>11063</v>
      </c>
      <c r="J3269" s="11">
        <v>44729.706458333334</v>
      </c>
      <c r="K3269" s="1" t="s">
        <v>2939</v>
      </c>
      <c r="L3269" s="1">
        <v>0.58299999999999996</v>
      </c>
      <c r="M3269" s="1">
        <v>0.82499999999999996</v>
      </c>
      <c r="N3269">
        <v>11</v>
      </c>
      <c r="O3269" s="1">
        <v>-3.5369999999999999</v>
      </c>
      <c r="P3269">
        <v>1</v>
      </c>
      <c r="Q3269" s="1">
        <v>0.40600000000000003</v>
      </c>
      <c r="R3269" s="1">
        <v>0.129</v>
      </c>
      <c r="S3269" s="1">
        <v>0.67700000000000005</v>
      </c>
      <c r="T3269" s="1">
        <v>0.152</v>
      </c>
      <c r="U3269" s="1">
        <v>0.247</v>
      </c>
      <c r="V3269" s="1">
        <v>149.995</v>
      </c>
      <c r="W3269">
        <v>4</v>
      </c>
    </row>
    <row r="3270" spans="1:23" x14ac:dyDescent="0.25">
      <c r="A3270" s="1" t="s">
        <v>20617</v>
      </c>
      <c r="B3270" s="1" t="s">
        <v>20618</v>
      </c>
      <c r="C3270" s="1" t="s">
        <v>8253</v>
      </c>
      <c r="D3270" s="1" t="s">
        <v>8253</v>
      </c>
      <c r="E3270" s="1" t="s">
        <v>8254</v>
      </c>
      <c r="F3270" s="1" t="s">
        <v>17570</v>
      </c>
      <c r="G3270">
        <v>181028</v>
      </c>
      <c r="H3270">
        <v>34</v>
      </c>
      <c r="I3270" s="1" t="s">
        <v>11063</v>
      </c>
      <c r="J3270" s="11">
        <v>44729.706458333334</v>
      </c>
      <c r="K3270" s="1" t="s">
        <v>8255</v>
      </c>
      <c r="L3270" s="1">
        <v>0.53</v>
      </c>
      <c r="M3270" s="1">
        <v>0.89100000000000001</v>
      </c>
      <c r="N3270">
        <v>4</v>
      </c>
      <c r="O3270" s="1">
        <v>-2.9420000000000002</v>
      </c>
      <c r="P3270">
        <v>0</v>
      </c>
      <c r="Q3270" s="1">
        <v>0.58499999999999996</v>
      </c>
      <c r="R3270" s="1">
        <v>0.115</v>
      </c>
      <c r="S3270" s="1">
        <v>0.32</v>
      </c>
      <c r="T3270" s="1">
        <v>0.95799999999999996</v>
      </c>
      <c r="U3270" s="1">
        <v>0.41199999999999998</v>
      </c>
      <c r="V3270" s="1">
        <v>174.99100000000001</v>
      </c>
      <c r="W3270">
        <v>4</v>
      </c>
    </row>
    <row r="3271" spans="1:23" x14ac:dyDescent="0.25">
      <c r="A3271" s="1" t="s">
        <v>20619</v>
      </c>
      <c r="B3271" s="1" t="s">
        <v>20620</v>
      </c>
      <c r="C3271" s="1" t="s">
        <v>8256</v>
      </c>
      <c r="D3271" s="1" t="s">
        <v>8256</v>
      </c>
      <c r="E3271" s="1" t="s">
        <v>8257</v>
      </c>
      <c r="F3271" s="1" t="s">
        <v>20621</v>
      </c>
      <c r="G3271">
        <v>159000</v>
      </c>
      <c r="H3271">
        <v>0</v>
      </c>
      <c r="I3271" s="1" t="s">
        <v>11063</v>
      </c>
      <c r="J3271" s="11">
        <v>44729.706458333334</v>
      </c>
      <c r="K3271" s="1" t="s">
        <v>8258</v>
      </c>
      <c r="L3271" s="1">
        <v>0.53100000000000003</v>
      </c>
      <c r="M3271" s="1">
        <v>0.82799999999999996</v>
      </c>
      <c r="N3271">
        <v>11</v>
      </c>
      <c r="O3271" s="1">
        <v>-5.3879999999999999</v>
      </c>
      <c r="P3271">
        <v>0</v>
      </c>
      <c r="Q3271" s="1">
        <v>0.80600000000000005</v>
      </c>
      <c r="R3271" s="1">
        <v>0.73699999999999999</v>
      </c>
      <c r="S3271" s="1">
        <v>0.122</v>
      </c>
      <c r="T3271" s="1">
        <v>0.99399999999999999</v>
      </c>
      <c r="U3271" s="1">
        <v>0.26800000000000002</v>
      </c>
      <c r="V3271" s="1">
        <v>139.999</v>
      </c>
      <c r="W3271">
        <v>3</v>
      </c>
    </row>
    <row r="3272" spans="1:23" x14ac:dyDescent="0.25">
      <c r="A3272" s="1" t="s">
        <v>20622</v>
      </c>
      <c r="B3272" s="1" t="s">
        <v>20623</v>
      </c>
      <c r="C3272" s="1" t="s">
        <v>8259</v>
      </c>
      <c r="D3272" s="1" t="s">
        <v>8259</v>
      </c>
      <c r="E3272" s="1" t="s">
        <v>8260</v>
      </c>
      <c r="F3272" s="1" t="s">
        <v>20624</v>
      </c>
      <c r="G3272">
        <v>230774</v>
      </c>
      <c r="H3272">
        <v>32</v>
      </c>
      <c r="I3272" s="1" t="s">
        <v>11063</v>
      </c>
      <c r="J3272" s="11">
        <v>44729.706458333334</v>
      </c>
      <c r="K3272" s="1" t="s">
        <v>2939</v>
      </c>
      <c r="L3272" s="1">
        <v>0.18</v>
      </c>
      <c r="M3272" s="1">
        <v>0.79100000000000004</v>
      </c>
      <c r="N3272">
        <v>0</v>
      </c>
      <c r="O3272" s="1">
        <v>-6.0229999999999997</v>
      </c>
      <c r="P3272">
        <v>0</v>
      </c>
      <c r="Q3272" s="1">
        <v>0.90700000000000003</v>
      </c>
      <c r="R3272" s="1">
        <v>0.39400000000000002</v>
      </c>
      <c r="S3272" s="1">
        <v>0.82299999999999995</v>
      </c>
      <c r="T3272" s="1">
        <v>0.10199999999999999</v>
      </c>
      <c r="U3272" s="1">
        <v>0.122</v>
      </c>
      <c r="V3272" s="1">
        <v>98.308999999999997</v>
      </c>
      <c r="W3272">
        <v>3</v>
      </c>
    </row>
    <row r="3273" spans="1:23" x14ac:dyDescent="0.25">
      <c r="A3273" s="1" t="s">
        <v>20625</v>
      </c>
      <c r="B3273" s="1" t="s">
        <v>14725</v>
      </c>
      <c r="C3273" s="1" t="s">
        <v>4663</v>
      </c>
      <c r="D3273" s="1" t="s">
        <v>14726</v>
      </c>
      <c r="E3273" s="1" t="s">
        <v>3024</v>
      </c>
      <c r="F3273" s="1" t="s">
        <v>14727</v>
      </c>
      <c r="G3273">
        <v>198400</v>
      </c>
      <c r="H3273">
        <v>31</v>
      </c>
      <c r="I3273" s="1" t="s">
        <v>11063</v>
      </c>
      <c r="J3273" s="11">
        <v>44729.706458333334</v>
      </c>
      <c r="K3273" s="1" t="s">
        <v>2939</v>
      </c>
      <c r="L3273" s="1">
        <v>0.52</v>
      </c>
      <c r="M3273" s="1">
        <v>0.82099999999999995</v>
      </c>
      <c r="N3273">
        <v>9</v>
      </c>
      <c r="O3273" s="1">
        <v>-4.1500000000000004</v>
      </c>
      <c r="P3273">
        <v>1</v>
      </c>
      <c r="Q3273" s="1">
        <v>0.47899999999999998</v>
      </c>
      <c r="R3273" s="1">
        <v>0.16300000000000001</v>
      </c>
      <c r="S3273" s="1">
        <v>0.33600000000000002</v>
      </c>
      <c r="T3273" s="1">
        <v>0.76500000000000001</v>
      </c>
      <c r="U3273" s="1">
        <v>0.17399999999999999</v>
      </c>
      <c r="V3273" s="1">
        <v>149.95500000000001</v>
      </c>
      <c r="W3273">
        <v>4</v>
      </c>
    </row>
    <row r="3274" spans="1:23" x14ac:dyDescent="0.25">
      <c r="A3274" s="1" t="s">
        <v>20626</v>
      </c>
      <c r="B3274" s="1" t="s">
        <v>20627</v>
      </c>
      <c r="C3274" s="1" t="s">
        <v>8261</v>
      </c>
      <c r="D3274" s="1" t="s">
        <v>5988</v>
      </c>
      <c r="E3274" s="1" t="s">
        <v>8262</v>
      </c>
      <c r="F3274" s="1" t="s">
        <v>14717</v>
      </c>
      <c r="G3274">
        <v>145728</v>
      </c>
      <c r="H3274">
        <v>29</v>
      </c>
      <c r="I3274" s="1" t="s">
        <v>11063</v>
      </c>
      <c r="J3274" s="11">
        <v>44729.706458333334</v>
      </c>
      <c r="K3274" s="1" t="s">
        <v>8263</v>
      </c>
      <c r="L3274" s="1">
        <v>0.66300000000000003</v>
      </c>
      <c r="M3274" s="1">
        <v>0.95</v>
      </c>
      <c r="N3274">
        <v>9</v>
      </c>
      <c r="O3274" s="1">
        <v>-3.2970000000000002</v>
      </c>
      <c r="P3274">
        <v>1</v>
      </c>
      <c r="Q3274" s="1">
        <v>0.55600000000000005</v>
      </c>
      <c r="R3274" s="1">
        <v>0.75600000000000001</v>
      </c>
      <c r="S3274" s="1">
        <v>0.49</v>
      </c>
      <c r="T3274" s="1">
        <v>0.29099999999999998</v>
      </c>
      <c r="U3274" s="1">
        <v>0.40799999999999997</v>
      </c>
      <c r="V3274" s="1">
        <v>122.986</v>
      </c>
      <c r="W3274">
        <v>4</v>
      </c>
    </row>
    <row r="3275" spans="1:23" x14ac:dyDescent="0.25">
      <c r="A3275" s="1" t="s">
        <v>20628</v>
      </c>
      <c r="B3275" s="1" t="s">
        <v>20629</v>
      </c>
      <c r="C3275" s="1" t="s">
        <v>8264</v>
      </c>
      <c r="D3275" s="1" t="s">
        <v>8264</v>
      </c>
      <c r="E3275" s="1" t="s">
        <v>8265</v>
      </c>
      <c r="F3275" s="1" t="s">
        <v>13269</v>
      </c>
      <c r="G3275">
        <v>192731</v>
      </c>
      <c r="H3275">
        <v>54</v>
      </c>
      <c r="I3275" s="1" t="s">
        <v>11063</v>
      </c>
      <c r="J3275" s="11">
        <v>44729.706458333334</v>
      </c>
      <c r="K3275" s="1" t="s">
        <v>8266</v>
      </c>
      <c r="L3275" s="1">
        <v>0.51800000000000002</v>
      </c>
      <c r="M3275" s="1">
        <v>0.72399999999999998</v>
      </c>
      <c r="N3275">
        <v>8</v>
      </c>
      <c r="O3275" s="1">
        <v>-6.327</v>
      </c>
      <c r="P3275">
        <v>1</v>
      </c>
      <c r="Q3275" s="1">
        <v>0.83899999999999997</v>
      </c>
      <c r="R3275" s="1">
        <v>0.308</v>
      </c>
      <c r="S3275" s="1">
        <v>0</v>
      </c>
      <c r="T3275" s="1">
        <v>0.11600000000000001</v>
      </c>
      <c r="U3275" s="1">
        <v>0.33400000000000002</v>
      </c>
      <c r="V3275" s="1">
        <v>121.884</v>
      </c>
      <c r="W3275">
        <v>4</v>
      </c>
    </row>
    <row r="3276" spans="1:23" x14ac:dyDescent="0.25">
      <c r="A3276" s="1" t="s">
        <v>20630</v>
      </c>
      <c r="B3276" s="1" t="s">
        <v>20631</v>
      </c>
      <c r="C3276" s="1" t="s">
        <v>8267</v>
      </c>
      <c r="D3276" s="1" t="s">
        <v>8267</v>
      </c>
      <c r="E3276" s="1" t="s">
        <v>8268</v>
      </c>
      <c r="F3276" s="1" t="s">
        <v>14617</v>
      </c>
      <c r="G3276">
        <v>179512</v>
      </c>
      <c r="H3276">
        <v>69</v>
      </c>
      <c r="I3276" s="1" t="s">
        <v>11063</v>
      </c>
      <c r="J3276" s="11">
        <v>44729.706458333334</v>
      </c>
      <c r="K3276" s="1" t="s">
        <v>8269</v>
      </c>
      <c r="L3276" s="1">
        <v>0.88600000000000001</v>
      </c>
      <c r="M3276" s="1">
        <v>0.84</v>
      </c>
      <c r="N3276">
        <v>2</v>
      </c>
      <c r="O3276" s="1">
        <v>-3.3860000000000001</v>
      </c>
      <c r="P3276">
        <v>1</v>
      </c>
      <c r="Q3276" s="1">
        <v>0.502</v>
      </c>
      <c r="R3276" s="1">
        <v>0.16400000000000001</v>
      </c>
      <c r="S3276" s="1">
        <v>0.622</v>
      </c>
      <c r="T3276" s="1">
        <v>0.32900000000000001</v>
      </c>
      <c r="U3276" s="1">
        <v>0.20300000000000001</v>
      </c>
      <c r="V3276" s="1">
        <v>123.035</v>
      </c>
      <c r="W3276">
        <v>4</v>
      </c>
    </row>
    <row r="3277" spans="1:23" x14ac:dyDescent="0.25">
      <c r="A3277" s="1" t="s">
        <v>20632</v>
      </c>
      <c r="B3277" s="1" t="s">
        <v>20633</v>
      </c>
      <c r="C3277" s="1" t="s">
        <v>8270</v>
      </c>
      <c r="D3277" s="1" t="s">
        <v>20634</v>
      </c>
      <c r="E3277" s="1" t="s">
        <v>8271</v>
      </c>
      <c r="F3277" s="1" t="s">
        <v>20635</v>
      </c>
      <c r="G3277">
        <v>262200</v>
      </c>
      <c r="H3277">
        <v>67</v>
      </c>
      <c r="I3277" s="1" t="s">
        <v>11063</v>
      </c>
      <c r="J3277" s="11">
        <v>44729.706458333334</v>
      </c>
      <c r="K3277" s="1" t="s">
        <v>59</v>
      </c>
      <c r="L3277" s="1">
        <v>0.65400000000000003</v>
      </c>
      <c r="M3277" s="1">
        <v>0.83</v>
      </c>
      <c r="N3277">
        <v>10</v>
      </c>
      <c r="O3277" s="1">
        <v>-4.8010000000000002</v>
      </c>
      <c r="P3277">
        <v>1</v>
      </c>
      <c r="Q3277" s="1">
        <v>0.36599999999999999</v>
      </c>
      <c r="R3277" s="1">
        <v>0.629</v>
      </c>
      <c r="S3277" s="1">
        <v>0.113</v>
      </c>
      <c r="T3277" s="1">
        <v>0.121</v>
      </c>
      <c r="U3277" s="1">
        <v>0.54800000000000004</v>
      </c>
      <c r="V3277" s="1">
        <v>124.989</v>
      </c>
      <c r="W3277">
        <v>4</v>
      </c>
    </row>
    <row r="3278" spans="1:23" x14ac:dyDescent="0.25">
      <c r="A3278" s="1" t="s">
        <v>20636</v>
      </c>
      <c r="B3278" s="1" t="s">
        <v>20637</v>
      </c>
      <c r="C3278" s="1" t="s">
        <v>8272</v>
      </c>
      <c r="D3278" s="1" t="s">
        <v>8272</v>
      </c>
      <c r="E3278" s="1" t="s">
        <v>8273</v>
      </c>
      <c r="F3278" s="1" t="s">
        <v>11696</v>
      </c>
      <c r="G3278">
        <v>215759</v>
      </c>
      <c r="H3278">
        <v>73</v>
      </c>
      <c r="I3278" s="1" t="s">
        <v>11063</v>
      </c>
      <c r="J3278" s="11">
        <v>44729.706458333334</v>
      </c>
      <c r="K3278" s="1" t="s">
        <v>8274</v>
      </c>
      <c r="L3278" s="1">
        <v>0.747</v>
      </c>
      <c r="M3278" s="1">
        <v>0.83399999999999996</v>
      </c>
      <c r="N3278">
        <v>3</v>
      </c>
      <c r="O3278" s="1">
        <v>-2.867</v>
      </c>
      <c r="P3278">
        <v>0</v>
      </c>
      <c r="Q3278" s="1">
        <v>0.45</v>
      </c>
      <c r="R3278" s="1">
        <v>0.374</v>
      </c>
      <c r="S3278" s="1">
        <v>0</v>
      </c>
      <c r="T3278" s="1">
        <v>0.58599999999999997</v>
      </c>
      <c r="U3278" s="1">
        <v>0.68700000000000006</v>
      </c>
      <c r="V3278" s="1">
        <v>128.005</v>
      </c>
      <c r="W3278">
        <v>4</v>
      </c>
    </row>
    <row r="3279" spans="1:23" x14ac:dyDescent="0.25">
      <c r="A3279" s="1" t="s">
        <v>20638</v>
      </c>
      <c r="B3279" s="1" t="s">
        <v>20639</v>
      </c>
      <c r="C3279" s="1" t="s">
        <v>8275</v>
      </c>
      <c r="D3279" s="1" t="s">
        <v>8275</v>
      </c>
      <c r="E3279" s="1" t="s">
        <v>8276</v>
      </c>
      <c r="F3279" s="1" t="s">
        <v>20640</v>
      </c>
      <c r="G3279">
        <v>189375</v>
      </c>
      <c r="H3279">
        <v>33</v>
      </c>
      <c r="I3279" s="1" t="s">
        <v>11063</v>
      </c>
      <c r="J3279" s="11">
        <v>44729.706458333334</v>
      </c>
      <c r="K3279" s="1" t="s">
        <v>5144</v>
      </c>
      <c r="L3279" s="1">
        <v>0.59099999999999997</v>
      </c>
      <c r="M3279" s="1">
        <v>0.83399999999999996</v>
      </c>
      <c r="N3279">
        <v>4</v>
      </c>
      <c r="O3279" s="1">
        <v>-3.3980000000000001</v>
      </c>
      <c r="P3279">
        <v>0</v>
      </c>
      <c r="Q3279" s="1">
        <v>0.97599999999999998</v>
      </c>
      <c r="R3279" s="1">
        <v>0.998</v>
      </c>
      <c r="S3279" s="1">
        <v>0</v>
      </c>
      <c r="T3279" s="1">
        <v>0.14899999999999999</v>
      </c>
      <c r="U3279" s="1">
        <v>0.47099999999999997</v>
      </c>
      <c r="V3279" s="1">
        <v>127.93899999999999</v>
      </c>
      <c r="W3279">
        <v>4</v>
      </c>
    </row>
    <row r="3280" spans="1:23" x14ac:dyDescent="0.25">
      <c r="A3280" s="1" t="s">
        <v>20641</v>
      </c>
      <c r="B3280" s="1" t="s">
        <v>20642</v>
      </c>
      <c r="C3280" s="1" t="s">
        <v>8277</v>
      </c>
      <c r="D3280" s="1" t="s">
        <v>8277</v>
      </c>
      <c r="E3280" s="1" t="s">
        <v>8278</v>
      </c>
      <c r="F3280" s="1" t="s">
        <v>14440</v>
      </c>
      <c r="G3280">
        <v>191250</v>
      </c>
      <c r="H3280">
        <v>52</v>
      </c>
      <c r="I3280" s="1" t="s">
        <v>11063</v>
      </c>
      <c r="J3280" s="11">
        <v>44729.706458333334</v>
      </c>
      <c r="K3280" s="1" t="s">
        <v>8279</v>
      </c>
      <c r="L3280" s="1">
        <v>0.66200000000000003</v>
      </c>
      <c r="M3280" s="1">
        <v>0.88400000000000001</v>
      </c>
      <c r="N3280">
        <v>9</v>
      </c>
      <c r="O3280" s="1">
        <v>-4.1040000000000001</v>
      </c>
      <c r="P3280">
        <v>0</v>
      </c>
      <c r="Q3280" s="1">
        <v>0.59899999999999998</v>
      </c>
      <c r="R3280" s="1">
        <v>0.14000000000000001</v>
      </c>
      <c r="S3280" s="1">
        <v>0.37</v>
      </c>
      <c r="T3280" s="1">
        <v>0.87</v>
      </c>
      <c r="U3280" s="1">
        <v>0.48399999999999999</v>
      </c>
      <c r="V3280" s="1">
        <v>128.029</v>
      </c>
      <c r="W3280">
        <v>4</v>
      </c>
    </row>
    <row r="3281" spans="1:23" x14ac:dyDescent="0.25">
      <c r="A3281" s="1" t="s">
        <v>20643</v>
      </c>
      <c r="B3281" s="1" t="s">
        <v>20644</v>
      </c>
      <c r="C3281" s="1" t="s">
        <v>8280</v>
      </c>
      <c r="D3281" s="1" t="s">
        <v>8280</v>
      </c>
      <c r="E3281" s="1" t="s">
        <v>8281</v>
      </c>
      <c r="F3281" s="1" t="s">
        <v>15956</v>
      </c>
      <c r="G3281">
        <v>184000</v>
      </c>
      <c r="H3281">
        <v>53</v>
      </c>
      <c r="I3281" s="1" t="s">
        <v>11063</v>
      </c>
      <c r="J3281" s="11">
        <v>44729.706458333334</v>
      </c>
      <c r="K3281" s="1" t="s">
        <v>8282</v>
      </c>
      <c r="L3281" s="1">
        <v>0.33</v>
      </c>
      <c r="M3281" s="1">
        <v>0.79300000000000004</v>
      </c>
      <c r="N3281">
        <v>10</v>
      </c>
      <c r="O3281" s="1">
        <v>-4.6280000000000001</v>
      </c>
      <c r="P3281">
        <v>0</v>
      </c>
      <c r="Q3281" s="1">
        <v>0.155</v>
      </c>
      <c r="R3281" s="1">
        <v>0.61799999999999999</v>
      </c>
      <c r="S3281" s="1">
        <v>0</v>
      </c>
      <c r="T3281" s="1">
        <v>0.38300000000000001</v>
      </c>
      <c r="U3281" s="1">
        <v>0.27900000000000003</v>
      </c>
      <c r="V3281" s="1">
        <v>180.16200000000001</v>
      </c>
      <c r="W3281">
        <v>4</v>
      </c>
    </row>
    <row r="3282" spans="1:23" x14ac:dyDescent="0.25">
      <c r="A3282" s="1" t="s">
        <v>20645</v>
      </c>
      <c r="B3282" s="1" t="s">
        <v>20646</v>
      </c>
      <c r="C3282" s="1" t="s">
        <v>8283</v>
      </c>
      <c r="D3282" s="1" t="s">
        <v>8283</v>
      </c>
      <c r="E3282" s="1" t="s">
        <v>8284</v>
      </c>
      <c r="F3282" s="1" t="s">
        <v>11343</v>
      </c>
      <c r="G3282">
        <v>148837</v>
      </c>
      <c r="H3282">
        <v>61</v>
      </c>
      <c r="I3282" s="1" t="s">
        <v>11063</v>
      </c>
      <c r="J3282" s="11">
        <v>44729.706458333334</v>
      </c>
      <c r="K3282" s="1" t="s">
        <v>8285</v>
      </c>
      <c r="L3282" s="1">
        <v>0.49</v>
      </c>
      <c r="M3282" s="1">
        <v>0.90700000000000003</v>
      </c>
      <c r="N3282">
        <v>5</v>
      </c>
      <c r="O3282" s="1">
        <v>-4.0629999999999997</v>
      </c>
      <c r="P3282">
        <v>0</v>
      </c>
      <c r="Q3282" s="1">
        <v>0.108</v>
      </c>
      <c r="R3282" s="1">
        <v>0.42699999999999999</v>
      </c>
      <c r="S3282" s="1">
        <v>0</v>
      </c>
      <c r="T3282" s="1">
        <v>0.11600000000000001</v>
      </c>
      <c r="U3282" s="1">
        <v>0.21</v>
      </c>
      <c r="V3282" s="1">
        <v>132.05699999999999</v>
      </c>
      <c r="W3282">
        <v>4</v>
      </c>
    </row>
    <row r="3283" spans="1:23" x14ac:dyDescent="0.25">
      <c r="A3283" s="1" t="s">
        <v>20647</v>
      </c>
      <c r="B3283" s="1" t="s">
        <v>17169</v>
      </c>
      <c r="C3283" s="1" t="s">
        <v>8286</v>
      </c>
      <c r="D3283" s="1" t="s">
        <v>20648</v>
      </c>
      <c r="E3283" s="1" t="s">
        <v>5146</v>
      </c>
      <c r="F3283" s="1" t="s">
        <v>11737</v>
      </c>
      <c r="G3283">
        <v>216967</v>
      </c>
      <c r="H3283">
        <v>23</v>
      </c>
      <c r="I3283" s="1" t="s">
        <v>11063</v>
      </c>
      <c r="J3283" s="11">
        <v>44729.706458333334</v>
      </c>
      <c r="K3283" s="1" t="s">
        <v>5147</v>
      </c>
      <c r="L3283" s="1">
        <v>0.67700000000000005</v>
      </c>
      <c r="M3283" s="1">
        <v>0.81100000000000005</v>
      </c>
      <c r="N3283">
        <v>11</v>
      </c>
      <c r="O3283" s="1">
        <v>-4.53</v>
      </c>
      <c r="P3283">
        <v>0</v>
      </c>
      <c r="Q3283" s="1">
        <v>0.43</v>
      </c>
      <c r="R3283" s="1">
        <v>0.12</v>
      </c>
      <c r="S3283" s="1">
        <v>0.76100000000000001</v>
      </c>
      <c r="T3283" s="1">
        <v>0.89600000000000002</v>
      </c>
      <c r="U3283" s="1">
        <v>0.185</v>
      </c>
      <c r="V3283" s="1">
        <v>128.00399999999999</v>
      </c>
      <c r="W3283">
        <v>4</v>
      </c>
    </row>
    <row r="3284" spans="1:23" x14ac:dyDescent="0.25">
      <c r="A3284" s="1" t="s">
        <v>20649</v>
      </c>
      <c r="B3284" s="1" t="s">
        <v>20650</v>
      </c>
      <c r="C3284" s="1" t="s">
        <v>8287</v>
      </c>
      <c r="D3284" s="1" t="s">
        <v>20651</v>
      </c>
      <c r="E3284" s="1" t="s">
        <v>8288</v>
      </c>
      <c r="F3284" s="1" t="s">
        <v>20652</v>
      </c>
      <c r="G3284">
        <v>172500</v>
      </c>
      <c r="H3284">
        <v>34</v>
      </c>
      <c r="I3284" s="1" t="s">
        <v>11063</v>
      </c>
      <c r="J3284" s="11">
        <v>44729.706458333334</v>
      </c>
      <c r="K3284" s="1" t="s">
        <v>5144</v>
      </c>
      <c r="L3284" s="1">
        <v>0.58199999999999996</v>
      </c>
      <c r="M3284" s="1">
        <v>0.97899999999999998</v>
      </c>
      <c r="N3284">
        <v>11</v>
      </c>
      <c r="O3284" s="1">
        <v>-2.492</v>
      </c>
      <c r="P3284">
        <v>0</v>
      </c>
      <c r="Q3284" s="1">
        <v>0.71399999999999997</v>
      </c>
      <c r="R3284" s="1">
        <v>0.125</v>
      </c>
      <c r="S3284" s="1">
        <v>0.152</v>
      </c>
      <c r="T3284" s="1">
        <v>0.33900000000000002</v>
      </c>
      <c r="U3284" s="1">
        <v>0.19600000000000001</v>
      </c>
      <c r="V3284" s="1">
        <v>128.01</v>
      </c>
      <c r="W3284">
        <v>4</v>
      </c>
    </row>
    <row r="3285" spans="1:23" x14ac:dyDescent="0.25">
      <c r="A3285" s="1" t="s">
        <v>20653</v>
      </c>
      <c r="B3285" s="1" t="s">
        <v>20654</v>
      </c>
      <c r="C3285" s="1" t="s">
        <v>8289</v>
      </c>
      <c r="D3285" s="1" t="s">
        <v>8289</v>
      </c>
      <c r="E3285" s="1" t="s">
        <v>8290</v>
      </c>
      <c r="F3285" s="1" t="s">
        <v>14368</v>
      </c>
      <c r="G3285">
        <v>189103</v>
      </c>
      <c r="H3285">
        <v>49</v>
      </c>
      <c r="I3285" s="1" t="s">
        <v>11063</v>
      </c>
      <c r="J3285" s="11">
        <v>44729.706458333334</v>
      </c>
      <c r="K3285" s="1" t="s">
        <v>2344</v>
      </c>
      <c r="L3285" s="1">
        <v>0.53</v>
      </c>
      <c r="M3285" s="1">
        <v>0.81200000000000006</v>
      </c>
      <c r="N3285">
        <v>6</v>
      </c>
      <c r="O3285" s="1">
        <v>-3.0209999999999999</v>
      </c>
      <c r="P3285">
        <v>1</v>
      </c>
      <c r="Q3285" s="1">
        <v>0.47199999999999998</v>
      </c>
      <c r="R3285" s="1">
        <v>0.16900000000000001</v>
      </c>
      <c r="S3285" s="1">
        <v>0</v>
      </c>
      <c r="T3285" s="1">
        <v>0.14099999999999999</v>
      </c>
      <c r="U3285" s="1">
        <v>0.32500000000000001</v>
      </c>
      <c r="V3285" s="1">
        <v>144.809</v>
      </c>
      <c r="W3285">
        <v>4</v>
      </c>
    </row>
    <row r="3286" spans="1:23" x14ac:dyDescent="0.25">
      <c r="A3286" s="1" t="s">
        <v>20655</v>
      </c>
      <c r="B3286" s="1" t="s">
        <v>20656</v>
      </c>
      <c r="C3286" s="1" t="s">
        <v>8291</v>
      </c>
      <c r="D3286" s="1" t="s">
        <v>8291</v>
      </c>
      <c r="E3286" s="1" t="s">
        <v>8292</v>
      </c>
      <c r="F3286" s="1" t="s">
        <v>15512</v>
      </c>
      <c r="G3286">
        <v>163491</v>
      </c>
      <c r="H3286">
        <v>47</v>
      </c>
      <c r="I3286" s="1" t="s">
        <v>11063</v>
      </c>
      <c r="J3286" s="11">
        <v>44729.706458333334</v>
      </c>
      <c r="K3286" s="1" t="s">
        <v>923</v>
      </c>
      <c r="L3286" s="1">
        <v>0.75900000000000001</v>
      </c>
      <c r="M3286" s="1">
        <v>0.752</v>
      </c>
      <c r="N3286">
        <v>0</v>
      </c>
      <c r="O3286" s="1">
        <v>-7.1079999999999997</v>
      </c>
      <c r="P3286">
        <v>0</v>
      </c>
      <c r="Q3286" s="1">
        <v>0.28599999999999998</v>
      </c>
      <c r="R3286" s="1">
        <v>0.44800000000000001</v>
      </c>
      <c r="S3286" s="1">
        <v>0.13800000000000001</v>
      </c>
      <c r="T3286" s="1">
        <v>0.11799999999999999</v>
      </c>
      <c r="U3286" s="1">
        <v>0.64700000000000002</v>
      </c>
      <c r="V3286" s="1">
        <v>137.97999999999999</v>
      </c>
      <c r="W3286">
        <v>4</v>
      </c>
    </row>
    <row r="3287" spans="1:23" x14ac:dyDescent="0.25">
      <c r="A3287" s="1" t="s">
        <v>11964</v>
      </c>
      <c r="B3287" s="1" t="s">
        <v>11965</v>
      </c>
      <c r="C3287" s="1" t="s">
        <v>504</v>
      </c>
      <c r="D3287" s="1" t="s">
        <v>504</v>
      </c>
      <c r="E3287" s="1" t="s">
        <v>505</v>
      </c>
      <c r="F3287" s="1" t="s">
        <v>14767</v>
      </c>
      <c r="G3287">
        <v>213985</v>
      </c>
      <c r="H3287">
        <v>44</v>
      </c>
      <c r="I3287" s="1" t="s">
        <v>11063</v>
      </c>
      <c r="J3287" s="11">
        <v>44729.706458333334</v>
      </c>
      <c r="K3287" s="1" t="s">
        <v>506</v>
      </c>
      <c r="L3287" s="1">
        <v>0.47499999999999998</v>
      </c>
      <c r="M3287" s="1">
        <v>0.91400000000000003</v>
      </c>
      <c r="N3287">
        <v>0</v>
      </c>
      <c r="O3287" s="1">
        <v>-4.2549999999999999</v>
      </c>
      <c r="P3287">
        <v>0</v>
      </c>
      <c r="Q3287" s="1">
        <v>0.55500000000000005</v>
      </c>
      <c r="R3287" s="1">
        <v>0.34</v>
      </c>
      <c r="S3287" s="1">
        <v>0.20200000000000001</v>
      </c>
      <c r="T3287" s="1">
        <v>0.27700000000000002</v>
      </c>
      <c r="U3287" s="1">
        <v>0.156</v>
      </c>
      <c r="V3287" s="1">
        <v>138.00700000000001</v>
      </c>
      <c r="W3287">
        <v>4</v>
      </c>
    </row>
    <row r="3288" spans="1:23" x14ac:dyDescent="0.25">
      <c r="A3288" s="1" t="s">
        <v>20657</v>
      </c>
      <c r="B3288" s="1" t="s">
        <v>20658</v>
      </c>
      <c r="C3288" s="1" t="s">
        <v>2126</v>
      </c>
      <c r="D3288" s="1" t="s">
        <v>2126</v>
      </c>
      <c r="E3288" s="1" t="s">
        <v>8293</v>
      </c>
      <c r="F3288" s="1" t="s">
        <v>14995</v>
      </c>
      <c r="G3288">
        <v>184560</v>
      </c>
      <c r="H3288">
        <v>79</v>
      </c>
      <c r="I3288" s="1" t="s">
        <v>11063</v>
      </c>
      <c r="J3288" s="11">
        <v>44729.706458333334</v>
      </c>
      <c r="K3288" s="1" t="s">
        <v>8294</v>
      </c>
      <c r="L3288" s="1">
        <v>0.69399999999999995</v>
      </c>
      <c r="M3288" s="1">
        <v>0.77</v>
      </c>
      <c r="N3288">
        <v>6</v>
      </c>
      <c r="O3288" s="1">
        <v>-5.335</v>
      </c>
      <c r="P3288">
        <v>1</v>
      </c>
      <c r="Q3288" s="1">
        <v>0.14899999999999999</v>
      </c>
      <c r="R3288" s="1">
        <v>0.17599999999999999</v>
      </c>
      <c r="S3288" s="1">
        <v>0.11</v>
      </c>
      <c r="T3288" s="1">
        <v>0.11799999999999999</v>
      </c>
      <c r="U3288" s="1">
        <v>0.16300000000000001</v>
      </c>
      <c r="V3288" s="1">
        <v>125.905</v>
      </c>
      <c r="W3288">
        <v>4</v>
      </c>
    </row>
    <row r="3289" spans="1:23" x14ac:dyDescent="0.25">
      <c r="A3289" s="1" t="s">
        <v>20659</v>
      </c>
      <c r="B3289" s="1" t="s">
        <v>20660</v>
      </c>
      <c r="C3289" s="1" t="s">
        <v>8295</v>
      </c>
      <c r="D3289" s="1" t="s">
        <v>20661</v>
      </c>
      <c r="E3289" s="1" t="s">
        <v>8296</v>
      </c>
      <c r="F3289" s="1" t="s">
        <v>20662</v>
      </c>
      <c r="G3289">
        <v>204760</v>
      </c>
      <c r="H3289">
        <v>72</v>
      </c>
      <c r="I3289" s="1" t="s">
        <v>11063</v>
      </c>
      <c r="J3289" s="11">
        <v>44729.706458333334</v>
      </c>
      <c r="K3289" s="1" t="s">
        <v>4742</v>
      </c>
      <c r="L3289" s="1">
        <v>0.73599999999999999</v>
      </c>
      <c r="M3289" s="1">
        <v>0.81699999999999995</v>
      </c>
      <c r="N3289">
        <v>8</v>
      </c>
      <c r="O3289" s="1">
        <v>-4.9000000000000004</v>
      </c>
      <c r="P3289">
        <v>1</v>
      </c>
      <c r="Q3289" s="1">
        <v>0.40699999999999997</v>
      </c>
      <c r="R3289" s="1">
        <v>0.98699999999999999</v>
      </c>
      <c r="S3289" s="1">
        <v>0.16700000000000001</v>
      </c>
      <c r="T3289" s="1">
        <v>0.11700000000000001</v>
      </c>
      <c r="U3289" s="1">
        <v>0.65300000000000002</v>
      </c>
      <c r="V3289" s="1">
        <v>119.95</v>
      </c>
      <c r="W3289">
        <v>4</v>
      </c>
    </row>
    <row r="3290" spans="1:23" x14ac:dyDescent="0.25">
      <c r="A3290" s="1" t="s">
        <v>20663</v>
      </c>
      <c r="B3290" s="1" t="s">
        <v>20660</v>
      </c>
      <c r="C3290" s="1" t="s">
        <v>8297</v>
      </c>
      <c r="D3290" s="1" t="s">
        <v>20664</v>
      </c>
      <c r="E3290" s="1" t="s">
        <v>8296</v>
      </c>
      <c r="F3290" s="1" t="s">
        <v>20665</v>
      </c>
      <c r="G3290">
        <v>211920</v>
      </c>
      <c r="H3290">
        <v>79</v>
      </c>
      <c r="I3290" s="1" t="s">
        <v>11063</v>
      </c>
      <c r="J3290" s="11">
        <v>44729.706458333334</v>
      </c>
      <c r="K3290" s="1" t="s">
        <v>4742</v>
      </c>
      <c r="L3290" s="1">
        <v>0.71099999999999997</v>
      </c>
      <c r="M3290" s="1">
        <v>0.7</v>
      </c>
      <c r="N3290">
        <v>1</v>
      </c>
      <c r="O3290" s="1">
        <v>-4.8049999999999997</v>
      </c>
      <c r="P3290">
        <v>0</v>
      </c>
      <c r="Q3290" s="1">
        <v>0.46</v>
      </c>
      <c r="R3290" s="1">
        <v>0.498</v>
      </c>
      <c r="S3290" s="1">
        <v>0.125</v>
      </c>
      <c r="T3290" s="1">
        <v>0.215</v>
      </c>
      <c r="U3290" s="1">
        <v>0.80100000000000005</v>
      </c>
      <c r="V3290" s="1">
        <v>128.001</v>
      </c>
      <c r="W3290">
        <v>4</v>
      </c>
    </row>
    <row r="3291" spans="1:23" x14ac:dyDescent="0.25">
      <c r="A3291" s="1" t="s">
        <v>20666</v>
      </c>
      <c r="B3291" s="1" t="s">
        <v>20660</v>
      </c>
      <c r="C3291" s="1" t="s">
        <v>8298</v>
      </c>
      <c r="D3291" s="1" t="s">
        <v>20667</v>
      </c>
      <c r="E3291" s="1" t="s">
        <v>8296</v>
      </c>
      <c r="F3291" s="1" t="s">
        <v>14014</v>
      </c>
      <c r="G3291">
        <v>199693</v>
      </c>
      <c r="H3291">
        <v>81</v>
      </c>
      <c r="I3291" s="1" t="s">
        <v>11063</v>
      </c>
      <c r="J3291" s="11">
        <v>44729.706458333334</v>
      </c>
      <c r="K3291" s="1" t="s">
        <v>4742</v>
      </c>
      <c r="L3291" s="1">
        <v>0.755</v>
      </c>
      <c r="M3291" s="1">
        <v>0.83699999999999997</v>
      </c>
      <c r="N3291">
        <v>2</v>
      </c>
      <c r="O3291" s="1">
        <v>-2.718</v>
      </c>
      <c r="P3291">
        <v>0</v>
      </c>
      <c r="Q3291" s="1">
        <v>0.14199999999999999</v>
      </c>
      <c r="R3291" s="1">
        <v>0.99099999999999999</v>
      </c>
      <c r="S3291" s="1">
        <v>0</v>
      </c>
      <c r="T3291" s="1">
        <v>0.28899999999999998</v>
      </c>
      <c r="U3291" s="1">
        <v>0.71399999999999997</v>
      </c>
      <c r="V3291" s="1">
        <v>120.02800000000001</v>
      </c>
      <c r="W3291">
        <v>4</v>
      </c>
    </row>
    <row r="3292" spans="1:23" x14ac:dyDescent="0.25">
      <c r="A3292" s="1" t="s">
        <v>20668</v>
      </c>
      <c r="B3292" s="1" t="s">
        <v>20669</v>
      </c>
      <c r="C3292" s="1" t="s">
        <v>8299</v>
      </c>
      <c r="D3292" s="1" t="s">
        <v>20670</v>
      </c>
      <c r="E3292" s="1" t="s">
        <v>8300</v>
      </c>
      <c r="F3292" s="1" t="s">
        <v>20671</v>
      </c>
      <c r="G3292">
        <v>204640</v>
      </c>
      <c r="H3292">
        <v>75</v>
      </c>
      <c r="I3292" s="1" t="s">
        <v>11063</v>
      </c>
      <c r="J3292" s="11">
        <v>44729.706458333334</v>
      </c>
      <c r="K3292" s="1" t="s">
        <v>8301</v>
      </c>
      <c r="L3292" s="1">
        <v>0.72</v>
      </c>
      <c r="M3292" s="1">
        <v>0.67200000000000004</v>
      </c>
      <c r="N3292">
        <v>7</v>
      </c>
      <c r="O3292" s="1">
        <v>-6.8520000000000003</v>
      </c>
      <c r="P3292">
        <v>1</v>
      </c>
      <c r="Q3292" s="1">
        <v>0.55100000000000005</v>
      </c>
      <c r="R3292" s="1">
        <v>0.9</v>
      </c>
      <c r="S3292" s="1">
        <v>0</v>
      </c>
      <c r="T3292" s="1">
        <v>0.23200000000000001</v>
      </c>
      <c r="U3292" s="1">
        <v>0.70499999999999996</v>
      </c>
      <c r="V3292" s="1">
        <v>124.986</v>
      </c>
      <c r="W3292">
        <v>4</v>
      </c>
    </row>
    <row r="3293" spans="1:23" x14ac:dyDescent="0.25">
      <c r="A3293" s="1" t="s">
        <v>20672</v>
      </c>
      <c r="B3293" s="1" t="s">
        <v>20669</v>
      </c>
      <c r="C3293" s="1" t="s">
        <v>8302</v>
      </c>
      <c r="D3293" s="1" t="s">
        <v>20673</v>
      </c>
      <c r="E3293" s="1" t="s">
        <v>8300</v>
      </c>
      <c r="F3293" s="1" t="s">
        <v>20674</v>
      </c>
      <c r="G3293">
        <v>223800</v>
      </c>
      <c r="H3293">
        <v>64</v>
      </c>
      <c r="I3293" s="1" t="s">
        <v>11063</v>
      </c>
      <c r="J3293" s="11">
        <v>44729.706458333334</v>
      </c>
      <c r="K3293" s="1" t="s">
        <v>8301</v>
      </c>
      <c r="L3293" s="1">
        <v>0.69299999999999995</v>
      </c>
      <c r="M3293" s="1">
        <v>0.82199999999999995</v>
      </c>
      <c r="N3293">
        <v>4</v>
      </c>
      <c r="O3293" s="1">
        <v>-5.4409999999999998</v>
      </c>
      <c r="P3293">
        <v>0</v>
      </c>
      <c r="Q3293" s="1">
        <v>0.439</v>
      </c>
      <c r="R3293" s="1">
        <v>0.61599999999999999</v>
      </c>
      <c r="S3293" s="1">
        <v>0.17899999999999999</v>
      </c>
      <c r="T3293" s="1">
        <v>0.315</v>
      </c>
      <c r="U3293" s="1">
        <v>0.76300000000000001</v>
      </c>
      <c r="V3293" s="1">
        <v>126.035</v>
      </c>
      <c r="W3293">
        <v>4</v>
      </c>
    </row>
    <row r="3294" spans="1:23" x14ac:dyDescent="0.25">
      <c r="A3294" s="1" t="s">
        <v>20675</v>
      </c>
      <c r="B3294" s="1" t="s">
        <v>20676</v>
      </c>
      <c r="C3294" s="1" t="s">
        <v>8303</v>
      </c>
      <c r="D3294" s="1" t="s">
        <v>20673</v>
      </c>
      <c r="E3294" s="1" t="s">
        <v>8304</v>
      </c>
      <c r="F3294" s="1" t="s">
        <v>20674</v>
      </c>
      <c r="G3294">
        <v>232946</v>
      </c>
      <c r="H3294">
        <v>78</v>
      </c>
      <c r="I3294" s="1" t="s">
        <v>11063</v>
      </c>
      <c r="J3294" s="11">
        <v>44729.706458333334</v>
      </c>
      <c r="K3294" s="1" t="s">
        <v>8305</v>
      </c>
      <c r="L3294" s="1">
        <v>0.60799999999999998</v>
      </c>
      <c r="M3294" s="1">
        <v>0.86</v>
      </c>
      <c r="N3294">
        <v>5</v>
      </c>
      <c r="O3294" s="1">
        <v>-5.3239999999999998</v>
      </c>
      <c r="P3294">
        <v>0</v>
      </c>
      <c r="Q3294" s="1">
        <v>0.55400000000000005</v>
      </c>
      <c r="R3294" s="1">
        <v>0.99099999999999999</v>
      </c>
      <c r="S3294" s="1">
        <v>0</v>
      </c>
      <c r="T3294" s="1">
        <v>0.26200000000000001</v>
      </c>
      <c r="U3294" s="1">
        <v>0.437</v>
      </c>
      <c r="V3294" s="1">
        <v>127.075</v>
      </c>
      <c r="W3294">
        <v>4</v>
      </c>
    </row>
    <row r="3295" spans="1:23" x14ac:dyDescent="0.25">
      <c r="A3295" s="1" t="s">
        <v>20677</v>
      </c>
      <c r="B3295" s="1" t="s">
        <v>20669</v>
      </c>
      <c r="C3295" s="1" t="s">
        <v>8306</v>
      </c>
      <c r="D3295" s="1" t="s">
        <v>20673</v>
      </c>
      <c r="E3295" s="1" t="s">
        <v>8300</v>
      </c>
      <c r="F3295" s="1" t="s">
        <v>20674</v>
      </c>
      <c r="G3295">
        <v>224653</v>
      </c>
      <c r="H3295">
        <v>78</v>
      </c>
      <c r="I3295" s="1" t="s">
        <v>11063</v>
      </c>
      <c r="J3295" s="11">
        <v>44729.706458333334</v>
      </c>
      <c r="K3295" s="1" t="s">
        <v>8301</v>
      </c>
      <c r="L3295" s="1">
        <v>0.747</v>
      </c>
      <c r="M3295" s="1">
        <v>0.93700000000000006</v>
      </c>
      <c r="N3295">
        <v>0</v>
      </c>
      <c r="O3295" s="1">
        <v>-5.7460000000000004</v>
      </c>
      <c r="P3295">
        <v>1</v>
      </c>
      <c r="Q3295" s="1">
        <v>0.45300000000000001</v>
      </c>
      <c r="R3295" s="1">
        <v>0.20799999999999999</v>
      </c>
      <c r="S3295" s="1">
        <v>0</v>
      </c>
      <c r="T3295" s="1">
        <v>0.28999999999999998</v>
      </c>
      <c r="U3295" s="1">
        <v>0.73899999999999999</v>
      </c>
      <c r="V3295" s="1">
        <v>103.976</v>
      </c>
      <c r="W3295">
        <v>4</v>
      </c>
    </row>
    <row r="3296" spans="1:23" x14ac:dyDescent="0.25">
      <c r="A3296" s="1" t="s">
        <v>20678</v>
      </c>
      <c r="B3296" s="1" t="s">
        <v>20679</v>
      </c>
      <c r="C3296" s="1" t="s">
        <v>8307</v>
      </c>
      <c r="D3296" s="1" t="s">
        <v>8310</v>
      </c>
      <c r="E3296" s="1" t="s">
        <v>8308</v>
      </c>
      <c r="F3296" s="1" t="s">
        <v>20680</v>
      </c>
      <c r="G3296">
        <v>190185</v>
      </c>
      <c r="H3296">
        <v>71</v>
      </c>
      <c r="I3296" s="1" t="s">
        <v>11063</v>
      </c>
      <c r="J3296" s="11">
        <v>44729.706458333334</v>
      </c>
      <c r="K3296" s="1" t="s">
        <v>8309</v>
      </c>
      <c r="L3296" s="1">
        <v>0.65700000000000003</v>
      </c>
      <c r="M3296" s="1">
        <v>0.82699999999999996</v>
      </c>
      <c r="N3296">
        <v>5</v>
      </c>
      <c r="O3296" s="1">
        <v>-4.0359999999999996</v>
      </c>
      <c r="P3296">
        <v>1</v>
      </c>
      <c r="Q3296" s="1">
        <v>0.73399999999999999</v>
      </c>
      <c r="R3296" s="1">
        <v>0.70399999999999996</v>
      </c>
      <c r="S3296" s="1">
        <v>0.53400000000000003</v>
      </c>
      <c r="T3296" s="1">
        <v>0.65</v>
      </c>
      <c r="U3296" s="1">
        <v>0.69</v>
      </c>
      <c r="V3296" s="1">
        <v>145.88900000000001</v>
      </c>
      <c r="W3296">
        <v>4</v>
      </c>
    </row>
    <row r="3297" spans="1:23" x14ac:dyDescent="0.25">
      <c r="A3297" s="1" t="s">
        <v>20681</v>
      </c>
      <c r="B3297" s="1" t="s">
        <v>20669</v>
      </c>
      <c r="C3297" s="1" t="s">
        <v>8310</v>
      </c>
      <c r="D3297" s="1" t="s">
        <v>8310</v>
      </c>
      <c r="E3297" s="1" t="s">
        <v>8300</v>
      </c>
      <c r="F3297" s="1" t="s">
        <v>20680</v>
      </c>
      <c r="G3297">
        <v>192190</v>
      </c>
      <c r="H3297">
        <v>77</v>
      </c>
      <c r="I3297" s="1" t="s">
        <v>11063</v>
      </c>
      <c r="J3297" s="11">
        <v>44729.706458333334</v>
      </c>
      <c r="K3297" s="1" t="s">
        <v>8301</v>
      </c>
      <c r="L3297" s="1">
        <v>0.68799999999999994</v>
      </c>
      <c r="M3297" s="1">
        <v>0.70199999999999996</v>
      </c>
      <c r="N3297">
        <v>7</v>
      </c>
      <c r="O3297" s="1">
        <v>-4.7919999999999998</v>
      </c>
      <c r="P3297">
        <v>0</v>
      </c>
      <c r="Q3297" s="1">
        <v>0.499</v>
      </c>
      <c r="R3297" s="1">
        <v>0.215</v>
      </c>
      <c r="S3297" s="1">
        <v>0</v>
      </c>
      <c r="T3297" s="1">
        <v>0.128</v>
      </c>
      <c r="U3297" s="1">
        <v>0.74</v>
      </c>
      <c r="V3297" s="1">
        <v>94.006</v>
      </c>
      <c r="W3297">
        <v>4</v>
      </c>
    </row>
    <row r="3298" spans="1:23" x14ac:dyDescent="0.25">
      <c r="A3298" s="1" t="s">
        <v>20682</v>
      </c>
      <c r="B3298" s="1" t="s">
        <v>20683</v>
      </c>
      <c r="C3298" s="1" t="s">
        <v>2021</v>
      </c>
      <c r="D3298" s="1" t="s">
        <v>2021</v>
      </c>
      <c r="E3298" s="1" t="s">
        <v>8311</v>
      </c>
      <c r="F3298" s="1" t="s">
        <v>20684</v>
      </c>
      <c r="G3298">
        <v>252106</v>
      </c>
      <c r="H3298">
        <v>68</v>
      </c>
      <c r="I3298" s="1" t="s">
        <v>11063</v>
      </c>
      <c r="J3298" s="11">
        <v>44729.706458333334</v>
      </c>
      <c r="K3298" s="1" t="s">
        <v>8312</v>
      </c>
      <c r="L3298" s="1">
        <v>0.81100000000000005</v>
      </c>
      <c r="M3298" s="1">
        <v>0.83299999999999996</v>
      </c>
      <c r="N3298">
        <v>5</v>
      </c>
      <c r="O3298" s="1">
        <v>-4.2590000000000003</v>
      </c>
      <c r="P3298">
        <v>1</v>
      </c>
      <c r="Q3298" s="1">
        <v>0.153</v>
      </c>
      <c r="R3298" s="1">
        <v>0.14000000000000001</v>
      </c>
      <c r="S3298" s="1">
        <v>0.20599999999999999</v>
      </c>
      <c r="T3298" s="1">
        <v>0.76900000000000002</v>
      </c>
      <c r="U3298" s="1">
        <v>0.56699999999999995</v>
      </c>
      <c r="V3298" s="1">
        <v>120.258</v>
      </c>
      <c r="W3298">
        <v>4</v>
      </c>
    </row>
    <row r="3299" spans="1:23" x14ac:dyDescent="0.25">
      <c r="A3299" s="1" t="s">
        <v>20685</v>
      </c>
      <c r="B3299" s="1" t="s">
        <v>20686</v>
      </c>
      <c r="C3299" s="1" t="s">
        <v>8313</v>
      </c>
      <c r="D3299" s="1" t="s">
        <v>20687</v>
      </c>
      <c r="E3299" s="1" t="s">
        <v>8314</v>
      </c>
      <c r="F3299" s="1" t="s">
        <v>14162</v>
      </c>
      <c r="G3299">
        <v>307153</v>
      </c>
      <c r="H3299">
        <v>78</v>
      </c>
      <c r="I3299" s="1" t="s">
        <v>11063</v>
      </c>
      <c r="J3299" s="11">
        <v>44729.706458333334</v>
      </c>
      <c r="K3299" s="1" t="s">
        <v>8315</v>
      </c>
      <c r="L3299" s="1">
        <v>0.72</v>
      </c>
      <c r="M3299" s="1">
        <v>0.80800000000000005</v>
      </c>
      <c r="N3299">
        <v>6</v>
      </c>
      <c r="O3299" s="1">
        <v>-5.6269999999999998</v>
      </c>
      <c r="P3299">
        <v>1</v>
      </c>
      <c r="Q3299" s="1">
        <v>0.379</v>
      </c>
      <c r="R3299" s="1">
        <v>0.79300000000000004</v>
      </c>
      <c r="S3299" s="1">
        <v>0.29299999999999998</v>
      </c>
      <c r="T3299" s="1">
        <v>0.63400000000000001</v>
      </c>
      <c r="U3299" s="1">
        <v>0.86899999999999999</v>
      </c>
      <c r="V3299" s="1">
        <v>126.041</v>
      </c>
      <c r="W3299">
        <v>4</v>
      </c>
    </row>
    <row r="3300" spans="1:23" x14ac:dyDescent="0.25">
      <c r="A3300" s="1" t="s">
        <v>20688</v>
      </c>
      <c r="B3300" s="1" t="s">
        <v>20689</v>
      </c>
      <c r="C3300" s="1" t="s">
        <v>8316</v>
      </c>
      <c r="D3300" s="1" t="s">
        <v>20690</v>
      </c>
      <c r="E3300" s="1" t="s">
        <v>8317</v>
      </c>
      <c r="F3300" s="1" t="s">
        <v>20691</v>
      </c>
      <c r="G3300">
        <v>153800</v>
      </c>
      <c r="H3300">
        <v>77</v>
      </c>
      <c r="I3300" s="1" t="s">
        <v>11063</v>
      </c>
      <c r="J3300" s="11">
        <v>44729.706458333334</v>
      </c>
      <c r="K3300" s="1" t="s">
        <v>8318</v>
      </c>
      <c r="L3300" s="1">
        <v>0.5</v>
      </c>
      <c r="M3300" s="1">
        <v>0.501</v>
      </c>
      <c r="N3300">
        <v>0</v>
      </c>
      <c r="O3300" s="1">
        <v>-8.2840000000000007</v>
      </c>
      <c r="P3300">
        <v>0</v>
      </c>
      <c r="Q3300" s="1">
        <v>0.376</v>
      </c>
      <c r="R3300" s="1">
        <v>0.46200000000000002</v>
      </c>
      <c r="S3300" s="1">
        <v>0</v>
      </c>
      <c r="T3300" s="1">
        <v>0.26</v>
      </c>
      <c r="U3300" s="1">
        <v>0.623</v>
      </c>
      <c r="V3300" s="1">
        <v>144.43799999999999</v>
      </c>
      <c r="W3300">
        <v>4</v>
      </c>
    </row>
    <row r="3301" spans="1:23" x14ac:dyDescent="0.25">
      <c r="A3301" s="1" t="s">
        <v>20692</v>
      </c>
      <c r="B3301" s="1" t="s">
        <v>20693</v>
      </c>
      <c r="C3301" s="1" t="s">
        <v>29</v>
      </c>
      <c r="D3301" s="1" t="s">
        <v>20694</v>
      </c>
      <c r="E3301" s="1" t="s">
        <v>8319</v>
      </c>
      <c r="F3301" s="1" t="s">
        <v>20695</v>
      </c>
      <c r="G3301">
        <v>205200</v>
      </c>
      <c r="H3301">
        <v>2</v>
      </c>
      <c r="I3301" s="1" t="s">
        <v>11063</v>
      </c>
      <c r="J3301" s="11">
        <v>44729.706458333334</v>
      </c>
      <c r="K3301" s="1" t="s">
        <v>8320</v>
      </c>
      <c r="L3301" s="1">
        <v>0.44700000000000001</v>
      </c>
      <c r="M3301" s="1">
        <v>0.84799999999999998</v>
      </c>
      <c r="N3301">
        <v>2</v>
      </c>
      <c r="O3301" s="1">
        <v>-6.1749999999999998</v>
      </c>
      <c r="P3301">
        <v>1</v>
      </c>
      <c r="Q3301" s="1">
        <v>0.222</v>
      </c>
      <c r="R3301" s="1">
        <v>0.33</v>
      </c>
      <c r="S3301" s="1">
        <v>0.745</v>
      </c>
      <c r="T3301" s="1">
        <v>0.65</v>
      </c>
      <c r="U3301" s="1">
        <v>0.48499999999999999</v>
      </c>
      <c r="V3301" s="1">
        <v>172.24700000000001</v>
      </c>
      <c r="W3301">
        <v>4</v>
      </c>
    </row>
    <row r="3302" spans="1:23" x14ac:dyDescent="0.25">
      <c r="A3302" s="1" t="s">
        <v>20696</v>
      </c>
      <c r="B3302" s="1" t="s">
        <v>20697</v>
      </c>
      <c r="C3302" s="1" t="s">
        <v>8321</v>
      </c>
      <c r="D3302" s="1" t="s">
        <v>8321</v>
      </c>
      <c r="E3302" s="1" t="s">
        <v>8322</v>
      </c>
      <c r="F3302" s="1" t="s">
        <v>20698</v>
      </c>
      <c r="G3302">
        <v>247266</v>
      </c>
      <c r="H3302">
        <v>70</v>
      </c>
      <c r="I3302" s="1" t="s">
        <v>11063</v>
      </c>
      <c r="J3302" s="11">
        <v>44729.706458333334</v>
      </c>
      <c r="K3302" s="1" t="s">
        <v>8323</v>
      </c>
      <c r="L3302" s="1">
        <v>0.40699999999999997</v>
      </c>
      <c r="M3302" s="1">
        <v>0.72499999999999998</v>
      </c>
      <c r="N3302">
        <v>5</v>
      </c>
      <c r="O3302" s="1">
        <v>-5.3460000000000001</v>
      </c>
      <c r="P3302">
        <v>0</v>
      </c>
      <c r="Q3302" s="1">
        <v>0.188</v>
      </c>
      <c r="R3302" s="1">
        <v>0.14099999999999999</v>
      </c>
      <c r="S3302" s="1">
        <v>0.246</v>
      </c>
      <c r="T3302" s="1">
        <v>0.30599999999999999</v>
      </c>
      <c r="U3302" s="1">
        <v>0.247</v>
      </c>
      <c r="V3302" s="1">
        <v>196.09299999999999</v>
      </c>
      <c r="W3302">
        <v>4</v>
      </c>
    </row>
    <row r="3303" spans="1:23" x14ac:dyDescent="0.25">
      <c r="A3303" s="1" t="s">
        <v>20699</v>
      </c>
      <c r="B3303" s="1" t="s">
        <v>17043</v>
      </c>
      <c r="C3303" s="1" t="s">
        <v>8324</v>
      </c>
      <c r="D3303" s="1" t="s">
        <v>16940</v>
      </c>
      <c r="E3303" s="1" t="s">
        <v>5035</v>
      </c>
      <c r="F3303" s="1" t="s">
        <v>16941</v>
      </c>
      <c r="G3303">
        <v>191412</v>
      </c>
      <c r="H3303">
        <v>61</v>
      </c>
      <c r="I3303" s="1" t="s">
        <v>11063</v>
      </c>
      <c r="J3303" s="11">
        <v>44729.706458333334</v>
      </c>
      <c r="K3303" s="1" t="s">
        <v>5036</v>
      </c>
      <c r="L3303" s="1">
        <v>0.34699999999999998</v>
      </c>
      <c r="M3303" s="1">
        <v>0.77200000000000002</v>
      </c>
      <c r="N3303">
        <v>5</v>
      </c>
      <c r="O3303" s="1">
        <v>-4.359</v>
      </c>
      <c r="P3303">
        <v>0</v>
      </c>
      <c r="Q3303" s="1">
        <v>0.54900000000000004</v>
      </c>
      <c r="R3303" s="1">
        <v>0.59699999999999998</v>
      </c>
      <c r="S3303" s="1">
        <v>0.33300000000000002</v>
      </c>
      <c r="T3303" s="1">
        <v>0.115</v>
      </c>
      <c r="U3303" s="1">
        <v>0.35</v>
      </c>
      <c r="V3303" s="1">
        <v>192.11799999999999</v>
      </c>
      <c r="W3303">
        <v>3</v>
      </c>
    </row>
    <row r="3304" spans="1:23" x14ac:dyDescent="0.25">
      <c r="A3304" s="1" t="s">
        <v>20700</v>
      </c>
      <c r="B3304" s="1" t="s">
        <v>20701</v>
      </c>
      <c r="C3304" s="1" t="s">
        <v>8325</v>
      </c>
      <c r="D3304" s="1" t="s">
        <v>16940</v>
      </c>
      <c r="E3304" s="1" t="s">
        <v>8326</v>
      </c>
      <c r="F3304" s="1" t="s">
        <v>16941</v>
      </c>
      <c r="G3304">
        <v>211866</v>
      </c>
      <c r="H3304">
        <v>56</v>
      </c>
      <c r="I3304" s="1" t="s">
        <v>11063</v>
      </c>
      <c r="J3304" s="11">
        <v>44729.706458333334</v>
      </c>
      <c r="K3304" s="1" t="s">
        <v>8327</v>
      </c>
      <c r="L3304" s="1">
        <v>0.65200000000000002</v>
      </c>
      <c r="M3304" s="1">
        <v>0.92200000000000004</v>
      </c>
      <c r="N3304">
        <v>0</v>
      </c>
      <c r="O3304" s="1">
        <v>-3.2669999999999999</v>
      </c>
      <c r="P3304">
        <v>1</v>
      </c>
      <c r="Q3304" s="1">
        <v>0.68</v>
      </c>
      <c r="R3304" s="1">
        <v>0.1</v>
      </c>
      <c r="S3304" s="1">
        <v>0.189</v>
      </c>
      <c r="T3304" s="1">
        <v>0.36599999999999999</v>
      </c>
      <c r="U3304" s="1">
        <v>0.69499999999999995</v>
      </c>
      <c r="V3304" s="1">
        <v>127.997</v>
      </c>
      <c r="W3304">
        <v>4</v>
      </c>
    </row>
    <row r="3305" spans="1:23" x14ac:dyDescent="0.25">
      <c r="A3305" s="1" t="s">
        <v>20702</v>
      </c>
      <c r="B3305" s="1" t="s">
        <v>20703</v>
      </c>
      <c r="C3305" s="1" t="s">
        <v>8328</v>
      </c>
      <c r="D3305" s="1" t="s">
        <v>16940</v>
      </c>
      <c r="E3305" s="1" t="s">
        <v>8329</v>
      </c>
      <c r="F3305" s="1" t="s">
        <v>16941</v>
      </c>
      <c r="G3305">
        <v>192560</v>
      </c>
      <c r="H3305">
        <v>76</v>
      </c>
      <c r="I3305" s="1" t="s">
        <v>11063</v>
      </c>
      <c r="J3305" s="11">
        <v>44729.706458333334</v>
      </c>
      <c r="K3305" s="1" t="s">
        <v>8330</v>
      </c>
      <c r="L3305" s="1">
        <v>0.59599999999999997</v>
      </c>
      <c r="M3305" s="1">
        <v>0.73</v>
      </c>
      <c r="N3305">
        <v>9</v>
      </c>
      <c r="O3305" s="1">
        <v>-4.0910000000000002</v>
      </c>
      <c r="P3305">
        <v>1</v>
      </c>
      <c r="Q3305" s="1">
        <v>0.151</v>
      </c>
      <c r="R3305" s="1">
        <v>0.24</v>
      </c>
      <c r="S3305" s="1">
        <v>0</v>
      </c>
      <c r="T3305" s="1">
        <v>0.32500000000000001</v>
      </c>
      <c r="U3305" s="1">
        <v>0.52500000000000002</v>
      </c>
      <c r="V3305" s="1">
        <v>85.978999999999999</v>
      </c>
      <c r="W3305">
        <v>4</v>
      </c>
    </row>
    <row r="3306" spans="1:23" x14ac:dyDescent="0.25">
      <c r="A3306" s="1" t="s">
        <v>20704</v>
      </c>
      <c r="B3306" s="1" t="s">
        <v>20705</v>
      </c>
      <c r="C3306" s="1" t="s">
        <v>8331</v>
      </c>
      <c r="D3306" s="1" t="s">
        <v>16940</v>
      </c>
      <c r="E3306" s="1" t="s">
        <v>8332</v>
      </c>
      <c r="F3306" s="1" t="s">
        <v>16941</v>
      </c>
      <c r="G3306">
        <v>203520</v>
      </c>
      <c r="H3306">
        <v>69</v>
      </c>
      <c r="I3306" s="1" t="s">
        <v>11063</v>
      </c>
      <c r="J3306" s="11">
        <v>44729.706458333334</v>
      </c>
      <c r="K3306" s="1" t="s">
        <v>5036</v>
      </c>
      <c r="L3306" s="1">
        <v>0.64500000000000002</v>
      </c>
      <c r="M3306" s="1">
        <v>0.89100000000000001</v>
      </c>
      <c r="N3306">
        <v>6</v>
      </c>
      <c r="O3306" s="1">
        <v>-2.5049999999999999</v>
      </c>
      <c r="P3306">
        <v>0</v>
      </c>
      <c r="Q3306" s="1">
        <v>0.38700000000000001</v>
      </c>
      <c r="R3306" s="1">
        <v>0.93200000000000005</v>
      </c>
      <c r="S3306" s="1">
        <v>0.38800000000000001</v>
      </c>
      <c r="T3306" s="1">
        <v>0.379</v>
      </c>
      <c r="U3306" s="1">
        <v>0.56799999999999995</v>
      </c>
      <c r="V3306" s="1">
        <v>124.91500000000001</v>
      </c>
      <c r="W3306">
        <v>4</v>
      </c>
    </row>
    <row r="3307" spans="1:23" x14ac:dyDescent="0.25">
      <c r="A3307" s="1" t="s">
        <v>20706</v>
      </c>
      <c r="B3307" s="1" t="s">
        <v>20705</v>
      </c>
      <c r="C3307" s="1" t="s">
        <v>8333</v>
      </c>
      <c r="D3307" s="1" t="s">
        <v>16940</v>
      </c>
      <c r="E3307" s="1" t="s">
        <v>8332</v>
      </c>
      <c r="F3307" s="1" t="s">
        <v>16941</v>
      </c>
      <c r="G3307">
        <v>203641</v>
      </c>
      <c r="H3307">
        <v>67</v>
      </c>
      <c r="I3307" s="1" t="s">
        <v>11063</v>
      </c>
      <c r="J3307" s="11">
        <v>44729.706458333334</v>
      </c>
      <c r="K3307" s="1" t="s">
        <v>5036</v>
      </c>
      <c r="L3307" s="1">
        <v>0.46600000000000003</v>
      </c>
      <c r="M3307" s="1">
        <v>0.747</v>
      </c>
      <c r="N3307">
        <v>4</v>
      </c>
      <c r="O3307" s="1">
        <v>-4.8380000000000001</v>
      </c>
      <c r="P3307">
        <v>0</v>
      </c>
      <c r="Q3307" s="1">
        <v>0.79500000000000004</v>
      </c>
      <c r="R3307" s="1">
        <v>0.41699999999999998</v>
      </c>
      <c r="S3307" s="1">
        <v>0.97599999999999998</v>
      </c>
      <c r="T3307" s="1">
        <v>0.107</v>
      </c>
      <c r="U3307" s="1">
        <v>0.43</v>
      </c>
      <c r="V3307" s="1">
        <v>92.161000000000001</v>
      </c>
      <c r="W3307">
        <v>4</v>
      </c>
    </row>
    <row r="3308" spans="1:23" x14ac:dyDescent="0.25">
      <c r="A3308" s="1" t="s">
        <v>20707</v>
      </c>
      <c r="B3308" s="1" t="s">
        <v>17043</v>
      </c>
      <c r="C3308" s="1" t="s">
        <v>8334</v>
      </c>
      <c r="D3308" s="1" t="s">
        <v>20708</v>
      </c>
      <c r="E3308" s="1" t="s">
        <v>5035</v>
      </c>
      <c r="F3308" s="1" t="s">
        <v>13838</v>
      </c>
      <c r="G3308">
        <v>201000</v>
      </c>
      <c r="H3308">
        <v>70</v>
      </c>
      <c r="I3308" s="1" t="s">
        <v>11063</v>
      </c>
      <c r="J3308" s="11">
        <v>44729.706458333334</v>
      </c>
      <c r="K3308" s="1" t="s">
        <v>5036</v>
      </c>
      <c r="L3308" s="1">
        <v>0.69099999999999995</v>
      </c>
      <c r="M3308" s="1">
        <v>0.92100000000000004</v>
      </c>
      <c r="N3308">
        <v>8</v>
      </c>
      <c r="O3308" s="1">
        <v>-1.702</v>
      </c>
      <c r="P3308">
        <v>0</v>
      </c>
      <c r="Q3308" s="1">
        <v>0.53300000000000003</v>
      </c>
      <c r="R3308" s="1">
        <v>0.17299999999999999</v>
      </c>
      <c r="S3308" s="1">
        <v>0</v>
      </c>
      <c r="T3308" s="1">
        <v>0.33100000000000002</v>
      </c>
      <c r="U3308" s="1">
        <v>0.8</v>
      </c>
      <c r="V3308" s="1">
        <v>130.072</v>
      </c>
      <c r="W3308">
        <v>4</v>
      </c>
    </row>
    <row r="3309" spans="1:23" x14ac:dyDescent="0.25">
      <c r="A3309" s="1" t="s">
        <v>20709</v>
      </c>
      <c r="B3309" s="1" t="s">
        <v>20710</v>
      </c>
      <c r="C3309" s="1" t="s">
        <v>8335</v>
      </c>
      <c r="D3309" s="1" t="s">
        <v>20708</v>
      </c>
      <c r="E3309" s="1" t="s">
        <v>8336</v>
      </c>
      <c r="F3309" s="1" t="s">
        <v>13838</v>
      </c>
      <c r="G3309">
        <v>208133</v>
      </c>
      <c r="H3309">
        <v>70</v>
      </c>
      <c r="I3309" s="1" t="s">
        <v>11063</v>
      </c>
      <c r="J3309" s="11">
        <v>44729.706458333334</v>
      </c>
      <c r="K3309" s="1" t="s">
        <v>8337</v>
      </c>
      <c r="L3309" s="1">
        <v>0.60799999999999998</v>
      </c>
      <c r="M3309" s="1">
        <v>0.61399999999999999</v>
      </c>
      <c r="N3309">
        <v>2</v>
      </c>
      <c r="O3309" s="1">
        <v>-3.7269999999999999</v>
      </c>
      <c r="P3309">
        <v>1</v>
      </c>
      <c r="Q3309" s="1">
        <v>0.28499999999999998</v>
      </c>
      <c r="R3309" s="1">
        <v>0.22700000000000001</v>
      </c>
      <c r="S3309" s="1">
        <v>0.40600000000000003</v>
      </c>
      <c r="T3309" s="1">
        <v>0.157</v>
      </c>
      <c r="U3309" s="1">
        <v>0.40200000000000002</v>
      </c>
      <c r="V3309" s="1">
        <v>127.884</v>
      </c>
      <c r="W3309">
        <v>4</v>
      </c>
    </row>
    <row r="3310" spans="1:23" x14ac:dyDescent="0.25">
      <c r="A3310" s="1" t="s">
        <v>20711</v>
      </c>
      <c r="B3310" s="1" t="s">
        <v>20712</v>
      </c>
      <c r="C3310" s="1" t="s">
        <v>8338</v>
      </c>
      <c r="D3310" s="1" t="s">
        <v>20708</v>
      </c>
      <c r="E3310" s="1" t="s">
        <v>8339</v>
      </c>
      <c r="F3310" s="1" t="s">
        <v>13838</v>
      </c>
      <c r="G3310">
        <v>209533</v>
      </c>
      <c r="H3310">
        <v>54</v>
      </c>
      <c r="I3310" s="1" t="s">
        <v>11063</v>
      </c>
      <c r="J3310" s="11">
        <v>44729.706458333334</v>
      </c>
      <c r="K3310" s="1" t="s">
        <v>8340</v>
      </c>
      <c r="L3310" s="1">
        <v>0.67</v>
      </c>
      <c r="M3310" s="1">
        <v>0.93899999999999995</v>
      </c>
      <c r="N3310">
        <v>9</v>
      </c>
      <c r="O3310" s="1">
        <v>-2.06</v>
      </c>
      <c r="P3310">
        <v>1</v>
      </c>
      <c r="Q3310" s="1">
        <v>0.42699999999999999</v>
      </c>
      <c r="R3310" s="1">
        <v>0.46300000000000002</v>
      </c>
      <c r="S3310" s="1">
        <v>0.11</v>
      </c>
      <c r="T3310" s="1">
        <v>0.33500000000000002</v>
      </c>
      <c r="U3310" s="1">
        <v>0.26400000000000001</v>
      </c>
      <c r="V3310" s="1">
        <v>127.946</v>
      </c>
      <c r="W3310">
        <v>4</v>
      </c>
    </row>
    <row r="3311" spans="1:23" x14ac:dyDescent="0.25">
      <c r="A3311" s="1" t="s">
        <v>20713</v>
      </c>
      <c r="B3311" s="1" t="s">
        <v>18536</v>
      </c>
      <c r="C3311" s="1" t="s">
        <v>8341</v>
      </c>
      <c r="D3311" s="1" t="s">
        <v>20708</v>
      </c>
      <c r="E3311" s="1" t="s">
        <v>6406</v>
      </c>
      <c r="F3311" s="1" t="s">
        <v>13838</v>
      </c>
      <c r="G3311">
        <v>222500</v>
      </c>
      <c r="H3311">
        <v>67</v>
      </c>
      <c r="I3311" s="1" t="s">
        <v>11063</v>
      </c>
      <c r="J3311" s="11">
        <v>44729.706458333334</v>
      </c>
      <c r="K3311" s="1" t="s">
        <v>6407</v>
      </c>
      <c r="L3311" s="1">
        <v>0.49199999999999999</v>
      </c>
      <c r="M3311" s="1">
        <v>0.85699999999999998</v>
      </c>
      <c r="N3311">
        <v>7</v>
      </c>
      <c r="O3311" s="1">
        <v>-2.6339999999999999</v>
      </c>
      <c r="P3311">
        <v>1</v>
      </c>
      <c r="Q3311" s="1">
        <v>0.65500000000000003</v>
      </c>
      <c r="R3311" s="1">
        <v>0.84099999999999997</v>
      </c>
      <c r="S3311" s="1">
        <v>0.78200000000000003</v>
      </c>
      <c r="T3311" s="1">
        <v>0.34399999999999997</v>
      </c>
      <c r="U3311" s="1">
        <v>0.39300000000000002</v>
      </c>
      <c r="V3311" s="1">
        <v>129.97300000000001</v>
      </c>
      <c r="W3311">
        <v>4</v>
      </c>
    </row>
    <row r="3312" spans="1:23" x14ac:dyDescent="0.25">
      <c r="A3312" s="1" t="s">
        <v>20714</v>
      </c>
      <c r="B3312" s="1" t="s">
        <v>20715</v>
      </c>
      <c r="C3312" s="1" t="s">
        <v>8342</v>
      </c>
      <c r="D3312" s="1" t="s">
        <v>20708</v>
      </c>
      <c r="E3312" s="1" t="s">
        <v>8343</v>
      </c>
      <c r="F3312" s="1" t="s">
        <v>13838</v>
      </c>
      <c r="G3312">
        <v>199680</v>
      </c>
      <c r="H3312">
        <v>65</v>
      </c>
      <c r="I3312" s="1" t="s">
        <v>11063</v>
      </c>
      <c r="J3312" s="11">
        <v>44729.706458333334</v>
      </c>
      <c r="K3312" s="1" t="s">
        <v>8344</v>
      </c>
      <c r="L3312" s="1">
        <v>0.70399999999999996</v>
      </c>
      <c r="M3312" s="1">
        <v>0.79300000000000004</v>
      </c>
      <c r="N3312">
        <v>8</v>
      </c>
      <c r="O3312" s="1">
        <v>-2.266</v>
      </c>
      <c r="P3312">
        <v>1</v>
      </c>
      <c r="Q3312" s="1">
        <v>0.59099999999999997</v>
      </c>
      <c r="R3312" s="1">
        <v>0.48799999999999999</v>
      </c>
      <c r="S3312" s="1">
        <v>0</v>
      </c>
      <c r="T3312" s="1">
        <v>0.57499999999999996</v>
      </c>
      <c r="U3312" s="1">
        <v>0.41199999999999998</v>
      </c>
      <c r="V3312" s="1">
        <v>127.96</v>
      </c>
      <c r="W3312">
        <v>4</v>
      </c>
    </row>
    <row r="3313" spans="1:23" x14ac:dyDescent="0.25">
      <c r="A3313" s="1" t="s">
        <v>20716</v>
      </c>
      <c r="B3313" s="1" t="s">
        <v>18536</v>
      </c>
      <c r="C3313" s="1" t="s">
        <v>8345</v>
      </c>
      <c r="D3313" s="1" t="s">
        <v>20708</v>
      </c>
      <c r="E3313" s="1" t="s">
        <v>6406</v>
      </c>
      <c r="F3313" s="1" t="s">
        <v>13838</v>
      </c>
      <c r="G3313">
        <v>245040</v>
      </c>
      <c r="H3313">
        <v>80</v>
      </c>
      <c r="I3313" s="1" t="s">
        <v>11063</v>
      </c>
      <c r="J3313" s="11">
        <v>44729.706458333334</v>
      </c>
      <c r="K3313" s="1" t="s">
        <v>6407</v>
      </c>
      <c r="L3313" s="1">
        <v>0.60399999999999998</v>
      </c>
      <c r="M3313" s="1">
        <v>0.78700000000000003</v>
      </c>
      <c r="N3313">
        <v>0</v>
      </c>
      <c r="O3313" s="1">
        <v>-3.6739999999999999</v>
      </c>
      <c r="P3313">
        <v>0</v>
      </c>
      <c r="Q3313" s="1">
        <v>0.10299999999999999</v>
      </c>
      <c r="R3313" s="1">
        <v>0.67900000000000005</v>
      </c>
      <c r="S3313" s="1">
        <v>0.15</v>
      </c>
      <c r="T3313" s="1">
        <v>0.127</v>
      </c>
      <c r="U3313" s="1">
        <v>0.30099999999999999</v>
      </c>
      <c r="V3313" s="1">
        <v>126.062</v>
      </c>
      <c r="W3313">
        <v>4</v>
      </c>
    </row>
    <row r="3314" spans="1:23" x14ac:dyDescent="0.25">
      <c r="A3314" s="1" t="s">
        <v>20717</v>
      </c>
      <c r="B3314" s="1" t="s">
        <v>20718</v>
      </c>
      <c r="C3314" s="1" t="s">
        <v>8346</v>
      </c>
      <c r="D3314" s="1" t="s">
        <v>20719</v>
      </c>
      <c r="E3314" s="1" t="s">
        <v>8347</v>
      </c>
      <c r="F3314" s="1" t="s">
        <v>20720</v>
      </c>
      <c r="G3314">
        <v>195853</v>
      </c>
      <c r="H3314">
        <v>58</v>
      </c>
      <c r="I3314" s="1" t="s">
        <v>11063</v>
      </c>
      <c r="J3314" s="11">
        <v>44729.706458333334</v>
      </c>
      <c r="K3314" s="1" t="s">
        <v>5036</v>
      </c>
      <c r="L3314" s="1">
        <v>0.81299999999999994</v>
      </c>
      <c r="M3314" s="1">
        <v>0.627</v>
      </c>
      <c r="N3314">
        <v>11</v>
      </c>
      <c r="O3314" s="1">
        <v>-5.0179999999999998</v>
      </c>
      <c r="P3314">
        <v>0</v>
      </c>
      <c r="Q3314" s="1">
        <v>0.48599999999999999</v>
      </c>
      <c r="R3314" s="1">
        <v>0.77100000000000002</v>
      </c>
      <c r="S3314" s="1">
        <v>0.61599999999999999</v>
      </c>
      <c r="T3314" s="1">
        <v>0.13100000000000001</v>
      </c>
      <c r="U3314" s="1">
        <v>0.80100000000000005</v>
      </c>
      <c r="V3314" s="1">
        <v>130.011</v>
      </c>
      <c r="W3314">
        <v>4</v>
      </c>
    </row>
    <row r="3315" spans="1:23" x14ac:dyDescent="0.25">
      <c r="A3315" s="1" t="s">
        <v>20721</v>
      </c>
      <c r="B3315" s="1" t="s">
        <v>17043</v>
      </c>
      <c r="C3315" s="1" t="s">
        <v>8348</v>
      </c>
      <c r="D3315" s="1" t="s">
        <v>20719</v>
      </c>
      <c r="E3315" s="1" t="s">
        <v>5035</v>
      </c>
      <c r="F3315" s="1" t="s">
        <v>20720</v>
      </c>
      <c r="G3315">
        <v>201040</v>
      </c>
      <c r="H3315">
        <v>52</v>
      </c>
      <c r="I3315" s="1" t="s">
        <v>11063</v>
      </c>
      <c r="J3315" s="11">
        <v>44729.706458333334</v>
      </c>
      <c r="K3315" s="1" t="s">
        <v>5036</v>
      </c>
      <c r="L3315" s="1">
        <v>0.67500000000000004</v>
      </c>
      <c r="M3315" s="1">
        <v>0.60199999999999998</v>
      </c>
      <c r="N3315">
        <v>11</v>
      </c>
      <c r="O3315" s="1">
        <v>-4.7329999999999997</v>
      </c>
      <c r="P3315">
        <v>0</v>
      </c>
      <c r="Q3315" s="1">
        <v>0.11600000000000001</v>
      </c>
      <c r="R3315" s="1">
        <v>0.377</v>
      </c>
      <c r="S3315" s="1">
        <v>0</v>
      </c>
      <c r="T3315" s="1">
        <v>0.45800000000000002</v>
      </c>
      <c r="U3315" s="1">
        <v>0.93300000000000005</v>
      </c>
      <c r="V3315" s="1">
        <v>127.938</v>
      </c>
      <c r="W3315">
        <v>4</v>
      </c>
    </row>
    <row r="3316" spans="1:23" x14ac:dyDescent="0.25">
      <c r="A3316" s="1" t="s">
        <v>20722</v>
      </c>
      <c r="B3316" s="1" t="s">
        <v>17043</v>
      </c>
      <c r="C3316" s="1" t="s">
        <v>8349</v>
      </c>
      <c r="D3316" s="1" t="s">
        <v>20723</v>
      </c>
      <c r="E3316" s="1" t="s">
        <v>5035</v>
      </c>
      <c r="F3316" s="1" t="s">
        <v>20724</v>
      </c>
      <c r="G3316">
        <v>312000</v>
      </c>
      <c r="H3316">
        <v>56</v>
      </c>
      <c r="I3316" s="1" t="s">
        <v>11063</v>
      </c>
      <c r="J3316" s="11">
        <v>44729.706458333334</v>
      </c>
      <c r="K3316" s="1" t="s">
        <v>5036</v>
      </c>
      <c r="L3316" s="1">
        <v>0.96299999999999997</v>
      </c>
      <c r="M3316" s="1">
        <v>0.29799999999999999</v>
      </c>
      <c r="N3316">
        <v>11</v>
      </c>
      <c r="O3316" s="1">
        <v>-5.7480000000000002</v>
      </c>
      <c r="P3316">
        <v>0</v>
      </c>
      <c r="Q3316" s="1">
        <v>0.125</v>
      </c>
      <c r="R3316" s="1">
        <v>0.18099999999999999</v>
      </c>
      <c r="S3316" s="1">
        <v>0.156</v>
      </c>
      <c r="T3316" s="1">
        <v>0.75600000000000001</v>
      </c>
      <c r="U3316" s="1">
        <v>0.80200000000000005</v>
      </c>
      <c r="V3316" s="1">
        <v>130.01400000000001</v>
      </c>
      <c r="W3316">
        <v>4</v>
      </c>
    </row>
    <row r="3317" spans="1:23" x14ac:dyDescent="0.25">
      <c r="A3317" s="1" t="s">
        <v>20725</v>
      </c>
      <c r="B3317" s="1" t="s">
        <v>17043</v>
      </c>
      <c r="C3317" s="1" t="s">
        <v>8350</v>
      </c>
      <c r="D3317" s="1" t="s">
        <v>20723</v>
      </c>
      <c r="E3317" s="1" t="s">
        <v>5035</v>
      </c>
      <c r="F3317" s="1" t="s">
        <v>20724</v>
      </c>
      <c r="G3317">
        <v>355000</v>
      </c>
      <c r="H3317">
        <v>35</v>
      </c>
      <c r="I3317" s="1" t="s">
        <v>11063</v>
      </c>
      <c r="J3317" s="11">
        <v>44729.706458333334</v>
      </c>
      <c r="K3317" s="1" t="s">
        <v>5036</v>
      </c>
      <c r="L3317" s="1">
        <v>0.94</v>
      </c>
      <c r="M3317" s="1">
        <v>0.47699999999999998</v>
      </c>
      <c r="N3317">
        <v>9</v>
      </c>
      <c r="O3317" s="1">
        <v>-5.8979999999999997</v>
      </c>
      <c r="P3317">
        <v>0</v>
      </c>
      <c r="Q3317" s="1">
        <v>0.14299999999999999</v>
      </c>
      <c r="R3317" s="1">
        <v>0.85599999999999998</v>
      </c>
      <c r="S3317" s="1">
        <v>0.372</v>
      </c>
      <c r="T3317" s="1">
        <v>0.873</v>
      </c>
      <c r="U3317" s="1">
        <v>0.46</v>
      </c>
      <c r="V3317" s="1">
        <v>129.99199999999999</v>
      </c>
      <c r="W3317">
        <v>4</v>
      </c>
    </row>
    <row r="3318" spans="1:23" x14ac:dyDescent="0.25">
      <c r="A3318" s="1" t="s">
        <v>20726</v>
      </c>
      <c r="B3318" s="1" t="s">
        <v>20727</v>
      </c>
      <c r="C3318" s="1" t="s">
        <v>8351</v>
      </c>
      <c r="D3318" s="1" t="s">
        <v>20723</v>
      </c>
      <c r="E3318" s="1" t="s">
        <v>8352</v>
      </c>
      <c r="F3318" s="1" t="s">
        <v>20724</v>
      </c>
      <c r="G3318">
        <v>466088</v>
      </c>
      <c r="H3318">
        <v>37</v>
      </c>
      <c r="I3318" s="1" t="s">
        <v>11063</v>
      </c>
      <c r="J3318" s="11">
        <v>44729.706458333334</v>
      </c>
      <c r="K3318" s="1" t="s">
        <v>8353</v>
      </c>
      <c r="L3318" s="1">
        <v>0.78</v>
      </c>
      <c r="M3318" s="1">
        <v>0.69099999999999995</v>
      </c>
      <c r="N3318">
        <v>11</v>
      </c>
      <c r="O3318" s="1">
        <v>-7.7850000000000001</v>
      </c>
      <c r="P3318">
        <v>1</v>
      </c>
      <c r="Q3318" s="1">
        <v>0.49</v>
      </c>
      <c r="R3318" s="1">
        <v>0.63900000000000001</v>
      </c>
      <c r="S3318" s="1">
        <v>0.28000000000000003</v>
      </c>
      <c r="T3318" s="1">
        <v>0.625</v>
      </c>
      <c r="U3318" s="1">
        <v>0.14199999999999999</v>
      </c>
      <c r="V3318" s="1">
        <v>129.99199999999999</v>
      </c>
      <c r="W3318">
        <v>4</v>
      </c>
    </row>
    <row r="3319" spans="1:23" x14ac:dyDescent="0.25">
      <c r="A3319" s="1" t="s">
        <v>20728</v>
      </c>
      <c r="B3319" s="1" t="s">
        <v>20729</v>
      </c>
      <c r="C3319" s="1" t="s">
        <v>8354</v>
      </c>
      <c r="D3319" s="1" t="s">
        <v>20730</v>
      </c>
      <c r="E3319" s="1" t="s">
        <v>8355</v>
      </c>
      <c r="F3319" s="1" t="s">
        <v>20731</v>
      </c>
      <c r="G3319">
        <v>199386</v>
      </c>
      <c r="H3319">
        <v>61</v>
      </c>
      <c r="I3319" s="1" t="s">
        <v>11063</v>
      </c>
      <c r="J3319" s="11">
        <v>44729.706458333334</v>
      </c>
      <c r="K3319" s="1" t="s">
        <v>8356</v>
      </c>
      <c r="L3319" s="1">
        <v>0.77300000000000002</v>
      </c>
      <c r="M3319" s="1">
        <v>0.81299999999999994</v>
      </c>
      <c r="N3319">
        <v>4</v>
      </c>
      <c r="O3319" s="1">
        <v>-4.609</v>
      </c>
      <c r="P3319">
        <v>0</v>
      </c>
      <c r="Q3319" s="1">
        <v>0.79700000000000004</v>
      </c>
      <c r="R3319" s="1">
        <v>0.33100000000000002</v>
      </c>
      <c r="S3319" s="1">
        <v>0.377</v>
      </c>
      <c r="T3319" s="1">
        <v>0.192</v>
      </c>
      <c r="U3319" s="1">
        <v>0.70699999999999996</v>
      </c>
      <c r="V3319" s="1">
        <v>127.93</v>
      </c>
      <c r="W3319">
        <v>4</v>
      </c>
    </row>
    <row r="3320" spans="1:23" x14ac:dyDescent="0.25">
      <c r="A3320" s="1" t="s">
        <v>20732</v>
      </c>
      <c r="B3320" s="1" t="s">
        <v>20733</v>
      </c>
      <c r="C3320" s="1" t="s">
        <v>8357</v>
      </c>
      <c r="D3320" s="1" t="s">
        <v>20730</v>
      </c>
      <c r="E3320" s="1" t="s">
        <v>8358</v>
      </c>
      <c r="F3320" s="1" t="s">
        <v>20731</v>
      </c>
      <c r="G3320">
        <v>249333</v>
      </c>
      <c r="H3320">
        <v>19</v>
      </c>
      <c r="I3320" s="1" t="s">
        <v>11063</v>
      </c>
      <c r="J3320" s="11">
        <v>44729.706458333334</v>
      </c>
      <c r="K3320" s="1" t="s">
        <v>5036</v>
      </c>
      <c r="L3320" s="1">
        <v>0.55800000000000005</v>
      </c>
      <c r="M3320" s="1">
        <v>0.68799999999999994</v>
      </c>
      <c r="N3320">
        <v>4</v>
      </c>
      <c r="O3320" s="1">
        <v>-6.4290000000000003</v>
      </c>
      <c r="P3320">
        <v>0</v>
      </c>
      <c r="Q3320" s="1">
        <v>0.33300000000000002</v>
      </c>
      <c r="R3320" s="1">
        <v>0.371</v>
      </c>
      <c r="S3320" s="1">
        <v>0.16300000000000001</v>
      </c>
      <c r="T3320" s="1">
        <v>0.14199999999999999</v>
      </c>
      <c r="U3320" s="1">
        <v>0.46200000000000002</v>
      </c>
      <c r="V3320" s="1">
        <v>127.967</v>
      </c>
      <c r="W3320">
        <v>4</v>
      </c>
    </row>
    <row r="3321" spans="1:23" x14ac:dyDescent="0.25">
      <c r="A3321" s="1" t="s">
        <v>20734</v>
      </c>
      <c r="B3321" s="1" t="s">
        <v>20735</v>
      </c>
      <c r="C3321" s="1" t="s">
        <v>8359</v>
      </c>
      <c r="D3321" s="1" t="s">
        <v>20730</v>
      </c>
      <c r="E3321" s="1" t="s">
        <v>8360</v>
      </c>
      <c r="F3321" s="1" t="s">
        <v>20731</v>
      </c>
      <c r="G3321">
        <v>271840</v>
      </c>
      <c r="H3321">
        <v>34</v>
      </c>
      <c r="I3321" s="1" t="s">
        <v>11063</v>
      </c>
      <c r="J3321" s="11">
        <v>44729.706458333334</v>
      </c>
      <c r="K3321" s="1" t="s">
        <v>5036</v>
      </c>
      <c r="L3321" s="1">
        <v>0.501</v>
      </c>
      <c r="M3321" s="1">
        <v>0.56200000000000006</v>
      </c>
      <c r="N3321">
        <v>9</v>
      </c>
      <c r="O3321" s="1">
        <v>-6.6580000000000004</v>
      </c>
      <c r="P3321">
        <v>1</v>
      </c>
      <c r="Q3321" s="1">
        <v>0.30599999999999999</v>
      </c>
      <c r="R3321" s="1">
        <v>0.30099999999999999</v>
      </c>
      <c r="S3321" s="1">
        <v>0.76700000000000002</v>
      </c>
      <c r="T3321" s="1">
        <v>0.11799999999999999</v>
      </c>
      <c r="U3321" s="1">
        <v>0.15</v>
      </c>
      <c r="V3321" s="1">
        <v>128.005</v>
      </c>
      <c r="W3321">
        <v>4</v>
      </c>
    </row>
    <row r="3322" spans="1:23" x14ac:dyDescent="0.25">
      <c r="A3322" s="1" t="s">
        <v>20736</v>
      </c>
      <c r="B3322" s="1" t="s">
        <v>20737</v>
      </c>
      <c r="C3322" s="1" t="s">
        <v>8361</v>
      </c>
      <c r="D3322" s="1" t="s">
        <v>20730</v>
      </c>
      <c r="E3322" s="1" t="s">
        <v>8362</v>
      </c>
      <c r="F3322" s="1" t="s">
        <v>20731</v>
      </c>
      <c r="G3322">
        <v>220640</v>
      </c>
      <c r="H3322">
        <v>31</v>
      </c>
      <c r="I3322" s="1" t="s">
        <v>11063</v>
      </c>
      <c r="J3322" s="11">
        <v>44729.706458333334</v>
      </c>
      <c r="K3322" s="1" t="s">
        <v>8363</v>
      </c>
      <c r="L3322" s="1">
        <v>0.70799999999999996</v>
      </c>
      <c r="M3322" s="1">
        <v>0.47099999999999997</v>
      </c>
      <c r="N3322">
        <v>9</v>
      </c>
      <c r="O3322" s="1">
        <v>-7.6669999999999998</v>
      </c>
      <c r="P3322">
        <v>1</v>
      </c>
      <c r="Q3322" s="1">
        <v>0.35399999999999998</v>
      </c>
      <c r="R3322" s="1">
        <v>0.86</v>
      </c>
      <c r="S3322" s="1">
        <v>0.83899999999999997</v>
      </c>
      <c r="T3322" s="1">
        <v>0.17899999999999999</v>
      </c>
      <c r="U3322" s="1">
        <v>0.35599999999999998</v>
      </c>
      <c r="V3322" s="1">
        <v>125.01900000000001</v>
      </c>
      <c r="W3322">
        <v>4</v>
      </c>
    </row>
    <row r="3323" spans="1:23" x14ac:dyDescent="0.25">
      <c r="A3323" s="1" t="s">
        <v>20738</v>
      </c>
      <c r="B3323" s="1" t="s">
        <v>20733</v>
      </c>
      <c r="C3323" s="1" t="s">
        <v>5769</v>
      </c>
      <c r="D3323" s="1" t="s">
        <v>20730</v>
      </c>
      <c r="E3323" s="1" t="s">
        <v>8358</v>
      </c>
      <c r="F3323" s="1" t="s">
        <v>20731</v>
      </c>
      <c r="G3323">
        <v>186320</v>
      </c>
      <c r="H3323">
        <v>49</v>
      </c>
      <c r="I3323" s="1" t="s">
        <v>11063</v>
      </c>
      <c r="J3323" s="11">
        <v>44729.706458333334</v>
      </c>
      <c r="K3323" s="1" t="s">
        <v>5036</v>
      </c>
      <c r="L3323" s="1">
        <v>0.65100000000000002</v>
      </c>
      <c r="M3323" s="1">
        <v>0.79600000000000004</v>
      </c>
      <c r="N3323">
        <v>4</v>
      </c>
      <c r="O3323" s="1">
        <v>-5.3029999999999999</v>
      </c>
      <c r="P3323">
        <v>0</v>
      </c>
      <c r="Q3323" s="1">
        <v>0.41499999999999998</v>
      </c>
      <c r="R3323" s="1">
        <v>0.108</v>
      </c>
      <c r="S3323" s="1">
        <v>0.376</v>
      </c>
      <c r="T3323" s="1">
        <v>0.46600000000000003</v>
      </c>
      <c r="U3323" s="1">
        <v>0.63800000000000001</v>
      </c>
      <c r="V3323" s="1">
        <v>127.989</v>
      </c>
      <c r="W3323">
        <v>4</v>
      </c>
    </row>
    <row r="3324" spans="1:23" x14ac:dyDescent="0.25">
      <c r="A3324" s="1" t="s">
        <v>20739</v>
      </c>
      <c r="B3324" s="1" t="s">
        <v>20740</v>
      </c>
      <c r="C3324" s="1" t="s">
        <v>8364</v>
      </c>
      <c r="D3324" s="1" t="s">
        <v>20730</v>
      </c>
      <c r="E3324" s="1" t="s">
        <v>8365</v>
      </c>
      <c r="F3324" s="1" t="s">
        <v>20731</v>
      </c>
      <c r="G3324">
        <v>208026</v>
      </c>
      <c r="H3324">
        <v>56</v>
      </c>
      <c r="I3324" s="1" t="s">
        <v>11063</v>
      </c>
      <c r="J3324" s="11">
        <v>44729.706458333334</v>
      </c>
      <c r="K3324" s="1" t="s">
        <v>8366</v>
      </c>
      <c r="L3324" s="1">
        <v>0.58799999999999997</v>
      </c>
      <c r="M3324" s="1">
        <v>0.749</v>
      </c>
      <c r="N3324">
        <v>0</v>
      </c>
      <c r="O3324" s="1">
        <v>-7.6210000000000004</v>
      </c>
      <c r="P3324">
        <v>1</v>
      </c>
      <c r="Q3324" s="1">
        <v>0.35</v>
      </c>
      <c r="R3324" s="1">
        <v>0.26400000000000001</v>
      </c>
      <c r="S3324" s="1">
        <v>0</v>
      </c>
      <c r="T3324" s="1">
        <v>0.13900000000000001</v>
      </c>
      <c r="U3324" s="1">
        <v>0.248</v>
      </c>
      <c r="V3324" s="1">
        <v>129.959</v>
      </c>
      <c r="W3324">
        <v>4</v>
      </c>
    </row>
    <row r="3325" spans="1:23" x14ac:dyDescent="0.25">
      <c r="A3325" s="1" t="s">
        <v>20741</v>
      </c>
      <c r="B3325" s="1" t="s">
        <v>20742</v>
      </c>
      <c r="C3325" s="1" t="s">
        <v>8367</v>
      </c>
      <c r="D3325" s="1" t="s">
        <v>20743</v>
      </c>
      <c r="E3325" s="1" t="s">
        <v>8368</v>
      </c>
      <c r="F3325" s="1" t="s">
        <v>20744</v>
      </c>
      <c r="G3325">
        <v>219946</v>
      </c>
      <c r="H3325">
        <v>54</v>
      </c>
      <c r="I3325" s="1" t="s">
        <v>11063</v>
      </c>
      <c r="J3325" s="11">
        <v>44729.706458333334</v>
      </c>
      <c r="K3325" s="1" t="s">
        <v>8369</v>
      </c>
      <c r="L3325" s="1">
        <v>0.68200000000000005</v>
      </c>
      <c r="M3325" s="1">
        <v>0.93</v>
      </c>
      <c r="N3325">
        <v>11</v>
      </c>
      <c r="O3325" s="1">
        <v>-4.0359999999999996</v>
      </c>
      <c r="P3325">
        <v>0</v>
      </c>
      <c r="Q3325" s="1">
        <v>0.84599999999999997</v>
      </c>
      <c r="R3325" s="1">
        <v>0.125</v>
      </c>
      <c r="S3325" s="1">
        <v>0.123</v>
      </c>
      <c r="T3325" s="1">
        <v>0.48099999999999998</v>
      </c>
      <c r="U3325" s="1">
        <v>0.46</v>
      </c>
      <c r="V3325" s="1">
        <v>127.867</v>
      </c>
      <c r="W3325">
        <v>4</v>
      </c>
    </row>
    <row r="3326" spans="1:23" x14ac:dyDescent="0.25">
      <c r="A3326" s="1" t="s">
        <v>20745</v>
      </c>
      <c r="B3326" s="1" t="s">
        <v>17043</v>
      </c>
      <c r="C3326" s="1" t="s">
        <v>8370</v>
      </c>
      <c r="D3326" s="1" t="s">
        <v>20746</v>
      </c>
      <c r="E3326" s="1" t="s">
        <v>5035</v>
      </c>
      <c r="F3326" s="1" t="s">
        <v>20747</v>
      </c>
      <c r="G3326">
        <v>216893</v>
      </c>
      <c r="H3326">
        <v>57</v>
      </c>
      <c r="I3326" s="1" t="s">
        <v>11063</v>
      </c>
      <c r="J3326" s="11">
        <v>44729.706458333334</v>
      </c>
      <c r="K3326" s="1" t="s">
        <v>5036</v>
      </c>
      <c r="L3326" s="1">
        <v>0.59299999999999997</v>
      </c>
      <c r="M3326" s="1">
        <v>0.83599999999999997</v>
      </c>
      <c r="N3326">
        <v>10</v>
      </c>
      <c r="O3326" s="1">
        <v>-4.774</v>
      </c>
      <c r="P3326">
        <v>0</v>
      </c>
      <c r="Q3326" s="1">
        <v>0.46300000000000002</v>
      </c>
      <c r="R3326" s="1">
        <v>0.73699999999999999</v>
      </c>
      <c r="S3326" s="1">
        <v>0</v>
      </c>
      <c r="T3326" s="1">
        <v>0.11700000000000001</v>
      </c>
      <c r="U3326" s="1">
        <v>0.40600000000000003</v>
      </c>
      <c r="V3326" s="1">
        <v>127.087</v>
      </c>
      <c r="W3326">
        <v>4</v>
      </c>
    </row>
    <row r="3327" spans="1:23" x14ac:dyDescent="0.25">
      <c r="A3327" s="1" t="s">
        <v>20748</v>
      </c>
      <c r="B3327" s="1" t="s">
        <v>20749</v>
      </c>
      <c r="C3327" s="1" t="s">
        <v>8371</v>
      </c>
      <c r="D3327" s="1" t="s">
        <v>20750</v>
      </c>
      <c r="E3327" s="1" t="s">
        <v>8372</v>
      </c>
      <c r="F3327" s="1" t="s">
        <v>13922</v>
      </c>
      <c r="G3327">
        <v>202873</v>
      </c>
      <c r="H3327">
        <v>0</v>
      </c>
      <c r="I3327" s="1" t="s">
        <v>11063</v>
      </c>
      <c r="J3327" s="11">
        <v>44729.706458333334</v>
      </c>
      <c r="K3327" s="1" t="s">
        <v>8373</v>
      </c>
      <c r="L3327" s="1">
        <v>0.61199999999999999</v>
      </c>
      <c r="M3327" s="1">
        <v>0.78</v>
      </c>
      <c r="N3327">
        <v>6</v>
      </c>
      <c r="O3327" s="1">
        <v>-6.7160000000000002</v>
      </c>
      <c r="P3327">
        <v>1</v>
      </c>
      <c r="Q3327" s="1">
        <v>0.498</v>
      </c>
      <c r="R3327" s="1">
        <v>0.125</v>
      </c>
      <c r="S3327" s="1">
        <v>0.19</v>
      </c>
      <c r="T3327" s="1">
        <v>0.14000000000000001</v>
      </c>
      <c r="U3327" s="1">
        <v>0.621</v>
      </c>
      <c r="V3327" s="1">
        <v>126.985</v>
      </c>
      <c r="W3327">
        <v>4</v>
      </c>
    </row>
    <row r="3328" spans="1:23" x14ac:dyDescent="0.25">
      <c r="A3328" s="1" t="s">
        <v>20751</v>
      </c>
      <c r="B3328" s="1" t="s">
        <v>14497</v>
      </c>
      <c r="C3328" s="1" t="s">
        <v>2829</v>
      </c>
      <c r="D3328" s="1" t="s">
        <v>14498</v>
      </c>
      <c r="E3328" s="1" t="s">
        <v>2830</v>
      </c>
      <c r="F3328" s="1" t="s">
        <v>14499</v>
      </c>
      <c r="G3328">
        <v>233616</v>
      </c>
      <c r="H3328">
        <v>0</v>
      </c>
      <c r="I3328" s="1" t="s">
        <v>11063</v>
      </c>
      <c r="J3328" s="11">
        <v>44729.706458333334</v>
      </c>
      <c r="K3328" s="1" t="s">
        <v>2831</v>
      </c>
      <c r="L3328" s="1">
        <v>0.439</v>
      </c>
      <c r="M3328" s="1">
        <v>0.82899999999999996</v>
      </c>
      <c r="N3328">
        <v>2</v>
      </c>
      <c r="O3328" s="1">
        <v>-2.9689999999999999</v>
      </c>
      <c r="P3328">
        <v>0</v>
      </c>
      <c r="Q3328" s="1">
        <v>0.67900000000000005</v>
      </c>
      <c r="R3328" s="1">
        <v>0.17399999999999999</v>
      </c>
      <c r="S3328" s="1">
        <v>0</v>
      </c>
      <c r="T3328" s="1">
        <v>0.39100000000000001</v>
      </c>
      <c r="U3328" s="1">
        <v>0.375</v>
      </c>
      <c r="V3328" s="1">
        <v>149.93199999999999</v>
      </c>
      <c r="W3328">
        <v>4</v>
      </c>
    </row>
    <row r="3329" spans="1:23" x14ac:dyDescent="0.25">
      <c r="A3329" s="1" t="s">
        <v>20752</v>
      </c>
      <c r="B3329" s="1" t="s">
        <v>20753</v>
      </c>
      <c r="C3329" s="1" t="s">
        <v>8374</v>
      </c>
      <c r="D3329" s="1" t="s">
        <v>20754</v>
      </c>
      <c r="E3329" s="1" t="s">
        <v>8375</v>
      </c>
      <c r="F3329" s="1" t="s">
        <v>11700</v>
      </c>
      <c r="G3329">
        <v>215980</v>
      </c>
      <c r="H3329">
        <v>40</v>
      </c>
      <c r="I3329" s="1" t="s">
        <v>11063</v>
      </c>
      <c r="J3329" s="11">
        <v>44729.706458333334</v>
      </c>
      <c r="K3329" s="1" t="s">
        <v>8376</v>
      </c>
      <c r="L3329" s="1">
        <v>0.68799999999999994</v>
      </c>
      <c r="M3329" s="1">
        <v>0.83599999999999997</v>
      </c>
      <c r="N3329">
        <v>10</v>
      </c>
      <c r="O3329" s="1">
        <v>-4.9630000000000001</v>
      </c>
      <c r="P3329">
        <v>1</v>
      </c>
      <c r="Q3329" s="1">
        <v>0.44400000000000001</v>
      </c>
      <c r="R3329" s="1">
        <v>0.25600000000000001</v>
      </c>
      <c r="S3329" s="1">
        <v>0.151</v>
      </c>
      <c r="T3329" s="1">
        <v>0.91500000000000004</v>
      </c>
      <c r="U3329" s="1">
        <v>0.38600000000000001</v>
      </c>
      <c r="V3329" s="1">
        <v>160.036</v>
      </c>
      <c r="W3329">
        <v>4</v>
      </c>
    </row>
    <row r="3330" spans="1:23" x14ac:dyDescent="0.25">
      <c r="A3330" s="1" t="s">
        <v>20755</v>
      </c>
      <c r="B3330" s="1" t="s">
        <v>20756</v>
      </c>
      <c r="C3330" s="1" t="s">
        <v>8377</v>
      </c>
      <c r="D3330" s="1" t="s">
        <v>8377</v>
      </c>
      <c r="E3330" s="1" t="s">
        <v>8378</v>
      </c>
      <c r="F3330" s="1" t="s">
        <v>13855</v>
      </c>
      <c r="G3330">
        <v>228212</v>
      </c>
      <c r="H3330">
        <v>34</v>
      </c>
      <c r="I3330" s="1" t="s">
        <v>11063</v>
      </c>
      <c r="J3330" s="11">
        <v>44729.706458333334</v>
      </c>
      <c r="K3330" s="1" t="s">
        <v>50</v>
      </c>
      <c r="L3330" s="1">
        <v>0.39100000000000001</v>
      </c>
      <c r="M3330" s="1">
        <v>0.91600000000000004</v>
      </c>
      <c r="N3330">
        <v>7</v>
      </c>
      <c r="O3330" s="1">
        <v>-3.32</v>
      </c>
      <c r="P3330">
        <v>1</v>
      </c>
      <c r="Q3330" s="1">
        <v>0.13</v>
      </c>
      <c r="R3330" s="1">
        <v>0.442</v>
      </c>
      <c r="S3330" s="1">
        <v>0</v>
      </c>
      <c r="T3330" s="1">
        <v>0.34499999999999997</v>
      </c>
      <c r="U3330" s="1">
        <v>0.432</v>
      </c>
      <c r="V3330" s="1">
        <v>175.821</v>
      </c>
      <c r="W3330">
        <v>4</v>
      </c>
    </row>
    <row r="3331" spans="1:23" x14ac:dyDescent="0.25">
      <c r="A3331" s="1" t="s">
        <v>20757</v>
      </c>
      <c r="B3331" s="1" t="s">
        <v>19890</v>
      </c>
      <c r="C3331" s="1" t="s">
        <v>2869</v>
      </c>
      <c r="D3331" s="1" t="s">
        <v>19892</v>
      </c>
      <c r="E3331" s="1" t="s">
        <v>7589</v>
      </c>
      <c r="F3331" s="1" t="s">
        <v>14894</v>
      </c>
      <c r="G3331">
        <v>221280</v>
      </c>
      <c r="H3331">
        <v>67</v>
      </c>
      <c r="I3331" s="1" t="s">
        <v>11063</v>
      </c>
      <c r="J3331" s="11">
        <v>44729.706458333334</v>
      </c>
      <c r="K3331" s="1" t="s">
        <v>7590</v>
      </c>
      <c r="L3331" s="1">
        <v>0.60699999999999998</v>
      </c>
      <c r="M3331" s="1">
        <v>0.67300000000000004</v>
      </c>
      <c r="N3331">
        <v>5</v>
      </c>
      <c r="O3331" s="1">
        <v>-6.484</v>
      </c>
      <c r="P3331">
        <v>0</v>
      </c>
      <c r="Q3331" s="1">
        <v>0.61099999999999999</v>
      </c>
      <c r="R3331" s="1">
        <v>0.18099999999999999</v>
      </c>
      <c r="S3331" s="1">
        <v>0</v>
      </c>
      <c r="T3331" s="1">
        <v>0.69</v>
      </c>
      <c r="U3331" s="1">
        <v>0.215</v>
      </c>
      <c r="V3331" s="1">
        <v>88.951999999999998</v>
      </c>
      <c r="W3331">
        <v>4</v>
      </c>
    </row>
    <row r="3332" spans="1:23" x14ac:dyDescent="0.25">
      <c r="A3332" s="1" t="s">
        <v>20758</v>
      </c>
      <c r="B3332" s="1" t="s">
        <v>20759</v>
      </c>
      <c r="C3332" s="1" t="s">
        <v>8379</v>
      </c>
      <c r="D3332" s="1" t="s">
        <v>8379</v>
      </c>
      <c r="E3332" s="1" t="s">
        <v>8380</v>
      </c>
      <c r="F3332" s="1" t="s">
        <v>20760</v>
      </c>
      <c r="G3332">
        <v>197993</v>
      </c>
      <c r="H3332">
        <v>79</v>
      </c>
      <c r="I3332" s="1" t="s">
        <v>11063</v>
      </c>
      <c r="J3332" s="11">
        <v>44729.706458333334</v>
      </c>
      <c r="K3332" s="1" t="s">
        <v>8381</v>
      </c>
      <c r="L3332" s="1">
        <v>0.72399999999999998</v>
      </c>
      <c r="M3332" s="1">
        <v>0.80400000000000005</v>
      </c>
      <c r="N3332">
        <v>11</v>
      </c>
      <c r="O3332" s="1">
        <v>-4.6139999999999999</v>
      </c>
      <c r="P3332">
        <v>0</v>
      </c>
      <c r="Q3332" s="1">
        <v>0.44800000000000001</v>
      </c>
      <c r="R3332" s="1">
        <v>0.124</v>
      </c>
      <c r="S3332" s="1">
        <v>0</v>
      </c>
      <c r="T3332" s="1">
        <v>0.20399999999999999</v>
      </c>
      <c r="U3332" s="1">
        <v>0.30599999999999999</v>
      </c>
      <c r="V3332" s="1">
        <v>124.98699999999999</v>
      </c>
      <c r="W3332">
        <v>4</v>
      </c>
    </row>
    <row r="3333" spans="1:23" x14ac:dyDescent="0.25">
      <c r="A3333" s="1" t="s">
        <v>20761</v>
      </c>
      <c r="B3333" s="1" t="s">
        <v>20762</v>
      </c>
      <c r="C3333" s="1" t="s">
        <v>8382</v>
      </c>
      <c r="D3333" s="1" t="s">
        <v>8382</v>
      </c>
      <c r="E3333" s="1" t="s">
        <v>8383</v>
      </c>
      <c r="F3333" s="1" t="s">
        <v>20763</v>
      </c>
      <c r="G3333">
        <v>192857</v>
      </c>
      <c r="H3333">
        <v>30</v>
      </c>
      <c r="I3333" s="1" t="s">
        <v>11063</v>
      </c>
      <c r="J3333" s="11">
        <v>44729.706458333334</v>
      </c>
      <c r="K3333" s="1" t="s">
        <v>8384</v>
      </c>
      <c r="L3333" s="1">
        <v>0.60299999999999998</v>
      </c>
      <c r="M3333" s="1">
        <v>0.872</v>
      </c>
      <c r="N3333">
        <v>1</v>
      </c>
      <c r="O3333" s="1">
        <v>-6.4240000000000004</v>
      </c>
      <c r="P3333">
        <v>0</v>
      </c>
      <c r="Q3333" s="1">
        <v>0.35799999999999998</v>
      </c>
      <c r="R3333" s="1">
        <v>0.21199999999999999</v>
      </c>
      <c r="S3333" s="1">
        <v>0.255</v>
      </c>
      <c r="T3333" s="1">
        <v>0.17100000000000001</v>
      </c>
      <c r="U3333" s="1">
        <v>0.38900000000000001</v>
      </c>
      <c r="V3333" s="1">
        <v>140.00899999999999</v>
      </c>
      <c r="W3333">
        <v>4</v>
      </c>
    </row>
    <row r="3334" spans="1:23" x14ac:dyDescent="0.25">
      <c r="A3334" s="1" t="s">
        <v>20764</v>
      </c>
      <c r="B3334" s="1" t="s">
        <v>18574</v>
      </c>
      <c r="C3334" s="1" t="s">
        <v>8385</v>
      </c>
      <c r="D3334" s="1" t="s">
        <v>8385</v>
      </c>
      <c r="E3334" s="1" t="s">
        <v>6439</v>
      </c>
      <c r="F3334" s="1" t="s">
        <v>17613</v>
      </c>
      <c r="G3334">
        <v>183333</v>
      </c>
      <c r="H3334">
        <v>48</v>
      </c>
      <c r="I3334" s="1" t="s">
        <v>11063</v>
      </c>
      <c r="J3334" s="11">
        <v>44729.706458333334</v>
      </c>
      <c r="K3334" s="1" t="s">
        <v>1001</v>
      </c>
      <c r="L3334" s="1">
        <v>0.65900000000000003</v>
      </c>
      <c r="M3334" s="1">
        <v>0.64800000000000002</v>
      </c>
      <c r="N3334">
        <v>8</v>
      </c>
      <c r="O3334" s="1">
        <v>-5.9489999999999998</v>
      </c>
      <c r="P3334">
        <v>0</v>
      </c>
      <c r="Q3334" s="1">
        <v>0.317</v>
      </c>
      <c r="R3334" s="1">
        <v>0.2</v>
      </c>
      <c r="S3334" s="1">
        <v>0.63400000000000001</v>
      </c>
      <c r="T3334" s="1">
        <v>0.375</v>
      </c>
      <c r="U3334" s="1">
        <v>0.27900000000000003</v>
      </c>
      <c r="V3334" s="1">
        <v>144.28700000000001</v>
      </c>
      <c r="W3334">
        <v>4</v>
      </c>
    </row>
    <row r="3335" spans="1:23" x14ac:dyDescent="0.25">
      <c r="A3335" s="1" t="s">
        <v>20765</v>
      </c>
      <c r="B3335" s="1" t="s">
        <v>20766</v>
      </c>
      <c r="C3335" s="1" t="s">
        <v>8386</v>
      </c>
      <c r="D3335" s="1" t="s">
        <v>8386</v>
      </c>
      <c r="E3335" s="1" t="s">
        <v>8387</v>
      </c>
      <c r="F3335" s="1" t="s">
        <v>15661</v>
      </c>
      <c r="G3335">
        <v>276000</v>
      </c>
      <c r="H3335">
        <v>62</v>
      </c>
      <c r="I3335" s="1" t="s">
        <v>11063</v>
      </c>
      <c r="J3335" s="11">
        <v>44729.706458333334</v>
      </c>
      <c r="K3335" s="1" t="s">
        <v>8388</v>
      </c>
      <c r="L3335" s="1">
        <v>0.495</v>
      </c>
      <c r="M3335" s="1">
        <v>0.83399999999999996</v>
      </c>
      <c r="N3335">
        <v>4</v>
      </c>
      <c r="O3335" s="1">
        <v>-4.7309999999999999</v>
      </c>
      <c r="P3335">
        <v>0</v>
      </c>
      <c r="Q3335" s="1">
        <v>0.96699999999999997</v>
      </c>
      <c r="R3335" s="1">
        <v>0.72499999999999998</v>
      </c>
      <c r="S3335" s="1">
        <v>0.4</v>
      </c>
      <c r="T3335" s="1">
        <v>0.126</v>
      </c>
      <c r="U3335" s="1">
        <v>0.247</v>
      </c>
      <c r="V3335" s="1">
        <v>150.04900000000001</v>
      </c>
      <c r="W3335">
        <v>4</v>
      </c>
    </row>
    <row r="3336" spans="1:23" x14ac:dyDescent="0.25">
      <c r="A3336" s="1" t="s">
        <v>20767</v>
      </c>
      <c r="B3336" s="1" t="s">
        <v>20768</v>
      </c>
      <c r="C3336" s="1" t="s">
        <v>8389</v>
      </c>
      <c r="D3336" s="1" t="s">
        <v>20769</v>
      </c>
      <c r="E3336" s="1" t="s">
        <v>8390</v>
      </c>
      <c r="F3336" s="1" t="s">
        <v>17607</v>
      </c>
      <c r="G3336">
        <v>309843</v>
      </c>
      <c r="H3336">
        <v>13</v>
      </c>
      <c r="I3336" s="1" t="s">
        <v>11063</v>
      </c>
      <c r="J3336" s="11">
        <v>44729.706458333334</v>
      </c>
      <c r="K3336" s="1" t="s">
        <v>8391</v>
      </c>
      <c r="L3336" s="1">
        <v>0.8</v>
      </c>
      <c r="M3336" s="1">
        <v>0.58799999999999997</v>
      </c>
      <c r="N3336">
        <v>10</v>
      </c>
      <c r="O3336" s="1">
        <v>-8.7910000000000004</v>
      </c>
      <c r="P3336">
        <v>0</v>
      </c>
      <c r="Q3336" s="1">
        <v>0.56299999999999994</v>
      </c>
      <c r="R3336" s="1">
        <v>0.27</v>
      </c>
      <c r="S3336" s="1">
        <v>0.875</v>
      </c>
      <c r="T3336" s="1">
        <v>0.94499999999999995</v>
      </c>
      <c r="U3336" s="1">
        <v>0.67100000000000004</v>
      </c>
      <c r="V3336" s="1">
        <v>128.00899999999999</v>
      </c>
      <c r="W3336">
        <v>4</v>
      </c>
    </row>
    <row r="3337" spans="1:23" x14ac:dyDescent="0.25">
      <c r="A3337" s="1" t="s">
        <v>20770</v>
      </c>
      <c r="B3337" s="1" t="s">
        <v>20771</v>
      </c>
      <c r="C3337" s="1" t="s">
        <v>8392</v>
      </c>
      <c r="D3337" s="1" t="s">
        <v>8392</v>
      </c>
      <c r="E3337" s="1" t="s">
        <v>8393</v>
      </c>
      <c r="F3337" s="1" t="s">
        <v>20772</v>
      </c>
      <c r="G3337">
        <v>158027</v>
      </c>
      <c r="H3337">
        <v>66</v>
      </c>
      <c r="I3337" s="1" t="s">
        <v>11063</v>
      </c>
      <c r="J3337" s="11">
        <v>44729.706458333334</v>
      </c>
      <c r="K3337" s="1" t="s">
        <v>8394</v>
      </c>
      <c r="L3337" s="1">
        <v>0.54100000000000004</v>
      </c>
      <c r="M3337" s="1">
        <v>0.46800000000000003</v>
      </c>
      <c r="N3337">
        <v>10</v>
      </c>
      <c r="O3337" s="1">
        <v>-4.0389999999999997</v>
      </c>
      <c r="P3337">
        <v>0</v>
      </c>
      <c r="Q3337" s="1">
        <v>0.36199999999999999</v>
      </c>
      <c r="R3337" s="1">
        <v>0.40400000000000003</v>
      </c>
      <c r="S3337" s="1">
        <v>0.36499999999999999</v>
      </c>
      <c r="T3337" s="1">
        <v>0.35799999999999998</v>
      </c>
      <c r="U3337" s="1">
        <v>0.69</v>
      </c>
      <c r="V3337" s="1">
        <v>95.266000000000005</v>
      </c>
      <c r="W3337">
        <v>4</v>
      </c>
    </row>
    <row r="3338" spans="1:23" x14ac:dyDescent="0.25">
      <c r="A3338" s="1" t="s">
        <v>20773</v>
      </c>
      <c r="B3338" s="1" t="s">
        <v>20774</v>
      </c>
      <c r="C3338" s="1" t="s">
        <v>8395</v>
      </c>
      <c r="D3338" s="1" t="s">
        <v>8395</v>
      </c>
      <c r="E3338" s="1" t="s">
        <v>8396</v>
      </c>
      <c r="F3338" s="1" t="s">
        <v>11530</v>
      </c>
      <c r="G3338">
        <v>212500</v>
      </c>
      <c r="H3338">
        <v>77</v>
      </c>
      <c r="I3338" s="1" t="s">
        <v>11063</v>
      </c>
      <c r="J3338" s="11">
        <v>44729.706458333334</v>
      </c>
      <c r="K3338" s="1" t="s">
        <v>8397</v>
      </c>
      <c r="L3338" s="1">
        <v>0.84199999999999997</v>
      </c>
      <c r="M3338" s="1">
        <v>0.80100000000000005</v>
      </c>
      <c r="N3338">
        <v>8</v>
      </c>
      <c r="O3338" s="1">
        <v>-4.1669999999999998</v>
      </c>
      <c r="P3338">
        <v>0</v>
      </c>
      <c r="Q3338" s="1">
        <v>0.22800000000000001</v>
      </c>
      <c r="R3338" s="1">
        <v>0.157</v>
      </c>
      <c r="S3338" s="1">
        <v>0.48199999999999998</v>
      </c>
      <c r="T3338" s="1">
        <v>0.64200000000000002</v>
      </c>
      <c r="U3338" s="1">
        <v>0.61699999999999999</v>
      </c>
      <c r="V3338" s="1">
        <v>95.881</v>
      </c>
      <c r="W3338">
        <v>4</v>
      </c>
    </row>
    <row r="3339" spans="1:23" x14ac:dyDescent="0.25">
      <c r="A3339" s="1" t="s">
        <v>20775</v>
      </c>
      <c r="B3339" s="1" t="s">
        <v>20776</v>
      </c>
      <c r="C3339" s="1" t="s">
        <v>8398</v>
      </c>
      <c r="D3339" s="1" t="s">
        <v>20777</v>
      </c>
      <c r="E3339" s="1" t="s">
        <v>8399</v>
      </c>
      <c r="F3339" s="1" t="s">
        <v>16994</v>
      </c>
      <c r="G3339">
        <v>206327</v>
      </c>
      <c r="H3339">
        <v>43</v>
      </c>
      <c r="I3339" s="1" t="s">
        <v>11063</v>
      </c>
      <c r="J3339" s="11">
        <v>44729.706458333334</v>
      </c>
      <c r="K3339" s="1" t="s">
        <v>8400</v>
      </c>
      <c r="L3339" s="1">
        <v>0.59799999999999998</v>
      </c>
      <c r="M3339" s="1">
        <v>0.79200000000000004</v>
      </c>
      <c r="N3339">
        <v>11</v>
      </c>
      <c r="O3339" s="1">
        <v>-4.0430000000000001</v>
      </c>
      <c r="P3339">
        <v>0</v>
      </c>
      <c r="Q3339" s="1">
        <v>0.47799999999999998</v>
      </c>
      <c r="R3339" s="1">
        <v>0.121</v>
      </c>
      <c r="S3339" s="1">
        <v>0</v>
      </c>
      <c r="T3339" s="1">
        <v>0.158</v>
      </c>
      <c r="U3339" s="1">
        <v>0.73199999999999998</v>
      </c>
      <c r="V3339" s="1">
        <v>97.478999999999999</v>
      </c>
      <c r="W3339">
        <v>3</v>
      </c>
    </row>
    <row r="3340" spans="1:23" x14ac:dyDescent="0.25">
      <c r="A3340" s="1" t="s">
        <v>20778</v>
      </c>
      <c r="B3340" s="1" t="s">
        <v>20779</v>
      </c>
      <c r="C3340" s="1" t="s">
        <v>8401</v>
      </c>
      <c r="D3340" s="1" t="s">
        <v>20777</v>
      </c>
      <c r="E3340" s="1" t="s">
        <v>8402</v>
      </c>
      <c r="F3340" s="1" t="s">
        <v>16994</v>
      </c>
      <c r="G3340">
        <v>233010</v>
      </c>
      <c r="H3340">
        <v>43</v>
      </c>
      <c r="I3340" s="1" t="s">
        <v>11063</v>
      </c>
      <c r="J3340" s="11">
        <v>44729.706458333334</v>
      </c>
      <c r="K3340" s="1" t="s">
        <v>8403</v>
      </c>
      <c r="L3340" s="1">
        <v>0.497</v>
      </c>
      <c r="M3340" s="1">
        <v>0.627</v>
      </c>
      <c r="N3340">
        <v>6</v>
      </c>
      <c r="O3340" s="1">
        <v>-6.141</v>
      </c>
      <c r="P3340">
        <v>0</v>
      </c>
      <c r="Q3340" s="1">
        <v>0.31900000000000001</v>
      </c>
      <c r="R3340" s="1">
        <v>0.14199999999999999</v>
      </c>
      <c r="S3340" s="1">
        <v>0</v>
      </c>
      <c r="T3340" s="1">
        <v>0.61899999999999999</v>
      </c>
      <c r="U3340" s="1">
        <v>0.193</v>
      </c>
      <c r="V3340" s="1">
        <v>79.930000000000007</v>
      </c>
      <c r="W3340">
        <v>4</v>
      </c>
    </row>
    <row r="3341" spans="1:23" x14ac:dyDescent="0.25">
      <c r="A3341" s="1" t="s">
        <v>20780</v>
      </c>
      <c r="B3341" s="1" t="s">
        <v>20781</v>
      </c>
      <c r="C3341" s="1" t="s">
        <v>8404</v>
      </c>
      <c r="D3341" s="1" t="s">
        <v>8404</v>
      </c>
      <c r="E3341" s="1" t="s">
        <v>8405</v>
      </c>
      <c r="F3341" s="1" t="s">
        <v>17664</v>
      </c>
      <c r="G3341">
        <v>236075</v>
      </c>
      <c r="H3341">
        <v>37</v>
      </c>
      <c r="I3341" s="1" t="s">
        <v>11063</v>
      </c>
      <c r="J3341" s="11">
        <v>44729.706458333334</v>
      </c>
      <c r="K3341" s="1" t="s">
        <v>8406</v>
      </c>
      <c r="L3341" s="1">
        <v>0.68899999999999995</v>
      </c>
      <c r="M3341" s="1">
        <v>0.76900000000000002</v>
      </c>
      <c r="N3341">
        <v>8</v>
      </c>
      <c r="O3341" s="1">
        <v>-5.4450000000000003</v>
      </c>
      <c r="P3341">
        <v>1</v>
      </c>
      <c r="Q3341" s="1">
        <v>0.31900000000000001</v>
      </c>
      <c r="R3341" s="1">
        <v>0.14199999999999999</v>
      </c>
      <c r="S3341" s="1">
        <v>0</v>
      </c>
      <c r="T3341" s="1">
        <v>0.83199999999999996</v>
      </c>
      <c r="U3341" s="1">
        <v>0.55600000000000005</v>
      </c>
      <c r="V3341" s="1">
        <v>122.023</v>
      </c>
      <c r="W3341">
        <v>4</v>
      </c>
    </row>
    <row r="3342" spans="1:23" x14ac:dyDescent="0.25">
      <c r="A3342" s="1" t="s">
        <v>20782</v>
      </c>
      <c r="B3342" s="1" t="s">
        <v>20783</v>
      </c>
      <c r="C3342" s="1" t="s">
        <v>8407</v>
      </c>
      <c r="D3342" s="1" t="s">
        <v>20777</v>
      </c>
      <c r="E3342" s="1" t="s">
        <v>8408</v>
      </c>
      <c r="F3342" s="1" t="s">
        <v>16994</v>
      </c>
      <c r="G3342">
        <v>273000</v>
      </c>
      <c r="H3342">
        <v>42</v>
      </c>
      <c r="I3342" s="1" t="s">
        <v>11063</v>
      </c>
      <c r="J3342" s="11">
        <v>44729.706458333334</v>
      </c>
      <c r="K3342" s="1" t="s">
        <v>8409</v>
      </c>
      <c r="L3342" s="1">
        <v>0.33100000000000002</v>
      </c>
      <c r="M3342" s="1">
        <v>0.82</v>
      </c>
      <c r="N3342">
        <v>2</v>
      </c>
      <c r="O3342" s="1">
        <v>-3.2639999999999998</v>
      </c>
      <c r="P3342">
        <v>1</v>
      </c>
      <c r="Q3342" s="1">
        <v>0.47299999999999998</v>
      </c>
      <c r="R3342" s="1">
        <v>0.188</v>
      </c>
      <c r="S3342" s="1">
        <v>0.20699999999999999</v>
      </c>
      <c r="T3342" s="1">
        <v>0.34200000000000003</v>
      </c>
      <c r="U3342" s="1">
        <v>0.27500000000000002</v>
      </c>
      <c r="V3342" s="1">
        <v>159.97300000000001</v>
      </c>
      <c r="W3342">
        <v>4</v>
      </c>
    </row>
    <row r="3343" spans="1:23" x14ac:dyDescent="0.25">
      <c r="A3343" s="1" t="s">
        <v>11083</v>
      </c>
      <c r="B3343" s="1" t="s">
        <v>11084</v>
      </c>
      <c r="C3343" s="1" t="s">
        <v>8410</v>
      </c>
      <c r="D3343" s="1" t="s">
        <v>8410</v>
      </c>
      <c r="E3343" s="1" t="s">
        <v>8411</v>
      </c>
      <c r="F3343" s="1" t="s">
        <v>15363</v>
      </c>
      <c r="G3343">
        <v>211250</v>
      </c>
      <c r="H3343">
        <v>26</v>
      </c>
      <c r="I3343" s="1" t="s">
        <v>11063</v>
      </c>
      <c r="J3343" s="11">
        <v>44729.706458333334</v>
      </c>
      <c r="K3343" s="1" t="s">
        <v>8412</v>
      </c>
      <c r="L3343" s="1">
        <v>0.54500000000000004</v>
      </c>
      <c r="M3343" s="1">
        <v>0.70199999999999996</v>
      </c>
      <c r="N3343">
        <v>6</v>
      </c>
      <c r="O3343" s="1">
        <v>-6.2690000000000001</v>
      </c>
      <c r="P3343">
        <v>0</v>
      </c>
      <c r="Q3343" s="1">
        <v>0.47299999999999998</v>
      </c>
      <c r="R3343" s="1">
        <v>0.39900000000000002</v>
      </c>
      <c r="S3343" s="1">
        <v>0</v>
      </c>
      <c r="T3343" s="1">
        <v>0.11799999999999999</v>
      </c>
      <c r="U3343" s="1">
        <v>0.32900000000000001</v>
      </c>
      <c r="V3343" s="1">
        <v>95.989000000000004</v>
      </c>
      <c r="W3343">
        <v>4</v>
      </c>
    </row>
    <row r="3344" spans="1:23" x14ac:dyDescent="0.25">
      <c r="A3344" s="1" t="s">
        <v>20784</v>
      </c>
      <c r="B3344" s="1" t="s">
        <v>20785</v>
      </c>
      <c r="C3344" s="1" t="s">
        <v>8413</v>
      </c>
      <c r="D3344" s="1" t="s">
        <v>20786</v>
      </c>
      <c r="E3344" s="1" t="s">
        <v>8414</v>
      </c>
      <c r="F3344" s="1" t="s">
        <v>20787</v>
      </c>
      <c r="G3344">
        <v>256500</v>
      </c>
      <c r="H3344">
        <v>56</v>
      </c>
      <c r="I3344" s="1" t="s">
        <v>11063</v>
      </c>
      <c r="J3344" s="11">
        <v>44729.706458333334</v>
      </c>
      <c r="K3344" s="1" t="s">
        <v>8415</v>
      </c>
      <c r="L3344" s="1">
        <v>0.40600000000000003</v>
      </c>
      <c r="M3344" s="1">
        <v>0.94899999999999995</v>
      </c>
      <c r="N3344">
        <v>8</v>
      </c>
      <c r="O3344" s="1">
        <v>-4.4880000000000004</v>
      </c>
      <c r="P3344">
        <v>0</v>
      </c>
      <c r="Q3344" s="1">
        <v>0.114</v>
      </c>
      <c r="R3344" s="1">
        <v>0.68500000000000005</v>
      </c>
      <c r="S3344" s="1">
        <v>0.52</v>
      </c>
      <c r="T3344" s="1">
        <v>0.80500000000000005</v>
      </c>
      <c r="U3344" s="1">
        <v>0.45700000000000002</v>
      </c>
      <c r="V3344" s="1">
        <v>160.00700000000001</v>
      </c>
      <c r="W3344">
        <v>4</v>
      </c>
    </row>
    <row r="3345" spans="1:23" x14ac:dyDescent="0.25">
      <c r="A3345" s="1" t="s">
        <v>11066</v>
      </c>
      <c r="B3345" s="1" t="s">
        <v>11067</v>
      </c>
      <c r="C3345" s="1" t="s">
        <v>8416</v>
      </c>
      <c r="D3345" s="1" t="s">
        <v>8416</v>
      </c>
      <c r="E3345" s="1" t="s">
        <v>8417</v>
      </c>
      <c r="F3345" s="1" t="s">
        <v>11718</v>
      </c>
      <c r="G3345">
        <v>201600</v>
      </c>
      <c r="H3345">
        <v>41</v>
      </c>
      <c r="I3345" s="1" t="s">
        <v>11063</v>
      </c>
      <c r="J3345" s="11">
        <v>44729.706458333334</v>
      </c>
      <c r="K3345" s="1" t="s">
        <v>3049</v>
      </c>
      <c r="L3345" s="1">
        <v>0.38100000000000001</v>
      </c>
      <c r="M3345" s="1">
        <v>0.66800000000000004</v>
      </c>
      <c r="N3345">
        <v>1</v>
      </c>
      <c r="O3345" s="1">
        <v>-4.3280000000000003</v>
      </c>
      <c r="P3345">
        <v>0</v>
      </c>
      <c r="Q3345" s="1">
        <v>0.32600000000000001</v>
      </c>
      <c r="R3345" s="1">
        <v>0.45700000000000002</v>
      </c>
      <c r="S3345" s="1">
        <v>0</v>
      </c>
      <c r="T3345" s="1">
        <v>0.877</v>
      </c>
      <c r="U3345" s="1">
        <v>0.104</v>
      </c>
      <c r="V3345" s="1">
        <v>75.004000000000005</v>
      </c>
      <c r="W3345">
        <v>4</v>
      </c>
    </row>
    <row r="3346" spans="1:23" x14ac:dyDescent="0.25">
      <c r="A3346" s="1" t="s">
        <v>20788</v>
      </c>
      <c r="B3346" s="1" t="s">
        <v>20789</v>
      </c>
      <c r="C3346" s="1" t="s">
        <v>8418</v>
      </c>
      <c r="D3346" s="1" t="s">
        <v>8418</v>
      </c>
      <c r="E3346" s="1" t="s">
        <v>8419</v>
      </c>
      <c r="F3346" s="1" t="s">
        <v>11356</v>
      </c>
      <c r="G3346">
        <v>265142</v>
      </c>
      <c r="H3346">
        <v>40</v>
      </c>
      <c r="I3346" s="1" t="s">
        <v>11063</v>
      </c>
      <c r="J3346" s="11">
        <v>44729.706458333334</v>
      </c>
      <c r="K3346" s="1" t="s">
        <v>3049</v>
      </c>
      <c r="L3346" s="1">
        <v>0.59099999999999997</v>
      </c>
      <c r="M3346" s="1">
        <v>0.73699999999999999</v>
      </c>
      <c r="N3346">
        <v>7</v>
      </c>
      <c r="O3346" s="1">
        <v>-4.9249999999999998</v>
      </c>
      <c r="P3346">
        <v>1</v>
      </c>
      <c r="Q3346" s="1">
        <v>0.309</v>
      </c>
      <c r="R3346" s="1">
        <v>0.314</v>
      </c>
      <c r="S3346" s="1">
        <v>0.22</v>
      </c>
      <c r="T3346" s="1">
        <v>0.98699999999999999</v>
      </c>
      <c r="U3346" s="1">
        <v>0.43</v>
      </c>
      <c r="V3346" s="1">
        <v>105.03400000000001</v>
      </c>
      <c r="W3346">
        <v>4</v>
      </c>
    </row>
    <row r="3347" spans="1:23" x14ac:dyDescent="0.25">
      <c r="A3347" s="1" t="s">
        <v>20790</v>
      </c>
      <c r="B3347" s="1" t="s">
        <v>20791</v>
      </c>
      <c r="C3347" s="1" t="s">
        <v>8420</v>
      </c>
      <c r="D3347" s="1" t="s">
        <v>20792</v>
      </c>
      <c r="E3347" s="1" t="s">
        <v>8421</v>
      </c>
      <c r="F3347" s="1" t="s">
        <v>11612</v>
      </c>
      <c r="G3347">
        <v>202906</v>
      </c>
      <c r="H3347">
        <v>62</v>
      </c>
      <c r="I3347" s="1" t="s">
        <v>11063</v>
      </c>
      <c r="J3347" s="11">
        <v>44729.706458333334</v>
      </c>
      <c r="K3347" s="1" t="s">
        <v>8422</v>
      </c>
      <c r="L3347" s="1">
        <v>0.60199999999999998</v>
      </c>
      <c r="M3347" s="1">
        <v>0.752</v>
      </c>
      <c r="N3347">
        <v>7</v>
      </c>
      <c r="O3347" s="1">
        <v>-4.931</v>
      </c>
      <c r="P3347">
        <v>0</v>
      </c>
      <c r="Q3347" s="1">
        <v>0.36099999999999999</v>
      </c>
      <c r="R3347" s="1">
        <v>0.63800000000000001</v>
      </c>
      <c r="S3347" s="1">
        <v>0</v>
      </c>
      <c r="T3347" s="1">
        <v>0.13</v>
      </c>
      <c r="U3347" s="1">
        <v>0.33100000000000002</v>
      </c>
      <c r="V3347" s="1">
        <v>130.03700000000001</v>
      </c>
      <c r="W3347">
        <v>4</v>
      </c>
    </row>
    <row r="3348" spans="1:23" x14ac:dyDescent="0.25">
      <c r="A3348" s="1" t="s">
        <v>20793</v>
      </c>
      <c r="B3348" s="1" t="s">
        <v>18644</v>
      </c>
      <c r="C3348" s="1" t="s">
        <v>3460</v>
      </c>
      <c r="D3348" s="1" t="s">
        <v>20792</v>
      </c>
      <c r="E3348" s="1" t="s">
        <v>6505</v>
      </c>
      <c r="F3348" s="1" t="s">
        <v>11612</v>
      </c>
      <c r="G3348">
        <v>160426</v>
      </c>
      <c r="H3348">
        <v>73</v>
      </c>
      <c r="I3348" s="1" t="s">
        <v>11063</v>
      </c>
      <c r="J3348" s="11">
        <v>44729.706458333334</v>
      </c>
      <c r="K3348" s="1" t="s">
        <v>923</v>
      </c>
      <c r="L3348" s="1">
        <v>0.67300000000000004</v>
      </c>
      <c r="M3348" s="1">
        <v>0.91400000000000003</v>
      </c>
      <c r="N3348">
        <v>10</v>
      </c>
      <c r="O3348" s="1">
        <v>-3.9620000000000002</v>
      </c>
      <c r="P3348">
        <v>1</v>
      </c>
      <c r="Q3348" s="1">
        <v>0.496</v>
      </c>
      <c r="R3348" s="1">
        <v>0.22900000000000001</v>
      </c>
      <c r="S3348" s="1">
        <v>0.47799999999999998</v>
      </c>
      <c r="T3348" s="1">
        <v>0.186</v>
      </c>
      <c r="U3348" s="1">
        <v>0.183</v>
      </c>
      <c r="V3348" s="1">
        <v>97.021000000000001</v>
      </c>
      <c r="W3348">
        <v>4</v>
      </c>
    </row>
    <row r="3349" spans="1:23" x14ac:dyDescent="0.25">
      <c r="A3349" s="1" t="s">
        <v>20794</v>
      </c>
      <c r="B3349" s="1" t="s">
        <v>20795</v>
      </c>
      <c r="C3349" s="1" t="s">
        <v>8423</v>
      </c>
      <c r="D3349" s="1" t="s">
        <v>20792</v>
      </c>
      <c r="E3349" s="1" t="s">
        <v>8424</v>
      </c>
      <c r="F3349" s="1" t="s">
        <v>11612</v>
      </c>
      <c r="G3349">
        <v>240333</v>
      </c>
      <c r="H3349">
        <v>63</v>
      </c>
      <c r="I3349" s="1" t="s">
        <v>11063</v>
      </c>
      <c r="J3349" s="11">
        <v>44729.706458333334</v>
      </c>
      <c r="K3349" s="1" t="s">
        <v>8425</v>
      </c>
      <c r="L3349" s="1">
        <v>0.47799999999999998</v>
      </c>
      <c r="M3349" s="1">
        <v>0.63300000000000001</v>
      </c>
      <c r="N3349">
        <v>0</v>
      </c>
      <c r="O3349" s="1">
        <v>-6.19</v>
      </c>
      <c r="P3349">
        <v>1</v>
      </c>
      <c r="Q3349" s="1">
        <v>0.34499999999999997</v>
      </c>
      <c r="R3349" s="1">
        <v>0.123</v>
      </c>
      <c r="S3349" s="1">
        <v>0</v>
      </c>
      <c r="T3349" s="1">
        <v>0.41</v>
      </c>
      <c r="U3349" s="1">
        <v>0.28699999999999998</v>
      </c>
      <c r="V3349" s="1">
        <v>89.909000000000006</v>
      </c>
      <c r="W3349">
        <v>4</v>
      </c>
    </row>
    <row r="3350" spans="1:23" x14ac:dyDescent="0.25">
      <c r="A3350" s="1" t="s">
        <v>20796</v>
      </c>
      <c r="B3350" s="1" t="s">
        <v>18644</v>
      </c>
      <c r="C3350" s="1" t="s">
        <v>8426</v>
      </c>
      <c r="D3350" s="1" t="s">
        <v>20792</v>
      </c>
      <c r="E3350" s="1" t="s">
        <v>6505</v>
      </c>
      <c r="F3350" s="1" t="s">
        <v>11612</v>
      </c>
      <c r="G3350">
        <v>187800</v>
      </c>
      <c r="H3350">
        <v>66</v>
      </c>
      <c r="I3350" s="1" t="s">
        <v>11063</v>
      </c>
      <c r="J3350" s="11">
        <v>44729.706458333334</v>
      </c>
      <c r="K3350" s="1" t="s">
        <v>923</v>
      </c>
      <c r="L3350" s="1">
        <v>0.47399999999999998</v>
      </c>
      <c r="M3350" s="1">
        <v>0.622</v>
      </c>
      <c r="N3350">
        <v>4</v>
      </c>
      <c r="O3350" s="1">
        <v>-6.3810000000000002</v>
      </c>
      <c r="P3350">
        <v>0</v>
      </c>
      <c r="Q3350" s="1">
        <v>0.61</v>
      </c>
      <c r="R3350" s="1">
        <v>0.129</v>
      </c>
      <c r="S3350" s="1">
        <v>0.38200000000000001</v>
      </c>
      <c r="T3350" s="1">
        <v>0.32700000000000001</v>
      </c>
      <c r="U3350" s="1">
        <v>0.158</v>
      </c>
      <c r="V3350" s="1">
        <v>176.06200000000001</v>
      </c>
      <c r="W3350">
        <v>4</v>
      </c>
    </row>
    <row r="3351" spans="1:23" x14ac:dyDescent="0.25">
      <c r="A3351" s="1" t="s">
        <v>20797</v>
      </c>
      <c r="B3351" s="1" t="s">
        <v>20798</v>
      </c>
      <c r="C3351" s="1" t="s">
        <v>8427</v>
      </c>
      <c r="D3351" s="1" t="s">
        <v>20792</v>
      </c>
      <c r="E3351" s="1" t="s">
        <v>8428</v>
      </c>
      <c r="F3351" s="1" t="s">
        <v>11612</v>
      </c>
      <c r="G3351">
        <v>174560</v>
      </c>
      <c r="H3351">
        <v>57</v>
      </c>
      <c r="I3351" s="1" t="s">
        <v>11063</v>
      </c>
      <c r="J3351" s="11">
        <v>44729.706458333334</v>
      </c>
      <c r="K3351" s="1" t="s">
        <v>8429</v>
      </c>
      <c r="L3351" s="1">
        <v>0.68400000000000005</v>
      </c>
      <c r="M3351" s="1">
        <v>0.65700000000000003</v>
      </c>
      <c r="N3351">
        <v>1</v>
      </c>
      <c r="O3351" s="1">
        <v>-5.4829999999999997</v>
      </c>
      <c r="P3351">
        <v>1</v>
      </c>
      <c r="Q3351" s="1">
        <v>0.433</v>
      </c>
      <c r="R3351" s="1">
        <v>0.126</v>
      </c>
      <c r="S3351" s="1">
        <v>0.126</v>
      </c>
      <c r="T3351" s="1">
        <v>0.109</v>
      </c>
      <c r="U3351" s="1">
        <v>0.41499999999999998</v>
      </c>
      <c r="V3351" s="1">
        <v>82.007000000000005</v>
      </c>
      <c r="W3351">
        <v>4</v>
      </c>
    </row>
    <row r="3352" spans="1:23" x14ac:dyDescent="0.25">
      <c r="A3352" s="1" t="s">
        <v>20799</v>
      </c>
      <c r="B3352" s="1" t="s">
        <v>20800</v>
      </c>
      <c r="C3352" s="1" t="s">
        <v>8430</v>
      </c>
      <c r="D3352" s="1" t="s">
        <v>20792</v>
      </c>
      <c r="E3352" s="1" t="s">
        <v>8431</v>
      </c>
      <c r="F3352" s="1" t="s">
        <v>11612</v>
      </c>
      <c r="G3352">
        <v>216053</v>
      </c>
      <c r="H3352">
        <v>54</v>
      </c>
      <c r="I3352" s="1" t="s">
        <v>11063</v>
      </c>
      <c r="J3352" s="11">
        <v>44729.706458333334</v>
      </c>
      <c r="K3352" s="1" t="s">
        <v>8432</v>
      </c>
      <c r="L3352" s="1">
        <v>0.52100000000000002</v>
      </c>
      <c r="M3352" s="1">
        <v>0.81899999999999995</v>
      </c>
      <c r="N3352">
        <v>6</v>
      </c>
      <c r="O3352" s="1">
        <v>-7.2670000000000003</v>
      </c>
      <c r="P3352">
        <v>0</v>
      </c>
      <c r="Q3352" s="1">
        <v>0.41299999999999998</v>
      </c>
      <c r="R3352" s="1">
        <v>0.91100000000000003</v>
      </c>
      <c r="S3352" s="1">
        <v>0.22700000000000001</v>
      </c>
      <c r="T3352" s="1">
        <v>0.86</v>
      </c>
      <c r="U3352" s="1">
        <v>0.184</v>
      </c>
      <c r="V3352" s="1">
        <v>89.951999999999998</v>
      </c>
      <c r="W3352">
        <v>4</v>
      </c>
    </row>
    <row r="3353" spans="1:23" x14ac:dyDescent="0.25">
      <c r="A3353" s="1" t="s">
        <v>20801</v>
      </c>
      <c r="B3353" s="1" t="s">
        <v>20802</v>
      </c>
      <c r="C3353" s="1" t="s">
        <v>8433</v>
      </c>
      <c r="D3353" s="1" t="s">
        <v>20792</v>
      </c>
      <c r="E3353" s="1" t="s">
        <v>8434</v>
      </c>
      <c r="F3353" s="1" t="s">
        <v>11612</v>
      </c>
      <c r="G3353">
        <v>222320</v>
      </c>
      <c r="H3353">
        <v>64</v>
      </c>
      <c r="I3353" s="1" t="s">
        <v>11063</v>
      </c>
      <c r="J3353" s="11">
        <v>44729.706458333334</v>
      </c>
      <c r="K3353" s="1" t="s">
        <v>8435</v>
      </c>
      <c r="L3353" s="1">
        <v>0.73599999999999999</v>
      </c>
      <c r="M3353" s="1">
        <v>0.55500000000000005</v>
      </c>
      <c r="N3353">
        <v>4</v>
      </c>
      <c r="O3353" s="1">
        <v>-4.6890000000000001</v>
      </c>
      <c r="P3353">
        <v>1</v>
      </c>
      <c r="Q3353" s="1">
        <v>0.75700000000000001</v>
      </c>
      <c r="R3353" s="1">
        <v>0.34499999999999997</v>
      </c>
      <c r="S3353" s="1">
        <v>0.157</v>
      </c>
      <c r="T3353" s="1">
        <v>0.79800000000000004</v>
      </c>
      <c r="U3353" s="1">
        <v>0.32300000000000001</v>
      </c>
      <c r="V3353" s="1">
        <v>91.997</v>
      </c>
      <c r="W3353">
        <v>4</v>
      </c>
    </row>
    <row r="3354" spans="1:23" x14ac:dyDescent="0.25">
      <c r="A3354" s="1" t="s">
        <v>20803</v>
      </c>
      <c r="B3354" s="1" t="s">
        <v>20804</v>
      </c>
      <c r="C3354" s="1" t="s">
        <v>8436</v>
      </c>
      <c r="D3354" s="1" t="s">
        <v>20792</v>
      </c>
      <c r="E3354" s="1" t="s">
        <v>8437</v>
      </c>
      <c r="F3354" s="1" t="s">
        <v>11612</v>
      </c>
      <c r="G3354">
        <v>161666</v>
      </c>
      <c r="H3354">
        <v>61</v>
      </c>
      <c r="I3354" s="1" t="s">
        <v>11063</v>
      </c>
      <c r="J3354" s="11">
        <v>44729.706458333334</v>
      </c>
      <c r="K3354" s="1" t="s">
        <v>5903</v>
      </c>
      <c r="L3354" s="1">
        <v>0.42299999999999999</v>
      </c>
      <c r="M3354" s="1">
        <v>0.751</v>
      </c>
      <c r="N3354">
        <v>11</v>
      </c>
      <c r="O3354" s="1">
        <v>-5.6319999999999997</v>
      </c>
      <c r="P3354">
        <v>1</v>
      </c>
      <c r="Q3354" s="1">
        <v>0.27200000000000002</v>
      </c>
      <c r="R3354" s="1">
        <v>0.13600000000000001</v>
      </c>
      <c r="S3354" s="1">
        <v>0</v>
      </c>
      <c r="T3354" s="1">
        <v>0.24299999999999999</v>
      </c>
      <c r="U3354" s="1">
        <v>0.52200000000000002</v>
      </c>
      <c r="V3354" s="1">
        <v>148.773</v>
      </c>
      <c r="W3354">
        <v>4</v>
      </c>
    </row>
    <row r="3355" spans="1:23" x14ac:dyDescent="0.25">
      <c r="A3355" s="1" t="s">
        <v>20805</v>
      </c>
      <c r="B3355" s="1" t="s">
        <v>20806</v>
      </c>
      <c r="C3355" s="1" t="s">
        <v>8438</v>
      </c>
      <c r="D3355" s="1" t="s">
        <v>20792</v>
      </c>
      <c r="E3355" s="1" t="s">
        <v>8439</v>
      </c>
      <c r="F3355" s="1" t="s">
        <v>11612</v>
      </c>
      <c r="G3355">
        <v>198880</v>
      </c>
      <c r="H3355">
        <v>65</v>
      </c>
      <c r="I3355" s="1" t="s">
        <v>11063</v>
      </c>
      <c r="J3355" s="11">
        <v>44729.706458333334</v>
      </c>
      <c r="K3355" s="1" t="s">
        <v>8440</v>
      </c>
      <c r="L3355" s="1">
        <v>0.65500000000000003</v>
      </c>
      <c r="M3355" s="1">
        <v>0.67200000000000004</v>
      </c>
      <c r="N3355">
        <v>1</v>
      </c>
      <c r="O3355" s="1">
        <v>-4.9660000000000002</v>
      </c>
      <c r="P3355">
        <v>1</v>
      </c>
      <c r="Q3355" s="1">
        <v>0.58099999999999996</v>
      </c>
      <c r="R3355" s="1">
        <v>0.253</v>
      </c>
      <c r="S3355" s="1">
        <v>0</v>
      </c>
      <c r="T3355" s="1">
        <v>0.312</v>
      </c>
      <c r="U3355" s="1">
        <v>0.67500000000000004</v>
      </c>
      <c r="V3355" s="1">
        <v>98.004999999999995</v>
      </c>
      <c r="W3355">
        <v>4</v>
      </c>
    </row>
    <row r="3356" spans="1:23" x14ac:dyDescent="0.25">
      <c r="A3356" s="1" t="s">
        <v>20807</v>
      </c>
      <c r="B3356" s="1" t="s">
        <v>20808</v>
      </c>
      <c r="C3356" s="1" t="s">
        <v>8441</v>
      </c>
      <c r="D3356" s="1" t="s">
        <v>20792</v>
      </c>
      <c r="E3356" s="1" t="s">
        <v>8442</v>
      </c>
      <c r="F3356" s="1" t="s">
        <v>11612</v>
      </c>
      <c r="G3356">
        <v>211680</v>
      </c>
      <c r="H3356">
        <v>74</v>
      </c>
      <c r="I3356" s="1" t="s">
        <v>11063</v>
      </c>
      <c r="J3356" s="11">
        <v>44729.706458333334</v>
      </c>
      <c r="K3356" s="1" t="s">
        <v>8443</v>
      </c>
      <c r="L3356" s="1">
        <v>0.43</v>
      </c>
      <c r="M3356" s="1">
        <v>0.60599999999999998</v>
      </c>
      <c r="N3356">
        <v>4</v>
      </c>
      <c r="O3356" s="1">
        <v>-5.1150000000000002</v>
      </c>
      <c r="P3356">
        <v>0</v>
      </c>
      <c r="Q3356" s="1">
        <v>0.43099999999999999</v>
      </c>
      <c r="R3356" s="1">
        <v>0.13100000000000001</v>
      </c>
      <c r="S3356" s="1">
        <v>0</v>
      </c>
      <c r="T3356" s="1">
        <v>0.17299999999999999</v>
      </c>
      <c r="U3356" s="1">
        <v>0.123</v>
      </c>
      <c r="V3356" s="1">
        <v>169.988</v>
      </c>
      <c r="W3356">
        <v>4</v>
      </c>
    </row>
    <row r="3357" spans="1:23" x14ac:dyDescent="0.25">
      <c r="A3357" s="1" t="s">
        <v>20809</v>
      </c>
      <c r="B3357" s="1" t="s">
        <v>18644</v>
      </c>
      <c r="C3357" s="1" t="s">
        <v>7749</v>
      </c>
      <c r="D3357" s="1" t="s">
        <v>20792</v>
      </c>
      <c r="E3357" s="1" t="s">
        <v>6505</v>
      </c>
      <c r="F3357" s="1" t="s">
        <v>11612</v>
      </c>
      <c r="G3357">
        <v>212106</v>
      </c>
      <c r="H3357">
        <v>79</v>
      </c>
      <c r="I3357" s="1" t="s">
        <v>11063</v>
      </c>
      <c r="J3357" s="11">
        <v>44729.706458333334</v>
      </c>
      <c r="K3357" s="1" t="s">
        <v>923</v>
      </c>
      <c r="L3357" s="1">
        <v>0.46800000000000003</v>
      </c>
      <c r="M3357" s="1">
        <v>0.627</v>
      </c>
      <c r="N3357">
        <v>6</v>
      </c>
      <c r="O3357" s="1">
        <v>-5.085</v>
      </c>
      <c r="P3357">
        <v>1</v>
      </c>
      <c r="Q3357" s="1">
        <v>0.47599999999999998</v>
      </c>
      <c r="R3357" s="1">
        <v>0.28100000000000003</v>
      </c>
      <c r="S3357" s="1">
        <v>0.79700000000000004</v>
      </c>
      <c r="T3357" s="1">
        <v>0.11</v>
      </c>
      <c r="U3357" s="1">
        <v>0.159</v>
      </c>
      <c r="V3357" s="1">
        <v>179.642</v>
      </c>
      <c r="W3357">
        <v>4</v>
      </c>
    </row>
    <row r="3358" spans="1:23" x14ac:dyDescent="0.25">
      <c r="A3358" s="1" t="s">
        <v>20810</v>
      </c>
      <c r="B3358" s="1" t="s">
        <v>20811</v>
      </c>
      <c r="C3358" s="1" t="s">
        <v>4378</v>
      </c>
      <c r="D3358" s="1" t="s">
        <v>4378</v>
      </c>
      <c r="E3358" s="1" t="s">
        <v>8444</v>
      </c>
      <c r="F3358" s="1" t="s">
        <v>11779</v>
      </c>
      <c r="G3358">
        <v>193797</v>
      </c>
      <c r="H3358">
        <v>74</v>
      </c>
      <c r="I3358" s="1" t="s">
        <v>11063</v>
      </c>
      <c r="J3358" s="11">
        <v>44729.706458333334</v>
      </c>
      <c r="K3358" s="1" t="s">
        <v>8445</v>
      </c>
      <c r="L3358" s="1">
        <v>0.50900000000000001</v>
      </c>
      <c r="M3358" s="1">
        <v>0.68899999999999995</v>
      </c>
      <c r="N3358">
        <v>1</v>
      </c>
      <c r="O3358" s="1">
        <v>-4.9290000000000003</v>
      </c>
      <c r="P3358">
        <v>0</v>
      </c>
      <c r="Q3358" s="1">
        <v>0.10199999999999999</v>
      </c>
      <c r="R3358" s="1">
        <v>0.20899999999999999</v>
      </c>
      <c r="S3358" s="1">
        <v>0</v>
      </c>
      <c r="T3358" s="1">
        <v>0.30099999999999999</v>
      </c>
      <c r="U3358" s="1">
        <v>0.29699999999999999</v>
      </c>
      <c r="V3358" s="1">
        <v>170.08699999999999</v>
      </c>
      <c r="W3358">
        <v>4</v>
      </c>
    </row>
    <row r="3359" spans="1:23" x14ac:dyDescent="0.25">
      <c r="A3359" s="1" t="s">
        <v>20812</v>
      </c>
      <c r="B3359" s="1" t="s">
        <v>20813</v>
      </c>
      <c r="C3359" s="1" t="s">
        <v>8446</v>
      </c>
      <c r="D3359" s="1" t="s">
        <v>20792</v>
      </c>
      <c r="E3359" s="1" t="s">
        <v>8447</v>
      </c>
      <c r="F3359" s="1" t="s">
        <v>11612</v>
      </c>
      <c r="G3359">
        <v>195840</v>
      </c>
      <c r="H3359">
        <v>73</v>
      </c>
      <c r="I3359" s="1" t="s">
        <v>11063</v>
      </c>
      <c r="J3359" s="11">
        <v>44729.706458333334</v>
      </c>
      <c r="K3359" s="1" t="s">
        <v>8448</v>
      </c>
      <c r="L3359" s="1">
        <v>0.42299999999999999</v>
      </c>
      <c r="M3359" s="1">
        <v>0.63400000000000001</v>
      </c>
      <c r="N3359">
        <v>6</v>
      </c>
      <c r="O3359" s="1">
        <v>-5.8769999999999998</v>
      </c>
      <c r="P3359">
        <v>0</v>
      </c>
      <c r="Q3359" s="1">
        <v>0.57799999999999996</v>
      </c>
      <c r="R3359" s="1">
        <v>0.19600000000000001</v>
      </c>
      <c r="S3359" s="1">
        <v>0</v>
      </c>
      <c r="T3359" s="1">
        <v>0.189</v>
      </c>
      <c r="U3359" s="1">
        <v>0.46700000000000003</v>
      </c>
      <c r="V3359" s="1">
        <v>150.97800000000001</v>
      </c>
      <c r="W3359">
        <v>4</v>
      </c>
    </row>
    <row r="3360" spans="1:23" x14ac:dyDescent="0.25">
      <c r="A3360" s="1" t="s">
        <v>20814</v>
      </c>
      <c r="B3360" s="1" t="s">
        <v>20693</v>
      </c>
      <c r="C3360" s="1" t="s">
        <v>29</v>
      </c>
      <c r="D3360" s="1" t="s">
        <v>20694</v>
      </c>
      <c r="E3360" s="1" t="s">
        <v>8319</v>
      </c>
      <c r="F3360" s="1" t="s">
        <v>14045</v>
      </c>
      <c r="G3360">
        <v>203760</v>
      </c>
      <c r="H3360">
        <v>45</v>
      </c>
      <c r="I3360" s="1" t="s">
        <v>11063</v>
      </c>
      <c r="J3360" s="11">
        <v>44729.706458333334</v>
      </c>
      <c r="K3360" s="1" t="s">
        <v>8320</v>
      </c>
      <c r="L3360" s="1">
        <v>0.44700000000000001</v>
      </c>
      <c r="M3360" s="1">
        <v>0.84799999999999998</v>
      </c>
      <c r="N3360">
        <v>2</v>
      </c>
      <c r="O3360" s="1">
        <v>-6.1749999999999998</v>
      </c>
      <c r="P3360">
        <v>1</v>
      </c>
      <c r="Q3360" s="1">
        <v>0.222</v>
      </c>
      <c r="R3360" s="1">
        <v>0.33</v>
      </c>
      <c r="S3360" s="1">
        <v>0.745</v>
      </c>
      <c r="T3360" s="1">
        <v>0.72199999999999998</v>
      </c>
      <c r="U3360" s="1">
        <v>0.48499999999999999</v>
      </c>
      <c r="V3360" s="1">
        <v>172.24700000000001</v>
      </c>
      <c r="W3360">
        <v>4</v>
      </c>
    </row>
    <row r="3361" spans="1:23" x14ac:dyDescent="0.25">
      <c r="A3361" s="1" t="s">
        <v>20815</v>
      </c>
      <c r="B3361" s="1" t="s">
        <v>20816</v>
      </c>
      <c r="C3361" s="1" t="s">
        <v>8449</v>
      </c>
      <c r="D3361" s="1" t="s">
        <v>20817</v>
      </c>
      <c r="E3361" s="1" t="s">
        <v>8450</v>
      </c>
      <c r="F3361" s="1" t="s">
        <v>14894</v>
      </c>
      <c r="G3361">
        <v>247346</v>
      </c>
      <c r="H3361">
        <v>43</v>
      </c>
      <c r="I3361" s="1" t="s">
        <v>11063</v>
      </c>
      <c r="J3361" s="11">
        <v>44729.706458333334</v>
      </c>
      <c r="K3361" s="1" t="s">
        <v>8451</v>
      </c>
      <c r="L3361" s="1">
        <v>0.52100000000000002</v>
      </c>
      <c r="M3361" s="1">
        <v>0.83799999999999997</v>
      </c>
      <c r="N3361">
        <v>1</v>
      </c>
      <c r="O3361" s="1">
        <v>-4.7169999999999996</v>
      </c>
      <c r="P3361">
        <v>1</v>
      </c>
      <c r="Q3361" s="1">
        <v>0.755</v>
      </c>
      <c r="R3361" s="1">
        <v>0.64</v>
      </c>
      <c r="S3361" s="1">
        <v>0</v>
      </c>
      <c r="T3361" s="1">
        <v>0.13500000000000001</v>
      </c>
      <c r="U3361" s="1">
        <v>0.54100000000000004</v>
      </c>
      <c r="V3361" s="1">
        <v>129.977</v>
      </c>
      <c r="W3361">
        <v>4</v>
      </c>
    </row>
    <row r="3362" spans="1:23" x14ac:dyDescent="0.25">
      <c r="A3362" s="1" t="s">
        <v>20818</v>
      </c>
      <c r="B3362" s="1" t="s">
        <v>20819</v>
      </c>
      <c r="C3362" s="1" t="s">
        <v>8452</v>
      </c>
      <c r="D3362" s="1" t="s">
        <v>8452</v>
      </c>
      <c r="E3362" s="1" t="s">
        <v>8453</v>
      </c>
      <c r="F3362" s="1" t="s">
        <v>11395</v>
      </c>
      <c r="G3362">
        <v>222239</v>
      </c>
      <c r="H3362">
        <v>42</v>
      </c>
      <c r="I3362" s="1" t="s">
        <v>11063</v>
      </c>
      <c r="J3362" s="11">
        <v>44729.706458333334</v>
      </c>
      <c r="K3362" s="1" t="s">
        <v>8454</v>
      </c>
      <c r="L3362" s="1">
        <v>0.74299999999999999</v>
      </c>
      <c r="M3362" s="1">
        <v>0.70799999999999996</v>
      </c>
      <c r="N3362">
        <v>10</v>
      </c>
      <c r="O3362" s="1">
        <v>-4.032</v>
      </c>
      <c r="P3362">
        <v>0</v>
      </c>
      <c r="Q3362" s="1">
        <v>0.57099999999999995</v>
      </c>
      <c r="R3362" s="1">
        <v>0.72399999999999998</v>
      </c>
      <c r="S3362" s="1">
        <v>0.39900000000000002</v>
      </c>
      <c r="T3362" s="1">
        <v>0.34200000000000003</v>
      </c>
      <c r="U3362" s="1">
        <v>0.68600000000000005</v>
      </c>
      <c r="V3362" s="1">
        <v>107.95</v>
      </c>
      <c r="W3362">
        <v>4</v>
      </c>
    </row>
    <row r="3363" spans="1:23" x14ac:dyDescent="0.25">
      <c r="A3363" s="1" t="s">
        <v>20820</v>
      </c>
      <c r="B3363" s="1" t="s">
        <v>20821</v>
      </c>
      <c r="C3363" s="1" t="s">
        <v>8455</v>
      </c>
      <c r="D3363" s="1" t="s">
        <v>8455</v>
      </c>
      <c r="E3363" s="1" t="s">
        <v>8456</v>
      </c>
      <c r="F3363" s="1" t="s">
        <v>11677</v>
      </c>
      <c r="G3363">
        <v>192968</v>
      </c>
      <c r="H3363">
        <v>34</v>
      </c>
      <c r="I3363" s="1" t="s">
        <v>11063</v>
      </c>
      <c r="J3363" s="11">
        <v>44729.706458333334</v>
      </c>
      <c r="K3363" s="1" t="s">
        <v>8457</v>
      </c>
      <c r="L3363" s="1">
        <v>0.63</v>
      </c>
      <c r="M3363" s="1">
        <v>0.61299999999999999</v>
      </c>
      <c r="N3363">
        <v>9</v>
      </c>
      <c r="O3363" s="1">
        <v>-6.0780000000000003</v>
      </c>
      <c r="P3363">
        <v>1</v>
      </c>
      <c r="Q3363" s="1">
        <v>0.28100000000000003</v>
      </c>
      <c r="R3363" s="1">
        <v>0.39100000000000001</v>
      </c>
      <c r="S3363" s="1">
        <v>0</v>
      </c>
      <c r="T3363" s="1">
        <v>0.68899999999999995</v>
      </c>
      <c r="U3363" s="1">
        <v>0.30599999999999999</v>
      </c>
      <c r="V3363" s="1">
        <v>100.985</v>
      </c>
      <c r="W3363">
        <v>4</v>
      </c>
    </row>
    <row r="3364" spans="1:23" x14ac:dyDescent="0.25">
      <c r="A3364" s="1" t="s">
        <v>20822</v>
      </c>
      <c r="B3364" s="1" t="s">
        <v>20823</v>
      </c>
      <c r="C3364" s="1" t="s">
        <v>8458</v>
      </c>
      <c r="D3364" s="1" t="s">
        <v>20824</v>
      </c>
      <c r="E3364" s="1" t="s">
        <v>8459</v>
      </c>
      <c r="F3364" s="1" t="s">
        <v>20640</v>
      </c>
      <c r="G3364">
        <v>270222</v>
      </c>
      <c r="H3364">
        <v>56</v>
      </c>
      <c r="I3364" s="1" t="s">
        <v>11063</v>
      </c>
      <c r="J3364" s="11">
        <v>44729.706458333334</v>
      </c>
      <c r="K3364" s="1" t="s">
        <v>8460</v>
      </c>
      <c r="L3364" s="1">
        <v>0.64900000000000002</v>
      </c>
      <c r="M3364" s="1">
        <v>0.88500000000000001</v>
      </c>
      <c r="N3364">
        <v>1</v>
      </c>
      <c r="O3364" s="1">
        <v>-2.012</v>
      </c>
      <c r="P3364">
        <v>1</v>
      </c>
      <c r="Q3364" s="1">
        <v>0.106</v>
      </c>
      <c r="R3364" s="1">
        <v>0.72199999999999998</v>
      </c>
      <c r="S3364" s="1">
        <v>0.80300000000000005</v>
      </c>
      <c r="T3364" s="1">
        <v>0.10100000000000001</v>
      </c>
      <c r="U3364" s="1">
        <v>0.71899999999999997</v>
      </c>
      <c r="V3364" s="1">
        <v>134.93199999999999</v>
      </c>
      <c r="W3364">
        <v>4</v>
      </c>
    </row>
    <row r="3365" spans="1:23" x14ac:dyDescent="0.25">
      <c r="A3365" s="1" t="s">
        <v>20825</v>
      </c>
      <c r="B3365" s="1" t="s">
        <v>11724</v>
      </c>
      <c r="C3365" s="1" t="s">
        <v>7025</v>
      </c>
      <c r="D3365" s="1" t="s">
        <v>7025</v>
      </c>
      <c r="E3365" s="1" t="s">
        <v>426</v>
      </c>
      <c r="F3365" s="1" t="s">
        <v>16214</v>
      </c>
      <c r="G3365">
        <v>216668</v>
      </c>
      <c r="H3365">
        <v>65</v>
      </c>
      <c r="I3365" s="1" t="s">
        <v>11063</v>
      </c>
      <c r="J3365" s="11">
        <v>44729.706458333334</v>
      </c>
      <c r="K3365" s="1" t="s">
        <v>427</v>
      </c>
      <c r="L3365" s="1">
        <v>0.64300000000000002</v>
      </c>
      <c r="M3365" s="1">
        <v>0.59399999999999997</v>
      </c>
      <c r="N3365">
        <v>2</v>
      </c>
      <c r="O3365" s="1">
        <v>-5.4530000000000003</v>
      </c>
      <c r="P3365">
        <v>1</v>
      </c>
      <c r="Q3365" s="1">
        <v>0.318</v>
      </c>
      <c r="R3365" s="1">
        <v>0.128</v>
      </c>
      <c r="S3365" s="1">
        <v>0</v>
      </c>
      <c r="T3365" s="1">
        <v>0.11799999999999999</v>
      </c>
      <c r="U3365" s="1">
        <v>0.442</v>
      </c>
      <c r="V3365" s="1">
        <v>144.03299999999999</v>
      </c>
      <c r="W3365">
        <v>4</v>
      </c>
    </row>
    <row r="3366" spans="1:23" x14ac:dyDescent="0.25">
      <c r="A3366" s="1" t="s">
        <v>20826</v>
      </c>
      <c r="B3366" s="1" t="s">
        <v>20827</v>
      </c>
      <c r="C3366" s="1" t="s">
        <v>8461</v>
      </c>
      <c r="D3366" s="1" t="s">
        <v>17796</v>
      </c>
      <c r="E3366" s="1" t="s">
        <v>8462</v>
      </c>
      <c r="F3366" s="1" t="s">
        <v>15987</v>
      </c>
      <c r="G3366">
        <v>315724</v>
      </c>
      <c r="H3366">
        <v>55</v>
      </c>
      <c r="I3366" s="1" t="s">
        <v>11063</v>
      </c>
      <c r="J3366" s="11">
        <v>44729.706458333334</v>
      </c>
      <c r="K3366" s="1" t="s">
        <v>8463</v>
      </c>
      <c r="L3366" s="1">
        <v>0.32600000000000001</v>
      </c>
      <c r="M3366" s="1">
        <v>0.57799999999999996</v>
      </c>
      <c r="N3366">
        <v>2</v>
      </c>
      <c r="O3366" s="1">
        <v>-6.7859999999999996</v>
      </c>
      <c r="P3366">
        <v>1</v>
      </c>
      <c r="Q3366" s="1">
        <v>0.45500000000000002</v>
      </c>
      <c r="R3366" s="1">
        <v>0.158</v>
      </c>
      <c r="S3366" s="1">
        <v>0.47899999999999998</v>
      </c>
      <c r="T3366" s="1">
        <v>0.57499999999999996</v>
      </c>
      <c r="U3366" s="1">
        <v>0.10199999999999999</v>
      </c>
      <c r="V3366" s="1">
        <v>144.73099999999999</v>
      </c>
      <c r="W3366">
        <v>4</v>
      </c>
    </row>
    <row r="3367" spans="1:23" x14ac:dyDescent="0.25">
      <c r="A3367" s="1" t="s">
        <v>20828</v>
      </c>
      <c r="B3367" s="1" t="s">
        <v>20829</v>
      </c>
      <c r="C3367" s="1" t="s">
        <v>8464</v>
      </c>
      <c r="D3367" s="1" t="s">
        <v>17796</v>
      </c>
      <c r="E3367" s="1" t="s">
        <v>8465</v>
      </c>
      <c r="F3367" s="1" t="s">
        <v>15987</v>
      </c>
      <c r="G3367">
        <v>173700</v>
      </c>
      <c r="H3367">
        <v>40</v>
      </c>
      <c r="I3367" s="1" t="s">
        <v>11063</v>
      </c>
      <c r="J3367" s="11">
        <v>44729.706458333334</v>
      </c>
      <c r="K3367" s="1" t="s">
        <v>8466</v>
      </c>
      <c r="L3367" s="1">
        <v>0.65600000000000003</v>
      </c>
      <c r="M3367" s="1">
        <v>0.624</v>
      </c>
      <c r="N3367">
        <v>0</v>
      </c>
      <c r="O3367" s="1">
        <v>-6.726</v>
      </c>
      <c r="P3367">
        <v>1</v>
      </c>
      <c r="Q3367" s="1">
        <v>0.28799999999999998</v>
      </c>
      <c r="R3367" s="1">
        <v>0.16200000000000001</v>
      </c>
      <c r="S3367" s="1">
        <v>0</v>
      </c>
      <c r="T3367" s="1">
        <v>0.10100000000000001</v>
      </c>
      <c r="U3367" s="1">
        <v>0.28399999999999997</v>
      </c>
      <c r="V3367" s="1">
        <v>100.032</v>
      </c>
      <c r="W3367">
        <v>4</v>
      </c>
    </row>
    <row r="3368" spans="1:23" x14ac:dyDescent="0.25">
      <c r="A3368" s="1" t="s">
        <v>20830</v>
      </c>
      <c r="B3368" s="1" t="s">
        <v>20831</v>
      </c>
      <c r="C3368" s="1" t="s">
        <v>8467</v>
      </c>
      <c r="D3368" s="1" t="s">
        <v>17796</v>
      </c>
      <c r="E3368" s="1" t="s">
        <v>8468</v>
      </c>
      <c r="F3368" s="1" t="s">
        <v>15987</v>
      </c>
      <c r="G3368">
        <v>224878</v>
      </c>
      <c r="H3368">
        <v>35</v>
      </c>
      <c r="I3368" s="1" t="s">
        <v>11063</v>
      </c>
      <c r="J3368" s="11">
        <v>44729.706458333334</v>
      </c>
      <c r="K3368" s="1" t="s">
        <v>8463</v>
      </c>
      <c r="L3368" s="1">
        <v>0.64</v>
      </c>
      <c r="M3368" s="1">
        <v>0.89400000000000002</v>
      </c>
      <c r="N3368">
        <v>11</v>
      </c>
      <c r="O3368" s="1">
        <v>-5.117</v>
      </c>
      <c r="P3368">
        <v>1</v>
      </c>
      <c r="Q3368" s="1">
        <v>0.97799999999999998</v>
      </c>
      <c r="R3368" s="1">
        <v>0.20599999999999999</v>
      </c>
      <c r="S3368" s="1">
        <v>0.42499999999999999</v>
      </c>
      <c r="T3368" s="1">
        <v>0.14099999999999999</v>
      </c>
      <c r="U3368" s="1">
        <v>0.36</v>
      </c>
      <c r="V3368" s="1">
        <v>123.021</v>
      </c>
      <c r="W3368">
        <v>4</v>
      </c>
    </row>
    <row r="3369" spans="1:23" x14ac:dyDescent="0.25">
      <c r="A3369" s="1" t="s">
        <v>20832</v>
      </c>
      <c r="B3369" s="1" t="s">
        <v>20833</v>
      </c>
      <c r="C3369" s="1" t="s">
        <v>8469</v>
      </c>
      <c r="D3369" s="1" t="s">
        <v>17796</v>
      </c>
      <c r="E3369" s="1" t="s">
        <v>8470</v>
      </c>
      <c r="F3369" s="1" t="s">
        <v>15987</v>
      </c>
      <c r="G3369">
        <v>162944</v>
      </c>
      <c r="H3369">
        <v>51</v>
      </c>
      <c r="I3369" s="1" t="s">
        <v>11063</v>
      </c>
      <c r="J3369" s="11">
        <v>44729.706458333334</v>
      </c>
      <c r="K3369" s="1" t="s">
        <v>8463</v>
      </c>
      <c r="L3369" s="1">
        <v>0.748</v>
      </c>
      <c r="M3369" s="1">
        <v>0.58099999999999996</v>
      </c>
      <c r="N3369">
        <v>7</v>
      </c>
      <c r="O3369" s="1">
        <v>-4.5410000000000004</v>
      </c>
      <c r="P3369">
        <v>1</v>
      </c>
      <c r="Q3369" s="1">
        <v>0.66300000000000003</v>
      </c>
      <c r="R3369" s="1">
        <v>0.19400000000000001</v>
      </c>
      <c r="S3369" s="1">
        <v>0</v>
      </c>
      <c r="T3369" s="1">
        <v>0.98199999999999998</v>
      </c>
      <c r="U3369" s="1">
        <v>0.33</v>
      </c>
      <c r="V3369" s="1">
        <v>108.932</v>
      </c>
      <c r="W3369">
        <v>4</v>
      </c>
    </row>
    <row r="3370" spans="1:23" x14ac:dyDescent="0.25">
      <c r="A3370" s="1" t="s">
        <v>20834</v>
      </c>
      <c r="B3370" s="1" t="s">
        <v>20835</v>
      </c>
      <c r="C3370" s="1" t="s">
        <v>8471</v>
      </c>
      <c r="D3370" s="1" t="s">
        <v>20836</v>
      </c>
      <c r="E3370" s="1" t="s">
        <v>8472</v>
      </c>
      <c r="F3370" s="1" t="s">
        <v>15956</v>
      </c>
      <c r="G3370">
        <v>212141</v>
      </c>
      <c r="H3370">
        <v>52</v>
      </c>
      <c r="I3370" s="1" t="s">
        <v>11063</v>
      </c>
      <c r="J3370" s="11">
        <v>44729.706458333334</v>
      </c>
      <c r="K3370" s="1" t="s">
        <v>8473</v>
      </c>
      <c r="L3370" s="1">
        <v>0.64400000000000002</v>
      </c>
      <c r="M3370" s="1">
        <v>0.72099999999999997</v>
      </c>
      <c r="N3370">
        <v>9</v>
      </c>
      <c r="O3370" s="1">
        <v>-8.4949999999999992</v>
      </c>
      <c r="P3370">
        <v>0</v>
      </c>
      <c r="Q3370" s="1">
        <v>0.43099999999999999</v>
      </c>
      <c r="R3370" s="1">
        <v>0.629</v>
      </c>
      <c r="S3370" s="1">
        <v>0.752</v>
      </c>
      <c r="T3370" s="1">
        <v>0.14599999999999999</v>
      </c>
      <c r="U3370" s="1">
        <v>0.23300000000000001</v>
      </c>
      <c r="V3370" s="1">
        <v>101.503</v>
      </c>
      <c r="W3370">
        <v>4</v>
      </c>
    </row>
    <row r="3371" spans="1:23" x14ac:dyDescent="0.25">
      <c r="A3371" s="1" t="s">
        <v>20837</v>
      </c>
      <c r="B3371" s="1" t="s">
        <v>13485</v>
      </c>
      <c r="C3371" s="1" t="s">
        <v>8474</v>
      </c>
      <c r="D3371" s="1" t="s">
        <v>20836</v>
      </c>
      <c r="E3371" s="1" t="s">
        <v>1951</v>
      </c>
      <c r="F3371" s="1" t="s">
        <v>15956</v>
      </c>
      <c r="G3371">
        <v>174982</v>
      </c>
      <c r="H3371">
        <v>68</v>
      </c>
      <c r="I3371" s="1" t="s">
        <v>11063</v>
      </c>
      <c r="J3371" s="11">
        <v>44729.706458333334</v>
      </c>
      <c r="K3371" s="1" t="s">
        <v>1952</v>
      </c>
      <c r="L3371" s="1">
        <v>0.56699999999999995</v>
      </c>
      <c r="M3371" s="1">
        <v>0.69599999999999995</v>
      </c>
      <c r="N3371">
        <v>9</v>
      </c>
      <c r="O3371" s="1">
        <v>-5.4160000000000004</v>
      </c>
      <c r="P3371">
        <v>1</v>
      </c>
      <c r="Q3371" s="1">
        <v>0.30099999999999999</v>
      </c>
      <c r="R3371" s="1">
        <v>0.45600000000000002</v>
      </c>
      <c r="S3371" s="1">
        <v>0</v>
      </c>
      <c r="T3371" s="1">
        <v>0.113</v>
      </c>
      <c r="U3371" s="1">
        <v>0.54400000000000004</v>
      </c>
      <c r="V3371" s="1">
        <v>92.061000000000007</v>
      </c>
      <c r="W3371">
        <v>4</v>
      </c>
    </row>
    <row r="3372" spans="1:23" x14ac:dyDescent="0.25">
      <c r="A3372" s="1" t="s">
        <v>20838</v>
      </c>
      <c r="B3372" s="1" t="s">
        <v>13485</v>
      </c>
      <c r="C3372" s="1" t="s">
        <v>8475</v>
      </c>
      <c r="D3372" s="1" t="s">
        <v>20836</v>
      </c>
      <c r="E3372" s="1" t="s">
        <v>1951</v>
      </c>
      <c r="F3372" s="1" t="s">
        <v>15956</v>
      </c>
      <c r="G3372">
        <v>185863</v>
      </c>
      <c r="H3372">
        <v>64</v>
      </c>
      <c r="I3372" s="1" t="s">
        <v>11063</v>
      </c>
      <c r="J3372" s="11">
        <v>44729.706458333334</v>
      </c>
      <c r="K3372" s="1" t="s">
        <v>1952</v>
      </c>
      <c r="L3372" s="1">
        <v>0.58499999999999996</v>
      </c>
      <c r="M3372" s="1">
        <v>0.625</v>
      </c>
      <c r="N3372">
        <v>5</v>
      </c>
      <c r="O3372" s="1">
        <v>-5.94</v>
      </c>
      <c r="P3372">
        <v>1</v>
      </c>
      <c r="Q3372" s="1">
        <v>0.109</v>
      </c>
      <c r="R3372" s="1">
        <v>0.14599999999999999</v>
      </c>
      <c r="S3372" s="1">
        <v>0.18</v>
      </c>
      <c r="T3372" s="1">
        <v>0.13100000000000001</v>
      </c>
      <c r="U3372" s="1">
        <v>0.28000000000000003</v>
      </c>
      <c r="V3372" s="1">
        <v>68.680000000000007</v>
      </c>
      <c r="W3372">
        <v>4</v>
      </c>
    </row>
    <row r="3373" spans="1:23" x14ac:dyDescent="0.25">
      <c r="A3373" s="1" t="s">
        <v>20839</v>
      </c>
      <c r="B3373" s="1" t="s">
        <v>17731</v>
      </c>
      <c r="C3373" s="1" t="s">
        <v>8476</v>
      </c>
      <c r="D3373" s="1" t="s">
        <v>8476</v>
      </c>
      <c r="E3373" s="1" t="s">
        <v>5633</v>
      </c>
      <c r="F3373" s="1" t="s">
        <v>15451</v>
      </c>
      <c r="G3373">
        <v>240299</v>
      </c>
      <c r="H3373">
        <v>45</v>
      </c>
      <c r="I3373" s="1" t="s">
        <v>11063</v>
      </c>
      <c r="J3373" s="11">
        <v>44729.706458333334</v>
      </c>
      <c r="K3373" s="1" t="s">
        <v>5634</v>
      </c>
      <c r="L3373" s="1">
        <v>0.61899999999999999</v>
      </c>
      <c r="M3373" s="1">
        <v>0.70499999999999996</v>
      </c>
      <c r="N3373">
        <v>8</v>
      </c>
      <c r="O3373" s="1">
        <v>-6.1120000000000001</v>
      </c>
      <c r="P3373">
        <v>1</v>
      </c>
      <c r="Q3373" s="1">
        <v>0.25700000000000001</v>
      </c>
      <c r="R3373" s="1">
        <v>0.17599999999999999</v>
      </c>
      <c r="S3373" s="1">
        <v>0</v>
      </c>
      <c r="T3373" s="1">
        <v>0.48899999999999999</v>
      </c>
      <c r="U3373" s="1">
        <v>0.372</v>
      </c>
      <c r="V3373" s="1">
        <v>77.980999999999995</v>
      </c>
      <c r="W3373">
        <v>4</v>
      </c>
    </row>
    <row r="3374" spans="1:23" x14ac:dyDescent="0.25">
      <c r="A3374" s="1" t="s">
        <v>20840</v>
      </c>
      <c r="B3374" s="1" t="s">
        <v>14079</v>
      </c>
      <c r="C3374" s="1" t="s">
        <v>8477</v>
      </c>
      <c r="D3374" s="1" t="s">
        <v>20841</v>
      </c>
      <c r="E3374" s="1" t="s">
        <v>2468</v>
      </c>
      <c r="F3374" s="1" t="s">
        <v>13855</v>
      </c>
      <c r="G3374">
        <v>179172</v>
      </c>
      <c r="H3374">
        <v>77</v>
      </c>
      <c r="I3374" s="1" t="s">
        <v>11063</v>
      </c>
      <c r="J3374" s="11">
        <v>44729.706458333334</v>
      </c>
      <c r="K3374" s="1" t="s">
        <v>2469</v>
      </c>
      <c r="L3374" s="1">
        <v>0.69499999999999995</v>
      </c>
      <c r="M3374" s="1">
        <v>0.57299999999999995</v>
      </c>
      <c r="N3374">
        <v>4</v>
      </c>
      <c r="O3374" s="1">
        <v>-8.5969999999999995</v>
      </c>
      <c r="P3374">
        <v>0</v>
      </c>
      <c r="Q3374" s="1">
        <v>0.106</v>
      </c>
      <c r="R3374" s="1">
        <v>0.46</v>
      </c>
      <c r="S3374" s="1">
        <v>0.73399999999999999</v>
      </c>
      <c r="T3374" s="1">
        <v>0.48199999999999998</v>
      </c>
      <c r="U3374" s="1">
        <v>0.40799999999999997</v>
      </c>
      <c r="V3374" s="1">
        <v>99.938999999999993</v>
      </c>
      <c r="W3374">
        <v>4</v>
      </c>
    </row>
    <row r="3375" spans="1:23" x14ac:dyDescent="0.25">
      <c r="A3375" s="1" t="s">
        <v>20842</v>
      </c>
      <c r="B3375" s="1" t="s">
        <v>14896</v>
      </c>
      <c r="C3375" s="1" t="s">
        <v>6477</v>
      </c>
      <c r="D3375" s="1" t="s">
        <v>6477</v>
      </c>
      <c r="E3375" s="1" t="s">
        <v>3176</v>
      </c>
      <c r="F3375" s="1" t="s">
        <v>16406</v>
      </c>
      <c r="G3375">
        <v>196711</v>
      </c>
      <c r="H3375">
        <v>48</v>
      </c>
      <c r="I3375" s="1" t="s">
        <v>11063</v>
      </c>
      <c r="J3375" s="11">
        <v>44729.706458333334</v>
      </c>
      <c r="K3375" s="1" t="s">
        <v>3177</v>
      </c>
      <c r="L3375" s="1">
        <v>0.626</v>
      </c>
      <c r="M3375" s="1">
        <v>0.79300000000000004</v>
      </c>
      <c r="N3375">
        <v>8</v>
      </c>
      <c r="O3375" s="1">
        <v>-5.5220000000000002</v>
      </c>
      <c r="P3375">
        <v>1</v>
      </c>
      <c r="Q3375" s="1">
        <v>0.441</v>
      </c>
      <c r="R3375" s="1">
        <v>0.40200000000000002</v>
      </c>
      <c r="S3375" s="1">
        <v>0</v>
      </c>
      <c r="T3375" s="1">
        <v>0.90900000000000003</v>
      </c>
      <c r="U3375" s="1">
        <v>0.40799999999999997</v>
      </c>
      <c r="V3375" s="1">
        <v>97.010999999999996</v>
      </c>
      <c r="W3375">
        <v>4</v>
      </c>
    </row>
    <row r="3376" spans="1:23" x14ac:dyDescent="0.25">
      <c r="A3376" s="1" t="s">
        <v>20843</v>
      </c>
      <c r="B3376" s="1" t="s">
        <v>13965</v>
      </c>
      <c r="C3376" s="1" t="s">
        <v>8056</v>
      </c>
      <c r="D3376" s="1" t="s">
        <v>20844</v>
      </c>
      <c r="E3376" s="1" t="s">
        <v>2369</v>
      </c>
      <c r="F3376" s="1" t="s">
        <v>20845</v>
      </c>
      <c r="G3376">
        <v>194375</v>
      </c>
      <c r="H3376">
        <v>46</v>
      </c>
      <c r="I3376" s="1" t="s">
        <v>11063</v>
      </c>
      <c r="J3376" s="11">
        <v>44729.706458333334</v>
      </c>
      <c r="K3376" s="1" t="s">
        <v>2370</v>
      </c>
      <c r="L3376" s="1">
        <v>0.62</v>
      </c>
      <c r="M3376" s="1">
        <v>0.55300000000000005</v>
      </c>
      <c r="N3376">
        <v>2</v>
      </c>
      <c r="O3376" s="1">
        <v>-10.228</v>
      </c>
      <c r="P3376">
        <v>0</v>
      </c>
      <c r="Q3376" s="1">
        <v>0.51700000000000002</v>
      </c>
      <c r="R3376" s="1">
        <v>0.77800000000000002</v>
      </c>
      <c r="S3376" s="1">
        <v>0.191</v>
      </c>
      <c r="T3376" s="1">
        <v>0.91600000000000004</v>
      </c>
      <c r="U3376" s="1">
        <v>0.63200000000000001</v>
      </c>
      <c r="V3376" s="1">
        <v>148.97800000000001</v>
      </c>
      <c r="W3376">
        <v>4</v>
      </c>
    </row>
    <row r="3377" spans="1:23" x14ac:dyDescent="0.25">
      <c r="A3377" s="1" t="s">
        <v>20846</v>
      </c>
      <c r="B3377" s="1" t="s">
        <v>13965</v>
      </c>
      <c r="C3377" s="1" t="s">
        <v>7563</v>
      </c>
      <c r="D3377" s="1" t="s">
        <v>20844</v>
      </c>
      <c r="E3377" s="1" t="s">
        <v>2369</v>
      </c>
      <c r="F3377" s="1" t="s">
        <v>20845</v>
      </c>
      <c r="G3377">
        <v>162248</v>
      </c>
      <c r="H3377">
        <v>43</v>
      </c>
      <c r="I3377" s="1" t="s">
        <v>11063</v>
      </c>
      <c r="J3377" s="11">
        <v>44729.706458333334</v>
      </c>
      <c r="K3377" s="1" t="s">
        <v>2370</v>
      </c>
      <c r="L3377" s="1">
        <v>0.58399999999999996</v>
      </c>
      <c r="M3377" s="1">
        <v>0.26100000000000001</v>
      </c>
      <c r="N3377">
        <v>11</v>
      </c>
      <c r="O3377" s="1">
        <v>-12.317</v>
      </c>
      <c r="P3377">
        <v>1</v>
      </c>
      <c r="Q3377" s="1">
        <v>0.48599999999999999</v>
      </c>
      <c r="R3377" s="1">
        <v>0.72</v>
      </c>
      <c r="S3377" s="1">
        <v>0.11</v>
      </c>
      <c r="T3377" s="1">
        <v>0.126</v>
      </c>
      <c r="U3377" s="1">
        <v>0.504</v>
      </c>
      <c r="V3377" s="1">
        <v>180.149</v>
      </c>
      <c r="W3377">
        <v>4</v>
      </c>
    </row>
    <row r="3378" spans="1:23" x14ac:dyDescent="0.25">
      <c r="A3378" s="1" t="s">
        <v>20847</v>
      </c>
      <c r="B3378" s="1" t="s">
        <v>13965</v>
      </c>
      <c r="C3378" s="1" t="s">
        <v>8478</v>
      </c>
      <c r="D3378" s="1" t="s">
        <v>20844</v>
      </c>
      <c r="E3378" s="1" t="s">
        <v>2369</v>
      </c>
      <c r="F3378" s="1" t="s">
        <v>20845</v>
      </c>
      <c r="G3378">
        <v>181971</v>
      </c>
      <c r="H3378">
        <v>49</v>
      </c>
      <c r="I3378" s="1" t="s">
        <v>11063</v>
      </c>
      <c r="J3378" s="11">
        <v>44729.706458333334</v>
      </c>
      <c r="K3378" s="1" t="s">
        <v>2370</v>
      </c>
      <c r="L3378" s="1">
        <v>0.69899999999999995</v>
      </c>
      <c r="M3378" s="1">
        <v>0.49299999999999999</v>
      </c>
      <c r="N3378">
        <v>11</v>
      </c>
      <c r="O3378" s="1">
        <v>-10.385999999999999</v>
      </c>
      <c r="P3378">
        <v>1</v>
      </c>
      <c r="Q3378" s="1">
        <v>0.69899999999999995</v>
      </c>
      <c r="R3378" s="1">
        <v>0.53700000000000003</v>
      </c>
      <c r="S3378" s="1">
        <v>0</v>
      </c>
      <c r="T3378" s="1">
        <v>0.25800000000000001</v>
      </c>
      <c r="U3378" s="1">
        <v>0.8</v>
      </c>
      <c r="V3378" s="1">
        <v>94.99</v>
      </c>
      <c r="W3378">
        <v>4</v>
      </c>
    </row>
    <row r="3379" spans="1:23" x14ac:dyDescent="0.25">
      <c r="A3379" s="1" t="s">
        <v>20848</v>
      </c>
      <c r="B3379" s="1" t="s">
        <v>13965</v>
      </c>
      <c r="C3379" s="1" t="s">
        <v>3770</v>
      </c>
      <c r="D3379" s="1" t="s">
        <v>20844</v>
      </c>
      <c r="E3379" s="1" t="s">
        <v>2369</v>
      </c>
      <c r="F3379" s="1" t="s">
        <v>20845</v>
      </c>
      <c r="G3379">
        <v>184892</v>
      </c>
      <c r="H3379">
        <v>62</v>
      </c>
      <c r="I3379" s="1" t="s">
        <v>11063</v>
      </c>
      <c r="J3379" s="11">
        <v>44729.706458333334</v>
      </c>
      <c r="K3379" s="1" t="s">
        <v>2370</v>
      </c>
      <c r="L3379" s="1">
        <v>0.628</v>
      </c>
      <c r="M3379" s="1">
        <v>0.29799999999999999</v>
      </c>
      <c r="N3379">
        <v>11</v>
      </c>
      <c r="O3379" s="1">
        <v>-9.5389999999999997</v>
      </c>
      <c r="P3379">
        <v>1</v>
      </c>
      <c r="Q3379" s="1">
        <v>0.71299999999999997</v>
      </c>
      <c r="R3379" s="1">
        <v>0.73199999999999998</v>
      </c>
      <c r="S3379" s="1">
        <v>0</v>
      </c>
      <c r="T3379" s="1">
        <v>0.11600000000000001</v>
      </c>
      <c r="U3379" s="1">
        <v>0.16600000000000001</v>
      </c>
      <c r="V3379" s="1">
        <v>63.762</v>
      </c>
      <c r="W3379">
        <v>4</v>
      </c>
    </row>
    <row r="3380" spans="1:23" x14ac:dyDescent="0.25">
      <c r="A3380" s="1" t="s">
        <v>20849</v>
      </c>
      <c r="B3380" s="1" t="s">
        <v>13965</v>
      </c>
      <c r="C3380" s="1" t="s">
        <v>7566</v>
      </c>
      <c r="D3380" s="1" t="s">
        <v>20844</v>
      </c>
      <c r="E3380" s="1" t="s">
        <v>2369</v>
      </c>
      <c r="F3380" s="1" t="s">
        <v>20845</v>
      </c>
      <c r="G3380">
        <v>167353</v>
      </c>
      <c r="H3380">
        <v>44</v>
      </c>
      <c r="I3380" s="1" t="s">
        <v>11063</v>
      </c>
      <c r="J3380" s="11">
        <v>44729.706458333334</v>
      </c>
      <c r="K3380" s="1" t="s">
        <v>2370</v>
      </c>
      <c r="L3380" s="1">
        <v>0.64100000000000001</v>
      </c>
      <c r="M3380" s="1">
        <v>0.37</v>
      </c>
      <c r="N3380">
        <v>1</v>
      </c>
      <c r="O3380" s="1">
        <v>-8.6449999999999996</v>
      </c>
      <c r="P3380">
        <v>0</v>
      </c>
      <c r="Q3380" s="1">
        <v>0.56499999999999995</v>
      </c>
      <c r="R3380" s="1">
        <v>0.32</v>
      </c>
      <c r="S3380" s="1">
        <v>0</v>
      </c>
      <c r="T3380" s="1">
        <v>0.20599999999999999</v>
      </c>
      <c r="U3380" s="1">
        <v>0.24199999999999999</v>
      </c>
      <c r="V3380" s="1">
        <v>81.043000000000006</v>
      </c>
      <c r="W3380">
        <v>4</v>
      </c>
    </row>
    <row r="3381" spans="1:23" x14ac:dyDescent="0.25">
      <c r="A3381" s="1" t="s">
        <v>20850</v>
      </c>
      <c r="B3381" s="1" t="s">
        <v>13965</v>
      </c>
      <c r="C3381" s="1" t="s">
        <v>7564</v>
      </c>
      <c r="D3381" s="1" t="s">
        <v>20844</v>
      </c>
      <c r="E3381" s="1" t="s">
        <v>2369</v>
      </c>
      <c r="F3381" s="1" t="s">
        <v>20845</v>
      </c>
      <c r="G3381">
        <v>213959</v>
      </c>
      <c r="H3381">
        <v>45</v>
      </c>
      <c r="I3381" s="1" t="s">
        <v>11063</v>
      </c>
      <c r="J3381" s="11">
        <v>44729.706458333334</v>
      </c>
      <c r="K3381" s="1" t="s">
        <v>2370</v>
      </c>
      <c r="L3381" s="1">
        <v>0.68200000000000005</v>
      </c>
      <c r="M3381" s="1">
        <v>0.26</v>
      </c>
      <c r="N3381">
        <v>4</v>
      </c>
      <c r="O3381" s="1">
        <v>-11.007999999999999</v>
      </c>
      <c r="P3381">
        <v>0</v>
      </c>
      <c r="Q3381" s="1">
        <v>0.495</v>
      </c>
      <c r="R3381" s="1">
        <v>0.745</v>
      </c>
      <c r="S3381" s="1">
        <v>0</v>
      </c>
      <c r="T3381" s="1">
        <v>0.13700000000000001</v>
      </c>
      <c r="U3381" s="1">
        <v>0.502</v>
      </c>
      <c r="V3381" s="1">
        <v>138.03399999999999</v>
      </c>
      <c r="W3381">
        <v>4</v>
      </c>
    </row>
    <row r="3382" spans="1:23" x14ac:dyDescent="0.25">
      <c r="A3382" s="1" t="s">
        <v>20851</v>
      </c>
      <c r="B3382" s="1" t="s">
        <v>15348</v>
      </c>
      <c r="C3382" s="1" t="s">
        <v>8479</v>
      </c>
      <c r="D3382" s="1" t="s">
        <v>19485</v>
      </c>
      <c r="E3382" s="1" t="s">
        <v>3586</v>
      </c>
      <c r="F3382" s="1" t="s">
        <v>11563</v>
      </c>
      <c r="G3382">
        <v>193946</v>
      </c>
      <c r="H3382">
        <v>66</v>
      </c>
      <c r="I3382" s="1" t="s">
        <v>11063</v>
      </c>
      <c r="J3382" s="11">
        <v>44729.706458333334</v>
      </c>
      <c r="K3382" s="1" t="s">
        <v>3587</v>
      </c>
      <c r="L3382" s="1">
        <v>0.70799999999999996</v>
      </c>
      <c r="M3382" s="1">
        <v>0.32200000000000001</v>
      </c>
      <c r="N3382">
        <v>8</v>
      </c>
      <c r="O3382" s="1">
        <v>-12.46</v>
      </c>
      <c r="P3382">
        <v>0</v>
      </c>
      <c r="Q3382" s="1">
        <v>0.371</v>
      </c>
      <c r="R3382" s="1">
        <v>0.747</v>
      </c>
      <c r="S3382" s="1">
        <v>0.92400000000000004</v>
      </c>
      <c r="T3382" s="1">
        <v>0.13700000000000001</v>
      </c>
      <c r="U3382" s="1">
        <v>0.46</v>
      </c>
      <c r="V3382" s="1">
        <v>98.891999999999996</v>
      </c>
      <c r="W3382">
        <v>4</v>
      </c>
    </row>
    <row r="3383" spans="1:23" x14ac:dyDescent="0.25">
      <c r="A3383" s="1" t="s">
        <v>20852</v>
      </c>
      <c r="B3383" s="1" t="s">
        <v>14312</v>
      </c>
      <c r="C3383" s="1" t="s">
        <v>8480</v>
      </c>
      <c r="D3383" s="1" t="s">
        <v>8481</v>
      </c>
      <c r="E3383" s="1" t="s">
        <v>2667</v>
      </c>
      <c r="F3383" s="1" t="s">
        <v>14995</v>
      </c>
      <c r="G3383">
        <v>216133</v>
      </c>
      <c r="H3383">
        <v>0</v>
      </c>
      <c r="I3383" s="1" t="s">
        <v>11063</v>
      </c>
      <c r="J3383" s="11">
        <v>44729.706458333334</v>
      </c>
      <c r="K3383" s="1" t="s">
        <v>2668</v>
      </c>
      <c r="L3383" s="1">
        <v>0.49399999999999999</v>
      </c>
      <c r="M3383" s="1">
        <v>0.47099999999999997</v>
      </c>
      <c r="N3383">
        <v>10</v>
      </c>
      <c r="O3383" s="1">
        <v>-8.5259999999999998</v>
      </c>
      <c r="P3383">
        <v>1</v>
      </c>
      <c r="Q3383" s="1">
        <v>0.215</v>
      </c>
      <c r="R3383" s="1">
        <v>0.63200000000000001</v>
      </c>
      <c r="S3383" s="1">
        <v>0.14099999999999999</v>
      </c>
      <c r="T3383" s="1">
        <v>0.10199999999999999</v>
      </c>
      <c r="U3383" s="1">
        <v>0.40699999999999997</v>
      </c>
      <c r="V3383" s="1">
        <v>95.227000000000004</v>
      </c>
      <c r="W3383">
        <v>4</v>
      </c>
    </row>
    <row r="3384" spans="1:23" x14ac:dyDescent="0.25">
      <c r="A3384" s="1" t="s">
        <v>20853</v>
      </c>
      <c r="B3384" s="1" t="s">
        <v>14312</v>
      </c>
      <c r="C3384" s="1" t="s">
        <v>8481</v>
      </c>
      <c r="D3384" s="1" t="s">
        <v>8481</v>
      </c>
      <c r="E3384" s="1" t="s">
        <v>2667</v>
      </c>
      <c r="F3384" s="1" t="s">
        <v>14995</v>
      </c>
      <c r="G3384">
        <v>80653</v>
      </c>
      <c r="H3384">
        <v>0</v>
      </c>
      <c r="I3384" s="1" t="s">
        <v>11063</v>
      </c>
      <c r="J3384" s="11">
        <v>44729.706458333334</v>
      </c>
      <c r="K3384" s="1" t="s">
        <v>2668</v>
      </c>
      <c r="L3384" s="1">
        <v>0.38300000000000001</v>
      </c>
      <c r="M3384" s="1">
        <v>0.10199999999999999</v>
      </c>
      <c r="N3384">
        <v>2</v>
      </c>
      <c r="O3384" s="1">
        <v>-14.066000000000001</v>
      </c>
      <c r="P3384">
        <v>1</v>
      </c>
      <c r="Q3384" s="1">
        <v>0.501</v>
      </c>
      <c r="R3384" s="1">
        <v>0.97799999999999998</v>
      </c>
      <c r="S3384" s="1">
        <v>0.25600000000000001</v>
      </c>
      <c r="T3384" s="1">
        <v>0.13500000000000001</v>
      </c>
      <c r="U3384" s="1">
        <v>0.38</v>
      </c>
      <c r="V3384" s="1">
        <v>77.447000000000003</v>
      </c>
      <c r="W3384">
        <v>1</v>
      </c>
    </row>
    <row r="3385" spans="1:23" x14ac:dyDescent="0.25">
      <c r="A3385" s="1" t="s">
        <v>20854</v>
      </c>
      <c r="B3385" s="1" t="s">
        <v>14312</v>
      </c>
      <c r="C3385" s="1" t="s">
        <v>8482</v>
      </c>
      <c r="D3385" s="1" t="s">
        <v>8481</v>
      </c>
      <c r="E3385" s="1" t="s">
        <v>2667</v>
      </c>
      <c r="F3385" s="1" t="s">
        <v>14995</v>
      </c>
      <c r="G3385">
        <v>184666</v>
      </c>
      <c r="H3385">
        <v>0</v>
      </c>
      <c r="I3385" s="1" t="s">
        <v>11063</v>
      </c>
      <c r="J3385" s="11">
        <v>44729.706458333334</v>
      </c>
      <c r="K3385" s="1" t="s">
        <v>2668</v>
      </c>
      <c r="L3385" s="1">
        <v>0.65400000000000003</v>
      </c>
      <c r="M3385" s="1">
        <v>0.60599999999999998</v>
      </c>
      <c r="N3385">
        <v>2</v>
      </c>
      <c r="O3385" s="1">
        <v>-8.5760000000000005</v>
      </c>
      <c r="P3385">
        <v>1</v>
      </c>
      <c r="Q3385" s="1">
        <v>0.71699999999999997</v>
      </c>
      <c r="R3385" s="1">
        <v>0.99099999999999999</v>
      </c>
      <c r="S3385" s="1">
        <v>0.55700000000000005</v>
      </c>
      <c r="T3385" s="1">
        <v>0.31</v>
      </c>
      <c r="U3385" s="1">
        <v>0.35799999999999998</v>
      </c>
      <c r="V3385" s="1">
        <v>90.058000000000007</v>
      </c>
      <c r="W3385">
        <v>4</v>
      </c>
    </row>
    <row r="3386" spans="1:23" x14ac:dyDescent="0.25">
      <c r="A3386" s="1" t="s">
        <v>20855</v>
      </c>
      <c r="B3386" s="1" t="s">
        <v>14312</v>
      </c>
      <c r="C3386" s="1" t="s">
        <v>8483</v>
      </c>
      <c r="D3386" s="1" t="s">
        <v>8481</v>
      </c>
      <c r="E3386" s="1" t="s">
        <v>2667</v>
      </c>
      <c r="F3386" s="1" t="s">
        <v>14995</v>
      </c>
      <c r="G3386">
        <v>247386</v>
      </c>
      <c r="H3386">
        <v>0</v>
      </c>
      <c r="I3386" s="1" t="s">
        <v>11063</v>
      </c>
      <c r="J3386" s="11">
        <v>44729.706458333334</v>
      </c>
      <c r="K3386" s="1" t="s">
        <v>2668</v>
      </c>
      <c r="L3386" s="1">
        <v>0.35599999999999998</v>
      </c>
      <c r="M3386" s="1">
        <v>0.34499999999999997</v>
      </c>
      <c r="N3386">
        <v>1</v>
      </c>
      <c r="O3386" s="1">
        <v>-9.1839999999999993</v>
      </c>
      <c r="P3386">
        <v>0</v>
      </c>
      <c r="Q3386" s="1">
        <v>0.54</v>
      </c>
      <c r="R3386" s="1">
        <v>0.504</v>
      </c>
      <c r="S3386" s="1">
        <v>0</v>
      </c>
      <c r="T3386" s="1">
        <v>0.19800000000000001</v>
      </c>
      <c r="U3386" s="1">
        <v>0.127</v>
      </c>
      <c r="V3386" s="1">
        <v>174.87100000000001</v>
      </c>
      <c r="W3386">
        <v>4</v>
      </c>
    </row>
    <row r="3387" spans="1:23" x14ac:dyDescent="0.25">
      <c r="A3387" s="1" t="s">
        <v>20856</v>
      </c>
      <c r="B3387" s="1" t="s">
        <v>19870</v>
      </c>
      <c r="C3387" s="1" t="s">
        <v>8484</v>
      </c>
      <c r="D3387" s="1" t="s">
        <v>8481</v>
      </c>
      <c r="E3387" s="1" t="s">
        <v>7569</v>
      </c>
      <c r="F3387" s="1" t="s">
        <v>14995</v>
      </c>
      <c r="G3387">
        <v>193786</v>
      </c>
      <c r="H3387">
        <v>0</v>
      </c>
      <c r="I3387" s="1" t="s">
        <v>11063</v>
      </c>
      <c r="J3387" s="11">
        <v>44729.706458333334</v>
      </c>
      <c r="K3387" s="1" t="s">
        <v>2668</v>
      </c>
      <c r="L3387" s="1">
        <v>0.85699999999999998</v>
      </c>
      <c r="M3387" s="1">
        <v>0.22</v>
      </c>
      <c r="N3387">
        <v>2</v>
      </c>
      <c r="O3387" s="1">
        <v>-14.115</v>
      </c>
      <c r="P3387">
        <v>1</v>
      </c>
      <c r="Q3387" s="1">
        <v>0.23</v>
      </c>
      <c r="R3387" s="1">
        <v>0.78900000000000003</v>
      </c>
      <c r="S3387" s="1">
        <v>0</v>
      </c>
      <c r="T3387" s="1">
        <v>0.129</v>
      </c>
      <c r="U3387" s="1">
        <v>0.58299999999999996</v>
      </c>
      <c r="V3387" s="1">
        <v>100.976</v>
      </c>
      <c r="W3387">
        <v>4</v>
      </c>
    </row>
    <row r="3388" spans="1:23" x14ac:dyDescent="0.25">
      <c r="A3388" s="1" t="s">
        <v>20857</v>
      </c>
      <c r="B3388" s="1" t="s">
        <v>14312</v>
      </c>
      <c r="C3388" s="1" t="s">
        <v>8485</v>
      </c>
      <c r="D3388" s="1" t="s">
        <v>8481</v>
      </c>
      <c r="E3388" s="1" t="s">
        <v>2667</v>
      </c>
      <c r="F3388" s="1" t="s">
        <v>14995</v>
      </c>
      <c r="G3388">
        <v>224866</v>
      </c>
      <c r="H3388">
        <v>0</v>
      </c>
      <c r="I3388" s="1" t="s">
        <v>11063</v>
      </c>
      <c r="J3388" s="11">
        <v>44729.706458333334</v>
      </c>
      <c r="K3388" s="1" t="s">
        <v>2668</v>
      </c>
      <c r="L3388" s="1">
        <v>0.69499999999999995</v>
      </c>
      <c r="M3388" s="1">
        <v>0.39800000000000002</v>
      </c>
      <c r="N3388">
        <v>2</v>
      </c>
      <c r="O3388" s="1">
        <v>-8.1739999999999995</v>
      </c>
      <c r="P3388">
        <v>1</v>
      </c>
      <c r="Q3388" s="1">
        <v>0.81699999999999995</v>
      </c>
      <c r="R3388" s="1">
        <v>0.64200000000000002</v>
      </c>
      <c r="S3388" s="1">
        <v>0.185</v>
      </c>
      <c r="T3388" s="1">
        <v>0.30299999999999999</v>
      </c>
      <c r="U3388" s="1">
        <v>0.51500000000000001</v>
      </c>
      <c r="V3388" s="1">
        <v>93.93</v>
      </c>
      <c r="W3388">
        <v>4</v>
      </c>
    </row>
    <row r="3389" spans="1:23" x14ac:dyDescent="0.25">
      <c r="A3389" s="1" t="s">
        <v>20858</v>
      </c>
      <c r="B3389" s="1" t="s">
        <v>14312</v>
      </c>
      <c r="C3389" s="1" t="s">
        <v>8486</v>
      </c>
      <c r="D3389" s="1" t="s">
        <v>20859</v>
      </c>
      <c r="E3389" s="1" t="s">
        <v>2667</v>
      </c>
      <c r="F3389" s="1" t="s">
        <v>14073</v>
      </c>
      <c r="G3389">
        <v>184040</v>
      </c>
      <c r="H3389">
        <v>0</v>
      </c>
      <c r="I3389" s="1" t="s">
        <v>11063</v>
      </c>
      <c r="J3389" s="11">
        <v>44729.706458333334</v>
      </c>
      <c r="K3389" s="1" t="s">
        <v>2668</v>
      </c>
      <c r="L3389" s="1">
        <v>0.51500000000000001</v>
      </c>
      <c r="M3389" s="1">
        <v>0.46300000000000002</v>
      </c>
      <c r="N3389">
        <v>2</v>
      </c>
      <c r="O3389" s="1">
        <v>-7.4560000000000004</v>
      </c>
      <c r="P3389">
        <v>1</v>
      </c>
      <c r="Q3389" s="1">
        <v>0.10100000000000001</v>
      </c>
      <c r="R3389" s="1">
        <v>0.13300000000000001</v>
      </c>
      <c r="S3389" s="1">
        <v>0</v>
      </c>
      <c r="T3389" s="1">
        <v>0.95399999999999996</v>
      </c>
      <c r="U3389" s="1">
        <v>0.41</v>
      </c>
      <c r="V3389" s="1">
        <v>163.458</v>
      </c>
      <c r="W3389">
        <v>4</v>
      </c>
    </row>
    <row r="3390" spans="1:23" x14ac:dyDescent="0.25">
      <c r="A3390" s="1" t="s">
        <v>20860</v>
      </c>
      <c r="B3390" s="1" t="s">
        <v>14312</v>
      </c>
      <c r="C3390" s="1" t="s">
        <v>8487</v>
      </c>
      <c r="D3390" s="1" t="s">
        <v>20859</v>
      </c>
      <c r="E3390" s="1" t="s">
        <v>2667</v>
      </c>
      <c r="F3390" s="1" t="s">
        <v>14073</v>
      </c>
      <c r="G3390">
        <v>204933</v>
      </c>
      <c r="H3390">
        <v>0</v>
      </c>
      <c r="I3390" s="1" t="s">
        <v>11063</v>
      </c>
      <c r="J3390" s="11">
        <v>44729.706458333334</v>
      </c>
      <c r="K3390" s="1" t="s">
        <v>2668</v>
      </c>
      <c r="L3390" s="1">
        <v>0.75700000000000001</v>
      </c>
      <c r="M3390" s="1">
        <v>0.65100000000000002</v>
      </c>
      <c r="N3390">
        <v>9</v>
      </c>
      <c r="O3390" s="1">
        <v>-6.3730000000000002</v>
      </c>
      <c r="P3390">
        <v>1</v>
      </c>
      <c r="Q3390" s="1">
        <v>0.65500000000000003</v>
      </c>
      <c r="R3390" s="1">
        <v>0.32</v>
      </c>
      <c r="S3390" s="1">
        <v>0.152</v>
      </c>
      <c r="T3390" s="1">
        <v>0.253</v>
      </c>
      <c r="U3390" s="1">
        <v>0.434</v>
      </c>
      <c r="V3390" s="1">
        <v>98.043000000000006</v>
      </c>
      <c r="W3390">
        <v>4</v>
      </c>
    </row>
    <row r="3391" spans="1:23" x14ac:dyDescent="0.25">
      <c r="A3391" s="1" t="s">
        <v>20861</v>
      </c>
      <c r="B3391" s="1" t="s">
        <v>14312</v>
      </c>
      <c r="C3391" s="1" t="s">
        <v>8482</v>
      </c>
      <c r="D3391" s="1" t="s">
        <v>8482</v>
      </c>
      <c r="E3391" s="1" t="s">
        <v>2667</v>
      </c>
      <c r="F3391" s="1" t="s">
        <v>11696</v>
      </c>
      <c r="G3391">
        <v>184693</v>
      </c>
      <c r="H3391">
        <v>0</v>
      </c>
      <c r="I3391" s="1" t="s">
        <v>11063</v>
      </c>
      <c r="J3391" s="11">
        <v>44729.706458333334</v>
      </c>
      <c r="K3391" s="1" t="s">
        <v>2668</v>
      </c>
      <c r="L3391" s="1">
        <v>0.40400000000000003</v>
      </c>
      <c r="M3391" s="1">
        <v>0.59799999999999998</v>
      </c>
      <c r="N3391">
        <v>2</v>
      </c>
      <c r="O3391" s="1">
        <v>-8.5129999999999999</v>
      </c>
      <c r="P3391">
        <v>1</v>
      </c>
      <c r="Q3391" s="1">
        <v>0.16700000000000001</v>
      </c>
      <c r="R3391" s="1">
        <v>0.996</v>
      </c>
      <c r="S3391" s="1">
        <v>0.32900000000000001</v>
      </c>
      <c r="T3391" s="1">
        <v>0.30299999999999999</v>
      </c>
      <c r="U3391" s="1">
        <v>0.34799999999999998</v>
      </c>
      <c r="V3391" s="1">
        <v>89.948999999999998</v>
      </c>
      <c r="W3391">
        <v>4</v>
      </c>
    </row>
    <row r="3392" spans="1:23" x14ac:dyDescent="0.25">
      <c r="A3392" s="1" t="s">
        <v>20862</v>
      </c>
      <c r="B3392" s="1" t="s">
        <v>20863</v>
      </c>
      <c r="C3392" s="1" t="s">
        <v>8488</v>
      </c>
      <c r="D3392" s="1" t="s">
        <v>20864</v>
      </c>
      <c r="E3392" s="1" t="s">
        <v>8489</v>
      </c>
      <c r="F3392" s="1" t="s">
        <v>15035</v>
      </c>
      <c r="G3392">
        <v>240013</v>
      </c>
      <c r="H3392">
        <v>62</v>
      </c>
      <c r="I3392" s="1" t="s">
        <v>11063</v>
      </c>
      <c r="J3392" s="11">
        <v>44729.706458333334</v>
      </c>
      <c r="K3392" s="1" t="s">
        <v>8490</v>
      </c>
      <c r="L3392" s="1">
        <v>0.81200000000000006</v>
      </c>
      <c r="M3392" s="1">
        <v>0.47199999999999998</v>
      </c>
      <c r="N3392">
        <v>1</v>
      </c>
      <c r="O3392" s="1">
        <v>-6.806</v>
      </c>
      <c r="P3392">
        <v>0</v>
      </c>
      <c r="Q3392" s="1">
        <v>0.60299999999999998</v>
      </c>
      <c r="R3392" s="1">
        <v>0.26</v>
      </c>
      <c r="S3392" s="1">
        <v>0</v>
      </c>
      <c r="T3392" s="1">
        <v>0.28499999999999998</v>
      </c>
      <c r="U3392" s="1">
        <v>0.45700000000000002</v>
      </c>
      <c r="V3392" s="1">
        <v>92.950999999999993</v>
      </c>
      <c r="W3392">
        <v>4</v>
      </c>
    </row>
    <row r="3393" spans="1:23" x14ac:dyDescent="0.25">
      <c r="A3393" s="1" t="s">
        <v>20865</v>
      </c>
      <c r="B3393" s="1" t="s">
        <v>20866</v>
      </c>
      <c r="C3393" s="1" t="s">
        <v>8491</v>
      </c>
      <c r="D3393" s="1" t="s">
        <v>8491</v>
      </c>
      <c r="E3393" s="1" t="s">
        <v>8492</v>
      </c>
      <c r="F3393" s="1" t="s">
        <v>15512</v>
      </c>
      <c r="G3393">
        <v>217687</v>
      </c>
      <c r="H3393">
        <v>45</v>
      </c>
      <c r="I3393" s="1" t="s">
        <v>11063</v>
      </c>
      <c r="J3393" s="11">
        <v>44729.706458333334</v>
      </c>
      <c r="K3393" s="1" t="s">
        <v>8493</v>
      </c>
      <c r="L3393" s="1">
        <v>0.48799999999999999</v>
      </c>
      <c r="M3393" s="1">
        <v>0.85299999999999998</v>
      </c>
      <c r="N3393">
        <v>0</v>
      </c>
      <c r="O3393" s="1">
        <v>-4.7770000000000001</v>
      </c>
      <c r="P3393">
        <v>1</v>
      </c>
      <c r="Q3393" s="1">
        <v>0.66600000000000004</v>
      </c>
      <c r="R3393" s="1">
        <v>0.122</v>
      </c>
      <c r="S3393" s="1">
        <v>0</v>
      </c>
      <c r="T3393" s="1">
        <v>0.13200000000000001</v>
      </c>
      <c r="U3393" s="1">
        <v>0.19800000000000001</v>
      </c>
      <c r="V3393" s="1">
        <v>107.983</v>
      </c>
      <c r="W3393">
        <v>4</v>
      </c>
    </row>
    <row r="3394" spans="1:23" x14ac:dyDescent="0.25">
      <c r="A3394" s="1" t="s">
        <v>20867</v>
      </c>
      <c r="B3394" s="1" t="s">
        <v>20868</v>
      </c>
      <c r="C3394" s="1" t="s">
        <v>8494</v>
      </c>
      <c r="D3394" s="1" t="s">
        <v>20869</v>
      </c>
      <c r="E3394" s="1" t="s">
        <v>8495</v>
      </c>
      <c r="F3394" s="1" t="s">
        <v>19338</v>
      </c>
      <c r="G3394">
        <v>197933</v>
      </c>
      <c r="H3394">
        <v>78</v>
      </c>
      <c r="I3394" s="1" t="s">
        <v>11063</v>
      </c>
      <c r="J3394" s="11">
        <v>44729.706458333334</v>
      </c>
      <c r="K3394" s="1" t="s">
        <v>8496</v>
      </c>
      <c r="L3394" s="1">
        <v>0.66400000000000003</v>
      </c>
      <c r="M3394" s="1">
        <v>0.71399999999999997</v>
      </c>
      <c r="N3394">
        <v>7</v>
      </c>
      <c r="O3394" s="1">
        <v>-6.6449999999999996</v>
      </c>
      <c r="P3394">
        <v>0</v>
      </c>
      <c r="Q3394" s="1">
        <v>0.111</v>
      </c>
      <c r="R3394" s="1">
        <v>0.35299999999999998</v>
      </c>
      <c r="S3394" s="1">
        <v>0.84199999999999997</v>
      </c>
      <c r="T3394" s="1">
        <v>0.84299999999999997</v>
      </c>
      <c r="U3394" s="1">
        <v>0.71</v>
      </c>
      <c r="V3394" s="1">
        <v>101.96899999999999</v>
      </c>
      <c r="W3394">
        <v>4</v>
      </c>
    </row>
    <row r="3395" spans="1:23" x14ac:dyDescent="0.25">
      <c r="A3395" s="1" t="s">
        <v>20870</v>
      </c>
      <c r="B3395" s="1" t="s">
        <v>20871</v>
      </c>
      <c r="C3395" s="1" t="s">
        <v>8497</v>
      </c>
      <c r="D3395" s="1" t="s">
        <v>8497</v>
      </c>
      <c r="E3395" s="1" t="s">
        <v>8498</v>
      </c>
      <c r="F3395" s="1" t="s">
        <v>18597</v>
      </c>
      <c r="G3395">
        <v>208695</v>
      </c>
      <c r="H3395">
        <v>46</v>
      </c>
      <c r="I3395" s="1" t="s">
        <v>11063</v>
      </c>
      <c r="J3395" s="11">
        <v>44729.706458333334</v>
      </c>
      <c r="K3395" s="1" t="s">
        <v>256</v>
      </c>
      <c r="L3395" s="1">
        <v>0.64200000000000002</v>
      </c>
      <c r="M3395" s="1">
        <v>0.83499999999999996</v>
      </c>
      <c r="N3395">
        <v>6</v>
      </c>
      <c r="O3395" s="1">
        <v>-3.952</v>
      </c>
      <c r="P3395">
        <v>0</v>
      </c>
      <c r="Q3395" s="1">
        <v>0.502</v>
      </c>
      <c r="R3395" s="1">
        <v>0.24399999999999999</v>
      </c>
      <c r="S3395" s="1">
        <v>0.26100000000000001</v>
      </c>
      <c r="T3395" s="1">
        <v>0.874</v>
      </c>
      <c r="U3395" s="1">
        <v>0.60199999999999998</v>
      </c>
      <c r="V3395" s="1">
        <v>137.999</v>
      </c>
      <c r="W3395">
        <v>4</v>
      </c>
    </row>
    <row r="3396" spans="1:23" x14ac:dyDescent="0.25">
      <c r="A3396" s="1" t="s">
        <v>20872</v>
      </c>
      <c r="B3396" s="1" t="s">
        <v>20873</v>
      </c>
      <c r="C3396" s="1" t="s">
        <v>8499</v>
      </c>
      <c r="D3396" s="1" t="s">
        <v>8499</v>
      </c>
      <c r="E3396" s="1" t="s">
        <v>8500</v>
      </c>
      <c r="F3396" s="1" t="s">
        <v>14969</v>
      </c>
      <c r="G3396">
        <v>211935</v>
      </c>
      <c r="H3396">
        <v>52</v>
      </c>
      <c r="I3396" s="1" t="s">
        <v>11063</v>
      </c>
      <c r="J3396" s="11">
        <v>44729.706458333334</v>
      </c>
      <c r="K3396" s="1" t="s">
        <v>8501</v>
      </c>
      <c r="L3396" s="1">
        <v>0.73899999999999999</v>
      </c>
      <c r="M3396" s="1">
        <v>0.88400000000000001</v>
      </c>
      <c r="N3396">
        <v>1</v>
      </c>
      <c r="O3396" s="1">
        <v>-5.3410000000000002</v>
      </c>
      <c r="P3396">
        <v>1</v>
      </c>
      <c r="Q3396" s="1">
        <v>0.438</v>
      </c>
      <c r="R3396" s="1">
        <v>0.38</v>
      </c>
      <c r="S3396" s="1">
        <v>0.252</v>
      </c>
      <c r="T3396" s="1">
        <v>0.66100000000000003</v>
      </c>
      <c r="U3396" s="1">
        <v>0.34300000000000003</v>
      </c>
      <c r="V3396" s="1">
        <v>124.023</v>
      </c>
      <c r="W3396">
        <v>4</v>
      </c>
    </row>
    <row r="3397" spans="1:23" x14ac:dyDescent="0.25">
      <c r="A3397" s="1" t="s">
        <v>20874</v>
      </c>
      <c r="B3397" s="1" t="s">
        <v>20875</v>
      </c>
      <c r="C3397" s="1" t="s">
        <v>8502</v>
      </c>
      <c r="D3397" s="1" t="s">
        <v>8502</v>
      </c>
      <c r="E3397" s="1" t="s">
        <v>8503</v>
      </c>
      <c r="F3397" s="1" t="s">
        <v>15689</v>
      </c>
      <c r="G3397">
        <v>229946</v>
      </c>
      <c r="H3397">
        <v>45</v>
      </c>
      <c r="I3397" s="1" t="s">
        <v>11063</v>
      </c>
      <c r="J3397" s="11">
        <v>44729.706458333334</v>
      </c>
      <c r="K3397" s="1" t="s">
        <v>8504</v>
      </c>
      <c r="L3397" s="1">
        <v>0.53200000000000003</v>
      </c>
      <c r="M3397" s="1">
        <v>0.56399999999999995</v>
      </c>
      <c r="N3397">
        <v>4</v>
      </c>
      <c r="O3397" s="1">
        <v>-4.1520000000000001</v>
      </c>
      <c r="P3397">
        <v>1</v>
      </c>
      <c r="Q3397" s="1">
        <v>0.28399999999999997</v>
      </c>
      <c r="R3397" s="1">
        <v>0.23300000000000001</v>
      </c>
      <c r="S3397" s="1">
        <v>0.109</v>
      </c>
      <c r="T3397" s="1">
        <v>0.25</v>
      </c>
      <c r="U3397" s="1">
        <v>0.56799999999999995</v>
      </c>
      <c r="V3397" s="1">
        <v>94.986999999999995</v>
      </c>
      <c r="W3397">
        <v>4</v>
      </c>
    </row>
    <row r="3398" spans="1:23" x14ac:dyDescent="0.25">
      <c r="A3398" s="1" t="s">
        <v>20876</v>
      </c>
      <c r="B3398" s="1" t="s">
        <v>18507</v>
      </c>
      <c r="C3398" s="1" t="s">
        <v>8505</v>
      </c>
      <c r="D3398" s="1" t="s">
        <v>8505</v>
      </c>
      <c r="E3398" s="1" t="s">
        <v>6383</v>
      </c>
      <c r="F3398" s="1" t="s">
        <v>20877</v>
      </c>
      <c r="G3398">
        <v>260000</v>
      </c>
      <c r="H3398">
        <v>0</v>
      </c>
      <c r="I3398" s="1" t="s">
        <v>11063</v>
      </c>
      <c r="J3398" s="11">
        <v>44729.706458333334</v>
      </c>
      <c r="K3398" s="1" t="s">
        <v>256</v>
      </c>
      <c r="L3398" s="1">
        <v>0.72099999999999997</v>
      </c>
      <c r="M3398" s="1">
        <v>0.626</v>
      </c>
      <c r="N3398">
        <v>1</v>
      </c>
      <c r="O3398" s="1">
        <v>-5.76</v>
      </c>
      <c r="P3398">
        <v>1</v>
      </c>
      <c r="Q3398" s="1">
        <v>0.314</v>
      </c>
      <c r="R3398" s="1">
        <v>0.216</v>
      </c>
      <c r="S3398" s="1">
        <v>0.61399999999999999</v>
      </c>
      <c r="T3398" s="1">
        <v>0.114</v>
      </c>
      <c r="U3398" s="1">
        <v>0.26100000000000001</v>
      </c>
      <c r="V3398" s="1">
        <v>132.01</v>
      </c>
      <c r="W3398">
        <v>4</v>
      </c>
    </row>
    <row r="3399" spans="1:23" x14ac:dyDescent="0.25">
      <c r="A3399" s="1" t="s">
        <v>20878</v>
      </c>
      <c r="B3399" s="1" t="s">
        <v>17624</v>
      </c>
      <c r="C3399" s="1" t="s">
        <v>8506</v>
      </c>
      <c r="D3399" s="1" t="s">
        <v>8506</v>
      </c>
      <c r="E3399" s="1" t="s">
        <v>5534</v>
      </c>
      <c r="F3399" s="1" t="s">
        <v>15455</v>
      </c>
      <c r="G3399">
        <v>233590</v>
      </c>
      <c r="H3399">
        <v>58</v>
      </c>
      <c r="I3399" s="1" t="s">
        <v>11063</v>
      </c>
      <c r="J3399" s="11">
        <v>44729.706458333334</v>
      </c>
      <c r="K3399" s="1" t="s">
        <v>5535</v>
      </c>
      <c r="L3399" s="1">
        <v>0.67200000000000004</v>
      </c>
      <c r="M3399" s="1">
        <v>0.504</v>
      </c>
      <c r="N3399">
        <v>11</v>
      </c>
      <c r="O3399" s="1">
        <v>-8.2840000000000007</v>
      </c>
      <c r="P3399">
        <v>0</v>
      </c>
      <c r="Q3399" s="1">
        <v>0.32200000000000001</v>
      </c>
      <c r="R3399" s="1">
        <v>0.42299999999999999</v>
      </c>
      <c r="S3399" s="1">
        <v>0.88500000000000001</v>
      </c>
      <c r="T3399" s="1">
        <v>0.11700000000000001</v>
      </c>
      <c r="U3399" s="1">
        <v>0.109</v>
      </c>
      <c r="V3399" s="1">
        <v>109.998</v>
      </c>
      <c r="W3399">
        <v>4</v>
      </c>
    </row>
    <row r="3400" spans="1:23" x14ac:dyDescent="0.25">
      <c r="A3400" s="1" t="s">
        <v>20879</v>
      </c>
      <c r="B3400" s="1" t="s">
        <v>18507</v>
      </c>
      <c r="C3400" s="1" t="s">
        <v>8507</v>
      </c>
      <c r="D3400" s="1" t="s">
        <v>8507</v>
      </c>
      <c r="E3400" s="1" t="s">
        <v>6383</v>
      </c>
      <c r="F3400" s="1" t="s">
        <v>20880</v>
      </c>
      <c r="G3400">
        <v>185314</v>
      </c>
      <c r="H3400">
        <v>55</v>
      </c>
      <c r="I3400" s="1" t="s">
        <v>11063</v>
      </c>
      <c r="J3400" s="11">
        <v>44729.706458333334</v>
      </c>
      <c r="K3400" s="1" t="s">
        <v>256</v>
      </c>
      <c r="L3400" s="1">
        <v>0.64</v>
      </c>
      <c r="M3400" s="1">
        <v>0.84599999999999997</v>
      </c>
      <c r="N3400">
        <v>11</v>
      </c>
      <c r="O3400" s="1">
        <v>-5.7149999999999999</v>
      </c>
      <c r="P3400">
        <v>0</v>
      </c>
      <c r="Q3400" s="1">
        <v>0.108</v>
      </c>
      <c r="R3400" s="1">
        <v>0.379</v>
      </c>
      <c r="S3400" s="1">
        <v>0.52100000000000002</v>
      </c>
      <c r="T3400" s="1">
        <v>0.223</v>
      </c>
      <c r="U3400" s="1">
        <v>0.55800000000000005</v>
      </c>
      <c r="V3400" s="1">
        <v>126.995</v>
      </c>
      <c r="W3400">
        <v>4</v>
      </c>
    </row>
    <row r="3401" spans="1:23" x14ac:dyDescent="0.25">
      <c r="A3401" s="1" t="s">
        <v>20881</v>
      </c>
      <c r="B3401" s="1" t="s">
        <v>17624</v>
      </c>
      <c r="C3401" s="1" t="s">
        <v>8508</v>
      </c>
      <c r="D3401" s="1" t="s">
        <v>8508</v>
      </c>
      <c r="E3401" s="1" t="s">
        <v>5534</v>
      </c>
      <c r="F3401" s="1" t="s">
        <v>13797</v>
      </c>
      <c r="G3401">
        <v>247339</v>
      </c>
      <c r="H3401">
        <v>59</v>
      </c>
      <c r="I3401" s="1" t="s">
        <v>11063</v>
      </c>
      <c r="J3401" s="11">
        <v>44729.706458333334</v>
      </c>
      <c r="K3401" s="1" t="s">
        <v>5535</v>
      </c>
      <c r="L3401" s="1">
        <v>0.41599999999999998</v>
      </c>
      <c r="M3401" s="1">
        <v>0.56399999999999995</v>
      </c>
      <c r="N3401">
        <v>6</v>
      </c>
      <c r="O3401" s="1">
        <v>-7.0919999999999996</v>
      </c>
      <c r="P3401">
        <v>0</v>
      </c>
      <c r="Q3401" s="1">
        <v>0.32</v>
      </c>
      <c r="R3401" s="1">
        <v>0.13800000000000001</v>
      </c>
      <c r="S3401" s="1">
        <v>0.56699999999999995</v>
      </c>
      <c r="T3401" s="1">
        <v>0.105</v>
      </c>
      <c r="U3401" s="1">
        <v>0.13200000000000001</v>
      </c>
      <c r="V3401" s="1">
        <v>149.71799999999999</v>
      </c>
      <c r="W3401">
        <v>4</v>
      </c>
    </row>
    <row r="3402" spans="1:23" x14ac:dyDescent="0.25">
      <c r="A3402" s="1" t="s">
        <v>20882</v>
      </c>
      <c r="B3402" s="1" t="s">
        <v>18507</v>
      </c>
      <c r="C3402" s="1" t="s">
        <v>8509</v>
      </c>
      <c r="D3402" s="1" t="s">
        <v>8509</v>
      </c>
      <c r="E3402" s="1" t="s">
        <v>6383</v>
      </c>
      <c r="F3402" s="1" t="s">
        <v>11475</v>
      </c>
      <c r="G3402">
        <v>228382</v>
      </c>
      <c r="H3402">
        <v>0</v>
      </c>
      <c r="I3402" s="1" t="s">
        <v>11063</v>
      </c>
      <c r="J3402" s="11">
        <v>44729.706458333334</v>
      </c>
      <c r="K3402" s="1" t="s">
        <v>256</v>
      </c>
      <c r="L3402" s="1">
        <v>0.65100000000000002</v>
      </c>
      <c r="M3402" s="1">
        <v>0.85199999999999998</v>
      </c>
      <c r="N3402">
        <v>0</v>
      </c>
      <c r="O3402" s="1">
        <v>-5.4390000000000001</v>
      </c>
      <c r="P3402">
        <v>0</v>
      </c>
      <c r="Q3402" s="1">
        <v>0.30099999999999999</v>
      </c>
      <c r="R3402" s="1">
        <v>0.47099999999999997</v>
      </c>
      <c r="S3402" s="1">
        <v>0.69599999999999995</v>
      </c>
      <c r="T3402" s="1">
        <v>0.65800000000000003</v>
      </c>
      <c r="U3402" s="1">
        <v>0.39700000000000002</v>
      </c>
      <c r="V3402" s="1">
        <v>101.992</v>
      </c>
      <c r="W3402">
        <v>4</v>
      </c>
    </row>
    <row r="3403" spans="1:23" x14ac:dyDescent="0.25">
      <c r="A3403" s="1" t="s">
        <v>20883</v>
      </c>
      <c r="B3403" s="1" t="s">
        <v>18507</v>
      </c>
      <c r="C3403" s="1" t="s">
        <v>8510</v>
      </c>
      <c r="D3403" s="1" t="s">
        <v>8510</v>
      </c>
      <c r="E3403" s="1" t="s">
        <v>6383</v>
      </c>
      <c r="F3403" s="1" t="s">
        <v>19097</v>
      </c>
      <c r="G3403">
        <v>233379</v>
      </c>
      <c r="H3403">
        <v>0</v>
      </c>
      <c r="I3403" s="1" t="s">
        <v>11063</v>
      </c>
      <c r="J3403" s="11">
        <v>44729.706458333334</v>
      </c>
      <c r="K3403" s="1" t="s">
        <v>256</v>
      </c>
      <c r="L3403" s="1">
        <v>0.54400000000000004</v>
      </c>
      <c r="M3403" s="1">
        <v>0.60799999999999998</v>
      </c>
      <c r="N3403">
        <v>10</v>
      </c>
      <c r="O3403" s="1">
        <v>-8.0579999999999998</v>
      </c>
      <c r="P3403">
        <v>0</v>
      </c>
      <c r="Q3403" s="1">
        <v>0.28699999999999998</v>
      </c>
      <c r="R3403" s="1">
        <v>0.313</v>
      </c>
      <c r="S3403" s="1">
        <v>0.73599999999999999</v>
      </c>
      <c r="T3403" s="1">
        <v>0.91200000000000003</v>
      </c>
      <c r="U3403" s="1">
        <v>0.876</v>
      </c>
      <c r="V3403" s="1">
        <v>145.05500000000001</v>
      </c>
      <c r="W3403">
        <v>4</v>
      </c>
    </row>
    <row r="3404" spans="1:23" x14ac:dyDescent="0.25">
      <c r="A3404" s="1" t="s">
        <v>20884</v>
      </c>
      <c r="B3404" s="1" t="s">
        <v>15022</v>
      </c>
      <c r="C3404" s="1" t="s">
        <v>4179</v>
      </c>
      <c r="D3404" s="1" t="s">
        <v>4179</v>
      </c>
      <c r="E3404" s="1" t="s">
        <v>3287</v>
      </c>
      <c r="F3404" s="1" t="s">
        <v>11356</v>
      </c>
      <c r="G3404">
        <v>194267</v>
      </c>
      <c r="H3404">
        <v>69</v>
      </c>
      <c r="I3404" s="1" t="s">
        <v>11063</v>
      </c>
      <c r="J3404" s="11">
        <v>44729.706458333334</v>
      </c>
      <c r="K3404" s="1" t="s">
        <v>3288</v>
      </c>
      <c r="L3404" s="1">
        <v>0.59699999999999998</v>
      </c>
      <c r="M3404" s="1">
        <v>0.58099999999999996</v>
      </c>
      <c r="N3404">
        <v>1</v>
      </c>
      <c r="O3404" s="1">
        <v>-4.5650000000000004</v>
      </c>
      <c r="P3404">
        <v>0</v>
      </c>
      <c r="Q3404" s="1">
        <v>0.36599999999999999</v>
      </c>
      <c r="R3404" s="1">
        <v>0.59</v>
      </c>
      <c r="S3404" s="1">
        <v>0.438</v>
      </c>
      <c r="T3404" s="1">
        <v>0.13700000000000001</v>
      </c>
      <c r="U3404" s="1">
        <v>0.21199999999999999</v>
      </c>
      <c r="V3404" s="1">
        <v>147.98699999999999</v>
      </c>
      <c r="W3404">
        <v>4</v>
      </c>
    </row>
    <row r="3405" spans="1:23" x14ac:dyDescent="0.25">
      <c r="A3405" s="1" t="s">
        <v>20885</v>
      </c>
      <c r="B3405" s="1" t="s">
        <v>18507</v>
      </c>
      <c r="C3405" s="1" t="s">
        <v>8511</v>
      </c>
      <c r="D3405" s="1" t="s">
        <v>8511</v>
      </c>
      <c r="E3405" s="1" t="s">
        <v>6383</v>
      </c>
      <c r="F3405" s="1" t="s">
        <v>20886</v>
      </c>
      <c r="G3405">
        <v>249285</v>
      </c>
      <c r="H3405">
        <v>65</v>
      </c>
      <c r="I3405" s="1" t="s">
        <v>11063</v>
      </c>
      <c r="J3405" s="11">
        <v>44729.706458333334</v>
      </c>
      <c r="K3405" s="1" t="s">
        <v>256</v>
      </c>
      <c r="L3405" s="1">
        <v>0.70699999999999996</v>
      </c>
      <c r="M3405" s="1">
        <v>0.88</v>
      </c>
      <c r="N3405">
        <v>4</v>
      </c>
      <c r="O3405" s="1">
        <v>-3.2109999999999999</v>
      </c>
      <c r="P3405">
        <v>0</v>
      </c>
      <c r="Q3405" s="1">
        <v>0.317</v>
      </c>
      <c r="R3405" s="1">
        <v>0.42399999999999999</v>
      </c>
      <c r="S3405" s="1">
        <v>0.379</v>
      </c>
      <c r="T3405" s="1">
        <v>0.53400000000000003</v>
      </c>
      <c r="U3405" s="1">
        <v>0.56499999999999995</v>
      </c>
      <c r="V3405" s="1">
        <v>105.003</v>
      </c>
      <c r="W3405">
        <v>4</v>
      </c>
    </row>
    <row r="3406" spans="1:23" x14ac:dyDescent="0.25">
      <c r="A3406" s="1" t="s">
        <v>20887</v>
      </c>
      <c r="B3406" s="1" t="s">
        <v>17624</v>
      </c>
      <c r="C3406" s="1" t="s">
        <v>8512</v>
      </c>
      <c r="D3406" s="1" t="s">
        <v>8512</v>
      </c>
      <c r="E3406" s="1" t="s">
        <v>5534</v>
      </c>
      <c r="F3406" s="1" t="s">
        <v>20888</v>
      </c>
      <c r="G3406">
        <v>290467</v>
      </c>
      <c r="H3406">
        <v>63</v>
      </c>
      <c r="I3406" s="1" t="s">
        <v>11063</v>
      </c>
      <c r="J3406" s="11">
        <v>44729.706458333334</v>
      </c>
      <c r="K3406" s="1" t="s">
        <v>5535</v>
      </c>
      <c r="L3406" s="1">
        <v>0.52600000000000002</v>
      </c>
      <c r="M3406" s="1">
        <v>0.69</v>
      </c>
      <c r="N3406">
        <v>1</v>
      </c>
      <c r="O3406" s="1">
        <v>-3.5910000000000002</v>
      </c>
      <c r="P3406">
        <v>0</v>
      </c>
      <c r="Q3406" s="1">
        <v>0.35099999999999998</v>
      </c>
      <c r="R3406" s="1">
        <v>0.114</v>
      </c>
      <c r="S3406" s="1">
        <v>0.216</v>
      </c>
      <c r="T3406" s="1">
        <v>0.96899999999999997</v>
      </c>
      <c r="U3406" s="1">
        <v>0.224</v>
      </c>
      <c r="V3406" s="1">
        <v>106.99299999999999</v>
      </c>
      <c r="W3406">
        <v>4</v>
      </c>
    </row>
    <row r="3407" spans="1:23" x14ac:dyDescent="0.25">
      <c r="A3407" s="1" t="s">
        <v>20889</v>
      </c>
      <c r="B3407" s="1" t="s">
        <v>20890</v>
      </c>
      <c r="C3407" s="1" t="s">
        <v>8513</v>
      </c>
      <c r="D3407" s="1" t="s">
        <v>20891</v>
      </c>
      <c r="E3407" s="1" t="s">
        <v>8514</v>
      </c>
      <c r="F3407" s="1" t="s">
        <v>13604</v>
      </c>
      <c r="G3407">
        <v>274500</v>
      </c>
      <c r="H3407">
        <v>29</v>
      </c>
      <c r="I3407" s="1" t="s">
        <v>11063</v>
      </c>
      <c r="J3407" s="11">
        <v>44729.706458333334</v>
      </c>
      <c r="K3407" s="1" t="s">
        <v>8515</v>
      </c>
      <c r="L3407" s="1">
        <v>0.46</v>
      </c>
      <c r="M3407" s="1">
        <v>0.65200000000000002</v>
      </c>
      <c r="N3407">
        <v>9</v>
      </c>
      <c r="O3407" s="1">
        <v>-8.9429999999999996</v>
      </c>
      <c r="P3407">
        <v>0</v>
      </c>
      <c r="Q3407" s="1">
        <v>0.23</v>
      </c>
      <c r="R3407" s="1">
        <v>0.13400000000000001</v>
      </c>
      <c r="S3407" s="1">
        <v>0.11</v>
      </c>
      <c r="T3407" s="1">
        <v>0.24</v>
      </c>
      <c r="U3407" s="1">
        <v>0.123</v>
      </c>
      <c r="V3407" s="1">
        <v>160.119</v>
      </c>
      <c r="W3407">
        <v>4</v>
      </c>
    </row>
    <row r="3408" spans="1:23" x14ac:dyDescent="0.25">
      <c r="A3408" s="1" t="s">
        <v>20892</v>
      </c>
      <c r="B3408" s="1" t="s">
        <v>20890</v>
      </c>
      <c r="C3408" s="1" t="s">
        <v>3936</v>
      </c>
      <c r="D3408" s="1" t="s">
        <v>20891</v>
      </c>
      <c r="E3408" s="1" t="s">
        <v>8514</v>
      </c>
      <c r="F3408" s="1" t="s">
        <v>13604</v>
      </c>
      <c r="G3408">
        <v>224772</v>
      </c>
      <c r="H3408">
        <v>33</v>
      </c>
      <c r="I3408" s="1" t="s">
        <v>11063</v>
      </c>
      <c r="J3408" s="11">
        <v>44729.706458333334</v>
      </c>
      <c r="K3408" s="1" t="s">
        <v>8515</v>
      </c>
      <c r="L3408" s="1">
        <v>0.56200000000000006</v>
      </c>
      <c r="M3408" s="1">
        <v>0.67500000000000004</v>
      </c>
      <c r="N3408">
        <v>5</v>
      </c>
      <c r="O3408" s="1">
        <v>-7.2670000000000003</v>
      </c>
      <c r="P3408">
        <v>1</v>
      </c>
      <c r="Q3408" s="1">
        <v>0.61299999999999999</v>
      </c>
      <c r="R3408" s="1">
        <v>0.17599999999999999</v>
      </c>
      <c r="S3408" s="1">
        <v>0</v>
      </c>
      <c r="T3408" s="1">
        <v>0.161</v>
      </c>
      <c r="U3408" s="1">
        <v>0.25900000000000001</v>
      </c>
      <c r="V3408" s="1">
        <v>131.922</v>
      </c>
      <c r="W3408">
        <v>4</v>
      </c>
    </row>
    <row r="3409" spans="1:23" x14ac:dyDescent="0.25">
      <c r="A3409" s="1" t="s">
        <v>20893</v>
      </c>
      <c r="B3409" s="1" t="s">
        <v>20890</v>
      </c>
      <c r="C3409" s="1" t="s">
        <v>8516</v>
      </c>
      <c r="D3409" s="1" t="s">
        <v>20891</v>
      </c>
      <c r="E3409" s="1" t="s">
        <v>8514</v>
      </c>
      <c r="F3409" s="1" t="s">
        <v>13604</v>
      </c>
      <c r="G3409">
        <v>178489</v>
      </c>
      <c r="H3409">
        <v>29</v>
      </c>
      <c r="I3409" s="1" t="s">
        <v>11063</v>
      </c>
      <c r="J3409" s="11">
        <v>44729.706458333334</v>
      </c>
      <c r="K3409" s="1" t="s">
        <v>8515</v>
      </c>
      <c r="L3409" s="1">
        <v>0.54600000000000004</v>
      </c>
      <c r="M3409" s="1">
        <v>0.35899999999999999</v>
      </c>
      <c r="N3409">
        <v>0</v>
      </c>
      <c r="O3409" s="1">
        <v>-9.5129999999999999</v>
      </c>
      <c r="P3409">
        <v>1</v>
      </c>
      <c r="Q3409" s="1">
        <v>0.38200000000000001</v>
      </c>
      <c r="R3409" s="1">
        <v>0.13400000000000001</v>
      </c>
      <c r="S3409" s="1">
        <v>0.44600000000000001</v>
      </c>
      <c r="T3409" s="1">
        <v>0.161</v>
      </c>
      <c r="U3409" s="1">
        <v>0.53700000000000003</v>
      </c>
      <c r="V3409" s="1">
        <v>79.992000000000004</v>
      </c>
      <c r="W3409">
        <v>4</v>
      </c>
    </row>
    <row r="3410" spans="1:23" x14ac:dyDescent="0.25">
      <c r="A3410" s="1" t="s">
        <v>20894</v>
      </c>
      <c r="B3410" s="1" t="s">
        <v>20890</v>
      </c>
      <c r="C3410" s="1" t="s">
        <v>8517</v>
      </c>
      <c r="D3410" s="1" t="s">
        <v>20891</v>
      </c>
      <c r="E3410" s="1" t="s">
        <v>8514</v>
      </c>
      <c r="F3410" s="1" t="s">
        <v>13604</v>
      </c>
      <c r="G3410">
        <v>189059</v>
      </c>
      <c r="H3410">
        <v>40</v>
      </c>
      <c r="I3410" s="1" t="s">
        <v>11063</v>
      </c>
      <c r="J3410" s="11">
        <v>44729.706458333334</v>
      </c>
      <c r="K3410" s="1" t="s">
        <v>8515</v>
      </c>
      <c r="L3410" s="1">
        <v>0.56100000000000005</v>
      </c>
      <c r="M3410" s="1">
        <v>0.77</v>
      </c>
      <c r="N3410">
        <v>0</v>
      </c>
      <c r="O3410" s="1">
        <v>-6.843</v>
      </c>
      <c r="P3410">
        <v>0</v>
      </c>
      <c r="Q3410" s="1">
        <v>0.81599999999999995</v>
      </c>
      <c r="R3410" s="1">
        <v>0.107</v>
      </c>
      <c r="S3410" s="1">
        <v>0.13300000000000001</v>
      </c>
      <c r="T3410" s="1">
        <v>0.378</v>
      </c>
      <c r="U3410" s="1">
        <v>0.3</v>
      </c>
      <c r="V3410" s="1">
        <v>120.122</v>
      </c>
      <c r="W3410">
        <v>4</v>
      </c>
    </row>
    <row r="3411" spans="1:23" x14ac:dyDescent="0.25">
      <c r="A3411" s="1" t="s">
        <v>20895</v>
      </c>
      <c r="B3411" s="1" t="s">
        <v>20890</v>
      </c>
      <c r="C3411" s="1" t="s">
        <v>8518</v>
      </c>
      <c r="D3411" s="1" t="s">
        <v>20891</v>
      </c>
      <c r="E3411" s="1" t="s">
        <v>8514</v>
      </c>
      <c r="F3411" s="1" t="s">
        <v>13604</v>
      </c>
      <c r="G3411">
        <v>200976</v>
      </c>
      <c r="H3411">
        <v>40</v>
      </c>
      <c r="I3411" s="1" t="s">
        <v>11063</v>
      </c>
      <c r="J3411" s="11">
        <v>44729.706458333334</v>
      </c>
      <c r="K3411" s="1" t="s">
        <v>8515</v>
      </c>
      <c r="L3411" s="1">
        <v>0.58899999999999997</v>
      </c>
      <c r="M3411" s="1">
        <v>0.378</v>
      </c>
      <c r="N3411">
        <v>1</v>
      </c>
      <c r="O3411" s="1">
        <v>-10.164999999999999</v>
      </c>
      <c r="P3411">
        <v>0</v>
      </c>
      <c r="Q3411" s="1">
        <v>0.34799999999999998</v>
      </c>
      <c r="R3411" s="1">
        <v>0.45400000000000001</v>
      </c>
      <c r="S3411" s="1">
        <v>0.107</v>
      </c>
      <c r="T3411" s="1">
        <v>0.10199999999999999</v>
      </c>
      <c r="U3411" s="1">
        <v>0.25600000000000001</v>
      </c>
      <c r="V3411" s="1">
        <v>127.83199999999999</v>
      </c>
      <c r="W3411">
        <v>4</v>
      </c>
    </row>
    <row r="3412" spans="1:23" x14ac:dyDescent="0.25">
      <c r="A3412" s="1" t="s">
        <v>20896</v>
      </c>
      <c r="B3412" s="1" t="s">
        <v>14504</v>
      </c>
      <c r="C3412" s="1" t="s">
        <v>2836</v>
      </c>
      <c r="D3412" s="1" t="s">
        <v>2836</v>
      </c>
      <c r="E3412" s="1" t="s">
        <v>2837</v>
      </c>
      <c r="F3412" s="1" t="s">
        <v>15965</v>
      </c>
      <c r="G3412">
        <v>187436</v>
      </c>
      <c r="H3412">
        <v>7</v>
      </c>
      <c r="I3412" s="1" t="s">
        <v>11063</v>
      </c>
      <c r="J3412" s="11">
        <v>44729.706458333334</v>
      </c>
      <c r="K3412" s="1" t="s">
        <v>2178</v>
      </c>
      <c r="L3412" s="1">
        <v>0.71899999999999997</v>
      </c>
      <c r="M3412" s="1">
        <v>0.70399999999999996</v>
      </c>
      <c r="N3412">
        <v>1</v>
      </c>
      <c r="O3412" s="1">
        <v>-4.7240000000000002</v>
      </c>
      <c r="P3412">
        <v>1</v>
      </c>
      <c r="Q3412" s="1">
        <v>0.47599999999999998</v>
      </c>
      <c r="R3412" s="1">
        <v>0.69099999999999995</v>
      </c>
      <c r="S3412" s="1">
        <v>0</v>
      </c>
      <c r="T3412" s="1">
        <v>0.16600000000000001</v>
      </c>
      <c r="U3412" s="1">
        <v>0.628</v>
      </c>
      <c r="V3412" s="1">
        <v>133.00200000000001</v>
      </c>
      <c r="W3412">
        <v>4</v>
      </c>
    </row>
    <row r="3413" spans="1:23" x14ac:dyDescent="0.25">
      <c r="A3413" s="1" t="s">
        <v>20897</v>
      </c>
      <c r="B3413" s="1" t="s">
        <v>20898</v>
      </c>
      <c r="C3413" s="1" t="s">
        <v>8519</v>
      </c>
      <c r="D3413" s="1" t="s">
        <v>8519</v>
      </c>
      <c r="E3413" s="1" t="s">
        <v>8520</v>
      </c>
      <c r="F3413" s="1" t="s">
        <v>15689</v>
      </c>
      <c r="G3413">
        <v>156346</v>
      </c>
      <c r="H3413">
        <v>73</v>
      </c>
      <c r="I3413" s="1" t="s">
        <v>11063</v>
      </c>
      <c r="J3413" s="11">
        <v>44729.706458333334</v>
      </c>
      <c r="K3413" s="1" t="s">
        <v>8521</v>
      </c>
      <c r="L3413" s="1">
        <v>0.79100000000000004</v>
      </c>
      <c r="M3413" s="1">
        <v>0.56499999999999995</v>
      </c>
      <c r="N3413">
        <v>5</v>
      </c>
      <c r="O3413" s="1">
        <v>-3.9329999999999998</v>
      </c>
      <c r="P3413">
        <v>0</v>
      </c>
      <c r="Q3413" s="1">
        <v>0.439</v>
      </c>
      <c r="R3413" s="1">
        <v>0.623</v>
      </c>
      <c r="S3413" s="1">
        <v>0</v>
      </c>
      <c r="T3413" s="1">
        <v>0.156</v>
      </c>
      <c r="U3413" s="1">
        <v>0.18099999999999999</v>
      </c>
      <c r="V3413" s="1">
        <v>99.960999999999999</v>
      </c>
      <c r="W3413">
        <v>4</v>
      </c>
    </row>
    <row r="3414" spans="1:23" x14ac:dyDescent="0.25">
      <c r="A3414" s="1" t="s">
        <v>20899</v>
      </c>
      <c r="B3414" s="1" t="s">
        <v>20900</v>
      </c>
      <c r="C3414" s="1" t="s">
        <v>8522</v>
      </c>
      <c r="D3414" s="1" t="s">
        <v>20901</v>
      </c>
      <c r="E3414" s="1" t="s">
        <v>8523</v>
      </c>
      <c r="F3414" s="1" t="s">
        <v>18759</v>
      </c>
      <c r="G3414">
        <v>189706</v>
      </c>
      <c r="H3414">
        <v>0</v>
      </c>
      <c r="I3414" s="1" t="s">
        <v>11063</v>
      </c>
      <c r="J3414" s="11">
        <v>44729.706458333334</v>
      </c>
      <c r="K3414" s="1" t="s">
        <v>8524</v>
      </c>
      <c r="L3414" s="1">
        <v>0.38500000000000001</v>
      </c>
      <c r="M3414" s="1">
        <v>0.751</v>
      </c>
      <c r="N3414">
        <v>2</v>
      </c>
      <c r="O3414" s="1">
        <v>-4.4160000000000004</v>
      </c>
      <c r="P3414">
        <v>1</v>
      </c>
      <c r="Q3414" s="1">
        <v>0.90900000000000003</v>
      </c>
      <c r="R3414" s="1">
        <v>0.91600000000000004</v>
      </c>
      <c r="S3414" s="1">
        <v>0.46600000000000003</v>
      </c>
      <c r="T3414" s="1">
        <v>0.35699999999999998</v>
      </c>
      <c r="U3414" s="1">
        <v>0.19500000000000001</v>
      </c>
      <c r="V3414" s="1">
        <v>78.108999999999995</v>
      </c>
      <c r="W3414">
        <v>4</v>
      </c>
    </row>
    <row r="3415" spans="1:23" x14ac:dyDescent="0.25">
      <c r="A3415" s="1" t="s">
        <v>20902</v>
      </c>
      <c r="B3415" s="1" t="s">
        <v>20903</v>
      </c>
      <c r="C3415" s="1" t="s">
        <v>8525</v>
      </c>
      <c r="D3415" s="1" t="s">
        <v>8525</v>
      </c>
      <c r="E3415" s="1" t="s">
        <v>8526</v>
      </c>
      <c r="F3415" s="1" t="s">
        <v>16218</v>
      </c>
      <c r="G3415">
        <v>259555</v>
      </c>
      <c r="H3415">
        <v>57</v>
      </c>
      <c r="I3415" s="1" t="s">
        <v>11063</v>
      </c>
      <c r="J3415" s="11">
        <v>44729.706458333334</v>
      </c>
      <c r="K3415" s="1" t="s">
        <v>8527</v>
      </c>
      <c r="L3415" s="1">
        <v>0.441</v>
      </c>
      <c r="M3415" s="1">
        <v>0.753</v>
      </c>
      <c r="N3415">
        <v>0</v>
      </c>
      <c r="O3415" s="1">
        <v>-4.0739999999999998</v>
      </c>
      <c r="P3415">
        <v>1</v>
      </c>
      <c r="Q3415" s="1">
        <v>0.44</v>
      </c>
      <c r="R3415" s="1">
        <v>0.70099999999999996</v>
      </c>
      <c r="S3415" s="1">
        <v>0</v>
      </c>
      <c r="T3415" s="1">
        <v>0.27</v>
      </c>
      <c r="U3415" s="1">
        <v>0.254</v>
      </c>
      <c r="V3415" s="1">
        <v>135.01499999999999</v>
      </c>
      <c r="W3415">
        <v>4</v>
      </c>
    </row>
    <row r="3416" spans="1:23" x14ac:dyDescent="0.25">
      <c r="A3416" s="1" t="s">
        <v>20904</v>
      </c>
      <c r="B3416" s="1" t="s">
        <v>20905</v>
      </c>
      <c r="C3416" s="1" t="s">
        <v>8528</v>
      </c>
      <c r="D3416" s="1" t="s">
        <v>8528</v>
      </c>
      <c r="E3416" s="1" t="s">
        <v>8529</v>
      </c>
      <c r="F3416" s="1" t="s">
        <v>13692</v>
      </c>
      <c r="G3416">
        <v>248156</v>
      </c>
      <c r="H3416">
        <v>68</v>
      </c>
      <c r="I3416" s="1" t="s">
        <v>11063</v>
      </c>
      <c r="J3416" s="11">
        <v>44729.706458333334</v>
      </c>
      <c r="K3416" s="1" t="s">
        <v>8530</v>
      </c>
      <c r="L3416" s="1">
        <v>0.625</v>
      </c>
      <c r="M3416" s="1">
        <v>0.70699999999999996</v>
      </c>
      <c r="N3416">
        <v>2</v>
      </c>
      <c r="O3416" s="1">
        <v>-4.7610000000000001</v>
      </c>
      <c r="P3416">
        <v>1</v>
      </c>
      <c r="Q3416" s="1">
        <v>0.33700000000000002</v>
      </c>
      <c r="R3416" s="1">
        <v>0.22</v>
      </c>
      <c r="S3416" s="1">
        <v>0</v>
      </c>
      <c r="T3416" s="1">
        <v>0.21299999999999999</v>
      </c>
      <c r="U3416" s="1">
        <v>0.47899999999999998</v>
      </c>
      <c r="V3416" s="1">
        <v>138.06399999999999</v>
      </c>
      <c r="W3416">
        <v>4</v>
      </c>
    </row>
    <row r="3417" spans="1:23" x14ac:dyDescent="0.25">
      <c r="A3417" s="1" t="s">
        <v>20906</v>
      </c>
      <c r="B3417" s="1" t="s">
        <v>20907</v>
      </c>
      <c r="C3417" s="1" t="s">
        <v>8531</v>
      </c>
      <c r="D3417" s="1" t="s">
        <v>8531</v>
      </c>
      <c r="E3417" s="1" t="s">
        <v>8532</v>
      </c>
      <c r="F3417" s="1" t="s">
        <v>20908</v>
      </c>
      <c r="G3417">
        <v>299240</v>
      </c>
      <c r="H3417">
        <v>50</v>
      </c>
      <c r="I3417" s="1" t="s">
        <v>11063</v>
      </c>
      <c r="J3417" s="11">
        <v>44729.706458333334</v>
      </c>
      <c r="K3417" s="1" t="s">
        <v>8533</v>
      </c>
      <c r="L3417" s="1">
        <v>0.34399999999999997</v>
      </c>
      <c r="M3417" s="1">
        <v>0.67200000000000004</v>
      </c>
      <c r="N3417">
        <v>6</v>
      </c>
      <c r="O3417" s="1">
        <v>-5.8879999999999999</v>
      </c>
      <c r="P3417">
        <v>0</v>
      </c>
      <c r="Q3417" s="1">
        <v>0.58599999999999997</v>
      </c>
      <c r="R3417" s="1">
        <v>0.877</v>
      </c>
      <c r="S3417" s="1">
        <v>0.104</v>
      </c>
      <c r="T3417" s="1">
        <v>0.19600000000000001</v>
      </c>
      <c r="U3417" s="1">
        <v>0.13300000000000001</v>
      </c>
      <c r="V3417" s="1">
        <v>164.197</v>
      </c>
      <c r="W3417">
        <v>4</v>
      </c>
    </row>
    <row r="3418" spans="1:23" x14ac:dyDescent="0.25">
      <c r="A3418" s="1" t="s">
        <v>20909</v>
      </c>
      <c r="B3418" s="1" t="s">
        <v>14889</v>
      </c>
      <c r="C3418" s="1" t="s">
        <v>8534</v>
      </c>
      <c r="D3418" s="1" t="s">
        <v>8534</v>
      </c>
      <c r="E3418" s="1" t="s">
        <v>3168</v>
      </c>
      <c r="F3418" s="1" t="s">
        <v>20910</v>
      </c>
      <c r="G3418">
        <v>242011</v>
      </c>
      <c r="H3418">
        <v>47</v>
      </c>
      <c r="I3418" s="1" t="s">
        <v>11063</v>
      </c>
      <c r="J3418" s="11">
        <v>44729.706458333334</v>
      </c>
      <c r="K3418" s="1" t="s">
        <v>3169</v>
      </c>
      <c r="L3418" s="1">
        <v>0.376</v>
      </c>
      <c r="M3418" s="1">
        <v>0.72299999999999998</v>
      </c>
      <c r="N3418">
        <v>7</v>
      </c>
      <c r="O3418" s="1">
        <v>-2.9510000000000001</v>
      </c>
      <c r="P3418">
        <v>1</v>
      </c>
      <c r="Q3418" s="1">
        <v>0.46</v>
      </c>
      <c r="R3418" s="1">
        <v>0.17799999999999999</v>
      </c>
      <c r="S3418" s="1">
        <v>0</v>
      </c>
      <c r="T3418" s="1">
        <v>0.81499999999999995</v>
      </c>
      <c r="U3418" s="1">
        <v>0.16700000000000001</v>
      </c>
      <c r="V3418" s="1">
        <v>84.146000000000001</v>
      </c>
      <c r="W3418">
        <v>4</v>
      </c>
    </row>
    <row r="3419" spans="1:23" x14ac:dyDescent="0.25">
      <c r="A3419" s="1" t="s">
        <v>20911</v>
      </c>
      <c r="B3419" s="1" t="s">
        <v>19231</v>
      </c>
      <c r="C3419" s="1" t="s">
        <v>8535</v>
      </c>
      <c r="D3419" s="1" t="s">
        <v>8535</v>
      </c>
      <c r="E3419" s="1" t="s">
        <v>7024</v>
      </c>
      <c r="F3419" s="1" t="s">
        <v>20912</v>
      </c>
      <c r="G3419">
        <v>234857</v>
      </c>
      <c r="H3419">
        <v>32</v>
      </c>
      <c r="I3419" s="1" t="s">
        <v>11063</v>
      </c>
      <c r="J3419" s="11">
        <v>44729.706458333334</v>
      </c>
      <c r="K3419" s="1" t="s">
        <v>4064</v>
      </c>
      <c r="L3419" s="1">
        <v>0.28100000000000003</v>
      </c>
      <c r="M3419" s="1">
        <v>0.63900000000000001</v>
      </c>
      <c r="N3419">
        <v>11</v>
      </c>
      <c r="O3419" s="1">
        <v>-3.452</v>
      </c>
      <c r="P3419">
        <v>1</v>
      </c>
      <c r="Q3419" s="1">
        <v>0.38100000000000001</v>
      </c>
      <c r="R3419" s="1">
        <v>0.35899999999999999</v>
      </c>
      <c r="S3419" s="1">
        <v>0.17</v>
      </c>
      <c r="T3419" s="1">
        <v>0.95099999999999996</v>
      </c>
      <c r="U3419" s="1">
        <v>0.186</v>
      </c>
      <c r="V3419" s="1">
        <v>140.77600000000001</v>
      </c>
      <c r="W3419">
        <v>4</v>
      </c>
    </row>
    <row r="3420" spans="1:23" x14ac:dyDescent="0.25">
      <c r="A3420" s="1" t="s">
        <v>20913</v>
      </c>
      <c r="B3420" s="1" t="s">
        <v>20914</v>
      </c>
      <c r="C3420" s="1" t="s">
        <v>8536</v>
      </c>
      <c r="D3420" s="1" t="s">
        <v>20915</v>
      </c>
      <c r="E3420" s="1" t="s">
        <v>8537</v>
      </c>
      <c r="F3420" s="1" t="s">
        <v>20916</v>
      </c>
      <c r="G3420">
        <v>205119</v>
      </c>
      <c r="H3420">
        <v>58</v>
      </c>
      <c r="I3420" s="1" t="s">
        <v>11063</v>
      </c>
      <c r="J3420" s="11">
        <v>44729.706458333334</v>
      </c>
      <c r="K3420" s="1" t="s">
        <v>8538</v>
      </c>
      <c r="L3420" s="1">
        <v>0.47499999999999998</v>
      </c>
      <c r="M3420" s="1">
        <v>0.80100000000000005</v>
      </c>
      <c r="N3420">
        <v>4</v>
      </c>
      <c r="O3420" s="1">
        <v>-3.0710000000000002</v>
      </c>
      <c r="P3420">
        <v>1</v>
      </c>
      <c r="Q3420" s="1">
        <v>0.38100000000000001</v>
      </c>
      <c r="R3420" s="1">
        <v>0.48299999999999998</v>
      </c>
      <c r="S3420" s="1">
        <v>0.17799999999999999</v>
      </c>
      <c r="T3420" s="1">
        <v>0.23899999999999999</v>
      </c>
      <c r="U3420" s="1">
        <v>0.29599999999999999</v>
      </c>
      <c r="V3420" s="1">
        <v>141.91999999999999</v>
      </c>
      <c r="W3420">
        <v>4</v>
      </c>
    </row>
    <row r="3421" spans="1:23" x14ac:dyDescent="0.25">
      <c r="A3421" s="1" t="s">
        <v>20917</v>
      </c>
      <c r="B3421" s="1" t="s">
        <v>20918</v>
      </c>
      <c r="C3421" s="1" t="s">
        <v>8539</v>
      </c>
      <c r="D3421" s="1" t="s">
        <v>8539</v>
      </c>
      <c r="E3421" s="1" t="s">
        <v>8540</v>
      </c>
      <c r="F3421" s="1" t="s">
        <v>15522</v>
      </c>
      <c r="G3421">
        <v>279200</v>
      </c>
      <c r="H3421">
        <v>43</v>
      </c>
      <c r="I3421" s="1" t="s">
        <v>11063</v>
      </c>
      <c r="J3421" s="11">
        <v>44729.706458333334</v>
      </c>
      <c r="K3421" s="1" t="s">
        <v>8541</v>
      </c>
      <c r="L3421" s="1">
        <v>0.48699999999999999</v>
      </c>
      <c r="M3421" s="1">
        <v>0.94</v>
      </c>
      <c r="N3421">
        <v>8</v>
      </c>
      <c r="O3421" s="1">
        <v>-3.7040000000000002</v>
      </c>
      <c r="P3421">
        <v>0</v>
      </c>
      <c r="Q3421" s="1">
        <v>0.36699999999999999</v>
      </c>
      <c r="R3421" s="1">
        <v>0.36699999999999999</v>
      </c>
      <c r="S3421" s="1">
        <v>0.54900000000000004</v>
      </c>
      <c r="T3421" s="1">
        <v>0.91400000000000003</v>
      </c>
      <c r="U3421" s="1">
        <v>0.223</v>
      </c>
      <c r="V3421" s="1">
        <v>150.102</v>
      </c>
      <c r="W3421">
        <v>4</v>
      </c>
    </row>
    <row r="3422" spans="1:23" x14ac:dyDescent="0.25">
      <c r="A3422" s="1" t="s">
        <v>20919</v>
      </c>
      <c r="B3422" s="1" t="s">
        <v>20920</v>
      </c>
      <c r="C3422" s="1" t="s">
        <v>8542</v>
      </c>
      <c r="D3422" s="1" t="s">
        <v>8542</v>
      </c>
      <c r="E3422" s="1" t="s">
        <v>8543</v>
      </c>
      <c r="F3422" s="1" t="s">
        <v>14068</v>
      </c>
      <c r="G3422">
        <v>200000</v>
      </c>
      <c r="H3422">
        <v>42</v>
      </c>
      <c r="I3422" s="1" t="s">
        <v>11063</v>
      </c>
      <c r="J3422" s="11">
        <v>44729.706458333334</v>
      </c>
      <c r="K3422" s="1" t="s">
        <v>8544</v>
      </c>
      <c r="L3422" s="1">
        <v>0.60199999999999998</v>
      </c>
      <c r="M3422" s="1">
        <v>0.76300000000000001</v>
      </c>
      <c r="N3422">
        <v>7</v>
      </c>
      <c r="O3422" s="1">
        <v>-3.5470000000000002</v>
      </c>
      <c r="P3422">
        <v>1</v>
      </c>
      <c r="Q3422" s="1">
        <v>0.27</v>
      </c>
      <c r="R3422" s="1">
        <v>0.38</v>
      </c>
      <c r="S3422" s="1">
        <v>0.14399999999999999</v>
      </c>
      <c r="T3422" s="1">
        <v>0.10199999999999999</v>
      </c>
      <c r="U3422" s="1">
        <v>0.23400000000000001</v>
      </c>
      <c r="V3422" s="1">
        <v>180.00399999999999</v>
      </c>
      <c r="W3422">
        <v>4</v>
      </c>
    </row>
    <row r="3423" spans="1:23" x14ac:dyDescent="0.25">
      <c r="A3423" s="1" t="s">
        <v>20921</v>
      </c>
      <c r="B3423" s="1" t="s">
        <v>19598</v>
      </c>
      <c r="C3423" s="1" t="s">
        <v>7348</v>
      </c>
      <c r="D3423" s="1" t="s">
        <v>7348</v>
      </c>
      <c r="E3423" s="1" t="s">
        <v>7349</v>
      </c>
      <c r="F3423" s="1" t="s">
        <v>17408</v>
      </c>
      <c r="G3423">
        <v>295890</v>
      </c>
      <c r="H3423">
        <v>54</v>
      </c>
      <c r="I3423" s="1" t="s">
        <v>11063</v>
      </c>
      <c r="J3423" s="11">
        <v>44729.706458333334</v>
      </c>
      <c r="K3423" s="1" t="s">
        <v>7350</v>
      </c>
      <c r="L3423" s="1">
        <v>0.36299999999999999</v>
      </c>
      <c r="M3423" s="1">
        <v>0.73499999999999999</v>
      </c>
      <c r="N3423">
        <v>1</v>
      </c>
      <c r="O3423" s="1">
        <v>-3.8570000000000002</v>
      </c>
      <c r="P3423">
        <v>1</v>
      </c>
      <c r="Q3423" s="1">
        <v>0.42799999999999999</v>
      </c>
      <c r="R3423" s="1">
        <v>0.14000000000000001</v>
      </c>
      <c r="S3423" s="1">
        <v>0.11899999999999999</v>
      </c>
      <c r="T3423" s="1">
        <v>0.13</v>
      </c>
      <c r="U3423" s="1">
        <v>0.72099999999999997</v>
      </c>
      <c r="V3423" s="1">
        <v>145.55600000000001</v>
      </c>
      <c r="W3423">
        <v>4</v>
      </c>
    </row>
    <row r="3424" spans="1:23" x14ac:dyDescent="0.25">
      <c r="A3424" s="1" t="s">
        <v>20922</v>
      </c>
      <c r="B3424" s="1" t="s">
        <v>19231</v>
      </c>
      <c r="C3424" s="1" t="s">
        <v>7023</v>
      </c>
      <c r="D3424" s="1" t="s">
        <v>7023</v>
      </c>
      <c r="E3424" s="1" t="s">
        <v>7024</v>
      </c>
      <c r="F3424" s="1" t="s">
        <v>11492</v>
      </c>
      <c r="G3424">
        <v>221294</v>
      </c>
      <c r="H3424">
        <v>46</v>
      </c>
      <c r="I3424" s="1" t="s">
        <v>11063</v>
      </c>
      <c r="J3424" s="11">
        <v>44729.706458333334</v>
      </c>
      <c r="K3424" s="1" t="s">
        <v>4064</v>
      </c>
      <c r="L3424" s="1">
        <v>0.28499999999999998</v>
      </c>
      <c r="M3424" s="1">
        <v>0.69399999999999995</v>
      </c>
      <c r="N3424">
        <v>11</v>
      </c>
      <c r="O3424" s="1">
        <v>-3.3580000000000001</v>
      </c>
      <c r="P3424">
        <v>1</v>
      </c>
      <c r="Q3424" s="1">
        <v>0.48199999999999998</v>
      </c>
      <c r="R3424" s="1">
        <v>0.51100000000000001</v>
      </c>
      <c r="S3424" s="1">
        <v>0.128</v>
      </c>
      <c r="T3424" s="1">
        <v>0.374</v>
      </c>
      <c r="U3424" s="1">
        <v>0.16300000000000001</v>
      </c>
      <c r="V3424" s="1">
        <v>170.124</v>
      </c>
      <c r="W3424">
        <v>4</v>
      </c>
    </row>
    <row r="3425" spans="1:23" x14ac:dyDescent="0.25">
      <c r="A3425" s="1" t="s">
        <v>20923</v>
      </c>
      <c r="B3425" s="1" t="s">
        <v>20924</v>
      </c>
      <c r="C3425" s="1" t="s">
        <v>8545</v>
      </c>
      <c r="D3425" s="1" t="s">
        <v>20925</v>
      </c>
      <c r="E3425" s="1" t="s">
        <v>8546</v>
      </c>
      <c r="F3425" s="1" t="s">
        <v>16156</v>
      </c>
      <c r="G3425">
        <v>248906</v>
      </c>
      <c r="H3425">
        <v>57</v>
      </c>
      <c r="I3425" s="1" t="s">
        <v>11063</v>
      </c>
      <c r="J3425" s="11">
        <v>44729.706458333334</v>
      </c>
      <c r="K3425" s="1" t="s">
        <v>8547</v>
      </c>
      <c r="L3425" s="1">
        <v>0.63900000000000001</v>
      </c>
      <c r="M3425" s="1">
        <v>0.71</v>
      </c>
      <c r="N3425">
        <v>6</v>
      </c>
      <c r="O3425" s="1">
        <v>-3.3580000000000001</v>
      </c>
      <c r="P3425">
        <v>1</v>
      </c>
      <c r="Q3425" s="1">
        <v>0.47899999999999998</v>
      </c>
      <c r="R3425" s="1">
        <v>0.48299999999999998</v>
      </c>
      <c r="S3425" s="1">
        <v>0.222</v>
      </c>
      <c r="T3425" s="1">
        <v>0.219</v>
      </c>
      <c r="U3425" s="1">
        <v>0.373</v>
      </c>
      <c r="V3425" s="1">
        <v>136.00399999999999</v>
      </c>
      <c r="W3425">
        <v>4</v>
      </c>
    </row>
    <row r="3426" spans="1:23" x14ac:dyDescent="0.25">
      <c r="A3426" s="1" t="s">
        <v>20926</v>
      </c>
      <c r="B3426" s="1" t="s">
        <v>19227</v>
      </c>
      <c r="C3426" s="1" t="s">
        <v>7018</v>
      </c>
      <c r="D3426" s="1" t="s">
        <v>7018</v>
      </c>
      <c r="E3426" s="1" t="s">
        <v>7019</v>
      </c>
      <c r="F3426" s="1" t="s">
        <v>13520</v>
      </c>
      <c r="G3426">
        <v>230000</v>
      </c>
      <c r="H3426">
        <v>50</v>
      </c>
      <c r="I3426" s="1" t="s">
        <v>11063</v>
      </c>
      <c r="J3426" s="11">
        <v>44729.706458333334</v>
      </c>
      <c r="K3426" s="1" t="s">
        <v>7020</v>
      </c>
      <c r="L3426" s="1">
        <v>0.58199999999999996</v>
      </c>
      <c r="M3426" s="1">
        <v>0.68100000000000005</v>
      </c>
      <c r="N3426">
        <v>5</v>
      </c>
      <c r="O3426" s="1">
        <v>-6.1379999999999999</v>
      </c>
      <c r="P3426">
        <v>1</v>
      </c>
      <c r="Q3426" s="1">
        <v>0.45800000000000002</v>
      </c>
      <c r="R3426" s="1">
        <v>0.34200000000000003</v>
      </c>
      <c r="S3426" s="1">
        <v>0</v>
      </c>
      <c r="T3426" s="1">
        <v>0.186</v>
      </c>
      <c r="U3426" s="1">
        <v>0.27300000000000002</v>
      </c>
      <c r="V3426" s="1">
        <v>95.995000000000005</v>
      </c>
      <c r="W3426">
        <v>4</v>
      </c>
    </row>
    <row r="3427" spans="1:23" x14ac:dyDescent="0.25">
      <c r="A3427" s="1" t="s">
        <v>20927</v>
      </c>
      <c r="B3427" s="1" t="s">
        <v>19218</v>
      </c>
      <c r="C3427" s="1" t="s">
        <v>8548</v>
      </c>
      <c r="D3427" s="1" t="s">
        <v>8548</v>
      </c>
      <c r="E3427" s="1" t="s">
        <v>7007</v>
      </c>
      <c r="F3427" s="1" t="s">
        <v>11758</v>
      </c>
      <c r="G3427">
        <v>295890</v>
      </c>
      <c r="H3427">
        <v>0</v>
      </c>
      <c r="I3427" s="1" t="s">
        <v>11063</v>
      </c>
      <c r="J3427" s="11">
        <v>44729.706458333334</v>
      </c>
      <c r="K3427" s="1" t="s">
        <v>4064</v>
      </c>
      <c r="L3427" s="1">
        <v>0.48699999999999999</v>
      </c>
      <c r="M3427" s="1">
        <v>0.69299999999999995</v>
      </c>
      <c r="N3427">
        <v>10</v>
      </c>
      <c r="O3427" s="1">
        <v>-4.05</v>
      </c>
      <c r="P3427">
        <v>0</v>
      </c>
      <c r="Q3427" s="1">
        <v>0.39500000000000002</v>
      </c>
      <c r="R3427" s="1">
        <v>0.13600000000000001</v>
      </c>
      <c r="S3427" s="1">
        <v>0.10199999999999999</v>
      </c>
      <c r="T3427" s="1">
        <v>0.105</v>
      </c>
      <c r="U3427" s="1">
        <v>0.28999999999999998</v>
      </c>
      <c r="V3427" s="1">
        <v>145.93700000000001</v>
      </c>
      <c r="W3427">
        <v>4</v>
      </c>
    </row>
    <row r="3428" spans="1:23" x14ac:dyDescent="0.25">
      <c r="A3428" s="1" t="s">
        <v>20928</v>
      </c>
      <c r="B3428" s="1" t="s">
        <v>19223</v>
      </c>
      <c r="C3428" s="1" t="s">
        <v>2688</v>
      </c>
      <c r="D3428" s="1" t="s">
        <v>6073</v>
      </c>
      <c r="E3428" s="1" t="s">
        <v>7013</v>
      </c>
      <c r="F3428" s="1" t="s">
        <v>20929</v>
      </c>
      <c r="G3428">
        <v>364090</v>
      </c>
      <c r="H3428">
        <v>50</v>
      </c>
      <c r="I3428" s="1" t="s">
        <v>11063</v>
      </c>
      <c r="J3428" s="11">
        <v>44729.706458333334</v>
      </c>
      <c r="K3428" s="1" t="s">
        <v>7014</v>
      </c>
      <c r="L3428" s="1">
        <v>0.45200000000000001</v>
      </c>
      <c r="M3428" s="1">
        <v>0.622</v>
      </c>
      <c r="N3428">
        <v>7</v>
      </c>
      <c r="O3428" s="1">
        <v>-4.8860000000000001</v>
      </c>
      <c r="P3428">
        <v>0</v>
      </c>
      <c r="Q3428" s="1">
        <v>0.42899999999999999</v>
      </c>
      <c r="R3428" s="1">
        <v>0.90600000000000003</v>
      </c>
      <c r="S3428" s="1">
        <v>0.91200000000000003</v>
      </c>
      <c r="T3428" s="1">
        <v>0.14399999999999999</v>
      </c>
      <c r="U3428" s="1">
        <v>0.21299999999999999</v>
      </c>
      <c r="V3428" s="1">
        <v>87.995000000000005</v>
      </c>
      <c r="W3428">
        <v>4</v>
      </c>
    </row>
    <row r="3429" spans="1:23" x14ac:dyDescent="0.25">
      <c r="A3429" s="1" t="s">
        <v>20930</v>
      </c>
      <c r="B3429" s="1" t="s">
        <v>19231</v>
      </c>
      <c r="C3429" s="1" t="s">
        <v>8549</v>
      </c>
      <c r="D3429" s="1" t="s">
        <v>6073</v>
      </c>
      <c r="E3429" s="1" t="s">
        <v>7024</v>
      </c>
      <c r="F3429" s="1" t="s">
        <v>20929</v>
      </c>
      <c r="G3429">
        <v>219882</v>
      </c>
      <c r="H3429">
        <v>35</v>
      </c>
      <c r="I3429" s="1" t="s">
        <v>11063</v>
      </c>
      <c r="J3429" s="11">
        <v>44729.706458333334</v>
      </c>
      <c r="K3429" s="1" t="s">
        <v>4064</v>
      </c>
      <c r="L3429" s="1">
        <v>0.55800000000000005</v>
      </c>
      <c r="M3429" s="1">
        <v>0.77700000000000002</v>
      </c>
      <c r="N3429">
        <v>8</v>
      </c>
      <c r="O3429" s="1">
        <v>-5.64</v>
      </c>
      <c r="P3429">
        <v>0</v>
      </c>
      <c r="Q3429" s="1">
        <v>0.37</v>
      </c>
      <c r="R3429" s="1">
        <v>0.251</v>
      </c>
      <c r="S3429" s="1">
        <v>0.19900000000000001</v>
      </c>
      <c r="T3429" s="1">
        <v>0.246</v>
      </c>
      <c r="U3429" s="1">
        <v>0.35199999999999998</v>
      </c>
      <c r="V3429" s="1">
        <v>170.11</v>
      </c>
      <c r="W3429">
        <v>4</v>
      </c>
    </row>
    <row r="3430" spans="1:23" x14ac:dyDescent="0.25">
      <c r="A3430" s="1" t="s">
        <v>20931</v>
      </c>
      <c r="B3430" s="1" t="s">
        <v>20932</v>
      </c>
      <c r="C3430" s="1" t="s">
        <v>8550</v>
      </c>
      <c r="D3430" s="1" t="s">
        <v>6073</v>
      </c>
      <c r="E3430" s="1" t="s">
        <v>8551</v>
      </c>
      <c r="F3430" s="1" t="s">
        <v>20929</v>
      </c>
      <c r="G3430">
        <v>252000</v>
      </c>
      <c r="H3430">
        <v>47</v>
      </c>
      <c r="I3430" s="1" t="s">
        <v>11063</v>
      </c>
      <c r="J3430" s="11">
        <v>44729.706458333334</v>
      </c>
      <c r="K3430" s="1" t="s">
        <v>4064</v>
      </c>
      <c r="L3430" s="1">
        <v>0.36699999999999999</v>
      </c>
      <c r="M3430" s="1">
        <v>0.749</v>
      </c>
      <c r="N3430">
        <v>9</v>
      </c>
      <c r="O3430" s="1">
        <v>-4.2789999999999999</v>
      </c>
      <c r="P3430">
        <v>1</v>
      </c>
      <c r="Q3430" s="1">
        <v>0.187</v>
      </c>
      <c r="R3430" s="1">
        <v>0.13500000000000001</v>
      </c>
      <c r="S3430" s="1">
        <v>0</v>
      </c>
      <c r="T3430" s="1">
        <v>0.10199999999999999</v>
      </c>
      <c r="U3430" s="1">
        <v>0.28599999999999998</v>
      </c>
      <c r="V3430" s="1">
        <v>179.791</v>
      </c>
      <c r="W3430">
        <v>4</v>
      </c>
    </row>
    <row r="3431" spans="1:23" x14ac:dyDescent="0.25">
      <c r="A3431" s="1" t="s">
        <v>20933</v>
      </c>
      <c r="B3431" s="1" t="s">
        <v>20934</v>
      </c>
      <c r="C3431" s="1" t="s">
        <v>8552</v>
      </c>
      <c r="D3431" s="1" t="s">
        <v>6073</v>
      </c>
      <c r="E3431" s="1" t="s">
        <v>8553</v>
      </c>
      <c r="F3431" s="1" t="s">
        <v>20929</v>
      </c>
      <c r="G3431">
        <v>361500</v>
      </c>
      <c r="H3431">
        <v>40</v>
      </c>
      <c r="I3431" s="1" t="s">
        <v>11063</v>
      </c>
      <c r="J3431" s="11">
        <v>44729.706458333334</v>
      </c>
      <c r="K3431" s="1" t="s">
        <v>8554</v>
      </c>
      <c r="L3431" s="1">
        <v>0.218</v>
      </c>
      <c r="M3431" s="1">
        <v>0.55700000000000005</v>
      </c>
      <c r="N3431">
        <v>1</v>
      </c>
      <c r="O3431" s="1">
        <v>-5.4969999999999999</v>
      </c>
      <c r="P3431">
        <v>1</v>
      </c>
      <c r="Q3431" s="1">
        <v>0.35899999999999999</v>
      </c>
      <c r="R3431" s="1">
        <v>0.192</v>
      </c>
      <c r="S3431" s="1">
        <v>0.16200000000000001</v>
      </c>
      <c r="T3431" s="1">
        <v>0.185</v>
      </c>
      <c r="U3431" s="1">
        <v>0.58399999999999996</v>
      </c>
      <c r="V3431" s="1">
        <v>139.804</v>
      </c>
      <c r="W3431">
        <v>4</v>
      </c>
    </row>
    <row r="3432" spans="1:23" x14ac:dyDescent="0.25">
      <c r="A3432" s="1" t="s">
        <v>20935</v>
      </c>
      <c r="B3432" s="1" t="s">
        <v>20936</v>
      </c>
      <c r="C3432" s="1" t="s">
        <v>2091</v>
      </c>
      <c r="D3432" s="1" t="s">
        <v>6073</v>
      </c>
      <c r="E3432" s="1" t="s">
        <v>8555</v>
      </c>
      <c r="F3432" s="1" t="s">
        <v>20929</v>
      </c>
      <c r="G3432">
        <v>232299</v>
      </c>
      <c r="H3432">
        <v>38</v>
      </c>
      <c r="I3432" s="1" t="s">
        <v>11063</v>
      </c>
      <c r="J3432" s="11">
        <v>44729.706458333334</v>
      </c>
      <c r="K3432" s="1" t="s">
        <v>4064</v>
      </c>
      <c r="L3432" s="1">
        <v>0.59099999999999997</v>
      </c>
      <c r="M3432" s="1">
        <v>0.80300000000000005</v>
      </c>
      <c r="N3432">
        <v>2</v>
      </c>
      <c r="O3432" s="1">
        <v>-5.4059999999999997</v>
      </c>
      <c r="P3432">
        <v>1</v>
      </c>
      <c r="Q3432" s="1">
        <v>0.184</v>
      </c>
      <c r="R3432" s="1">
        <v>0.13700000000000001</v>
      </c>
      <c r="S3432" s="1">
        <v>0.14299999999999999</v>
      </c>
      <c r="T3432" s="1">
        <v>0.16</v>
      </c>
      <c r="U3432" s="1">
        <v>0.21199999999999999</v>
      </c>
      <c r="V3432" s="1">
        <v>93.277000000000001</v>
      </c>
      <c r="W3432">
        <v>4</v>
      </c>
    </row>
    <row r="3433" spans="1:23" x14ac:dyDescent="0.25">
      <c r="A3433" s="1" t="s">
        <v>20937</v>
      </c>
      <c r="B3433" s="1" t="s">
        <v>20567</v>
      </c>
      <c r="C3433" s="1" t="s">
        <v>8556</v>
      </c>
      <c r="D3433" s="1" t="s">
        <v>6073</v>
      </c>
      <c r="E3433" s="1" t="s">
        <v>8214</v>
      </c>
      <c r="F3433" s="1" t="s">
        <v>20929</v>
      </c>
      <c r="G3433">
        <v>204000</v>
      </c>
      <c r="H3433">
        <v>51</v>
      </c>
      <c r="I3433" s="1" t="s">
        <v>11063</v>
      </c>
      <c r="J3433" s="11">
        <v>44729.706458333334</v>
      </c>
      <c r="K3433" s="1" t="s">
        <v>4064</v>
      </c>
      <c r="L3433" s="1">
        <v>0.498</v>
      </c>
      <c r="M3433" s="1">
        <v>0.82</v>
      </c>
      <c r="N3433">
        <v>7</v>
      </c>
      <c r="O3433" s="1">
        <v>-4.0350000000000001</v>
      </c>
      <c r="P3433">
        <v>0</v>
      </c>
      <c r="Q3433" s="1">
        <v>0.67200000000000004</v>
      </c>
      <c r="R3433" s="1">
        <v>0.629</v>
      </c>
      <c r="S3433" s="1">
        <v>0.36499999999999999</v>
      </c>
      <c r="T3433" s="1">
        <v>0.56799999999999995</v>
      </c>
      <c r="U3433" s="1">
        <v>0.29199999999999998</v>
      </c>
      <c r="V3433" s="1">
        <v>148.042</v>
      </c>
      <c r="W3433">
        <v>4</v>
      </c>
    </row>
    <row r="3434" spans="1:23" x14ac:dyDescent="0.25">
      <c r="A3434" s="1" t="s">
        <v>20938</v>
      </c>
      <c r="B3434" s="1" t="s">
        <v>20939</v>
      </c>
      <c r="C3434" s="1" t="s">
        <v>8557</v>
      </c>
      <c r="D3434" s="1" t="s">
        <v>6073</v>
      </c>
      <c r="E3434" s="1" t="s">
        <v>8558</v>
      </c>
      <c r="F3434" s="1" t="s">
        <v>20929</v>
      </c>
      <c r="G3434">
        <v>203661</v>
      </c>
      <c r="H3434">
        <v>51</v>
      </c>
      <c r="I3434" s="1" t="s">
        <v>11063</v>
      </c>
      <c r="J3434" s="11">
        <v>44729.706458333334</v>
      </c>
      <c r="K3434" s="1" t="s">
        <v>4064</v>
      </c>
      <c r="L3434" s="1">
        <v>0.56299999999999994</v>
      </c>
      <c r="M3434" s="1">
        <v>0.85199999999999998</v>
      </c>
      <c r="N3434">
        <v>5</v>
      </c>
      <c r="O3434" s="1">
        <v>-4.9279999999999999</v>
      </c>
      <c r="P3434">
        <v>1</v>
      </c>
      <c r="Q3434" s="1">
        <v>0.57999999999999996</v>
      </c>
      <c r="R3434" s="1">
        <v>0.19400000000000001</v>
      </c>
      <c r="S3434" s="1">
        <v>0.64500000000000002</v>
      </c>
      <c r="T3434" s="1">
        <v>0.69399999999999995</v>
      </c>
      <c r="U3434" s="1">
        <v>0.47099999999999997</v>
      </c>
      <c r="V3434" s="1">
        <v>141.94900000000001</v>
      </c>
      <c r="W3434">
        <v>4</v>
      </c>
    </row>
    <row r="3435" spans="1:23" x14ac:dyDescent="0.25">
      <c r="A3435" s="1" t="s">
        <v>20940</v>
      </c>
      <c r="B3435" s="1" t="s">
        <v>20941</v>
      </c>
      <c r="C3435" s="1" t="s">
        <v>4082</v>
      </c>
      <c r="D3435" s="1" t="s">
        <v>6073</v>
      </c>
      <c r="E3435" s="1" t="s">
        <v>8559</v>
      </c>
      <c r="F3435" s="1" t="s">
        <v>20929</v>
      </c>
      <c r="G3435">
        <v>186125</v>
      </c>
      <c r="H3435">
        <v>51</v>
      </c>
      <c r="I3435" s="1" t="s">
        <v>11063</v>
      </c>
      <c r="J3435" s="11">
        <v>44729.706458333334</v>
      </c>
      <c r="K3435" s="1" t="s">
        <v>8560</v>
      </c>
      <c r="L3435" s="1">
        <v>0.67600000000000005</v>
      </c>
      <c r="M3435" s="1">
        <v>0.69699999999999995</v>
      </c>
      <c r="N3435">
        <v>7</v>
      </c>
      <c r="O3435" s="1">
        <v>-5.9340000000000002</v>
      </c>
      <c r="P3435">
        <v>1</v>
      </c>
      <c r="Q3435" s="1">
        <v>0.41099999999999998</v>
      </c>
      <c r="R3435" s="1">
        <v>0.77200000000000002</v>
      </c>
      <c r="S3435" s="1">
        <v>0.45100000000000001</v>
      </c>
      <c r="T3435" s="1">
        <v>0.32600000000000001</v>
      </c>
      <c r="U3435" s="1">
        <v>0.11799999999999999</v>
      </c>
      <c r="V3435" s="1">
        <v>89.944000000000003</v>
      </c>
      <c r="W3435">
        <v>4</v>
      </c>
    </row>
    <row r="3436" spans="1:23" x14ac:dyDescent="0.25">
      <c r="A3436" s="1" t="s">
        <v>20942</v>
      </c>
      <c r="B3436" s="1" t="s">
        <v>20939</v>
      </c>
      <c r="C3436" s="1" t="s">
        <v>8561</v>
      </c>
      <c r="D3436" s="1" t="s">
        <v>6073</v>
      </c>
      <c r="E3436" s="1" t="s">
        <v>8558</v>
      </c>
      <c r="F3436" s="1" t="s">
        <v>20929</v>
      </c>
      <c r="G3436">
        <v>250500</v>
      </c>
      <c r="H3436">
        <v>50</v>
      </c>
      <c r="I3436" s="1" t="s">
        <v>11063</v>
      </c>
      <c r="J3436" s="11">
        <v>44729.706458333334</v>
      </c>
      <c r="K3436" s="1" t="s">
        <v>4064</v>
      </c>
      <c r="L3436" s="1">
        <v>0.308</v>
      </c>
      <c r="M3436" s="1">
        <v>0.84399999999999997</v>
      </c>
      <c r="N3436">
        <v>0</v>
      </c>
      <c r="O3436" s="1">
        <v>-4.2350000000000003</v>
      </c>
      <c r="P3436">
        <v>0</v>
      </c>
      <c r="Q3436" s="1">
        <v>0.63800000000000001</v>
      </c>
      <c r="R3436" s="1">
        <v>0.51900000000000002</v>
      </c>
      <c r="S3436" s="1">
        <v>0.27900000000000003</v>
      </c>
      <c r="T3436" s="1">
        <v>0.80500000000000005</v>
      </c>
      <c r="U3436" s="1">
        <v>0.17499999999999999</v>
      </c>
      <c r="V3436" s="1">
        <v>159.911</v>
      </c>
      <c r="W3436">
        <v>4</v>
      </c>
    </row>
    <row r="3437" spans="1:23" x14ac:dyDescent="0.25">
      <c r="A3437" s="1" t="s">
        <v>20943</v>
      </c>
      <c r="B3437" s="1" t="s">
        <v>20944</v>
      </c>
      <c r="C3437" s="1" t="s">
        <v>8562</v>
      </c>
      <c r="D3437" s="1" t="s">
        <v>6073</v>
      </c>
      <c r="E3437" s="1" t="s">
        <v>8563</v>
      </c>
      <c r="F3437" s="1" t="s">
        <v>20929</v>
      </c>
      <c r="G3437">
        <v>299656</v>
      </c>
      <c r="H3437">
        <v>51</v>
      </c>
      <c r="I3437" s="1" t="s">
        <v>11063</v>
      </c>
      <c r="J3437" s="11">
        <v>44729.706458333334</v>
      </c>
      <c r="K3437" s="1" t="s">
        <v>8564</v>
      </c>
      <c r="L3437" s="1">
        <v>0.376</v>
      </c>
      <c r="M3437" s="1">
        <v>0.69199999999999995</v>
      </c>
      <c r="N3437">
        <v>0</v>
      </c>
      <c r="O3437" s="1">
        <v>-4.4740000000000002</v>
      </c>
      <c r="P3437">
        <v>1</v>
      </c>
      <c r="Q3437" s="1">
        <v>0.55800000000000005</v>
      </c>
      <c r="R3437" s="1">
        <v>0.19700000000000001</v>
      </c>
      <c r="S3437" s="1">
        <v>0.39300000000000002</v>
      </c>
      <c r="T3437" s="1">
        <v>0.111</v>
      </c>
      <c r="U3437" s="1">
        <v>0.90300000000000002</v>
      </c>
      <c r="V3437" s="1">
        <v>173.899</v>
      </c>
      <c r="W3437">
        <v>4</v>
      </c>
    </row>
    <row r="3438" spans="1:23" x14ac:dyDescent="0.25">
      <c r="A3438" s="1" t="s">
        <v>20945</v>
      </c>
      <c r="B3438" s="1" t="s">
        <v>20946</v>
      </c>
      <c r="C3438" s="1" t="s">
        <v>3849</v>
      </c>
      <c r="D3438" s="1" t="s">
        <v>20947</v>
      </c>
      <c r="E3438" s="1" t="s">
        <v>8565</v>
      </c>
      <c r="F3438" s="1" t="s">
        <v>15379</v>
      </c>
      <c r="G3438">
        <v>184234</v>
      </c>
      <c r="H3438">
        <v>49</v>
      </c>
      <c r="I3438" s="1" t="s">
        <v>11063</v>
      </c>
      <c r="J3438" s="11">
        <v>44729.706458333334</v>
      </c>
      <c r="K3438" s="1" t="s">
        <v>8566</v>
      </c>
      <c r="L3438" s="1">
        <v>0.35499999999999998</v>
      </c>
      <c r="M3438" s="1">
        <v>0.51300000000000001</v>
      </c>
      <c r="N3438">
        <v>7</v>
      </c>
      <c r="O3438" s="1">
        <v>-6.173</v>
      </c>
      <c r="P3438">
        <v>1</v>
      </c>
      <c r="Q3438" s="1">
        <v>0.318</v>
      </c>
      <c r="R3438" s="1">
        <v>0.39500000000000002</v>
      </c>
      <c r="S3438" s="1">
        <v>0.48099999999999998</v>
      </c>
      <c r="T3438" s="1">
        <v>0.19500000000000001</v>
      </c>
      <c r="U3438" s="1">
        <v>0.13</v>
      </c>
      <c r="V3438" s="1">
        <v>106.214</v>
      </c>
      <c r="W3438">
        <v>4</v>
      </c>
    </row>
    <row r="3439" spans="1:23" x14ac:dyDescent="0.25">
      <c r="A3439" s="1" t="s">
        <v>20948</v>
      </c>
      <c r="B3439" s="1" t="s">
        <v>20949</v>
      </c>
      <c r="C3439" s="1" t="s">
        <v>8567</v>
      </c>
      <c r="D3439" s="1" t="s">
        <v>20947</v>
      </c>
      <c r="E3439" s="1" t="s">
        <v>8568</v>
      </c>
      <c r="F3439" s="1" t="s">
        <v>15379</v>
      </c>
      <c r="G3439">
        <v>240508</v>
      </c>
      <c r="H3439">
        <v>57</v>
      </c>
      <c r="I3439" s="1" t="s">
        <v>11063</v>
      </c>
      <c r="J3439" s="11">
        <v>44729.706458333334</v>
      </c>
      <c r="K3439" s="1" t="s">
        <v>8569</v>
      </c>
      <c r="L3439" s="1">
        <v>0.57799999999999996</v>
      </c>
      <c r="M3439" s="1">
        <v>0.82599999999999996</v>
      </c>
      <c r="N3439">
        <v>0</v>
      </c>
      <c r="O3439" s="1">
        <v>-4.577</v>
      </c>
      <c r="P3439">
        <v>0</v>
      </c>
      <c r="Q3439" s="1">
        <v>0.79600000000000004</v>
      </c>
      <c r="R3439" s="1">
        <v>0.66800000000000004</v>
      </c>
      <c r="S3439" s="1">
        <v>0.74</v>
      </c>
      <c r="T3439" s="1">
        <v>0.36699999999999999</v>
      </c>
      <c r="U3439" s="1">
        <v>0.216</v>
      </c>
      <c r="V3439" s="1">
        <v>117.048</v>
      </c>
      <c r="W3439">
        <v>4</v>
      </c>
    </row>
    <row r="3440" spans="1:23" x14ac:dyDescent="0.25">
      <c r="A3440" s="1" t="s">
        <v>20950</v>
      </c>
      <c r="B3440" s="1" t="s">
        <v>20951</v>
      </c>
      <c r="C3440" s="1" t="s">
        <v>8570</v>
      </c>
      <c r="D3440" s="1" t="s">
        <v>20947</v>
      </c>
      <c r="E3440" s="1" t="s">
        <v>8571</v>
      </c>
      <c r="F3440" s="1" t="s">
        <v>15379</v>
      </c>
      <c r="G3440">
        <v>248156</v>
      </c>
      <c r="H3440">
        <v>43</v>
      </c>
      <c r="I3440" s="1" t="s">
        <v>11063</v>
      </c>
      <c r="J3440" s="11">
        <v>44729.706458333334</v>
      </c>
      <c r="K3440" s="1" t="s">
        <v>8572</v>
      </c>
      <c r="L3440" s="1">
        <v>0.626</v>
      </c>
      <c r="M3440" s="1">
        <v>0.70699999999999996</v>
      </c>
      <c r="N3440">
        <v>2</v>
      </c>
      <c r="O3440" s="1">
        <v>-4.7610000000000001</v>
      </c>
      <c r="P3440">
        <v>1</v>
      </c>
      <c r="Q3440" s="1">
        <v>0.33500000000000002</v>
      </c>
      <c r="R3440" s="1">
        <v>0.22</v>
      </c>
      <c r="S3440" s="1">
        <v>0</v>
      </c>
      <c r="T3440" s="1">
        <v>0.221</v>
      </c>
      <c r="U3440" s="1">
        <v>0.48099999999999998</v>
      </c>
      <c r="V3440" s="1">
        <v>138.06200000000001</v>
      </c>
      <c r="W3440">
        <v>4</v>
      </c>
    </row>
    <row r="3441" spans="1:23" x14ac:dyDescent="0.25">
      <c r="A3441" s="1" t="s">
        <v>20952</v>
      </c>
      <c r="B3441" s="1" t="s">
        <v>19231</v>
      </c>
      <c r="C3441" s="1" t="s">
        <v>8573</v>
      </c>
      <c r="D3441" s="1" t="s">
        <v>20947</v>
      </c>
      <c r="E3441" s="1" t="s">
        <v>7024</v>
      </c>
      <c r="F3441" s="1" t="s">
        <v>15379</v>
      </c>
      <c r="G3441">
        <v>164888</v>
      </c>
      <c r="H3441">
        <v>41</v>
      </c>
      <c r="I3441" s="1" t="s">
        <v>11063</v>
      </c>
      <c r="J3441" s="11">
        <v>44729.706458333334</v>
      </c>
      <c r="K3441" s="1" t="s">
        <v>4064</v>
      </c>
      <c r="L3441" s="1">
        <v>0.40400000000000003</v>
      </c>
      <c r="M3441" s="1">
        <v>0.57899999999999996</v>
      </c>
      <c r="N3441">
        <v>9</v>
      </c>
      <c r="O3441" s="1">
        <v>-6.8150000000000004</v>
      </c>
      <c r="P3441">
        <v>1</v>
      </c>
      <c r="Q3441" s="1">
        <v>0.26700000000000002</v>
      </c>
      <c r="R3441" s="1">
        <v>0.77600000000000002</v>
      </c>
      <c r="S3441" s="1">
        <v>0.83099999999999996</v>
      </c>
      <c r="T3441" s="1">
        <v>0.10100000000000001</v>
      </c>
      <c r="U3441" s="1">
        <v>0.69299999999999995</v>
      </c>
      <c r="V3441" s="1">
        <v>98.064999999999998</v>
      </c>
      <c r="W3441">
        <v>4</v>
      </c>
    </row>
    <row r="3442" spans="1:23" x14ac:dyDescent="0.25">
      <c r="A3442" s="1" t="s">
        <v>20953</v>
      </c>
      <c r="B3442" s="1" t="s">
        <v>20954</v>
      </c>
      <c r="C3442" s="1" t="s">
        <v>8574</v>
      </c>
      <c r="D3442" s="1" t="s">
        <v>20947</v>
      </c>
      <c r="E3442" s="1" t="s">
        <v>8575</v>
      </c>
      <c r="F3442" s="1" t="s">
        <v>15379</v>
      </c>
      <c r="G3442">
        <v>200000</v>
      </c>
      <c r="H3442">
        <v>55</v>
      </c>
      <c r="I3442" s="1" t="s">
        <v>11063</v>
      </c>
      <c r="J3442" s="11">
        <v>44729.706458333334</v>
      </c>
      <c r="K3442" s="1" t="s">
        <v>8576</v>
      </c>
      <c r="L3442" s="1">
        <v>0.67100000000000004</v>
      </c>
      <c r="M3442" s="1">
        <v>0.61599999999999999</v>
      </c>
      <c r="N3442">
        <v>8</v>
      </c>
      <c r="O3442" s="1">
        <v>-5.9059999999999997</v>
      </c>
      <c r="P3442">
        <v>1</v>
      </c>
      <c r="Q3442" s="1">
        <v>0.48299999999999998</v>
      </c>
      <c r="R3442" s="1">
        <v>0.10100000000000001</v>
      </c>
      <c r="S3442" s="1">
        <v>0.63900000000000001</v>
      </c>
      <c r="T3442" s="1">
        <v>0.96599999999999997</v>
      </c>
      <c r="U3442" s="1">
        <v>0.32700000000000001</v>
      </c>
      <c r="V3442" s="1">
        <v>135.054</v>
      </c>
      <c r="W3442">
        <v>4</v>
      </c>
    </row>
    <row r="3443" spans="1:23" x14ac:dyDescent="0.25">
      <c r="A3443" s="1" t="s">
        <v>20955</v>
      </c>
      <c r="B3443" s="1" t="s">
        <v>20956</v>
      </c>
      <c r="C3443" s="1" t="s">
        <v>8577</v>
      </c>
      <c r="D3443" s="1" t="s">
        <v>20947</v>
      </c>
      <c r="E3443" s="1" t="s">
        <v>8578</v>
      </c>
      <c r="F3443" s="1" t="s">
        <v>15379</v>
      </c>
      <c r="G3443">
        <v>253333</v>
      </c>
      <c r="H3443">
        <v>53</v>
      </c>
      <c r="I3443" s="1" t="s">
        <v>11063</v>
      </c>
      <c r="J3443" s="11">
        <v>44729.706458333334</v>
      </c>
      <c r="K3443" s="1" t="s">
        <v>8579</v>
      </c>
      <c r="L3443" s="1">
        <v>0.36199999999999999</v>
      </c>
      <c r="M3443" s="1">
        <v>0.79</v>
      </c>
      <c r="N3443">
        <v>2</v>
      </c>
      <c r="O3443" s="1">
        <v>-2.7610000000000001</v>
      </c>
      <c r="P3443">
        <v>1</v>
      </c>
      <c r="Q3443" s="1">
        <v>0.66</v>
      </c>
      <c r="R3443" s="1">
        <v>0.74399999999999999</v>
      </c>
      <c r="S3443" s="1">
        <v>0.18099999999999999</v>
      </c>
      <c r="T3443" s="1">
        <v>0.10100000000000001</v>
      </c>
      <c r="U3443" s="1">
        <v>0.20799999999999999</v>
      </c>
      <c r="V3443" s="1">
        <v>179.94300000000001</v>
      </c>
      <c r="W3443">
        <v>4</v>
      </c>
    </row>
    <row r="3444" spans="1:23" x14ac:dyDescent="0.25">
      <c r="A3444" s="1" t="s">
        <v>20957</v>
      </c>
      <c r="B3444" s="1" t="s">
        <v>20958</v>
      </c>
      <c r="C3444" s="1" t="s">
        <v>8580</v>
      </c>
      <c r="D3444" s="1" t="s">
        <v>20947</v>
      </c>
      <c r="E3444" s="1" t="s">
        <v>8581</v>
      </c>
      <c r="F3444" s="1" t="s">
        <v>15379</v>
      </c>
      <c r="G3444">
        <v>245250</v>
      </c>
      <c r="H3444">
        <v>53</v>
      </c>
      <c r="I3444" s="1" t="s">
        <v>11063</v>
      </c>
      <c r="J3444" s="11">
        <v>44729.706458333334</v>
      </c>
      <c r="K3444" s="1" t="s">
        <v>4064</v>
      </c>
      <c r="L3444" s="1">
        <v>0.40600000000000003</v>
      </c>
      <c r="M3444" s="1">
        <v>0.71099999999999997</v>
      </c>
      <c r="N3444">
        <v>4</v>
      </c>
      <c r="O3444" s="1">
        <v>-3.0640000000000001</v>
      </c>
      <c r="P3444">
        <v>1</v>
      </c>
      <c r="Q3444" s="1">
        <v>0.436</v>
      </c>
      <c r="R3444" s="1">
        <v>0.373</v>
      </c>
      <c r="S3444" s="1">
        <v>0.19500000000000001</v>
      </c>
      <c r="T3444" s="1">
        <v>0.13900000000000001</v>
      </c>
      <c r="U3444" s="1">
        <v>0.26800000000000002</v>
      </c>
      <c r="V3444" s="1">
        <v>159.86199999999999</v>
      </c>
      <c r="W3444">
        <v>4</v>
      </c>
    </row>
    <row r="3445" spans="1:23" x14ac:dyDescent="0.25">
      <c r="A3445" s="1" t="s">
        <v>20959</v>
      </c>
      <c r="B3445" s="1" t="s">
        <v>19231</v>
      </c>
      <c r="C3445" s="1" t="s">
        <v>8535</v>
      </c>
      <c r="D3445" s="1" t="s">
        <v>20947</v>
      </c>
      <c r="E3445" s="1" t="s">
        <v>7024</v>
      </c>
      <c r="F3445" s="1" t="s">
        <v>15379</v>
      </c>
      <c r="G3445">
        <v>234857</v>
      </c>
      <c r="H3445">
        <v>52</v>
      </c>
      <c r="I3445" s="1" t="s">
        <v>11063</v>
      </c>
      <c r="J3445" s="11">
        <v>44729.706458333334</v>
      </c>
      <c r="K3445" s="1" t="s">
        <v>4064</v>
      </c>
      <c r="L3445" s="1">
        <v>0.30199999999999999</v>
      </c>
      <c r="M3445" s="1">
        <v>0.64</v>
      </c>
      <c r="N3445">
        <v>11</v>
      </c>
      <c r="O3445" s="1">
        <v>-3.452</v>
      </c>
      <c r="P3445">
        <v>1</v>
      </c>
      <c r="Q3445" s="1">
        <v>0.379</v>
      </c>
      <c r="R3445" s="1">
        <v>0.35899999999999999</v>
      </c>
      <c r="S3445" s="1">
        <v>0.16600000000000001</v>
      </c>
      <c r="T3445" s="1">
        <v>0.95099999999999996</v>
      </c>
      <c r="U3445" s="1">
        <v>0.184</v>
      </c>
      <c r="V3445" s="1">
        <v>139.79300000000001</v>
      </c>
      <c r="W3445">
        <v>4</v>
      </c>
    </row>
    <row r="3446" spans="1:23" x14ac:dyDescent="0.25">
      <c r="A3446" s="1" t="s">
        <v>20960</v>
      </c>
      <c r="B3446" s="1" t="s">
        <v>15148</v>
      </c>
      <c r="C3446" s="1" t="s">
        <v>8582</v>
      </c>
      <c r="D3446" s="1" t="s">
        <v>20947</v>
      </c>
      <c r="E3446" s="1" t="s">
        <v>3407</v>
      </c>
      <c r="F3446" s="1" t="s">
        <v>15379</v>
      </c>
      <c r="G3446">
        <v>184556</v>
      </c>
      <c r="H3446">
        <v>53</v>
      </c>
      <c r="I3446" s="1" t="s">
        <v>11063</v>
      </c>
      <c r="J3446" s="11">
        <v>44729.706458333334</v>
      </c>
      <c r="K3446" s="1" t="s">
        <v>3408</v>
      </c>
      <c r="L3446" s="1">
        <v>0.46300000000000002</v>
      </c>
      <c r="M3446" s="1">
        <v>0.63800000000000001</v>
      </c>
      <c r="N3446">
        <v>2</v>
      </c>
      <c r="O3446" s="1">
        <v>-4.37</v>
      </c>
      <c r="P3446">
        <v>1</v>
      </c>
      <c r="Q3446" s="1">
        <v>0.69299999999999995</v>
      </c>
      <c r="R3446" s="1">
        <v>0.29899999999999999</v>
      </c>
      <c r="S3446" s="1">
        <v>0.31900000000000001</v>
      </c>
      <c r="T3446" s="1">
        <v>0.876</v>
      </c>
      <c r="U3446" s="1">
        <v>0.27800000000000002</v>
      </c>
      <c r="V3446" s="1">
        <v>186.095</v>
      </c>
      <c r="W3446">
        <v>4</v>
      </c>
    </row>
    <row r="3447" spans="1:23" x14ac:dyDescent="0.25">
      <c r="A3447" s="1" t="s">
        <v>20961</v>
      </c>
      <c r="B3447" s="1" t="s">
        <v>20962</v>
      </c>
      <c r="C3447" s="1" t="s">
        <v>8583</v>
      </c>
      <c r="D3447" s="1" t="s">
        <v>20947</v>
      </c>
      <c r="E3447" s="1" t="s">
        <v>8584</v>
      </c>
      <c r="F3447" s="1" t="s">
        <v>15379</v>
      </c>
      <c r="G3447">
        <v>205970</v>
      </c>
      <c r="H3447">
        <v>52</v>
      </c>
      <c r="I3447" s="1" t="s">
        <v>11063</v>
      </c>
      <c r="J3447" s="11">
        <v>44729.706458333334</v>
      </c>
      <c r="K3447" s="1" t="s">
        <v>4064</v>
      </c>
      <c r="L3447" s="1">
        <v>0.42899999999999999</v>
      </c>
      <c r="M3447" s="1">
        <v>0.52500000000000002</v>
      </c>
      <c r="N3447">
        <v>2</v>
      </c>
      <c r="O3447" s="1">
        <v>-4.399</v>
      </c>
      <c r="P3447">
        <v>1</v>
      </c>
      <c r="Q3447" s="1">
        <v>0.38200000000000001</v>
      </c>
      <c r="R3447" s="1">
        <v>0.45800000000000002</v>
      </c>
      <c r="S3447" s="1">
        <v>0.63500000000000001</v>
      </c>
      <c r="T3447" s="1">
        <v>0.124</v>
      </c>
      <c r="U3447" s="1">
        <v>0.22800000000000001</v>
      </c>
      <c r="V3447" s="1">
        <v>133.89699999999999</v>
      </c>
      <c r="W3447">
        <v>4</v>
      </c>
    </row>
    <row r="3448" spans="1:23" x14ac:dyDescent="0.25">
      <c r="A3448" s="1" t="s">
        <v>20963</v>
      </c>
      <c r="B3448" s="1" t="s">
        <v>14889</v>
      </c>
      <c r="C3448" s="1" t="s">
        <v>8534</v>
      </c>
      <c r="D3448" s="1" t="s">
        <v>20947</v>
      </c>
      <c r="E3448" s="1" t="s">
        <v>3168</v>
      </c>
      <c r="F3448" s="1" t="s">
        <v>15379</v>
      </c>
      <c r="G3448">
        <v>242011</v>
      </c>
      <c r="H3448">
        <v>59</v>
      </c>
      <c r="I3448" s="1" t="s">
        <v>11063</v>
      </c>
      <c r="J3448" s="11">
        <v>44729.706458333334</v>
      </c>
      <c r="K3448" s="1" t="s">
        <v>3169</v>
      </c>
      <c r="L3448" s="1">
        <v>0.377</v>
      </c>
      <c r="M3448" s="1">
        <v>0.72299999999999998</v>
      </c>
      <c r="N3448">
        <v>7</v>
      </c>
      <c r="O3448" s="1">
        <v>-2.9510000000000001</v>
      </c>
      <c r="P3448">
        <v>1</v>
      </c>
      <c r="Q3448" s="1">
        <v>0.46</v>
      </c>
      <c r="R3448" s="1">
        <v>0.18099999999999999</v>
      </c>
      <c r="S3448" s="1">
        <v>0</v>
      </c>
      <c r="T3448" s="1">
        <v>0.81499999999999995</v>
      </c>
      <c r="U3448" s="1">
        <v>0.16700000000000001</v>
      </c>
      <c r="V3448" s="1">
        <v>84.138999999999996</v>
      </c>
      <c r="W3448">
        <v>4</v>
      </c>
    </row>
    <row r="3449" spans="1:23" x14ac:dyDescent="0.25">
      <c r="A3449" s="1" t="s">
        <v>20964</v>
      </c>
      <c r="B3449" s="1" t="s">
        <v>20965</v>
      </c>
      <c r="C3449" s="1" t="s">
        <v>8585</v>
      </c>
      <c r="D3449" s="1" t="s">
        <v>20947</v>
      </c>
      <c r="E3449" s="1" t="s">
        <v>8586</v>
      </c>
      <c r="F3449" s="1" t="s">
        <v>15379</v>
      </c>
      <c r="G3449">
        <v>305571</v>
      </c>
      <c r="H3449">
        <v>53</v>
      </c>
      <c r="I3449" s="1" t="s">
        <v>11063</v>
      </c>
      <c r="J3449" s="11">
        <v>44729.706458333334</v>
      </c>
      <c r="K3449" s="1" t="s">
        <v>4064</v>
      </c>
      <c r="L3449" s="1">
        <v>0.41199999999999998</v>
      </c>
      <c r="M3449" s="1">
        <v>0.71699999999999997</v>
      </c>
      <c r="N3449">
        <v>1</v>
      </c>
      <c r="O3449" s="1">
        <v>-4.2930000000000001</v>
      </c>
      <c r="P3449">
        <v>0</v>
      </c>
      <c r="Q3449" s="1">
        <v>0.36299999999999999</v>
      </c>
      <c r="R3449" s="1">
        <v>0.158</v>
      </c>
      <c r="S3449" s="1">
        <v>0.40300000000000002</v>
      </c>
      <c r="T3449" s="1">
        <v>0.89</v>
      </c>
      <c r="U3449" s="1">
        <v>0.33600000000000002</v>
      </c>
      <c r="V3449" s="1">
        <v>140.10300000000001</v>
      </c>
      <c r="W3449">
        <v>4</v>
      </c>
    </row>
    <row r="3450" spans="1:23" x14ac:dyDescent="0.25">
      <c r="A3450" s="1" t="s">
        <v>20966</v>
      </c>
      <c r="B3450" s="1" t="s">
        <v>20967</v>
      </c>
      <c r="C3450" s="1" t="s">
        <v>8587</v>
      </c>
      <c r="D3450" s="1" t="s">
        <v>20968</v>
      </c>
      <c r="E3450" s="1" t="s">
        <v>8588</v>
      </c>
      <c r="F3450" s="1" t="s">
        <v>15406</v>
      </c>
      <c r="G3450">
        <v>179146</v>
      </c>
      <c r="H3450">
        <v>68</v>
      </c>
      <c r="I3450" s="1" t="s">
        <v>11063</v>
      </c>
      <c r="J3450" s="11">
        <v>44729.706458333334</v>
      </c>
      <c r="K3450" s="1" t="s">
        <v>8589</v>
      </c>
      <c r="L3450" s="1">
        <v>0.72199999999999998</v>
      </c>
      <c r="M3450" s="1">
        <v>0.77300000000000002</v>
      </c>
      <c r="N3450">
        <v>5</v>
      </c>
      <c r="O3450" s="1">
        <v>-4.3780000000000001</v>
      </c>
      <c r="P3450">
        <v>0</v>
      </c>
      <c r="Q3450" s="1">
        <v>0.79200000000000004</v>
      </c>
      <c r="R3450" s="1">
        <v>0.59799999999999998</v>
      </c>
      <c r="S3450" s="1">
        <v>0</v>
      </c>
      <c r="T3450" s="1">
        <v>0.17899999999999999</v>
      </c>
      <c r="U3450" s="1">
        <v>0.72399999999999998</v>
      </c>
      <c r="V3450" s="1">
        <v>94.997</v>
      </c>
      <c r="W3450">
        <v>4</v>
      </c>
    </row>
    <row r="3451" spans="1:23" x14ac:dyDescent="0.25">
      <c r="A3451" s="1" t="s">
        <v>20969</v>
      </c>
      <c r="B3451" s="1" t="s">
        <v>20970</v>
      </c>
      <c r="C3451" s="1" t="s">
        <v>8590</v>
      </c>
      <c r="D3451" s="1" t="s">
        <v>8590</v>
      </c>
      <c r="E3451" s="1" t="s">
        <v>8591</v>
      </c>
      <c r="F3451" s="1" t="s">
        <v>14101</v>
      </c>
      <c r="G3451">
        <v>197938</v>
      </c>
      <c r="H3451">
        <v>68</v>
      </c>
      <c r="I3451" s="1" t="s">
        <v>11063</v>
      </c>
      <c r="J3451" s="11">
        <v>44729.706458333334</v>
      </c>
      <c r="K3451" s="1" t="s">
        <v>8592</v>
      </c>
      <c r="L3451" s="1">
        <v>0.66100000000000003</v>
      </c>
      <c r="M3451" s="1">
        <v>0.72499999999999998</v>
      </c>
      <c r="N3451">
        <v>6</v>
      </c>
      <c r="O3451" s="1">
        <v>-4.859</v>
      </c>
      <c r="P3451">
        <v>1</v>
      </c>
      <c r="Q3451" s="1">
        <v>0.56299999999999994</v>
      </c>
      <c r="R3451" s="1">
        <v>0.253</v>
      </c>
      <c r="S3451" s="1">
        <v>0</v>
      </c>
      <c r="T3451" s="1">
        <v>0.123</v>
      </c>
      <c r="U3451" s="1">
        <v>0.60499999999999998</v>
      </c>
      <c r="V3451" s="1">
        <v>119.92700000000001</v>
      </c>
      <c r="W3451">
        <v>4</v>
      </c>
    </row>
    <row r="3452" spans="1:23" x14ac:dyDescent="0.25">
      <c r="A3452" s="1" t="s">
        <v>20971</v>
      </c>
      <c r="B3452" s="1" t="s">
        <v>14179</v>
      </c>
      <c r="C3452" s="1" t="s">
        <v>8593</v>
      </c>
      <c r="D3452" s="1" t="s">
        <v>14180</v>
      </c>
      <c r="E3452" s="1" t="s">
        <v>2548</v>
      </c>
      <c r="F3452" s="1" t="s">
        <v>14181</v>
      </c>
      <c r="G3452">
        <v>204085</v>
      </c>
      <c r="H3452">
        <v>73</v>
      </c>
      <c r="I3452" s="1" t="s">
        <v>11063</v>
      </c>
      <c r="J3452" s="11">
        <v>44729.706458333334</v>
      </c>
      <c r="K3452" s="1" t="s">
        <v>2370</v>
      </c>
      <c r="L3452" s="1">
        <v>0.71599999999999997</v>
      </c>
      <c r="M3452" s="1">
        <v>0.73</v>
      </c>
      <c r="N3452">
        <v>6</v>
      </c>
      <c r="O3452" s="1">
        <v>-4.1260000000000003</v>
      </c>
      <c r="P3452">
        <v>0</v>
      </c>
      <c r="Q3452" s="1">
        <v>0.36399999999999999</v>
      </c>
      <c r="R3452" s="1">
        <v>0.57999999999999996</v>
      </c>
      <c r="S3452" s="1">
        <v>0.73199999999999998</v>
      </c>
      <c r="T3452" s="1">
        <v>0.151</v>
      </c>
      <c r="U3452" s="1">
        <v>0.33900000000000002</v>
      </c>
      <c r="V3452" s="1">
        <v>136.05000000000001</v>
      </c>
      <c r="W3452">
        <v>4</v>
      </c>
    </row>
    <row r="3453" spans="1:23" x14ac:dyDescent="0.25">
      <c r="A3453" s="1" t="s">
        <v>20972</v>
      </c>
      <c r="B3453" s="1" t="s">
        <v>14179</v>
      </c>
      <c r="C3453" s="1" t="s">
        <v>8594</v>
      </c>
      <c r="D3453" s="1" t="s">
        <v>14180</v>
      </c>
      <c r="E3453" s="1" t="s">
        <v>2548</v>
      </c>
      <c r="F3453" s="1" t="s">
        <v>14181</v>
      </c>
      <c r="G3453">
        <v>231853</v>
      </c>
      <c r="H3453">
        <v>74</v>
      </c>
      <c r="I3453" s="1" t="s">
        <v>11063</v>
      </c>
      <c r="J3453" s="11">
        <v>44729.706458333334</v>
      </c>
      <c r="K3453" s="1" t="s">
        <v>2370</v>
      </c>
      <c r="L3453" s="1">
        <v>0.72499999999999998</v>
      </c>
      <c r="M3453" s="1">
        <v>0.70799999999999996</v>
      </c>
      <c r="N3453">
        <v>5</v>
      </c>
      <c r="O3453" s="1">
        <v>-5.3310000000000004</v>
      </c>
      <c r="P3453">
        <v>0</v>
      </c>
      <c r="Q3453" s="1">
        <v>0.75600000000000001</v>
      </c>
      <c r="R3453" s="1">
        <v>0.22</v>
      </c>
      <c r="S3453" s="1">
        <v>0</v>
      </c>
      <c r="T3453" s="1">
        <v>0.77700000000000002</v>
      </c>
      <c r="U3453" s="1">
        <v>0.55500000000000005</v>
      </c>
      <c r="V3453" s="1">
        <v>130.029</v>
      </c>
      <c r="W3453">
        <v>4</v>
      </c>
    </row>
    <row r="3454" spans="1:23" x14ac:dyDescent="0.25">
      <c r="A3454" s="1" t="s">
        <v>20973</v>
      </c>
      <c r="B3454" s="1" t="s">
        <v>14079</v>
      </c>
      <c r="C3454" s="1" t="s">
        <v>8595</v>
      </c>
      <c r="D3454" s="1" t="s">
        <v>20974</v>
      </c>
      <c r="E3454" s="1" t="s">
        <v>2468</v>
      </c>
      <c r="F3454" s="1" t="s">
        <v>14479</v>
      </c>
      <c r="G3454">
        <v>119409</v>
      </c>
      <c r="H3454">
        <v>67</v>
      </c>
      <c r="I3454" s="1" t="s">
        <v>11063</v>
      </c>
      <c r="J3454" s="11">
        <v>44729.706458333334</v>
      </c>
      <c r="K3454" s="1" t="s">
        <v>2469</v>
      </c>
      <c r="L3454" s="1">
        <v>0.153</v>
      </c>
      <c r="M3454" s="1">
        <v>0.13800000000000001</v>
      </c>
      <c r="N3454">
        <v>6</v>
      </c>
      <c r="O3454" s="1">
        <v>-21.876999999999999</v>
      </c>
      <c r="P3454">
        <v>0</v>
      </c>
      <c r="Q3454" s="1">
        <v>0.503</v>
      </c>
      <c r="R3454" s="1">
        <v>0.83699999999999997</v>
      </c>
      <c r="S3454" s="1">
        <v>0.55000000000000004</v>
      </c>
      <c r="T3454" s="1">
        <v>0.254</v>
      </c>
      <c r="U3454" s="1">
        <v>0.503</v>
      </c>
      <c r="V3454" s="1">
        <v>74.317999999999998</v>
      </c>
      <c r="W3454">
        <v>3</v>
      </c>
    </row>
    <row r="3455" spans="1:23" x14ac:dyDescent="0.25">
      <c r="A3455" s="1" t="s">
        <v>20975</v>
      </c>
      <c r="B3455" s="1" t="s">
        <v>14079</v>
      </c>
      <c r="C3455" s="1" t="s">
        <v>8596</v>
      </c>
      <c r="D3455" s="1" t="s">
        <v>8596</v>
      </c>
      <c r="E3455" s="1" t="s">
        <v>2468</v>
      </c>
      <c r="F3455" s="1" t="s">
        <v>15092</v>
      </c>
      <c r="G3455">
        <v>176471</v>
      </c>
      <c r="H3455">
        <v>74</v>
      </c>
      <c r="I3455" s="1" t="s">
        <v>11063</v>
      </c>
      <c r="J3455" s="11">
        <v>44729.706458333334</v>
      </c>
      <c r="K3455" s="1" t="s">
        <v>2469</v>
      </c>
      <c r="L3455" s="1">
        <v>0.77800000000000002</v>
      </c>
      <c r="M3455" s="1">
        <v>0.42199999999999999</v>
      </c>
      <c r="N3455">
        <v>0</v>
      </c>
      <c r="O3455" s="1">
        <v>-10.114000000000001</v>
      </c>
      <c r="P3455">
        <v>1</v>
      </c>
      <c r="Q3455" s="1">
        <v>0.48199999999999998</v>
      </c>
      <c r="R3455" s="1">
        <v>0.92100000000000004</v>
      </c>
      <c r="S3455" s="1">
        <v>0.92400000000000004</v>
      </c>
      <c r="T3455" s="1">
        <v>0.95799999999999996</v>
      </c>
      <c r="U3455" s="1">
        <v>0.187</v>
      </c>
      <c r="V3455" s="1">
        <v>120.033</v>
      </c>
      <c r="W3455">
        <v>4</v>
      </c>
    </row>
    <row r="3456" spans="1:23" x14ac:dyDescent="0.25">
      <c r="A3456" s="1" t="s">
        <v>20976</v>
      </c>
      <c r="B3456" s="1" t="s">
        <v>14079</v>
      </c>
      <c r="C3456" s="1" t="s">
        <v>8597</v>
      </c>
      <c r="D3456" s="1" t="s">
        <v>20977</v>
      </c>
      <c r="E3456" s="1" t="s">
        <v>2468</v>
      </c>
      <c r="F3456" s="1" t="s">
        <v>20978</v>
      </c>
      <c r="G3456">
        <v>194711</v>
      </c>
      <c r="H3456">
        <v>73</v>
      </c>
      <c r="I3456" s="1" t="s">
        <v>11063</v>
      </c>
      <c r="J3456" s="11">
        <v>44729.706458333334</v>
      </c>
      <c r="K3456" s="1" t="s">
        <v>2469</v>
      </c>
      <c r="L3456" s="1">
        <v>0.67900000000000005</v>
      </c>
      <c r="M3456" s="1">
        <v>0.38800000000000001</v>
      </c>
      <c r="N3456">
        <v>4</v>
      </c>
      <c r="O3456" s="1">
        <v>-10.977</v>
      </c>
      <c r="P3456">
        <v>0</v>
      </c>
      <c r="Q3456" s="1">
        <v>0.93200000000000005</v>
      </c>
      <c r="R3456" s="1">
        <v>0.35299999999999998</v>
      </c>
      <c r="S3456" s="1">
        <v>0.92500000000000004</v>
      </c>
      <c r="T3456" s="1">
        <v>0.34100000000000003</v>
      </c>
      <c r="U3456" s="1">
        <v>0.23400000000000001</v>
      </c>
      <c r="V3456" s="1">
        <v>124.90900000000001</v>
      </c>
      <c r="W3456">
        <v>4</v>
      </c>
    </row>
    <row r="3457" spans="1:23" x14ac:dyDescent="0.25">
      <c r="A3457" s="1" t="s">
        <v>20979</v>
      </c>
      <c r="B3457" s="1" t="s">
        <v>14079</v>
      </c>
      <c r="C3457" s="1" t="s">
        <v>8598</v>
      </c>
      <c r="D3457" s="1" t="s">
        <v>20977</v>
      </c>
      <c r="E3457" s="1" t="s">
        <v>2468</v>
      </c>
      <c r="F3457" s="1" t="s">
        <v>20978</v>
      </c>
      <c r="G3457">
        <v>203569</v>
      </c>
      <c r="H3457">
        <v>80</v>
      </c>
      <c r="I3457" s="1" t="s">
        <v>11063</v>
      </c>
      <c r="J3457" s="11">
        <v>44729.706458333334</v>
      </c>
      <c r="K3457" s="1" t="s">
        <v>2469</v>
      </c>
      <c r="L3457" s="1">
        <v>0.48299999999999998</v>
      </c>
      <c r="M3457" s="1">
        <v>0.41199999999999998</v>
      </c>
      <c r="N3457">
        <v>7</v>
      </c>
      <c r="O3457" s="1">
        <v>-8.4610000000000003</v>
      </c>
      <c r="P3457">
        <v>1</v>
      </c>
      <c r="Q3457" s="1">
        <v>0.40200000000000002</v>
      </c>
      <c r="R3457" s="1">
        <v>0.73699999999999999</v>
      </c>
      <c r="S3457" s="1">
        <v>0</v>
      </c>
      <c r="T3457" s="1">
        <v>0.11600000000000001</v>
      </c>
      <c r="U3457" s="1">
        <v>0.247</v>
      </c>
      <c r="V3457" s="1">
        <v>170.16300000000001</v>
      </c>
      <c r="W3457">
        <v>3</v>
      </c>
    </row>
    <row r="3458" spans="1:23" x14ac:dyDescent="0.25">
      <c r="A3458" s="1" t="s">
        <v>20980</v>
      </c>
      <c r="B3458" s="1" t="s">
        <v>14079</v>
      </c>
      <c r="C3458" s="1" t="s">
        <v>8599</v>
      </c>
      <c r="D3458" s="1" t="s">
        <v>20977</v>
      </c>
      <c r="E3458" s="1" t="s">
        <v>2468</v>
      </c>
      <c r="F3458" s="1" t="s">
        <v>20978</v>
      </c>
      <c r="G3458">
        <v>200379</v>
      </c>
      <c r="H3458">
        <v>79</v>
      </c>
      <c r="I3458" s="1" t="s">
        <v>11063</v>
      </c>
      <c r="J3458" s="11">
        <v>44729.706458333334</v>
      </c>
      <c r="K3458" s="1" t="s">
        <v>2469</v>
      </c>
      <c r="L3458" s="1">
        <v>0.51100000000000001</v>
      </c>
      <c r="M3458" s="1">
        <v>0.36299999999999999</v>
      </c>
      <c r="N3458">
        <v>4</v>
      </c>
      <c r="O3458" s="1">
        <v>-7.65</v>
      </c>
      <c r="P3458">
        <v>0</v>
      </c>
      <c r="Q3458" s="1">
        <v>0.41</v>
      </c>
      <c r="R3458" s="1">
        <v>0.81599999999999995</v>
      </c>
      <c r="S3458" s="1">
        <v>0.317</v>
      </c>
      <c r="T3458" s="1">
        <v>0.84</v>
      </c>
      <c r="U3458" s="1">
        <v>0.16900000000000001</v>
      </c>
      <c r="V3458" s="1">
        <v>144.892</v>
      </c>
      <c r="W3458">
        <v>4</v>
      </c>
    </row>
    <row r="3459" spans="1:23" x14ac:dyDescent="0.25">
      <c r="A3459" s="1" t="s">
        <v>20981</v>
      </c>
      <c r="B3459" s="1" t="s">
        <v>14079</v>
      </c>
      <c r="C3459" s="1" t="s">
        <v>8477</v>
      </c>
      <c r="D3459" s="1" t="s">
        <v>20977</v>
      </c>
      <c r="E3459" s="1" t="s">
        <v>2468</v>
      </c>
      <c r="F3459" s="1" t="s">
        <v>20978</v>
      </c>
      <c r="G3459">
        <v>179172</v>
      </c>
      <c r="H3459">
        <v>68</v>
      </c>
      <c r="I3459" s="1" t="s">
        <v>11063</v>
      </c>
      <c r="J3459" s="11">
        <v>44729.706458333334</v>
      </c>
      <c r="K3459" s="1" t="s">
        <v>2469</v>
      </c>
      <c r="L3459" s="1">
        <v>0.69499999999999995</v>
      </c>
      <c r="M3459" s="1">
        <v>0.57299999999999995</v>
      </c>
      <c r="N3459">
        <v>4</v>
      </c>
      <c r="O3459" s="1">
        <v>-8.5969999999999995</v>
      </c>
      <c r="P3459">
        <v>0</v>
      </c>
      <c r="Q3459" s="1">
        <v>0.106</v>
      </c>
      <c r="R3459" s="1">
        <v>0.46</v>
      </c>
      <c r="S3459" s="1">
        <v>0.73399999999999999</v>
      </c>
      <c r="T3459" s="1">
        <v>0.48199999999999998</v>
      </c>
      <c r="U3459" s="1">
        <v>0.40799999999999997</v>
      </c>
      <c r="V3459" s="1">
        <v>99.938999999999993</v>
      </c>
      <c r="W3459">
        <v>4</v>
      </c>
    </row>
    <row r="3460" spans="1:23" x14ac:dyDescent="0.25">
      <c r="A3460" s="1" t="s">
        <v>20982</v>
      </c>
      <c r="B3460" s="1" t="s">
        <v>20983</v>
      </c>
      <c r="C3460" s="1" t="s">
        <v>8600</v>
      </c>
      <c r="D3460" s="1" t="s">
        <v>8600</v>
      </c>
      <c r="E3460" s="1" t="s">
        <v>8601</v>
      </c>
      <c r="F3460" s="1" t="s">
        <v>20984</v>
      </c>
      <c r="G3460">
        <v>200185</v>
      </c>
      <c r="H3460">
        <v>87</v>
      </c>
      <c r="I3460" s="1" t="s">
        <v>11063</v>
      </c>
      <c r="J3460" s="11">
        <v>44729.706458333334</v>
      </c>
      <c r="K3460" s="1" t="s">
        <v>8602</v>
      </c>
      <c r="L3460" s="1">
        <v>0.35099999999999998</v>
      </c>
      <c r="M3460" s="1">
        <v>0.29599999999999999</v>
      </c>
      <c r="N3460">
        <v>4</v>
      </c>
      <c r="O3460" s="1">
        <v>-10.109</v>
      </c>
      <c r="P3460">
        <v>0</v>
      </c>
      <c r="Q3460" s="1">
        <v>0.33300000000000002</v>
      </c>
      <c r="R3460" s="1">
        <v>0.93400000000000005</v>
      </c>
      <c r="S3460" s="1">
        <v>0</v>
      </c>
      <c r="T3460" s="1">
        <v>0.95</v>
      </c>
      <c r="U3460" s="1">
        <v>0.12</v>
      </c>
      <c r="V3460" s="1">
        <v>115.28400000000001</v>
      </c>
      <c r="W3460">
        <v>4</v>
      </c>
    </row>
    <row r="3461" spans="1:23" x14ac:dyDescent="0.25">
      <c r="A3461" s="1" t="s">
        <v>20985</v>
      </c>
      <c r="B3461" s="1" t="s">
        <v>14079</v>
      </c>
      <c r="C3461" s="1" t="s">
        <v>8603</v>
      </c>
      <c r="D3461" s="1" t="s">
        <v>20974</v>
      </c>
      <c r="E3461" s="1" t="s">
        <v>2468</v>
      </c>
      <c r="F3461" s="1" t="s">
        <v>14479</v>
      </c>
      <c r="G3461">
        <v>242652</v>
      </c>
      <c r="H3461">
        <v>76</v>
      </c>
      <c r="I3461" s="1" t="s">
        <v>11063</v>
      </c>
      <c r="J3461" s="11">
        <v>44729.706458333334</v>
      </c>
      <c r="K3461" s="1" t="s">
        <v>2469</v>
      </c>
      <c r="L3461" s="1">
        <v>0.31900000000000001</v>
      </c>
      <c r="M3461" s="1">
        <v>0.56100000000000005</v>
      </c>
      <c r="N3461">
        <v>0</v>
      </c>
      <c r="O3461" s="1">
        <v>-23.023</v>
      </c>
      <c r="P3461">
        <v>1</v>
      </c>
      <c r="Q3461" s="1">
        <v>0.45</v>
      </c>
      <c r="R3461" s="1">
        <v>0.93500000000000005</v>
      </c>
      <c r="S3461" s="1">
        <v>0.38400000000000001</v>
      </c>
      <c r="T3461" s="1">
        <v>0.38800000000000001</v>
      </c>
      <c r="U3461" s="1">
        <v>0.82</v>
      </c>
      <c r="V3461" s="1">
        <v>79.763999999999996</v>
      </c>
      <c r="W3461">
        <v>3</v>
      </c>
    </row>
    <row r="3462" spans="1:23" x14ac:dyDescent="0.25">
      <c r="A3462" s="1" t="s">
        <v>20986</v>
      </c>
      <c r="B3462" s="1" t="s">
        <v>14079</v>
      </c>
      <c r="C3462" s="1" t="s">
        <v>8604</v>
      </c>
      <c r="D3462" s="1" t="s">
        <v>20974</v>
      </c>
      <c r="E3462" s="1" t="s">
        <v>2468</v>
      </c>
      <c r="F3462" s="1" t="s">
        <v>14479</v>
      </c>
      <c r="G3462">
        <v>291796</v>
      </c>
      <c r="H3462">
        <v>80</v>
      </c>
      <c r="I3462" s="1" t="s">
        <v>11063</v>
      </c>
      <c r="J3462" s="11">
        <v>44729.706458333334</v>
      </c>
      <c r="K3462" s="1" t="s">
        <v>2469</v>
      </c>
      <c r="L3462" s="1">
        <v>0.42099999999999999</v>
      </c>
      <c r="M3462" s="1">
        <v>0.13100000000000001</v>
      </c>
      <c r="N3462">
        <v>0</v>
      </c>
      <c r="O3462" s="1">
        <v>-18.434999999999999</v>
      </c>
      <c r="P3462">
        <v>1</v>
      </c>
      <c r="Q3462" s="1">
        <v>0.38200000000000001</v>
      </c>
      <c r="R3462" s="1">
        <v>0.95199999999999996</v>
      </c>
      <c r="S3462" s="1">
        <v>0.45300000000000001</v>
      </c>
      <c r="T3462" s="1">
        <v>0.109</v>
      </c>
      <c r="U3462" s="1">
        <v>0.12</v>
      </c>
      <c r="V3462" s="1">
        <v>137.446</v>
      </c>
      <c r="W3462">
        <v>4</v>
      </c>
    </row>
    <row r="3463" spans="1:23" x14ac:dyDescent="0.25">
      <c r="A3463" s="1" t="s">
        <v>20987</v>
      </c>
      <c r="B3463" s="1" t="s">
        <v>14079</v>
      </c>
      <c r="C3463" s="1" t="s">
        <v>8605</v>
      </c>
      <c r="D3463" s="1" t="s">
        <v>20974</v>
      </c>
      <c r="E3463" s="1" t="s">
        <v>2468</v>
      </c>
      <c r="F3463" s="1" t="s">
        <v>14479</v>
      </c>
      <c r="G3463">
        <v>156370</v>
      </c>
      <c r="H3463">
        <v>72</v>
      </c>
      <c r="I3463" s="1" t="s">
        <v>11063</v>
      </c>
      <c r="J3463" s="11">
        <v>44729.706458333334</v>
      </c>
      <c r="K3463" s="1" t="s">
        <v>2469</v>
      </c>
      <c r="L3463" s="1">
        <v>0.85499999999999998</v>
      </c>
      <c r="M3463" s="1">
        <v>0.42299999999999999</v>
      </c>
      <c r="N3463">
        <v>5</v>
      </c>
      <c r="O3463" s="1">
        <v>-15.044</v>
      </c>
      <c r="P3463">
        <v>0</v>
      </c>
      <c r="Q3463" s="1">
        <v>0.58499999999999996</v>
      </c>
      <c r="R3463" s="1">
        <v>0.72399999999999998</v>
      </c>
      <c r="S3463" s="1">
        <v>0.46899999999999997</v>
      </c>
      <c r="T3463" s="1">
        <v>0.89600000000000002</v>
      </c>
      <c r="U3463" s="1">
        <v>0.57199999999999995</v>
      </c>
      <c r="V3463" s="1">
        <v>120.02</v>
      </c>
      <c r="W3463">
        <v>4</v>
      </c>
    </row>
    <row r="3464" spans="1:23" x14ac:dyDescent="0.25">
      <c r="A3464" s="1" t="s">
        <v>20988</v>
      </c>
      <c r="B3464" s="1" t="s">
        <v>14079</v>
      </c>
      <c r="C3464" s="1" t="s">
        <v>8606</v>
      </c>
      <c r="D3464" s="1" t="s">
        <v>20974</v>
      </c>
      <c r="E3464" s="1" t="s">
        <v>2468</v>
      </c>
      <c r="F3464" s="1" t="s">
        <v>14479</v>
      </c>
      <c r="G3464">
        <v>196077</v>
      </c>
      <c r="H3464">
        <v>81</v>
      </c>
      <c r="I3464" s="1" t="s">
        <v>11063</v>
      </c>
      <c r="J3464" s="11">
        <v>44729.706458333334</v>
      </c>
      <c r="K3464" s="1" t="s">
        <v>2469</v>
      </c>
      <c r="L3464" s="1">
        <v>0.36699999999999999</v>
      </c>
      <c r="M3464" s="1">
        <v>0.111</v>
      </c>
      <c r="N3464">
        <v>4</v>
      </c>
      <c r="O3464" s="1">
        <v>-14.084</v>
      </c>
      <c r="P3464">
        <v>1</v>
      </c>
      <c r="Q3464" s="1">
        <v>0.97199999999999998</v>
      </c>
      <c r="R3464" s="1">
        <v>0.97799999999999998</v>
      </c>
      <c r="S3464" s="1">
        <v>0.39700000000000002</v>
      </c>
      <c r="T3464" s="1">
        <v>0.89700000000000002</v>
      </c>
      <c r="U3464" s="1">
        <v>0.19800000000000001</v>
      </c>
      <c r="V3464" s="1">
        <v>82.641999999999996</v>
      </c>
      <c r="W3464">
        <v>4</v>
      </c>
    </row>
    <row r="3465" spans="1:23" x14ac:dyDescent="0.25">
      <c r="A3465" s="1" t="s">
        <v>20989</v>
      </c>
      <c r="B3465" s="1" t="s">
        <v>14079</v>
      </c>
      <c r="C3465" s="1" t="s">
        <v>8607</v>
      </c>
      <c r="D3465" s="1" t="s">
        <v>20974</v>
      </c>
      <c r="E3465" s="1" t="s">
        <v>2468</v>
      </c>
      <c r="F3465" s="1" t="s">
        <v>14479</v>
      </c>
      <c r="G3465">
        <v>193143</v>
      </c>
      <c r="H3465">
        <v>75</v>
      </c>
      <c r="I3465" s="1" t="s">
        <v>11063</v>
      </c>
      <c r="J3465" s="11">
        <v>44729.706458333334</v>
      </c>
      <c r="K3465" s="1" t="s">
        <v>2469</v>
      </c>
      <c r="L3465" s="1">
        <v>0.90500000000000003</v>
      </c>
      <c r="M3465" s="1">
        <v>0.38900000000000001</v>
      </c>
      <c r="N3465">
        <v>8</v>
      </c>
      <c r="O3465" s="1">
        <v>-14.505000000000001</v>
      </c>
      <c r="P3465">
        <v>1</v>
      </c>
      <c r="Q3465" s="1">
        <v>0.33200000000000002</v>
      </c>
      <c r="R3465" s="1">
        <v>0.74</v>
      </c>
      <c r="S3465" s="1">
        <v>0.16200000000000001</v>
      </c>
      <c r="T3465" s="1">
        <v>0.106</v>
      </c>
      <c r="U3465" s="1">
        <v>0.19600000000000001</v>
      </c>
      <c r="V3465" s="1">
        <v>120.04600000000001</v>
      </c>
      <c r="W3465">
        <v>4</v>
      </c>
    </row>
    <row r="3466" spans="1:23" x14ac:dyDescent="0.25">
      <c r="A3466" s="1" t="s">
        <v>20990</v>
      </c>
      <c r="B3466" s="1" t="s">
        <v>14079</v>
      </c>
      <c r="C3466" s="1" t="s">
        <v>8608</v>
      </c>
      <c r="D3466" s="1" t="s">
        <v>20974</v>
      </c>
      <c r="E3466" s="1" t="s">
        <v>2468</v>
      </c>
      <c r="F3466" s="1" t="s">
        <v>14479</v>
      </c>
      <c r="G3466">
        <v>221543</v>
      </c>
      <c r="H3466">
        <v>75</v>
      </c>
      <c r="I3466" s="1" t="s">
        <v>11063</v>
      </c>
      <c r="J3466" s="11">
        <v>44729.706458333334</v>
      </c>
      <c r="K3466" s="1" t="s">
        <v>2469</v>
      </c>
      <c r="L3466" s="1">
        <v>0.85299999999999998</v>
      </c>
      <c r="M3466" s="1">
        <v>0.35099999999999998</v>
      </c>
      <c r="N3466">
        <v>7</v>
      </c>
      <c r="O3466" s="1">
        <v>-10.198</v>
      </c>
      <c r="P3466">
        <v>1</v>
      </c>
      <c r="Q3466" s="1">
        <v>0.24099999999999999</v>
      </c>
      <c r="R3466" s="1">
        <v>0.39</v>
      </c>
      <c r="S3466" s="1">
        <v>0.93799999999999994</v>
      </c>
      <c r="T3466" s="1">
        <v>0.752</v>
      </c>
      <c r="U3466" s="1">
        <v>0.28199999999999997</v>
      </c>
      <c r="V3466" s="1">
        <v>118.02800000000001</v>
      </c>
      <c r="W3466">
        <v>4</v>
      </c>
    </row>
    <row r="3467" spans="1:23" x14ac:dyDescent="0.25">
      <c r="A3467" s="1" t="s">
        <v>20991</v>
      </c>
      <c r="B3467" s="1" t="s">
        <v>14079</v>
      </c>
      <c r="C3467" s="1" t="s">
        <v>8609</v>
      </c>
      <c r="D3467" s="1" t="s">
        <v>20974</v>
      </c>
      <c r="E3467" s="1" t="s">
        <v>2468</v>
      </c>
      <c r="F3467" s="1" t="s">
        <v>14479</v>
      </c>
      <c r="G3467">
        <v>168839</v>
      </c>
      <c r="H3467">
        <v>75</v>
      </c>
      <c r="I3467" s="1" t="s">
        <v>11063</v>
      </c>
      <c r="J3467" s="11">
        <v>44729.706458333334</v>
      </c>
      <c r="K3467" s="1" t="s">
        <v>2469</v>
      </c>
      <c r="L3467" s="1">
        <v>0.72599999999999998</v>
      </c>
      <c r="M3467" s="1">
        <v>0.44400000000000001</v>
      </c>
      <c r="N3467">
        <v>8</v>
      </c>
      <c r="O3467" s="1">
        <v>-8.9220000000000006</v>
      </c>
      <c r="P3467">
        <v>0</v>
      </c>
      <c r="Q3467" s="1">
        <v>0.372</v>
      </c>
      <c r="R3467" s="1">
        <v>0.28299999999999997</v>
      </c>
      <c r="S3467" s="1">
        <v>0.14299999999999999</v>
      </c>
      <c r="T3467" s="1">
        <v>0.17699999999999999</v>
      </c>
      <c r="U3467" s="1">
        <v>0.56899999999999995</v>
      </c>
      <c r="V3467" s="1">
        <v>185.04400000000001</v>
      </c>
      <c r="W3467">
        <v>4</v>
      </c>
    </row>
    <row r="3468" spans="1:23" x14ac:dyDescent="0.25">
      <c r="A3468" s="1" t="s">
        <v>20992</v>
      </c>
      <c r="B3468" s="1" t="s">
        <v>14079</v>
      </c>
      <c r="C3468" s="1" t="s">
        <v>8610</v>
      </c>
      <c r="D3468" s="1" t="s">
        <v>20974</v>
      </c>
      <c r="E3468" s="1" t="s">
        <v>2468</v>
      </c>
      <c r="F3468" s="1" t="s">
        <v>14479</v>
      </c>
      <c r="G3468">
        <v>194087</v>
      </c>
      <c r="H3468">
        <v>84</v>
      </c>
      <c r="I3468" s="1" t="s">
        <v>11063</v>
      </c>
      <c r="J3468" s="11">
        <v>44729.706458333334</v>
      </c>
      <c r="K3468" s="1" t="s">
        <v>2469</v>
      </c>
      <c r="L3468" s="1">
        <v>0.70099999999999996</v>
      </c>
      <c r="M3468" s="1">
        <v>0.42499999999999999</v>
      </c>
      <c r="N3468">
        <v>7</v>
      </c>
      <c r="O3468" s="1">
        <v>-10.965</v>
      </c>
      <c r="P3468">
        <v>1</v>
      </c>
      <c r="Q3468" s="1">
        <v>0.375</v>
      </c>
      <c r="R3468" s="1">
        <v>0.32800000000000001</v>
      </c>
      <c r="S3468" s="1">
        <v>0.13</v>
      </c>
      <c r="T3468" s="1">
        <v>0.1</v>
      </c>
      <c r="U3468" s="1">
        <v>0.56200000000000006</v>
      </c>
      <c r="V3468" s="1">
        <v>135.12799999999999</v>
      </c>
      <c r="W3468">
        <v>4</v>
      </c>
    </row>
    <row r="3469" spans="1:23" x14ac:dyDescent="0.25">
      <c r="A3469" s="1" t="s">
        <v>20993</v>
      </c>
      <c r="B3469" s="1" t="s">
        <v>14079</v>
      </c>
      <c r="C3469" s="1" t="s">
        <v>8611</v>
      </c>
      <c r="D3469" s="1" t="s">
        <v>20974</v>
      </c>
      <c r="E3469" s="1" t="s">
        <v>2468</v>
      </c>
      <c r="F3469" s="1" t="s">
        <v>14479</v>
      </c>
      <c r="G3469">
        <v>243725</v>
      </c>
      <c r="H3469">
        <v>72</v>
      </c>
      <c r="I3469" s="1" t="s">
        <v>11063</v>
      </c>
      <c r="J3469" s="11">
        <v>44729.706458333334</v>
      </c>
      <c r="K3469" s="1" t="s">
        <v>2469</v>
      </c>
      <c r="L3469" s="1">
        <v>0.52100000000000002</v>
      </c>
      <c r="M3469" s="1">
        <v>0.125</v>
      </c>
      <c r="N3469">
        <v>9</v>
      </c>
      <c r="O3469" s="1">
        <v>-17.832000000000001</v>
      </c>
      <c r="P3469">
        <v>1</v>
      </c>
      <c r="Q3469" s="1">
        <v>0.23899999999999999</v>
      </c>
      <c r="R3469" s="1">
        <v>0.751</v>
      </c>
      <c r="S3469" s="1">
        <v>0.20699999999999999</v>
      </c>
      <c r="T3469" s="1">
        <v>0.26500000000000001</v>
      </c>
      <c r="U3469" s="1">
        <v>0.52800000000000002</v>
      </c>
      <c r="V3469" s="1">
        <v>111.554</v>
      </c>
      <c r="W3469">
        <v>4</v>
      </c>
    </row>
    <row r="3470" spans="1:23" x14ac:dyDescent="0.25">
      <c r="A3470" s="1" t="s">
        <v>20994</v>
      </c>
      <c r="B3470" s="1" t="s">
        <v>14079</v>
      </c>
      <c r="C3470" s="1" t="s">
        <v>8612</v>
      </c>
      <c r="D3470" s="1" t="s">
        <v>20974</v>
      </c>
      <c r="E3470" s="1" t="s">
        <v>2468</v>
      </c>
      <c r="F3470" s="1" t="s">
        <v>14479</v>
      </c>
      <c r="G3470">
        <v>180952</v>
      </c>
      <c r="H3470">
        <v>76</v>
      </c>
      <c r="I3470" s="1" t="s">
        <v>11063</v>
      </c>
      <c r="J3470" s="11">
        <v>44729.706458333334</v>
      </c>
      <c r="K3470" s="1" t="s">
        <v>2469</v>
      </c>
      <c r="L3470" s="1">
        <v>0.67800000000000005</v>
      </c>
      <c r="M3470" s="1">
        <v>0.53300000000000003</v>
      </c>
      <c r="N3470">
        <v>4</v>
      </c>
      <c r="O3470" s="1">
        <v>-10.484999999999999</v>
      </c>
      <c r="P3470">
        <v>1</v>
      </c>
      <c r="Q3470" s="1">
        <v>0.186</v>
      </c>
      <c r="R3470" s="1">
        <v>0.46200000000000002</v>
      </c>
      <c r="S3470" s="1">
        <v>0.219</v>
      </c>
      <c r="T3470" s="1">
        <v>0.13900000000000001</v>
      </c>
      <c r="U3470" s="1">
        <v>0.32300000000000001</v>
      </c>
      <c r="V3470" s="1">
        <v>150.45500000000001</v>
      </c>
      <c r="W3470">
        <v>4</v>
      </c>
    </row>
    <row r="3471" spans="1:23" x14ac:dyDescent="0.25">
      <c r="A3471" s="1" t="s">
        <v>20995</v>
      </c>
      <c r="B3471" s="1" t="s">
        <v>13501</v>
      </c>
      <c r="C3471" s="1" t="s">
        <v>8081</v>
      </c>
      <c r="D3471" s="1" t="s">
        <v>20996</v>
      </c>
      <c r="E3471" s="1" t="s">
        <v>1969</v>
      </c>
      <c r="F3471" s="1" t="s">
        <v>13922</v>
      </c>
      <c r="G3471">
        <v>214147</v>
      </c>
      <c r="H3471">
        <v>75</v>
      </c>
      <c r="I3471" s="1" t="s">
        <v>11063</v>
      </c>
      <c r="J3471" s="11">
        <v>44729.706458333334</v>
      </c>
      <c r="K3471" s="1" t="s">
        <v>1970</v>
      </c>
      <c r="L3471" s="1">
        <v>0.67900000000000005</v>
      </c>
      <c r="M3471" s="1">
        <v>0.71499999999999997</v>
      </c>
      <c r="N3471">
        <v>9</v>
      </c>
      <c r="O3471" s="1">
        <v>-6.383</v>
      </c>
      <c r="P3471">
        <v>1</v>
      </c>
      <c r="Q3471" s="1">
        <v>0.40699999999999997</v>
      </c>
      <c r="R3471" s="1">
        <v>0.755</v>
      </c>
      <c r="S3471" s="1">
        <v>0</v>
      </c>
      <c r="T3471" s="1">
        <v>0.27100000000000002</v>
      </c>
      <c r="U3471" s="1">
        <v>0.57099999999999995</v>
      </c>
      <c r="V3471" s="1">
        <v>127.435</v>
      </c>
      <c r="W3471">
        <v>4</v>
      </c>
    </row>
    <row r="3472" spans="1:23" x14ac:dyDescent="0.25">
      <c r="A3472" s="1" t="s">
        <v>20997</v>
      </c>
      <c r="B3472" s="1" t="s">
        <v>13501</v>
      </c>
      <c r="C3472" s="1" t="s">
        <v>8499</v>
      </c>
      <c r="D3472" s="1" t="s">
        <v>20996</v>
      </c>
      <c r="E3472" s="1" t="s">
        <v>1969</v>
      </c>
      <c r="F3472" s="1" t="s">
        <v>13922</v>
      </c>
      <c r="G3472">
        <v>196346</v>
      </c>
      <c r="H3472">
        <v>56</v>
      </c>
      <c r="I3472" s="1" t="s">
        <v>11063</v>
      </c>
      <c r="J3472" s="11">
        <v>44729.706458333334</v>
      </c>
      <c r="K3472" s="1" t="s">
        <v>1970</v>
      </c>
      <c r="L3472" s="1">
        <v>0.42199999999999999</v>
      </c>
      <c r="M3472" s="1">
        <v>0.32100000000000001</v>
      </c>
      <c r="N3472">
        <v>5</v>
      </c>
      <c r="O3472" s="1">
        <v>-8.952</v>
      </c>
      <c r="P3472">
        <v>1</v>
      </c>
      <c r="Q3472" s="1">
        <v>0.29399999999999998</v>
      </c>
      <c r="R3472" s="1">
        <v>0.76</v>
      </c>
      <c r="S3472" s="1">
        <v>0.23300000000000001</v>
      </c>
      <c r="T3472" s="1">
        <v>0.42899999999999999</v>
      </c>
      <c r="U3472" s="1">
        <v>0.28000000000000003</v>
      </c>
      <c r="V3472" s="1">
        <v>78.533000000000001</v>
      </c>
      <c r="W3472">
        <v>4</v>
      </c>
    </row>
    <row r="3473" spans="1:23" x14ac:dyDescent="0.25">
      <c r="A3473" s="1" t="s">
        <v>20998</v>
      </c>
      <c r="B3473" s="1" t="s">
        <v>13501</v>
      </c>
      <c r="C3473" s="1" t="s">
        <v>8613</v>
      </c>
      <c r="D3473" s="1" t="s">
        <v>20996</v>
      </c>
      <c r="E3473" s="1" t="s">
        <v>1969</v>
      </c>
      <c r="F3473" s="1" t="s">
        <v>13922</v>
      </c>
      <c r="G3473">
        <v>214205</v>
      </c>
      <c r="H3473">
        <v>62</v>
      </c>
      <c r="I3473" s="1" t="s">
        <v>11063</v>
      </c>
      <c r="J3473" s="11">
        <v>44729.706458333334</v>
      </c>
      <c r="K3473" s="1" t="s">
        <v>1970</v>
      </c>
      <c r="L3473" s="1">
        <v>0.67</v>
      </c>
      <c r="M3473" s="1">
        <v>0.82899999999999996</v>
      </c>
      <c r="N3473">
        <v>5</v>
      </c>
      <c r="O3473" s="1">
        <v>-7.2</v>
      </c>
      <c r="P3473">
        <v>0</v>
      </c>
      <c r="Q3473" s="1">
        <v>0.42699999999999999</v>
      </c>
      <c r="R3473" s="1">
        <v>0.192</v>
      </c>
      <c r="S3473" s="1">
        <v>0.22500000000000001</v>
      </c>
      <c r="T3473" s="1">
        <v>0.89</v>
      </c>
      <c r="U3473" s="1">
        <v>0.34899999999999998</v>
      </c>
      <c r="V3473" s="1">
        <v>125.01</v>
      </c>
      <c r="W3473">
        <v>4</v>
      </c>
    </row>
    <row r="3474" spans="1:23" x14ac:dyDescent="0.25">
      <c r="A3474" s="1" t="s">
        <v>20999</v>
      </c>
      <c r="B3474" s="1" t="s">
        <v>13501</v>
      </c>
      <c r="C3474" s="1" t="s">
        <v>8614</v>
      </c>
      <c r="D3474" s="1" t="s">
        <v>21000</v>
      </c>
      <c r="E3474" s="1" t="s">
        <v>1969</v>
      </c>
      <c r="F3474" s="1" t="s">
        <v>19706</v>
      </c>
      <c r="G3474">
        <v>195700</v>
      </c>
      <c r="H3474">
        <v>55</v>
      </c>
      <c r="I3474" s="1" t="s">
        <v>11063</v>
      </c>
      <c r="J3474" s="11">
        <v>44729.706458333334</v>
      </c>
      <c r="K3474" s="1" t="s">
        <v>1970</v>
      </c>
      <c r="L3474" s="1">
        <v>0.505</v>
      </c>
      <c r="M3474" s="1">
        <v>0.68</v>
      </c>
      <c r="N3474">
        <v>6</v>
      </c>
      <c r="O3474" s="1">
        <v>-3.423</v>
      </c>
      <c r="P3474">
        <v>0</v>
      </c>
      <c r="Q3474" s="1">
        <v>0.33600000000000002</v>
      </c>
      <c r="R3474" s="1">
        <v>0.28299999999999997</v>
      </c>
      <c r="S3474" s="1">
        <v>0</v>
      </c>
      <c r="T3474" s="1">
        <v>0.17499999999999999</v>
      </c>
      <c r="U3474" s="1">
        <v>0.36199999999999999</v>
      </c>
      <c r="V3474" s="1">
        <v>139.84299999999999</v>
      </c>
      <c r="W3474">
        <v>4</v>
      </c>
    </row>
    <row r="3475" spans="1:23" x14ac:dyDescent="0.25">
      <c r="A3475" s="1" t="s">
        <v>21001</v>
      </c>
      <c r="B3475" s="1" t="s">
        <v>21002</v>
      </c>
      <c r="C3475" s="1" t="s">
        <v>8615</v>
      </c>
      <c r="D3475" s="1" t="s">
        <v>8615</v>
      </c>
      <c r="E3475" s="1" t="s">
        <v>8616</v>
      </c>
      <c r="F3475" s="1" t="s">
        <v>21003</v>
      </c>
      <c r="G3475">
        <v>198074</v>
      </c>
      <c r="H3475">
        <v>56</v>
      </c>
      <c r="I3475" s="1" t="s">
        <v>11063</v>
      </c>
      <c r="J3475" s="11">
        <v>44729.706458333334</v>
      </c>
      <c r="K3475" s="1" t="s">
        <v>8617</v>
      </c>
      <c r="L3475" s="1">
        <v>0.59799999999999998</v>
      </c>
      <c r="M3475" s="1">
        <v>0.90400000000000003</v>
      </c>
      <c r="N3475">
        <v>4</v>
      </c>
      <c r="O3475" s="1">
        <v>-2.2930000000000001</v>
      </c>
      <c r="P3475">
        <v>1</v>
      </c>
      <c r="Q3475" s="1">
        <v>0.50700000000000001</v>
      </c>
      <c r="R3475" s="1">
        <v>0.33100000000000002</v>
      </c>
      <c r="S3475" s="1">
        <v>0</v>
      </c>
      <c r="T3475" s="1">
        <v>0.26400000000000001</v>
      </c>
      <c r="U3475" s="1">
        <v>0.503</v>
      </c>
      <c r="V3475" s="1">
        <v>138.09100000000001</v>
      </c>
      <c r="W3475">
        <v>4</v>
      </c>
    </row>
    <row r="3476" spans="1:23" x14ac:dyDescent="0.25">
      <c r="A3476" s="1" t="s">
        <v>21004</v>
      </c>
      <c r="B3476" s="1" t="s">
        <v>21005</v>
      </c>
      <c r="C3476" s="1" t="s">
        <v>8618</v>
      </c>
      <c r="D3476" s="1" t="s">
        <v>8618</v>
      </c>
      <c r="E3476" s="1" t="s">
        <v>8619</v>
      </c>
      <c r="F3476" s="1" t="s">
        <v>15965</v>
      </c>
      <c r="G3476">
        <v>214289</v>
      </c>
      <c r="H3476">
        <v>83</v>
      </c>
      <c r="I3476" s="1" t="s">
        <v>11063</v>
      </c>
      <c r="J3476" s="11">
        <v>44729.706458333334</v>
      </c>
      <c r="K3476" s="1" t="s">
        <v>8620</v>
      </c>
      <c r="L3476" s="1">
        <v>0.68700000000000006</v>
      </c>
      <c r="M3476" s="1">
        <v>0.79200000000000004</v>
      </c>
      <c r="N3476">
        <v>5</v>
      </c>
      <c r="O3476" s="1">
        <v>-2.7490000000000001</v>
      </c>
      <c r="P3476">
        <v>1</v>
      </c>
      <c r="Q3476" s="1">
        <v>0.45200000000000001</v>
      </c>
      <c r="R3476" s="1">
        <v>0.191</v>
      </c>
      <c r="S3476" s="1">
        <v>0</v>
      </c>
      <c r="T3476" s="1">
        <v>0.16700000000000001</v>
      </c>
      <c r="U3476" s="1">
        <v>0.67100000000000004</v>
      </c>
      <c r="V3476" s="1">
        <v>100.015</v>
      </c>
      <c r="W3476">
        <v>4</v>
      </c>
    </row>
    <row r="3477" spans="1:23" x14ac:dyDescent="0.25">
      <c r="A3477" s="1" t="s">
        <v>21006</v>
      </c>
      <c r="B3477" s="1" t="s">
        <v>14248</v>
      </c>
      <c r="C3477" s="1" t="s">
        <v>488</v>
      </c>
      <c r="D3477" s="1" t="s">
        <v>21007</v>
      </c>
      <c r="E3477" s="1" t="s">
        <v>2602</v>
      </c>
      <c r="F3477" s="1" t="s">
        <v>13604</v>
      </c>
      <c r="G3477">
        <v>227813</v>
      </c>
      <c r="H3477">
        <v>47</v>
      </c>
      <c r="I3477" s="1" t="s">
        <v>11063</v>
      </c>
      <c r="J3477" s="11">
        <v>44729.706458333334</v>
      </c>
      <c r="K3477" s="1" t="s">
        <v>2603</v>
      </c>
      <c r="L3477" s="1">
        <v>0.47499999999999998</v>
      </c>
      <c r="M3477" s="1">
        <v>0.67300000000000004</v>
      </c>
      <c r="N3477">
        <v>10</v>
      </c>
      <c r="O3477" s="1">
        <v>-4.9720000000000004</v>
      </c>
      <c r="P3477">
        <v>0</v>
      </c>
      <c r="Q3477" s="1">
        <v>0.35099999999999998</v>
      </c>
      <c r="R3477" s="1">
        <v>0.36299999999999999</v>
      </c>
      <c r="S3477" s="1">
        <v>0</v>
      </c>
      <c r="T3477" s="1">
        <v>0.64800000000000002</v>
      </c>
      <c r="U3477" s="1">
        <v>0.27300000000000002</v>
      </c>
      <c r="V3477" s="1">
        <v>81.001000000000005</v>
      </c>
      <c r="W3477">
        <v>4</v>
      </c>
    </row>
    <row r="3478" spans="1:23" x14ac:dyDescent="0.25">
      <c r="A3478" s="1" t="s">
        <v>21008</v>
      </c>
      <c r="B3478" s="1" t="s">
        <v>21009</v>
      </c>
      <c r="C3478" s="1" t="s">
        <v>8621</v>
      </c>
      <c r="D3478" s="1" t="s">
        <v>21007</v>
      </c>
      <c r="E3478" s="1" t="s">
        <v>8622</v>
      </c>
      <c r="F3478" s="1" t="s">
        <v>13604</v>
      </c>
      <c r="G3478">
        <v>223182</v>
      </c>
      <c r="H3478">
        <v>43</v>
      </c>
      <c r="I3478" s="1" t="s">
        <v>11063</v>
      </c>
      <c r="J3478" s="11">
        <v>44729.706458333334</v>
      </c>
      <c r="K3478" s="1" t="s">
        <v>8623</v>
      </c>
      <c r="L3478" s="1">
        <v>0.626</v>
      </c>
      <c r="M3478" s="1">
        <v>0.70299999999999996</v>
      </c>
      <c r="N3478">
        <v>1</v>
      </c>
      <c r="O3478" s="1">
        <v>-5.101</v>
      </c>
      <c r="P3478">
        <v>1</v>
      </c>
      <c r="Q3478" s="1">
        <v>0.33100000000000002</v>
      </c>
      <c r="R3478" s="1">
        <v>0.25900000000000001</v>
      </c>
      <c r="S3478" s="1">
        <v>0</v>
      </c>
      <c r="T3478" s="1">
        <v>0.34799999999999998</v>
      </c>
      <c r="U3478" s="1">
        <v>0.60099999999999998</v>
      </c>
      <c r="V3478" s="1">
        <v>77.504999999999995</v>
      </c>
      <c r="W3478">
        <v>4</v>
      </c>
    </row>
    <row r="3479" spans="1:23" x14ac:dyDescent="0.25">
      <c r="A3479" s="1" t="s">
        <v>21010</v>
      </c>
      <c r="B3479" s="1" t="s">
        <v>14248</v>
      </c>
      <c r="C3479" s="1" t="s">
        <v>8624</v>
      </c>
      <c r="D3479" s="1" t="s">
        <v>21007</v>
      </c>
      <c r="E3479" s="1" t="s">
        <v>2602</v>
      </c>
      <c r="F3479" s="1" t="s">
        <v>13604</v>
      </c>
      <c r="G3479">
        <v>202880</v>
      </c>
      <c r="H3479">
        <v>42</v>
      </c>
      <c r="I3479" s="1" t="s">
        <v>11063</v>
      </c>
      <c r="J3479" s="11">
        <v>44729.706458333334</v>
      </c>
      <c r="K3479" s="1" t="s">
        <v>2603</v>
      </c>
      <c r="L3479" s="1">
        <v>0.59499999999999997</v>
      </c>
      <c r="M3479" s="1">
        <v>0.67300000000000004</v>
      </c>
      <c r="N3479">
        <v>4</v>
      </c>
      <c r="O3479" s="1">
        <v>-5.2220000000000004</v>
      </c>
      <c r="P3479">
        <v>1</v>
      </c>
      <c r="Q3479" s="1">
        <v>0.29499999999999998</v>
      </c>
      <c r="R3479" s="1">
        <v>0.13</v>
      </c>
      <c r="S3479" s="1">
        <v>0</v>
      </c>
      <c r="T3479" s="1">
        <v>0.29199999999999998</v>
      </c>
      <c r="U3479" s="1">
        <v>0.315</v>
      </c>
      <c r="V3479" s="1">
        <v>90.009</v>
      </c>
      <c r="W3479">
        <v>4</v>
      </c>
    </row>
    <row r="3480" spans="1:23" x14ac:dyDescent="0.25">
      <c r="A3480" s="1" t="s">
        <v>21011</v>
      </c>
      <c r="B3480" s="1" t="s">
        <v>14248</v>
      </c>
      <c r="C3480" s="1" t="s">
        <v>8625</v>
      </c>
      <c r="D3480" s="1" t="s">
        <v>21007</v>
      </c>
      <c r="E3480" s="1" t="s">
        <v>2602</v>
      </c>
      <c r="F3480" s="1" t="s">
        <v>13604</v>
      </c>
      <c r="G3480">
        <v>215330</v>
      </c>
      <c r="H3480">
        <v>40</v>
      </c>
      <c r="I3480" s="1" t="s">
        <v>11063</v>
      </c>
      <c r="J3480" s="11">
        <v>44729.706458333334</v>
      </c>
      <c r="K3480" s="1" t="s">
        <v>2603</v>
      </c>
      <c r="L3480" s="1">
        <v>0.71399999999999997</v>
      </c>
      <c r="M3480" s="1">
        <v>0.85599999999999998</v>
      </c>
      <c r="N3480">
        <v>8</v>
      </c>
      <c r="O3480" s="1">
        <v>-4.9980000000000002</v>
      </c>
      <c r="P3480">
        <v>1</v>
      </c>
      <c r="Q3480" s="1">
        <v>0.60799999999999998</v>
      </c>
      <c r="R3480" s="1">
        <v>0.57099999999999995</v>
      </c>
      <c r="S3480" s="1">
        <v>0.11799999999999999</v>
      </c>
      <c r="T3480" s="1">
        <v>0.16400000000000001</v>
      </c>
      <c r="U3480" s="1">
        <v>0.74199999999999999</v>
      </c>
      <c r="V3480" s="1">
        <v>81.010999999999996</v>
      </c>
      <c r="W3480">
        <v>4</v>
      </c>
    </row>
    <row r="3481" spans="1:23" x14ac:dyDescent="0.25">
      <c r="A3481" s="1" t="s">
        <v>21012</v>
      </c>
      <c r="B3481" s="1" t="s">
        <v>14248</v>
      </c>
      <c r="C3481" s="1" t="s">
        <v>8626</v>
      </c>
      <c r="D3481" s="1" t="s">
        <v>21007</v>
      </c>
      <c r="E3481" s="1" t="s">
        <v>2602</v>
      </c>
      <c r="F3481" s="1" t="s">
        <v>13604</v>
      </c>
      <c r="G3481">
        <v>217010</v>
      </c>
      <c r="H3481">
        <v>55</v>
      </c>
      <c r="I3481" s="1" t="s">
        <v>11063</v>
      </c>
      <c r="J3481" s="11">
        <v>44729.706458333334</v>
      </c>
      <c r="K3481" s="1" t="s">
        <v>2603</v>
      </c>
      <c r="L3481" s="1">
        <v>0.53300000000000003</v>
      </c>
      <c r="M3481" s="1">
        <v>0.82399999999999995</v>
      </c>
      <c r="N3481">
        <v>5</v>
      </c>
      <c r="O3481" s="1">
        <v>-4.2</v>
      </c>
      <c r="P3481">
        <v>1</v>
      </c>
      <c r="Q3481" s="1">
        <v>0.10100000000000001</v>
      </c>
      <c r="R3481" s="1">
        <v>0.23200000000000001</v>
      </c>
      <c r="S3481" s="1">
        <v>0.51900000000000002</v>
      </c>
      <c r="T3481" s="1">
        <v>0.26900000000000002</v>
      </c>
      <c r="U3481" s="1">
        <v>0.38900000000000001</v>
      </c>
      <c r="V3481" s="1">
        <v>155.07</v>
      </c>
      <c r="W3481">
        <v>4</v>
      </c>
    </row>
    <row r="3482" spans="1:23" x14ac:dyDescent="0.25">
      <c r="A3482" s="1" t="s">
        <v>21013</v>
      </c>
      <c r="B3482" s="1" t="s">
        <v>21014</v>
      </c>
      <c r="C3482" s="1" t="s">
        <v>3445</v>
      </c>
      <c r="D3482" s="1" t="s">
        <v>4882</v>
      </c>
      <c r="E3482" s="1" t="s">
        <v>8627</v>
      </c>
      <c r="F3482" s="1" t="s">
        <v>14767</v>
      </c>
      <c r="G3482">
        <v>254693</v>
      </c>
      <c r="H3482">
        <v>36</v>
      </c>
      <c r="I3482" s="1" t="s">
        <v>11063</v>
      </c>
      <c r="J3482" s="11">
        <v>44729.706458333334</v>
      </c>
      <c r="K3482" s="1" t="s">
        <v>8628</v>
      </c>
      <c r="L3482" s="1">
        <v>0.69</v>
      </c>
      <c r="M3482" s="1">
        <v>0.86599999999999999</v>
      </c>
      <c r="N3482">
        <v>1</v>
      </c>
      <c r="O3482" s="1">
        <v>-5.6710000000000003</v>
      </c>
      <c r="P3482">
        <v>0</v>
      </c>
      <c r="Q3482" s="1">
        <v>0.442</v>
      </c>
      <c r="R3482" s="1">
        <v>0.48599999999999999</v>
      </c>
      <c r="S3482" s="1">
        <v>0.46300000000000002</v>
      </c>
      <c r="T3482" s="1">
        <v>0.11899999999999999</v>
      </c>
      <c r="U3482" s="1">
        <v>0.221</v>
      </c>
      <c r="V3482" s="1">
        <v>97.971999999999994</v>
      </c>
      <c r="W3482">
        <v>4</v>
      </c>
    </row>
    <row r="3483" spans="1:23" x14ac:dyDescent="0.25">
      <c r="A3483" s="1" t="s">
        <v>21015</v>
      </c>
      <c r="B3483" s="1" t="s">
        <v>21016</v>
      </c>
      <c r="C3483" s="1" t="s">
        <v>8629</v>
      </c>
      <c r="D3483" s="1" t="s">
        <v>8629</v>
      </c>
      <c r="E3483" s="1" t="s">
        <v>8630</v>
      </c>
      <c r="F3483" s="1" t="s">
        <v>11391</v>
      </c>
      <c r="G3483">
        <v>161538</v>
      </c>
      <c r="H3483">
        <v>29</v>
      </c>
      <c r="I3483" s="1" t="s">
        <v>11063</v>
      </c>
      <c r="J3483" s="11">
        <v>44729.706458333334</v>
      </c>
      <c r="K3483" s="1" t="s">
        <v>8631</v>
      </c>
      <c r="L3483" s="1">
        <v>0.74</v>
      </c>
      <c r="M3483" s="1">
        <v>0.53300000000000003</v>
      </c>
      <c r="N3483">
        <v>9</v>
      </c>
      <c r="O3483" s="1">
        <v>-6.1550000000000002</v>
      </c>
      <c r="P3483">
        <v>0</v>
      </c>
      <c r="Q3483" s="1">
        <v>0.94099999999999995</v>
      </c>
      <c r="R3483" s="1">
        <v>0.16400000000000001</v>
      </c>
      <c r="S3483" s="1">
        <v>0</v>
      </c>
      <c r="T3483" s="1">
        <v>0.437</v>
      </c>
      <c r="U3483" s="1">
        <v>0.56699999999999995</v>
      </c>
      <c r="V3483" s="1">
        <v>104.065</v>
      </c>
      <c r="W3483">
        <v>4</v>
      </c>
    </row>
    <row r="3484" spans="1:23" x14ac:dyDescent="0.25">
      <c r="A3484" s="1" t="s">
        <v>21017</v>
      </c>
      <c r="B3484" s="1" t="s">
        <v>21018</v>
      </c>
      <c r="C3484" s="1" t="s">
        <v>8632</v>
      </c>
      <c r="D3484" s="1" t="s">
        <v>21019</v>
      </c>
      <c r="E3484" s="1" t="s">
        <v>8633</v>
      </c>
      <c r="F3484" s="1" t="s">
        <v>13604</v>
      </c>
      <c r="G3484">
        <v>198423</v>
      </c>
      <c r="H3484">
        <v>38</v>
      </c>
      <c r="I3484" s="1" t="s">
        <v>11063</v>
      </c>
      <c r="J3484" s="11">
        <v>44729.706458333334</v>
      </c>
      <c r="K3484" s="1" t="s">
        <v>8634</v>
      </c>
      <c r="L3484" s="1">
        <v>0.628</v>
      </c>
      <c r="M3484" s="1">
        <v>0.70199999999999996</v>
      </c>
      <c r="N3484">
        <v>7</v>
      </c>
      <c r="O3484" s="1">
        <v>-5.18</v>
      </c>
      <c r="P3484">
        <v>1</v>
      </c>
      <c r="Q3484" s="1">
        <v>0.438</v>
      </c>
      <c r="R3484" s="1">
        <v>0.16600000000000001</v>
      </c>
      <c r="S3484" s="1">
        <v>0.57699999999999996</v>
      </c>
      <c r="T3484" s="1">
        <v>0.37</v>
      </c>
      <c r="U3484" s="1">
        <v>0.27600000000000002</v>
      </c>
      <c r="V3484" s="1">
        <v>91.991</v>
      </c>
      <c r="W3484">
        <v>4</v>
      </c>
    </row>
    <row r="3485" spans="1:23" x14ac:dyDescent="0.25">
      <c r="A3485" s="1" t="s">
        <v>21020</v>
      </c>
      <c r="B3485" s="1" t="s">
        <v>21021</v>
      </c>
      <c r="C3485" s="1" t="s">
        <v>8635</v>
      </c>
      <c r="D3485" s="1" t="s">
        <v>21022</v>
      </c>
      <c r="E3485" s="1" t="s">
        <v>8636</v>
      </c>
      <c r="F3485" s="1" t="s">
        <v>14847</v>
      </c>
      <c r="G3485">
        <v>182625</v>
      </c>
      <c r="H3485">
        <v>0</v>
      </c>
      <c r="I3485" s="1" t="s">
        <v>11063</v>
      </c>
      <c r="J3485" s="11">
        <v>44729.706458333334</v>
      </c>
      <c r="K3485" s="1" t="s">
        <v>8637</v>
      </c>
      <c r="L3485" s="1">
        <v>0.54100000000000004</v>
      </c>
      <c r="M3485" s="1">
        <v>0.53900000000000003</v>
      </c>
      <c r="N3485">
        <v>1</v>
      </c>
      <c r="O3485" s="1">
        <v>-7.641</v>
      </c>
      <c r="P3485">
        <v>1</v>
      </c>
      <c r="Q3485" s="1">
        <v>0.182</v>
      </c>
      <c r="R3485" s="1">
        <v>0.58499999999999996</v>
      </c>
      <c r="S3485" s="1">
        <v>0</v>
      </c>
      <c r="T3485" s="1">
        <v>0.114</v>
      </c>
      <c r="U3485" s="1">
        <v>0.51</v>
      </c>
      <c r="V3485" s="1">
        <v>159.91200000000001</v>
      </c>
      <c r="W3485">
        <v>4</v>
      </c>
    </row>
    <row r="3486" spans="1:23" x14ac:dyDescent="0.25">
      <c r="A3486" s="1" t="s">
        <v>21023</v>
      </c>
      <c r="B3486" s="1" t="s">
        <v>21024</v>
      </c>
      <c r="C3486" s="1" t="s">
        <v>814</v>
      </c>
      <c r="D3486" s="1" t="s">
        <v>814</v>
      </c>
      <c r="E3486" s="1" t="s">
        <v>8638</v>
      </c>
      <c r="F3486" s="1" t="s">
        <v>21025</v>
      </c>
      <c r="G3486">
        <v>221818</v>
      </c>
      <c r="H3486">
        <v>42</v>
      </c>
      <c r="I3486" s="1" t="s">
        <v>11063</v>
      </c>
      <c r="J3486" s="11">
        <v>44729.706458333334</v>
      </c>
      <c r="K3486" s="1" t="s">
        <v>3535</v>
      </c>
      <c r="L3486" s="1">
        <v>0.628</v>
      </c>
      <c r="M3486" s="1">
        <v>0.76200000000000001</v>
      </c>
      <c r="N3486">
        <v>1</v>
      </c>
      <c r="O3486" s="1">
        <v>-6.0439999999999996</v>
      </c>
      <c r="P3486">
        <v>0</v>
      </c>
      <c r="Q3486" s="1">
        <v>0.39</v>
      </c>
      <c r="R3486" s="1">
        <v>0.123</v>
      </c>
      <c r="S3486" s="1">
        <v>0.23</v>
      </c>
      <c r="T3486" s="1">
        <v>0.98499999999999999</v>
      </c>
      <c r="U3486" s="1">
        <v>0.28899999999999998</v>
      </c>
      <c r="V3486" s="1">
        <v>131.935</v>
      </c>
      <c r="W3486">
        <v>4</v>
      </c>
    </row>
    <row r="3487" spans="1:23" x14ac:dyDescent="0.25">
      <c r="A3487" s="1" t="s">
        <v>21026</v>
      </c>
      <c r="B3487" s="1" t="s">
        <v>21027</v>
      </c>
      <c r="C3487" s="1" t="s">
        <v>8639</v>
      </c>
      <c r="D3487" s="1" t="s">
        <v>21028</v>
      </c>
      <c r="E3487" s="1" t="s">
        <v>8640</v>
      </c>
      <c r="F3487" s="1" t="s">
        <v>15072</v>
      </c>
      <c r="G3487">
        <v>265200</v>
      </c>
      <c r="H3487">
        <v>34</v>
      </c>
      <c r="I3487" s="1" t="s">
        <v>11063</v>
      </c>
      <c r="J3487" s="11">
        <v>44729.706458333334</v>
      </c>
      <c r="K3487" s="1" t="s">
        <v>8641</v>
      </c>
      <c r="L3487" s="1">
        <v>0.745</v>
      </c>
      <c r="M3487" s="1">
        <v>0.5</v>
      </c>
      <c r="N3487">
        <v>6</v>
      </c>
      <c r="O3487" s="1">
        <v>-8.5</v>
      </c>
      <c r="P3487">
        <v>1</v>
      </c>
      <c r="Q3487" s="1">
        <v>0.44</v>
      </c>
      <c r="R3487" s="1">
        <v>0.182</v>
      </c>
      <c r="S3487" s="1">
        <v>0.121</v>
      </c>
      <c r="T3487" s="1">
        <v>0.247</v>
      </c>
      <c r="U3487" s="1">
        <v>0.373</v>
      </c>
      <c r="V3487" s="1">
        <v>99.972999999999999</v>
      </c>
      <c r="W3487">
        <v>4</v>
      </c>
    </row>
    <row r="3488" spans="1:23" x14ac:dyDescent="0.25">
      <c r="A3488" s="1" t="s">
        <v>21029</v>
      </c>
      <c r="B3488" s="1" t="s">
        <v>21030</v>
      </c>
      <c r="C3488" s="1" t="s">
        <v>8642</v>
      </c>
      <c r="D3488" s="1" t="s">
        <v>8642</v>
      </c>
      <c r="E3488" s="1" t="s">
        <v>8643</v>
      </c>
      <c r="F3488" s="1" t="s">
        <v>16694</v>
      </c>
      <c r="G3488">
        <v>204259</v>
      </c>
      <c r="H3488">
        <v>26</v>
      </c>
      <c r="I3488" s="1" t="s">
        <v>11063</v>
      </c>
      <c r="J3488" s="11">
        <v>44729.706458333334</v>
      </c>
      <c r="K3488" s="1" t="s">
        <v>3360</v>
      </c>
      <c r="L3488" s="1">
        <v>0.58399999999999996</v>
      </c>
      <c r="M3488" s="1">
        <v>0.59599999999999997</v>
      </c>
      <c r="N3488">
        <v>4</v>
      </c>
      <c r="O3488" s="1">
        <v>-6.718</v>
      </c>
      <c r="P3488">
        <v>0</v>
      </c>
      <c r="Q3488" s="1">
        <v>0.41099999999999998</v>
      </c>
      <c r="R3488" s="1">
        <v>0.56200000000000006</v>
      </c>
      <c r="S3488" s="1">
        <v>0</v>
      </c>
      <c r="T3488" s="1">
        <v>0.81</v>
      </c>
      <c r="U3488" s="1">
        <v>0.223</v>
      </c>
      <c r="V3488" s="1">
        <v>127.94</v>
      </c>
      <c r="W3488">
        <v>4</v>
      </c>
    </row>
    <row r="3489" spans="1:23" x14ac:dyDescent="0.25">
      <c r="A3489" s="1" t="s">
        <v>21031</v>
      </c>
      <c r="B3489" s="1" t="s">
        <v>21032</v>
      </c>
      <c r="C3489" s="1" t="s">
        <v>8644</v>
      </c>
      <c r="D3489" s="1" t="s">
        <v>8644</v>
      </c>
      <c r="E3489" s="1" t="s">
        <v>8645</v>
      </c>
      <c r="F3489" s="1" t="s">
        <v>14333</v>
      </c>
      <c r="G3489">
        <v>192075</v>
      </c>
      <c r="H3489">
        <v>0</v>
      </c>
      <c r="I3489" s="1" t="s">
        <v>11063</v>
      </c>
      <c r="J3489" s="11">
        <v>44729.706458333334</v>
      </c>
      <c r="K3489" s="1" t="s">
        <v>50</v>
      </c>
      <c r="L3489" s="1">
        <v>0.55700000000000005</v>
      </c>
      <c r="M3489" s="1">
        <v>0.78400000000000003</v>
      </c>
      <c r="N3489">
        <v>4</v>
      </c>
      <c r="O3489" s="1">
        <v>-4.3259999999999996</v>
      </c>
      <c r="P3489">
        <v>0</v>
      </c>
      <c r="Q3489" s="1">
        <v>0.10299999999999999</v>
      </c>
      <c r="R3489" s="1">
        <v>0.28499999999999998</v>
      </c>
      <c r="S3489" s="1">
        <v>0</v>
      </c>
      <c r="T3489" s="1">
        <v>0.121</v>
      </c>
      <c r="U3489" s="1">
        <v>0.151</v>
      </c>
      <c r="V3489" s="1">
        <v>145.05699999999999</v>
      </c>
      <c r="W3489">
        <v>4</v>
      </c>
    </row>
    <row r="3490" spans="1:23" x14ac:dyDescent="0.25">
      <c r="A3490" s="1" t="s">
        <v>21033</v>
      </c>
      <c r="B3490" s="1" t="s">
        <v>16007</v>
      </c>
      <c r="C3490" s="1" t="s">
        <v>6218</v>
      </c>
      <c r="D3490" s="1" t="s">
        <v>21034</v>
      </c>
      <c r="E3490" s="1" t="s">
        <v>4165</v>
      </c>
      <c r="F3490" s="1" t="s">
        <v>21035</v>
      </c>
      <c r="G3490">
        <v>164864</v>
      </c>
      <c r="H3490">
        <v>0</v>
      </c>
      <c r="I3490" s="1" t="s">
        <v>11063</v>
      </c>
      <c r="J3490" s="11">
        <v>44729.706458333334</v>
      </c>
      <c r="K3490" s="1" t="s">
        <v>4166</v>
      </c>
      <c r="L3490" s="1">
        <v>0.78900000000000003</v>
      </c>
      <c r="M3490" s="1">
        <v>0.52900000000000003</v>
      </c>
      <c r="N3490">
        <v>11</v>
      </c>
      <c r="O3490" s="1">
        <v>-7.4740000000000002</v>
      </c>
      <c r="P3490">
        <v>0</v>
      </c>
      <c r="Q3490" s="1">
        <v>0.93</v>
      </c>
      <c r="R3490" s="1">
        <v>0.32300000000000001</v>
      </c>
      <c r="S3490" s="1">
        <v>0</v>
      </c>
      <c r="T3490" s="1">
        <v>0.76500000000000001</v>
      </c>
      <c r="U3490" s="1">
        <v>0.73699999999999999</v>
      </c>
      <c r="V3490" s="1">
        <v>92.13</v>
      </c>
      <c r="W3490">
        <v>4</v>
      </c>
    </row>
    <row r="3491" spans="1:23" x14ac:dyDescent="0.25">
      <c r="A3491" s="1" t="s">
        <v>21036</v>
      </c>
      <c r="B3491" s="1" t="s">
        <v>21037</v>
      </c>
      <c r="C3491" s="1" t="s">
        <v>8646</v>
      </c>
      <c r="D3491" s="1" t="s">
        <v>21038</v>
      </c>
      <c r="E3491" s="1" t="s">
        <v>8647</v>
      </c>
      <c r="F3491" s="1" t="s">
        <v>14727</v>
      </c>
      <c r="G3491">
        <v>177066</v>
      </c>
      <c r="H3491">
        <v>66</v>
      </c>
      <c r="I3491" s="1" t="s">
        <v>11063</v>
      </c>
      <c r="J3491" s="11">
        <v>44729.706458333334</v>
      </c>
      <c r="K3491" s="1" t="s">
        <v>8648</v>
      </c>
      <c r="L3491" s="1">
        <v>0.72899999999999998</v>
      </c>
      <c r="M3491" s="1">
        <v>0.54500000000000004</v>
      </c>
      <c r="N3491">
        <v>0</v>
      </c>
      <c r="O3491" s="1">
        <v>-7.8179999999999996</v>
      </c>
      <c r="P3491">
        <v>1</v>
      </c>
      <c r="Q3491" s="1">
        <v>0.316</v>
      </c>
      <c r="R3491" s="1">
        <v>0.17399999999999999</v>
      </c>
      <c r="S3491" s="1">
        <v>0.27400000000000002</v>
      </c>
      <c r="T3491" s="1">
        <v>0.36899999999999999</v>
      </c>
      <c r="U3491" s="1">
        <v>0.51400000000000001</v>
      </c>
      <c r="V3491" s="1">
        <v>103.012</v>
      </c>
      <c r="W3491">
        <v>4</v>
      </c>
    </row>
    <row r="3492" spans="1:23" x14ac:dyDescent="0.25">
      <c r="A3492" s="1" t="s">
        <v>21039</v>
      </c>
      <c r="B3492" s="1" t="s">
        <v>21040</v>
      </c>
      <c r="C3492" s="1" t="s">
        <v>5935</v>
      </c>
      <c r="D3492" s="1" t="s">
        <v>5935</v>
      </c>
      <c r="E3492" s="1" t="s">
        <v>8649</v>
      </c>
      <c r="F3492" s="1" t="s">
        <v>13644</v>
      </c>
      <c r="G3492">
        <v>183111</v>
      </c>
      <c r="H3492">
        <v>0</v>
      </c>
      <c r="I3492" s="1" t="s">
        <v>11063</v>
      </c>
      <c r="J3492" s="11">
        <v>44729.706458333334</v>
      </c>
      <c r="K3492" s="1" t="s">
        <v>8650</v>
      </c>
      <c r="L3492" s="1">
        <v>0.51</v>
      </c>
      <c r="M3492" s="1">
        <v>0.443</v>
      </c>
      <c r="N3492">
        <v>2</v>
      </c>
      <c r="O3492" s="1">
        <v>-9.7550000000000008</v>
      </c>
      <c r="P3492">
        <v>0</v>
      </c>
      <c r="Q3492" s="1">
        <v>0.29499999999999998</v>
      </c>
      <c r="R3492" s="1">
        <v>0.17499999999999999</v>
      </c>
      <c r="S3492" s="1">
        <v>0.27100000000000002</v>
      </c>
      <c r="T3492" s="1">
        <v>0.64800000000000002</v>
      </c>
      <c r="U3492" s="1">
        <v>0.17799999999999999</v>
      </c>
      <c r="V3492" s="1">
        <v>134.93</v>
      </c>
      <c r="W3492">
        <v>4</v>
      </c>
    </row>
    <row r="3493" spans="1:23" x14ac:dyDescent="0.25">
      <c r="A3493" s="1" t="s">
        <v>21041</v>
      </c>
      <c r="B3493" s="1" t="s">
        <v>21042</v>
      </c>
      <c r="C3493" s="1" t="s">
        <v>8651</v>
      </c>
      <c r="D3493" s="1" t="s">
        <v>8651</v>
      </c>
      <c r="E3493" s="1" t="s">
        <v>8652</v>
      </c>
      <c r="F3493" s="1" t="s">
        <v>13931</v>
      </c>
      <c r="G3493">
        <v>184514</v>
      </c>
      <c r="H3493">
        <v>52</v>
      </c>
      <c r="I3493" s="1" t="s">
        <v>11063</v>
      </c>
      <c r="J3493" s="11">
        <v>44729.706458333334</v>
      </c>
      <c r="K3493" s="1" t="s">
        <v>8653</v>
      </c>
      <c r="L3493" s="1">
        <v>0.82199999999999995</v>
      </c>
      <c r="M3493" s="1">
        <v>0.57499999999999996</v>
      </c>
      <c r="N3493">
        <v>6</v>
      </c>
      <c r="O3493" s="1">
        <v>-4.5869999999999997</v>
      </c>
      <c r="P3493">
        <v>0</v>
      </c>
      <c r="Q3493" s="1">
        <v>0.46400000000000002</v>
      </c>
      <c r="R3493" s="1">
        <v>0.182</v>
      </c>
      <c r="S3493" s="1">
        <v>0.44500000000000001</v>
      </c>
      <c r="T3493" s="1">
        <v>0.109</v>
      </c>
      <c r="U3493" s="1">
        <v>0.28599999999999998</v>
      </c>
      <c r="V3493" s="1">
        <v>110.02800000000001</v>
      </c>
      <c r="W3493">
        <v>4</v>
      </c>
    </row>
    <row r="3494" spans="1:23" x14ac:dyDescent="0.25">
      <c r="A3494" s="1" t="s">
        <v>21043</v>
      </c>
      <c r="B3494" s="1" t="s">
        <v>21044</v>
      </c>
      <c r="C3494" s="1" t="s">
        <v>8654</v>
      </c>
      <c r="D3494" s="1" t="s">
        <v>21045</v>
      </c>
      <c r="E3494" s="1" t="s">
        <v>8655</v>
      </c>
      <c r="F3494" s="1" t="s">
        <v>18248</v>
      </c>
      <c r="G3494">
        <v>193613</v>
      </c>
      <c r="H3494">
        <v>71</v>
      </c>
      <c r="I3494" s="1" t="s">
        <v>11063</v>
      </c>
      <c r="J3494" s="11">
        <v>44729.706458333334</v>
      </c>
      <c r="K3494" s="1" t="s">
        <v>8656</v>
      </c>
      <c r="L3494" s="1">
        <v>0.70299999999999996</v>
      </c>
      <c r="M3494" s="1">
        <v>0.86799999999999999</v>
      </c>
      <c r="N3494">
        <v>7</v>
      </c>
      <c r="O3494" s="1">
        <v>-4.6609999999999996</v>
      </c>
      <c r="P3494">
        <v>0</v>
      </c>
      <c r="Q3494" s="1">
        <v>0.29099999999999998</v>
      </c>
      <c r="R3494" s="1">
        <v>0.15</v>
      </c>
      <c r="S3494" s="1">
        <v>0.13200000000000001</v>
      </c>
      <c r="T3494" s="1">
        <v>0.104</v>
      </c>
      <c r="U3494" s="1">
        <v>0.73299999999999998</v>
      </c>
      <c r="V3494" s="1">
        <v>121.03</v>
      </c>
      <c r="W3494">
        <v>4</v>
      </c>
    </row>
    <row r="3495" spans="1:23" x14ac:dyDescent="0.25">
      <c r="A3495" s="1" t="s">
        <v>21046</v>
      </c>
      <c r="B3495" s="1" t="s">
        <v>21047</v>
      </c>
      <c r="C3495" s="1" t="s">
        <v>8657</v>
      </c>
      <c r="D3495" s="1" t="s">
        <v>8657</v>
      </c>
      <c r="E3495" s="1" t="s">
        <v>8658</v>
      </c>
      <c r="F3495" s="1" t="s">
        <v>21048</v>
      </c>
      <c r="G3495">
        <v>224842</v>
      </c>
      <c r="H3495">
        <v>26</v>
      </c>
      <c r="I3495" s="1" t="s">
        <v>11063</v>
      </c>
      <c r="J3495" s="11">
        <v>44729.706458333334</v>
      </c>
      <c r="K3495" s="1" t="s">
        <v>7782</v>
      </c>
      <c r="L3495" s="1">
        <v>0.67200000000000004</v>
      </c>
      <c r="M3495" s="1">
        <v>0.61499999999999999</v>
      </c>
      <c r="N3495">
        <v>0</v>
      </c>
      <c r="O3495" s="1">
        <v>-6.0309999999999997</v>
      </c>
      <c r="P3495">
        <v>1</v>
      </c>
      <c r="Q3495" s="1">
        <v>0.313</v>
      </c>
      <c r="R3495" s="1">
        <v>0.14599999999999999</v>
      </c>
      <c r="S3495" s="1">
        <v>0.78300000000000003</v>
      </c>
      <c r="T3495" s="1">
        <v>0.23400000000000001</v>
      </c>
      <c r="U3495" s="1">
        <v>0.35599999999999998</v>
      </c>
      <c r="V3495" s="1">
        <v>95.02</v>
      </c>
      <c r="W3495">
        <v>4</v>
      </c>
    </row>
    <row r="3496" spans="1:23" x14ac:dyDescent="0.25">
      <c r="A3496" s="1" t="s">
        <v>21049</v>
      </c>
      <c r="B3496" s="1" t="s">
        <v>13492</v>
      </c>
      <c r="C3496" s="1" t="s">
        <v>8659</v>
      </c>
      <c r="D3496" s="1" t="s">
        <v>21050</v>
      </c>
      <c r="E3496" s="1" t="s">
        <v>1960</v>
      </c>
      <c r="F3496" s="1" t="s">
        <v>16325</v>
      </c>
      <c r="G3496">
        <v>199593</v>
      </c>
      <c r="H3496">
        <v>72</v>
      </c>
      <c r="I3496" s="1" t="s">
        <v>11063</v>
      </c>
      <c r="J3496" s="11">
        <v>44729.706458333334</v>
      </c>
      <c r="K3496" s="1" t="s">
        <v>1961</v>
      </c>
      <c r="L3496" s="1">
        <v>0.73099999999999998</v>
      </c>
      <c r="M3496" s="1">
        <v>0.57999999999999996</v>
      </c>
      <c r="N3496">
        <v>10</v>
      </c>
      <c r="O3496" s="1">
        <v>-7.3280000000000003</v>
      </c>
      <c r="P3496">
        <v>0</v>
      </c>
      <c r="Q3496" s="1">
        <v>0.39900000000000002</v>
      </c>
      <c r="R3496" s="1">
        <v>0.223</v>
      </c>
      <c r="S3496" s="1">
        <v>0</v>
      </c>
      <c r="T3496" s="1">
        <v>0.129</v>
      </c>
      <c r="U3496" s="1">
        <v>0.31900000000000001</v>
      </c>
      <c r="V3496" s="1">
        <v>119.997</v>
      </c>
      <c r="W3496">
        <v>4</v>
      </c>
    </row>
    <row r="3497" spans="1:23" x14ac:dyDescent="0.25">
      <c r="A3497" s="1" t="s">
        <v>21051</v>
      </c>
      <c r="B3497" s="1" t="s">
        <v>13492</v>
      </c>
      <c r="C3497" s="1" t="s">
        <v>628</v>
      </c>
      <c r="D3497" s="1" t="s">
        <v>21050</v>
      </c>
      <c r="E3497" s="1" t="s">
        <v>1960</v>
      </c>
      <c r="F3497" s="1" t="s">
        <v>16325</v>
      </c>
      <c r="G3497">
        <v>249499</v>
      </c>
      <c r="H3497">
        <v>58</v>
      </c>
      <c r="I3497" s="1" t="s">
        <v>11063</v>
      </c>
      <c r="J3497" s="11">
        <v>44729.706458333334</v>
      </c>
      <c r="K3497" s="1" t="s">
        <v>1961</v>
      </c>
      <c r="L3497" s="1">
        <v>0.51200000000000001</v>
      </c>
      <c r="M3497" s="1">
        <v>0.81200000000000006</v>
      </c>
      <c r="N3497">
        <v>1</v>
      </c>
      <c r="O3497" s="1">
        <v>-4.8090000000000002</v>
      </c>
      <c r="P3497">
        <v>1</v>
      </c>
      <c r="Q3497" s="1">
        <v>0.61699999999999999</v>
      </c>
      <c r="R3497" s="1">
        <v>0.53400000000000003</v>
      </c>
      <c r="S3497" s="1">
        <v>0</v>
      </c>
      <c r="T3497" s="1">
        <v>0.92</v>
      </c>
      <c r="U3497" s="1">
        <v>0.52100000000000002</v>
      </c>
      <c r="V3497" s="1">
        <v>100.02</v>
      </c>
      <c r="W3497">
        <v>4</v>
      </c>
    </row>
    <row r="3498" spans="1:23" x14ac:dyDescent="0.25">
      <c r="A3498" s="1" t="s">
        <v>21052</v>
      </c>
      <c r="B3498" s="1" t="s">
        <v>13492</v>
      </c>
      <c r="C3498" s="1" t="s">
        <v>2357</v>
      </c>
      <c r="D3498" s="1" t="s">
        <v>21050</v>
      </c>
      <c r="E3498" s="1" t="s">
        <v>1960</v>
      </c>
      <c r="F3498" s="1" t="s">
        <v>16325</v>
      </c>
      <c r="G3498">
        <v>153656</v>
      </c>
      <c r="H3498">
        <v>60</v>
      </c>
      <c r="I3498" s="1" t="s">
        <v>11063</v>
      </c>
      <c r="J3498" s="11">
        <v>44729.706458333334</v>
      </c>
      <c r="K3498" s="1" t="s">
        <v>1961</v>
      </c>
      <c r="L3498" s="1">
        <v>0.56999999999999995</v>
      </c>
      <c r="M3498" s="1">
        <v>0.60599999999999998</v>
      </c>
      <c r="N3498">
        <v>7</v>
      </c>
      <c r="O3498" s="1">
        <v>-8.0850000000000009</v>
      </c>
      <c r="P3498">
        <v>1</v>
      </c>
      <c r="Q3498" s="1">
        <v>0.129</v>
      </c>
      <c r="R3498" s="1">
        <v>0.52900000000000003</v>
      </c>
      <c r="S3498" s="1">
        <v>0.72699999999999998</v>
      </c>
      <c r="T3498" s="1">
        <v>0.13400000000000001</v>
      </c>
      <c r="U3498" s="1">
        <v>0.21199999999999999</v>
      </c>
      <c r="V3498" s="1">
        <v>95.037999999999997</v>
      </c>
      <c r="W3498">
        <v>4</v>
      </c>
    </row>
    <row r="3499" spans="1:23" x14ac:dyDescent="0.25">
      <c r="A3499" s="1" t="s">
        <v>21053</v>
      </c>
      <c r="B3499" s="1" t="s">
        <v>13492</v>
      </c>
      <c r="C3499" s="1" t="s">
        <v>1284</v>
      </c>
      <c r="D3499" s="1" t="s">
        <v>21050</v>
      </c>
      <c r="E3499" s="1" t="s">
        <v>1960</v>
      </c>
      <c r="F3499" s="1" t="s">
        <v>16325</v>
      </c>
      <c r="G3499">
        <v>223081</v>
      </c>
      <c r="H3499">
        <v>59</v>
      </c>
      <c r="I3499" s="1" t="s">
        <v>11063</v>
      </c>
      <c r="J3499" s="11">
        <v>44729.706458333334</v>
      </c>
      <c r="K3499" s="1" t="s">
        <v>1961</v>
      </c>
      <c r="L3499" s="1">
        <v>0.58599999999999997</v>
      </c>
      <c r="M3499" s="1">
        <v>0.83</v>
      </c>
      <c r="N3499">
        <v>0</v>
      </c>
      <c r="O3499" s="1">
        <v>-5.375</v>
      </c>
      <c r="P3499">
        <v>1</v>
      </c>
      <c r="Q3499" s="1">
        <v>0.41599999999999998</v>
      </c>
      <c r="R3499" s="1">
        <v>0.82299999999999995</v>
      </c>
      <c r="S3499" s="1">
        <v>0.28000000000000003</v>
      </c>
      <c r="T3499" s="1">
        <v>0.34799999999999998</v>
      </c>
      <c r="U3499" s="1">
        <v>0.48599999999999999</v>
      </c>
      <c r="V3499" s="1">
        <v>120.017</v>
      </c>
      <c r="W3499">
        <v>4</v>
      </c>
    </row>
    <row r="3500" spans="1:23" x14ac:dyDescent="0.25">
      <c r="A3500" s="1" t="s">
        <v>21054</v>
      </c>
      <c r="B3500" s="1" t="s">
        <v>13492</v>
      </c>
      <c r="C3500" s="1" t="s">
        <v>8660</v>
      </c>
      <c r="D3500" s="1" t="s">
        <v>21050</v>
      </c>
      <c r="E3500" s="1" t="s">
        <v>1960</v>
      </c>
      <c r="F3500" s="1" t="s">
        <v>16325</v>
      </c>
      <c r="G3500">
        <v>183808</v>
      </c>
      <c r="H3500">
        <v>56</v>
      </c>
      <c r="I3500" s="1" t="s">
        <v>11063</v>
      </c>
      <c r="J3500" s="11">
        <v>44729.706458333334</v>
      </c>
      <c r="K3500" s="1" t="s">
        <v>1961</v>
      </c>
      <c r="L3500" s="1">
        <v>0.33900000000000002</v>
      </c>
      <c r="M3500" s="1">
        <v>0.70699999999999996</v>
      </c>
      <c r="N3500">
        <v>0</v>
      </c>
      <c r="O3500" s="1">
        <v>-5.1210000000000004</v>
      </c>
      <c r="P3500">
        <v>0</v>
      </c>
      <c r="Q3500" s="1">
        <v>0.42799999999999999</v>
      </c>
      <c r="R3500" s="1">
        <v>0.113</v>
      </c>
      <c r="S3500" s="1">
        <v>0</v>
      </c>
      <c r="T3500" s="1">
        <v>0.33700000000000002</v>
      </c>
      <c r="U3500" s="1">
        <v>0.35899999999999999</v>
      </c>
      <c r="V3500" s="1">
        <v>173.99299999999999</v>
      </c>
      <c r="W3500">
        <v>4</v>
      </c>
    </row>
    <row r="3501" spans="1:23" x14ac:dyDescent="0.25">
      <c r="A3501" s="1" t="s">
        <v>21055</v>
      </c>
      <c r="B3501" s="1" t="s">
        <v>17475</v>
      </c>
      <c r="C3501" s="1" t="s">
        <v>8661</v>
      </c>
      <c r="D3501" s="1" t="s">
        <v>21056</v>
      </c>
      <c r="E3501" s="1" t="s">
        <v>5403</v>
      </c>
      <c r="F3501" s="1" t="s">
        <v>18036</v>
      </c>
      <c r="G3501">
        <v>227311</v>
      </c>
      <c r="H3501">
        <v>63</v>
      </c>
      <c r="I3501" s="1" t="s">
        <v>11063</v>
      </c>
      <c r="J3501" s="11">
        <v>44729.706458333334</v>
      </c>
      <c r="K3501" s="1" t="s">
        <v>983</v>
      </c>
      <c r="L3501" s="1">
        <v>0.628</v>
      </c>
      <c r="M3501" s="1">
        <v>0.86699999999999999</v>
      </c>
      <c r="N3501">
        <v>9</v>
      </c>
      <c r="O3501" s="1">
        <v>-3.5550000000000002</v>
      </c>
      <c r="P3501">
        <v>1</v>
      </c>
      <c r="Q3501" s="1">
        <v>0.91300000000000003</v>
      </c>
      <c r="R3501" s="1">
        <v>0.108</v>
      </c>
      <c r="S3501" s="1">
        <v>0</v>
      </c>
      <c r="T3501" s="1">
        <v>0.308</v>
      </c>
      <c r="U3501" s="1">
        <v>0.59699999999999998</v>
      </c>
      <c r="V3501" s="1">
        <v>78.043000000000006</v>
      </c>
      <c r="W3501">
        <v>4</v>
      </c>
    </row>
    <row r="3502" spans="1:23" x14ac:dyDescent="0.25">
      <c r="A3502" s="1" t="s">
        <v>21057</v>
      </c>
      <c r="B3502" s="1" t="s">
        <v>17475</v>
      </c>
      <c r="C3502" s="1" t="s">
        <v>8662</v>
      </c>
      <c r="D3502" s="1" t="s">
        <v>8662</v>
      </c>
      <c r="E3502" s="1" t="s">
        <v>5403</v>
      </c>
      <c r="F3502" s="1" t="s">
        <v>11482</v>
      </c>
      <c r="G3502">
        <v>201004</v>
      </c>
      <c r="H3502">
        <v>60</v>
      </c>
      <c r="I3502" s="1" t="s">
        <v>11063</v>
      </c>
      <c r="J3502" s="11">
        <v>44729.706458333334</v>
      </c>
      <c r="K3502" s="1" t="s">
        <v>983</v>
      </c>
      <c r="L3502" s="1">
        <v>0.66400000000000003</v>
      </c>
      <c r="M3502" s="1">
        <v>0.69799999999999995</v>
      </c>
      <c r="N3502">
        <v>10</v>
      </c>
      <c r="O3502" s="1">
        <v>-5.0839999999999996</v>
      </c>
      <c r="P3502">
        <v>1</v>
      </c>
      <c r="Q3502" s="1">
        <v>0.67</v>
      </c>
      <c r="R3502" s="1">
        <v>0.127</v>
      </c>
      <c r="S3502" s="1">
        <v>0</v>
      </c>
      <c r="T3502" s="1">
        <v>0.11799999999999999</v>
      </c>
      <c r="U3502" s="1">
        <v>0.57299999999999995</v>
      </c>
      <c r="V3502" s="1">
        <v>135.023</v>
      </c>
      <c r="W3502">
        <v>4</v>
      </c>
    </row>
    <row r="3503" spans="1:23" x14ac:dyDescent="0.25">
      <c r="A3503" s="1" t="s">
        <v>21058</v>
      </c>
      <c r="B3503" s="1" t="s">
        <v>21059</v>
      </c>
      <c r="C3503" s="1" t="s">
        <v>8663</v>
      </c>
      <c r="D3503" s="1" t="s">
        <v>8663</v>
      </c>
      <c r="E3503" s="1" t="s">
        <v>8664</v>
      </c>
      <c r="F3503" s="1" t="s">
        <v>11696</v>
      </c>
      <c r="G3503">
        <v>188737</v>
      </c>
      <c r="H3503">
        <v>0</v>
      </c>
      <c r="I3503" s="1" t="s">
        <v>11063</v>
      </c>
      <c r="J3503" s="11">
        <v>44729.706458333334</v>
      </c>
      <c r="K3503" s="1" t="s">
        <v>8665</v>
      </c>
      <c r="L3503" s="1">
        <v>0.63700000000000001</v>
      </c>
      <c r="M3503" s="1">
        <v>0.77800000000000002</v>
      </c>
      <c r="N3503">
        <v>5</v>
      </c>
      <c r="O3503" s="1">
        <v>-3.6419999999999999</v>
      </c>
      <c r="P3503">
        <v>0</v>
      </c>
      <c r="Q3503" s="1">
        <v>0.70599999999999996</v>
      </c>
      <c r="R3503" s="1">
        <v>0.248</v>
      </c>
      <c r="S3503" s="1">
        <v>0</v>
      </c>
      <c r="T3503" s="1">
        <v>0.22800000000000001</v>
      </c>
      <c r="U3503" s="1">
        <v>0.28599999999999998</v>
      </c>
      <c r="V3503" s="1">
        <v>103.093</v>
      </c>
      <c r="W3503">
        <v>4</v>
      </c>
    </row>
    <row r="3504" spans="1:23" x14ac:dyDescent="0.25">
      <c r="A3504" s="1" t="s">
        <v>21060</v>
      </c>
      <c r="B3504" s="1" t="s">
        <v>21061</v>
      </c>
      <c r="C3504" s="1" t="s">
        <v>8666</v>
      </c>
      <c r="D3504" s="1" t="s">
        <v>21062</v>
      </c>
      <c r="E3504" s="1" t="s">
        <v>8667</v>
      </c>
      <c r="F3504" s="1" t="s">
        <v>13564</v>
      </c>
      <c r="G3504">
        <v>218760</v>
      </c>
      <c r="H3504">
        <v>57</v>
      </c>
      <c r="I3504" s="1" t="s">
        <v>11063</v>
      </c>
      <c r="J3504" s="11">
        <v>44729.706458333334</v>
      </c>
      <c r="K3504" s="1" t="s">
        <v>8668</v>
      </c>
      <c r="L3504" s="1">
        <v>0.64700000000000002</v>
      </c>
      <c r="M3504" s="1">
        <v>0.61599999999999999</v>
      </c>
      <c r="N3504">
        <v>5</v>
      </c>
      <c r="O3504" s="1">
        <v>-4.9480000000000004</v>
      </c>
      <c r="P3504">
        <v>1</v>
      </c>
      <c r="Q3504" s="1">
        <v>0.27200000000000002</v>
      </c>
      <c r="R3504" s="1">
        <v>0.27700000000000002</v>
      </c>
      <c r="S3504" s="1">
        <v>0</v>
      </c>
      <c r="T3504" s="1">
        <v>0.81599999999999995</v>
      </c>
      <c r="U3504" s="1">
        <v>0.79</v>
      </c>
      <c r="V3504" s="1">
        <v>93.019000000000005</v>
      </c>
      <c r="W3504">
        <v>4</v>
      </c>
    </row>
    <row r="3505" spans="1:23" x14ac:dyDescent="0.25">
      <c r="A3505" s="1" t="s">
        <v>21063</v>
      </c>
      <c r="B3505" s="1" t="s">
        <v>17475</v>
      </c>
      <c r="C3505" s="1" t="s">
        <v>8669</v>
      </c>
      <c r="D3505" s="1" t="s">
        <v>21062</v>
      </c>
      <c r="E3505" s="1" t="s">
        <v>5403</v>
      </c>
      <c r="F3505" s="1" t="s">
        <v>13564</v>
      </c>
      <c r="G3505">
        <v>201160</v>
      </c>
      <c r="H3505">
        <v>66</v>
      </c>
      <c r="I3505" s="1" t="s">
        <v>11063</v>
      </c>
      <c r="J3505" s="11">
        <v>44729.706458333334</v>
      </c>
      <c r="K3505" s="1" t="s">
        <v>983</v>
      </c>
      <c r="L3505" s="1">
        <v>0.67300000000000004</v>
      </c>
      <c r="M3505" s="1">
        <v>0.63700000000000001</v>
      </c>
      <c r="N3505">
        <v>5</v>
      </c>
      <c r="O3505" s="1">
        <v>-4.5179999999999998</v>
      </c>
      <c r="P3505">
        <v>1</v>
      </c>
      <c r="Q3505" s="1">
        <v>0.42899999999999999</v>
      </c>
      <c r="R3505" s="1">
        <v>0.13700000000000001</v>
      </c>
      <c r="S3505" s="1">
        <v>0</v>
      </c>
      <c r="T3505" s="1">
        <v>0.184</v>
      </c>
      <c r="U3505" s="1">
        <v>0.67800000000000005</v>
      </c>
      <c r="V3505" s="1">
        <v>123.98</v>
      </c>
      <c r="W3505">
        <v>4</v>
      </c>
    </row>
    <row r="3506" spans="1:23" x14ac:dyDescent="0.25">
      <c r="A3506" s="1" t="s">
        <v>21064</v>
      </c>
      <c r="B3506" s="1" t="s">
        <v>17475</v>
      </c>
      <c r="C3506" s="1" t="s">
        <v>8670</v>
      </c>
      <c r="D3506" s="1" t="s">
        <v>21065</v>
      </c>
      <c r="E3506" s="1" t="s">
        <v>5403</v>
      </c>
      <c r="F3506" s="1" t="s">
        <v>13979</v>
      </c>
      <c r="G3506">
        <v>212689</v>
      </c>
      <c r="H3506">
        <v>64</v>
      </c>
      <c r="I3506" s="1" t="s">
        <v>11063</v>
      </c>
      <c r="J3506" s="11">
        <v>44729.706458333334</v>
      </c>
      <c r="K3506" s="1" t="s">
        <v>983</v>
      </c>
      <c r="L3506" s="1">
        <v>0.45400000000000001</v>
      </c>
      <c r="M3506" s="1">
        <v>0.66</v>
      </c>
      <c r="N3506">
        <v>0</v>
      </c>
      <c r="O3506" s="1">
        <v>-4.3570000000000002</v>
      </c>
      <c r="P3506">
        <v>1</v>
      </c>
      <c r="Q3506" s="1">
        <v>0.16800000000000001</v>
      </c>
      <c r="R3506" s="1">
        <v>0.36399999999999999</v>
      </c>
      <c r="S3506" s="1">
        <v>0</v>
      </c>
      <c r="T3506" s="1">
        <v>0.18099999999999999</v>
      </c>
      <c r="U3506" s="1">
        <v>0.56799999999999995</v>
      </c>
      <c r="V3506" s="1">
        <v>184.35300000000001</v>
      </c>
      <c r="W3506">
        <v>4</v>
      </c>
    </row>
    <row r="3507" spans="1:23" x14ac:dyDescent="0.25">
      <c r="A3507" s="1" t="s">
        <v>21066</v>
      </c>
      <c r="B3507" s="1" t="s">
        <v>17475</v>
      </c>
      <c r="C3507" s="1" t="s">
        <v>8671</v>
      </c>
      <c r="D3507" s="1" t="s">
        <v>21067</v>
      </c>
      <c r="E3507" s="1" t="s">
        <v>5403</v>
      </c>
      <c r="F3507" s="1" t="s">
        <v>14717</v>
      </c>
      <c r="G3507">
        <v>210991</v>
      </c>
      <c r="H3507">
        <v>59</v>
      </c>
      <c r="I3507" s="1" t="s">
        <v>11063</v>
      </c>
      <c r="J3507" s="11">
        <v>44729.706458333334</v>
      </c>
      <c r="K3507" s="1" t="s">
        <v>983</v>
      </c>
      <c r="L3507" s="1">
        <v>0.626</v>
      </c>
      <c r="M3507" s="1">
        <v>0.63900000000000001</v>
      </c>
      <c r="N3507">
        <v>10</v>
      </c>
      <c r="O3507" s="1">
        <v>-5.62</v>
      </c>
      <c r="P3507">
        <v>1</v>
      </c>
      <c r="Q3507" s="1">
        <v>0.85</v>
      </c>
      <c r="R3507" s="1">
        <v>0.46500000000000002</v>
      </c>
      <c r="S3507" s="1">
        <v>0</v>
      </c>
      <c r="T3507" s="1">
        <v>0.246</v>
      </c>
      <c r="U3507" s="1">
        <v>0.63800000000000001</v>
      </c>
      <c r="V3507" s="1">
        <v>144.00899999999999</v>
      </c>
      <c r="W3507">
        <v>4</v>
      </c>
    </row>
    <row r="3508" spans="1:23" x14ac:dyDescent="0.25">
      <c r="A3508" s="1" t="s">
        <v>21068</v>
      </c>
      <c r="B3508" s="1" t="s">
        <v>17475</v>
      </c>
      <c r="C3508" s="1" t="s">
        <v>8672</v>
      </c>
      <c r="D3508" s="1" t="s">
        <v>21067</v>
      </c>
      <c r="E3508" s="1" t="s">
        <v>5403</v>
      </c>
      <c r="F3508" s="1" t="s">
        <v>14717</v>
      </c>
      <c r="G3508">
        <v>187263</v>
      </c>
      <c r="H3508">
        <v>41</v>
      </c>
      <c r="I3508" s="1" t="s">
        <v>11063</v>
      </c>
      <c r="J3508" s="11">
        <v>44729.706458333334</v>
      </c>
      <c r="K3508" s="1" t="s">
        <v>983</v>
      </c>
      <c r="L3508" s="1">
        <v>0.64500000000000002</v>
      </c>
      <c r="M3508" s="1">
        <v>0.626</v>
      </c>
      <c r="N3508">
        <v>5</v>
      </c>
      <c r="O3508" s="1">
        <v>-6.351</v>
      </c>
      <c r="P3508">
        <v>1</v>
      </c>
      <c r="Q3508" s="1">
        <v>0.73</v>
      </c>
      <c r="R3508" s="1">
        <v>0.16700000000000001</v>
      </c>
      <c r="S3508" s="1">
        <v>0.87</v>
      </c>
      <c r="T3508" s="1">
        <v>0.112</v>
      </c>
      <c r="U3508" s="1">
        <v>0.372</v>
      </c>
      <c r="V3508" s="1">
        <v>83.981999999999999</v>
      </c>
      <c r="W3508">
        <v>4</v>
      </c>
    </row>
    <row r="3509" spans="1:23" x14ac:dyDescent="0.25">
      <c r="A3509" s="1" t="s">
        <v>21069</v>
      </c>
      <c r="B3509" s="1" t="s">
        <v>17475</v>
      </c>
      <c r="C3509" s="1" t="s">
        <v>8673</v>
      </c>
      <c r="D3509" s="1" t="s">
        <v>21067</v>
      </c>
      <c r="E3509" s="1" t="s">
        <v>5403</v>
      </c>
      <c r="F3509" s="1" t="s">
        <v>14717</v>
      </c>
      <c r="G3509">
        <v>245269</v>
      </c>
      <c r="H3509">
        <v>56</v>
      </c>
      <c r="I3509" s="1" t="s">
        <v>11063</v>
      </c>
      <c r="J3509" s="11">
        <v>44729.706458333334</v>
      </c>
      <c r="K3509" s="1" t="s">
        <v>983</v>
      </c>
      <c r="L3509" s="1">
        <v>0.52800000000000002</v>
      </c>
      <c r="M3509" s="1">
        <v>0.72699999999999998</v>
      </c>
      <c r="N3509">
        <v>6</v>
      </c>
      <c r="O3509" s="1">
        <v>-5.7389999999999999</v>
      </c>
      <c r="P3509">
        <v>1</v>
      </c>
      <c r="Q3509" s="1">
        <v>0.17899999999999999</v>
      </c>
      <c r="R3509" s="1">
        <v>0.55700000000000005</v>
      </c>
      <c r="S3509" s="1">
        <v>0</v>
      </c>
      <c r="T3509" s="1">
        <v>0.17599999999999999</v>
      </c>
      <c r="U3509" s="1">
        <v>0.21199999999999999</v>
      </c>
      <c r="V3509" s="1">
        <v>155.92699999999999</v>
      </c>
      <c r="W3509">
        <v>4</v>
      </c>
    </row>
    <row r="3510" spans="1:23" x14ac:dyDescent="0.25">
      <c r="A3510" s="1" t="s">
        <v>21070</v>
      </c>
      <c r="B3510" s="1" t="s">
        <v>17475</v>
      </c>
      <c r="C3510" s="1" t="s">
        <v>8674</v>
      </c>
      <c r="D3510" s="1" t="s">
        <v>21067</v>
      </c>
      <c r="E3510" s="1" t="s">
        <v>5403</v>
      </c>
      <c r="F3510" s="1" t="s">
        <v>14717</v>
      </c>
      <c r="G3510">
        <v>198571</v>
      </c>
      <c r="H3510">
        <v>38</v>
      </c>
      <c r="I3510" s="1" t="s">
        <v>11063</v>
      </c>
      <c r="J3510" s="11">
        <v>44729.706458333334</v>
      </c>
      <c r="K3510" s="1" t="s">
        <v>983</v>
      </c>
      <c r="L3510" s="1">
        <v>0.59</v>
      </c>
      <c r="M3510" s="1">
        <v>0.68200000000000005</v>
      </c>
      <c r="N3510">
        <v>0</v>
      </c>
      <c r="O3510" s="1">
        <v>-7.2229999999999999</v>
      </c>
      <c r="P3510">
        <v>1</v>
      </c>
      <c r="Q3510" s="1">
        <v>0.56399999999999995</v>
      </c>
      <c r="R3510" s="1">
        <v>0.19800000000000001</v>
      </c>
      <c r="S3510" s="1">
        <v>0</v>
      </c>
      <c r="T3510" s="1">
        <v>0.17799999999999999</v>
      </c>
      <c r="U3510" s="1">
        <v>0.66500000000000004</v>
      </c>
      <c r="V3510" s="1">
        <v>125.05500000000001</v>
      </c>
      <c r="W3510">
        <v>4</v>
      </c>
    </row>
    <row r="3511" spans="1:23" x14ac:dyDescent="0.25">
      <c r="A3511" s="1" t="s">
        <v>21071</v>
      </c>
      <c r="B3511" s="1" t="s">
        <v>17475</v>
      </c>
      <c r="C3511" s="1" t="s">
        <v>8675</v>
      </c>
      <c r="D3511" s="1" t="s">
        <v>21067</v>
      </c>
      <c r="E3511" s="1" t="s">
        <v>5403</v>
      </c>
      <c r="F3511" s="1" t="s">
        <v>14717</v>
      </c>
      <c r="G3511">
        <v>196762</v>
      </c>
      <c r="H3511">
        <v>47</v>
      </c>
      <c r="I3511" s="1" t="s">
        <v>11063</v>
      </c>
      <c r="J3511" s="11">
        <v>44729.706458333334</v>
      </c>
      <c r="K3511" s="1" t="s">
        <v>983</v>
      </c>
      <c r="L3511" s="1">
        <v>0.28399999999999997</v>
      </c>
      <c r="M3511" s="1">
        <v>0.60899999999999999</v>
      </c>
      <c r="N3511">
        <v>3</v>
      </c>
      <c r="O3511" s="1">
        <v>-6.0330000000000004</v>
      </c>
      <c r="P3511">
        <v>1</v>
      </c>
      <c r="Q3511" s="1">
        <v>0.123</v>
      </c>
      <c r="R3511" s="1">
        <v>0.438</v>
      </c>
      <c r="S3511" s="1">
        <v>0</v>
      </c>
      <c r="T3511" s="1">
        <v>0.17699999999999999</v>
      </c>
      <c r="U3511" s="1">
        <v>0.52100000000000002</v>
      </c>
      <c r="V3511" s="1">
        <v>85.385999999999996</v>
      </c>
      <c r="W3511">
        <v>4</v>
      </c>
    </row>
    <row r="3512" spans="1:23" x14ac:dyDescent="0.25">
      <c r="A3512" s="1" t="s">
        <v>21072</v>
      </c>
      <c r="B3512" s="1" t="s">
        <v>17475</v>
      </c>
      <c r="C3512" s="1" t="s">
        <v>8676</v>
      </c>
      <c r="D3512" s="1" t="s">
        <v>21067</v>
      </c>
      <c r="E3512" s="1" t="s">
        <v>5403</v>
      </c>
      <c r="F3512" s="1" t="s">
        <v>14717</v>
      </c>
      <c r="G3512">
        <v>277711</v>
      </c>
      <c r="H3512">
        <v>41</v>
      </c>
      <c r="I3512" s="1" t="s">
        <v>11063</v>
      </c>
      <c r="J3512" s="11">
        <v>44729.706458333334</v>
      </c>
      <c r="K3512" s="1" t="s">
        <v>983</v>
      </c>
      <c r="L3512" s="1">
        <v>0.53900000000000003</v>
      </c>
      <c r="M3512" s="1">
        <v>0.51700000000000002</v>
      </c>
      <c r="N3512">
        <v>5</v>
      </c>
      <c r="O3512" s="1">
        <v>-6.9989999999999997</v>
      </c>
      <c r="P3512">
        <v>1</v>
      </c>
      <c r="Q3512" s="1">
        <v>0.27200000000000002</v>
      </c>
      <c r="R3512" s="1">
        <v>0.95599999999999996</v>
      </c>
      <c r="S3512" s="1">
        <v>0</v>
      </c>
      <c r="T3512" s="1">
        <v>0.111</v>
      </c>
      <c r="U3512" s="1">
        <v>0.40799999999999997</v>
      </c>
      <c r="V3512" s="1">
        <v>82.986999999999995</v>
      </c>
      <c r="W3512">
        <v>4</v>
      </c>
    </row>
    <row r="3513" spans="1:23" x14ac:dyDescent="0.25">
      <c r="A3513" s="1" t="s">
        <v>21073</v>
      </c>
      <c r="B3513" s="1" t="s">
        <v>21074</v>
      </c>
      <c r="C3513" s="1" t="s">
        <v>8677</v>
      </c>
      <c r="D3513" s="1" t="s">
        <v>13844</v>
      </c>
      <c r="E3513" s="1" t="s">
        <v>8678</v>
      </c>
      <c r="F3513" s="1" t="s">
        <v>13845</v>
      </c>
      <c r="G3513">
        <v>250188</v>
      </c>
      <c r="H3513">
        <v>60</v>
      </c>
      <c r="I3513" s="1" t="s">
        <v>11063</v>
      </c>
      <c r="J3513" s="11">
        <v>44729.706458333334</v>
      </c>
      <c r="K3513" s="1" t="s">
        <v>8679</v>
      </c>
      <c r="L3513" s="1">
        <v>0.78100000000000003</v>
      </c>
      <c r="M3513" s="1">
        <v>0.85299999999999998</v>
      </c>
      <c r="N3513">
        <v>1</v>
      </c>
      <c r="O3513" s="1">
        <v>-3.68</v>
      </c>
      <c r="P3513">
        <v>0</v>
      </c>
      <c r="Q3513" s="1">
        <v>0.71499999999999997</v>
      </c>
      <c r="R3513" s="1">
        <v>0.52500000000000002</v>
      </c>
      <c r="S3513" s="1">
        <v>0</v>
      </c>
      <c r="T3513" s="1">
        <v>0.12</v>
      </c>
      <c r="U3513" s="1">
        <v>0.624</v>
      </c>
      <c r="V3513" s="1">
        <v>110.04900000000001</v>
      </c>
      <c r="W3513">
        <v>4</v>
      </c>
    </row>
    <row r="3514" spans="1:23" x14ac:dyDescent="0.25">
      <c r="A3514" s="1" t="s">
        <v>21075</v>
      </c>
      <c r="B3514" s="1" t="s">
        <v>21076</v>
      </c>
      <c r="C3514" s="1" t="s">
        <v>8680</v>
      </c>
      <c r="D3514" s="1" t="s">
        <v>7336</v>
      </c>
      <c r="E3514" s="1" t="s">
        <v>8681</v>
      </c>
      <c r="F3514" s="1" t="s">
        <v>14207</v>
      </c>
      <c r="G3514">
        <v>221013</v>
      </c>
      <c r="H3514">
        <v>73</v>
      </c>
      <c r="I3514" s="1" t="s">
        <v>11063</v>
      </c>
      <c r="J3514" s="11">
        <v>44729.706458333334</v>
      </c>
      <c r="K3514" s="1" t="s">
        <v>8682</v>
      </c>
      <c r="L3514" s="1">
        <v>0.748</v>
      </c>
      <c r="M3514" s="1">
        <v>0.749</v>
      </c>
      <c r="N3514">
        <v>8</v>
      </c>
      <c r="O3514" s="1">
        <v>-5.9160000000000004</v>
      </c>
      <c r="P3514">
        <v>0</v>
      </c>
      <c r="Q3514" s="1">
        <v>0.51600000000000001</v>
      </c>
      <c r="R3514" s="1">
        <v>0.14199999999999999</v>
      </c>
      <c r="S3514" s="1">
        <v>0</v>
      </c>
      <c r="T3514" s="1">
        <v>0.71299999999999997</v>
      </c>
      <c r="U3514" s="1">
        <v>0.65900000000000003</v>
      </c>
      <c r="V3514" s="1">
        <v>90.09</v>
      </c>
      <c r="W3514">
        <v>4</v>
      </c>
    </row>
    <row r="3515" spans="1:23" x14ac:dyDescent="0.25">
      <c r="A3515" s="1" t="s">
        <v>21077</v>
      </c>
      <c r="B3515" s="1" t="s">
        <v>13843</v>
      </c>
      <c r="C3515" s="1" t="s">
        <v>7669</v>
      </c>
      <c r="D3515" s="1" t="s">
        <v>5031</v>
      </c>
      <c r="E3515" s="1" t="s">
        <v>2259</v>
      </c>
      <c r="F3515" s="1" t="s">
        <v>16232</v>
      </c>
      <c r="G3515">
        <v>262493</v>
      </c>
      <c r="H3515">
        <v>66</v>
      </c>
      <c r="I3515" s="1" t="s">
        <v>11063</v>
      </c>
      <c r="J3515" s="11">
        <v>44729.706458333334</v>
      </c>
      <c r="K3515" s="1" t="s">
        <v>2260</v>
      </c>
      <c r="L3515" s="1">
        <v>0.83</v>
      </c>
      <c r="M3515" s="1">
        <v>0.54600000000000004</v>
      </c>
      <c r="N3515">
        <v>1</v>
      </c>
      <c r="O3515" s="1">
        <v>-5.7160000000000002</v>
      </c>
      <c r="P3515">
        <v>1</v>
      </c>
      <c r="Q3515" s="1">
        <v>0.29499999999999998</v>
      </c>
      <c r="R3515" s="1">
        <v>0.22700000000000001</v>
      </c>
      <c r="S3515" s="1">
        <v>0</v>
      </c>
      <c r="T3515" s="1">
        <v>0.112</v>
      </c>
      <c r="U3515" s="1">
        <v>0.53500000000000003</v>
      </c>
      <c r="V3515" s="1">
        <v>182.97300000000001</v>
      </c>
      <c r="W3515">
        <v>4</v>
      </c>
    </row>
    <row r="3516" spans="1:23" x14ac:dyDescent="0.25">
      <c r="A3516" s="1" t="s">
        <v>21078</v>
      </c>
      <c r="B3516" s="1" t="s">
        <v>13843</v>
      </c>
      <c r="C3516" s="1" t="s">
        <v>8683</v>
      </c>
      <c r="D3516" s="1" t="s">
        <v>14258</v>
      </c>
      <c r="E3516" s="1" t="s">
        <v>2259</v>
      </c>
      <c r="F3516" s="1" t="s">
        <v>14259</v>
      </c>
      <c r="G3516">
        <v>284200</v>
      </c>
      <c r="H3516">
        <v>86</v>
      </c>
      <c r="I3516" s="1" t="s">
        <v>11063</v>
      </c>
      <c r="J3516" s="11">
        <v>44729.706458333334</v>
      </c>
      <c r="K3516" s="1" t="s">
        <v>2260</v>
      </c>
      <c r="L3516" s="1">
        <v>0.94899999999999995</v>
      </c>
      <c r="M3516" s="1">
        <v>0.66100000000000003</v>
      </c>
      <c r="N3516">
        <v>5</v>
      </c>
      <c r="O3516" s="1">
        <v>-4.2439999999999998</v>
      </c>
      <c r="P3516">
        <v>0</v>
      </c>
      <c r="Q3516" s="1">
        <v>0.57199999999999995</v>
      </c>
      <c r="R3516" s="1">
        <v>0.30199999999999999</v>
      </c>
      <c r="S3516" s="1">
        <v>0</v>
      </c>
      <c r="T3516" s="1">
        <v>0.45400000000000001</v>
      </c>
      <c r="U3516" s="1">
        <v>0.76</v>
      </c>
      <c r="V3516" s="1">
        <v>104.504</v>
      </c>
      <c r="W3516">
        <v>4</v>
      </c>
    </row>
    <row r="3517" spans="1:23" x14ac:dyDescent="0.25">
      <c r="A3517" s="1" t="s">
        <v>21079</v>
      </c>
      <c r="B3517" s="1" t="s">
        <v>13843</v>
      </c>
      <c r="C3517" s="1" t="s">
        <v>8684</v>
      </c>
      <c r="D3517" s="1" t="s">
        <v>21080</v>
      </c>
      <c r="E3517" s="1" t="s">
        <v>2259</v>
      </c>
      <c r="F3517" s="1" t="s">
        <v>21081</v>
      </c>
      <c r="G3517">
        <v>322226</v>
      </c>
      <c r="H3517">
        <v>78</v>
      </c>
      <c r="I3517" s="1" t="s">
        <v>11063</v>
      </c>
      <c r="J3517" s="11">
        <v>44729.706458333334</v>
      </c>
      <c r="K3517" s="1" t="s">
        <v>2260</v>
      </c>
      <c r="L3517" s="1">
        <v>0.68600000000000005</v>
      </c>
      <c r="M3517" s="1">
        <v>0.73499999999999999</v>
      </c>
      <c r="N3517">
        <v>2</v>
      </c>
      <c r="O3517" s="1">
        <v>-4.6159999999999997</v>
      </c>
      <c r="P3517">
        <v>1</v>
      </c>
      <c r="Q3517" s="1">
        <v>0.26400000000000001</v>
      </c>
      <c r="R3517" s="1">
        <v>0.92100000000000004</v>
      </c>
      <c r="S3517" s="1">
        <v>0.66</v>
      </c>
      <c r="T3517" s="1">
        <v>0.34200000000000003</v>
      </c>
      <c r="U3517" s="1">
        <v>0.59599999999999997</v>
      </c>
      <c r="V3517" s="1">
        <v>171.35499999999999</v>
      </c>
      <c r="W3517">
        <v>4</v>
      </c>
    </row>
    <row r="3518" spans="1:23" x14ac:dyDescent="0.25">
      <c r="A3518" s="1" t="s">
        <v>21082</v>
      </c>
      <c r="B3518" s="1" t="s">
        <v>13843</v>
      </c>
      <c r="C3518" s="1" t="s">
        <v>8685</v>
      </c>
      <c r="D3518" s="1" t="s">
        <v>5031</v>
      </c>
      <c r="E3518" s="1" t="s">
        <v>2259</v>
      </c>
      <c r="F3518" s="1" t="s">
        <v>16232</v>
      </c>
      <c r="G3518">
        <v>269554</v>
      </c>
      <c r="H3518">
        <v>75</v>
      </c>
      <c r="I3518" s="1" t="s">
        <v>11063</v>
      </c>
      <c r="J3518" s="11">
        <v>44729.706458333334</v>
      </c>
      <c r="K3518" s="1" t="s">
        <v>2260</v>
      </c>
      <c r="L3518" s="1">
        <v>0.749</v>
      </c>
      <c r="M3518" s="1">
        <v>0.79400000000000004</v>
      </c>
      <c r="N3518">
        <v>0</v>
      </c>
      <c r="O3518" s="1">
        <v>-5.0629999999999997</v>
      </c>
      <c r="P3518">
        <v>1</v>
      </c>
      <c r="Q3518" s="1">
        <v>0.64</v>
      </c>
      <c r="R3518" s="1">
        <v>0.193</v>
      </c>
      <c r="S3518" s="1">
        <v>0</v>
      </c>
      <c r="T3518" s="1">
        <v>0.54300000000000004</v>
      </c>
      <c r="U3518" s="1">
        <v>0.46</v>
      </c>
      <c r="V3518" s="1">
        <v>135.959</v>
      </c>
      <c r="W3518">
        <v>4</v>
      </c>
    </row>
    <row r="3519" spans="1:23" x14ac:dyDescent="0.25">
      <c r="A3519" s="1" t="s">
        <v>21083</v>
      </c>
      <c r="B3519" s="1" t="s">
        <v>13843</v>
      </c>
      <c r="C3519" s="1" t="s">
        <v>3546</v>
      </c>
      <c r="D3519" s="1" t="s">
        <v>21084</v>
      </c>
      <c r="E3519" s="1" t="s">
        <v>2259</v>
      </c>
      <c r="F3519" s="1" t="s">
        <v>21085</v>
      </c>
      <c r="G3519">
        <v>290320</v>
      </c>
      <c r="H3519">
        <v>87</v>
      </c>
      <c r="I3519" s="1" t="s">
        <v>11063</v>
      </c>
      <c r="J3519" s="11">
        <v>44729.706458333334</v>
      </c>
      <c r="K3519" s="1" t="s">
        <v>2260</v>
      </c>
      <c r="L3519" s="1">
        <v>0.90800000000000003</v>
      </c>
      <c r="M3519" s="1">
        <v>0.66900000000000004</v>
      </c>
      <c r="N3519">
        <v>7</v>
      </c>
      <c r="O3519" s="1">
        <v>-2.827</v>
      </c>
      <c r="P3519">
        <v>1</v>
      </c>
      <c r="Q3519" s="1">
        <v>0.73799999999999999</v>
      </c>
      <c r="R3519" s="1">
        <v>0.28599999999999998</v>
      </c>
      <c r="S3519" s="1">
        <v>0</v>
      </c>
      <c r="T3519" s="1">
        <v>0.23699999999999999</v>
      </c>
      <c r="U3519" s="1">
        <v>0.66200000000000003</v>
      </c>
      <c r="V3519" s="1">
        <v>112.238</v>
      </c>
      <c r="W3519">
        <v>4</v>
      </c>
    </row>
    <row r="3520" spans="1:23" x14ac:dyDescent="0.25">
      <c r="A3520" s="1" t="s">
        <v>21086</v>
      </c>
      <c r="B3520" s="1" t="s">
        <v>21074</v>
      </c>
      <c r="C3520" s="1" t="s">
        <v>8686</v>
      </c>
      <c r="D3520" s="1" t="s">
        <v>15445</v>
      </c>
      <c r="E3520" s="1" t="s">
        <v>8678</v>
      </c>
      <c r="F3520" s="1" t="s">
        <v>15446</v>
      </c>
      <c r="G3520">
        <v>263373</v>
      </c>
      <c r="H3520">
        <v>82</v>
      </c>
      <c r="I3520" s="1" t="s">
        <v>11063</v>
      </c>
      <c r="J3520" s="11">
        <v>44729.706458333334</v>
      </c>
      <c r="K3520" s="1" t="s">
        <v>8679</v>
      </c>
      <c r="L3520" s="1">
        <v>0.749</v>
      </c>
      <c r="M3520" s="1">
        <v>0.92500000000000004</v>
      </c>
      <c r="N3520">
        <v>10</v>
      </c>
      <c r="O3520" s="1">
        <v>-5.0339999999999998</v>
      </c>
      <c r="P3520">
        <v>1</v>
      </c>
      <c r="Q3520" s="1">
        <v>0.22700000000000001</v>
      </c>
      <c r="R3520" s="1">
        <v>0.24099999999999999</v>
      </c>
      <c r="S3520" s="1">
        <v>0</v>
      </c>
      <c r="T3520" s="1">
        <v>0.52</v>
      </c>
      <c r="U3520" s="1">
        <v>0.64100000000000001</v>
      </c>
      <c r="V3520" s="1">
        <v>86.989000000000004</v>
      </c>
      <c r="W3520">
        <v>4</v>
      </c>
    </row>
    <row r="3521" spans="1:23" x14ac:dyDescent="0.25">
      <c r="A3521" s="1" t="s">
        <v>21087</v>
      </c>
      <c r="B3521" s="1" t="s">
        <v>21088</v>
      </c>
      <c r="C3521" s="1" t="s">
        <v>8687</v>
      </c>
      <c r="D3521" s="1" t="s">
        <v>5031</v>
      </c>
      <c r="E3521" s="1" t="s">
        <v>8688</v>
      </c>
      <c r="F3521" s="1" t="s">
        <v>16232</v>
      </c>
      <c r="G3521">
        <v>244679</v>
      </c>
      <c r="H3521">
        <v>74</v>
      </c>
      <c r="I3521" s="1" t="s">
        <v>11063</v>
      </c>
      <c r="J3521" s="11">
        <v>44729.706458333334</v>
      </c>
      <c r="K3521" s="1" t="s">
        <v>8689</v>
      </c>
      <c r="L3521" s="1">
        <v>0.876</v>
      </c>
      <c r="M3521" s="1">
        <v>0.78600000000000003</v>
      </c>
      <c r="N3521">
        <v>10</v>
      </c>
      <c r="O3521" s="1">
        <v>-4.8840000000000003</v>
      </c>
      <c r="P3521">
        <v>0</v>
      </c>
      <c r="Q3521" s="1">
        <v>0.30599999999999999</v>
      </c>
      <c r="R3521" s="1">
        <v>0.627</v>
      </c>
      <c r="S3521" s="1">
        <v>0</v>
      </c>
      <c r="T3521" s="1">
        <v>0.127</v>
      </c>
      <c r="U3521" s="1">
        <v>0.57499999999999996</v>
      </c>
      <c r="V3521" s="1">
        <v>153.06800000000001</v>
      </c>
      <c r="W3521">
        <v>4</v>
      </c>
    </row>
    <row r="3522" spans="1:23" x14ac:dyDescent="0.25">
      <c r="A3522" s="1" t="s">
        <v>21089</v>
      </c>
      <c r="B3522" s="1" t="s">
        <v>21090</v>
      </c>
      <c r="C3522" s="1" t="s">
        <v>8690</v>
      </c>
      <c r="D3522" s="1" t="s">
        <v>21084</v>
      </c>
      <c r="E3522" s="1" t="s">
        <v>8691</v>
      </c>
      <c r="F3522" s="1" t="s">
        <v>21085</v>
      </c>
      <c r="G3522">
        <v>297786</v>
      </c>
      <c r="H3522">
        <v>85</v>
      </c>
      <c r="I3522" s="1" t="s">
        <v>11063</v>
      </c>
      <c r="J3522" s="11">
        <v>44729.706458333334</v>
      </c>
      <c r="K3522" s="1" t="s">
        <v>8692</v>
      </c>
      <c r="L3522" s="1">
        <v>0.54800000000000004</v>
      </c>
      <c r="M3522" s="1">
        <v>0.84699999999999998</v>
      </c>
      <c r="N3522">
        <v>1</v>
      </c>
      <c r="O3522" s="1">
        <v>-3.2370000000000001</v>
      </c>
      <c r="P3522">
        <v>1</v>
      </c>
      <c r="Q3522" s="1">
        <v>0.186</v>
      </c>
      <c r="R3522" s="1">
        <v>0.622</v>
      </c>
      <c r="S3522" s="1">
        <v>0</v>
      </c>
      <c r="T3522" s="1">
        <v>0.81599999999999995</v>
      </c>
      <c r="U3522" s="1">
        <v>0.1</v>
      </c>
      <c r="V3522" s="1">
        <v>171.447</v>
      </c>
      <c r="W3522">
        <v>4</v>
      </c>
    </row>
    <row r="3523" spans="1:23" x14ac:dyDescent="0.25">
      <c r="A3523" s="1" t="s">
        <v>21091</v>
      </c>
      <c r="B3523" s="1" t="s">
        <v>21092</v>
      </c>
      <c r="C3523" s="1" t="s">
        <v>8693</v>
      </c>
      <c r="D3523" s="1" t="s">
        <v>21093</v>
      </c>
      <c r="E3523" s="1" t="s">
        <v>8694</v>
      </c>
      <c r="F3523" s="1" t="s">
        <v>11612</v>
      </c>
      <c r="G3523">
        <v>196234</v>
      </c>
      <c r="H3523">
        <v>0</v>
      </c>
      <c r="I3523" s="1" t="s">
        <v>11063</v>
      </c>
      <c r="J3523" s="11">
        <v>44729.706458333334</v>
      </c>
      <c r="K3523" s="1" t="s">
        <v>8695</v>
      </c>
      <c r="L3523" s="1">
        <v>0.502</v>
      </c>
      <c r="M3523" s="1">
        <v>0.45800000000000002</v>
      </c>
      <c r="N3523">
        <v>2</v>
      </c>
      <c r="O3523" s="1">
        <v>-9.2940000000000005</v>
      </c>
      <c r="P3523">
        <v>1</v>
      </c>
      <c r="Q3523" s="1">
        <v>0.38300000000000001</v>
      </c>
      <c r="R3523" s="1">
        <v>0.4</v>
      </c>
      <c r="S3523" s="1">
        <v>0</v>
      </c>
      <c r="T3523" s="1">
        <v>0.91700000000000004</v>
      </c>
      <c r="U3523" s="1">
        <v>0.28899999999999998</v>
      </c>
      <c r="V3523" s="1">
        <v>75.066999999999993</v>
      </c>
      <c r="W3523">
        <v>4</v>
      </c>
    </row>
    <row r="3524" spans="1:23" x14ac:dyDescent="0.25">
      <c r="A3524" s="1" t="s">
        <v>21094</v>
      </c>
      <c r="B3524" s="1" t="s">
        <v>21092</v>
      </c>
      <c r="C3524" s="1" t="s">
        <v>8696</v>
      </c>
      <c r="D3524" s="1" t="s">
        <v>21093</v>
      </c>
      <c r="E3524" s="1" t="s">
        <v>8694</v>
      </c>
      <c r="F3524" s="1" t="s">
        <v>11612</v>
      </c>
      <c r="G3524">
        <v>200563</v>
      </c>
      <c r="H3524">
        <v>0</v>
      </c>
      <c r="I3524" s="1" t="s">
        <v>11063</v>
      </c>
      <c r="J3524" s="11">
        <v>44729.706458333334</v>
      </c>
      <c r="K3524" s="1" t="s">
        <v>8695</v>
      </c>
      <c r="L3524" s="1">
        <v>0.53100000000000003</v>
      </c>
      <c r="M3524" s="1">
        <v>0.224</v>
      </c>
      <c r="N3524">
        <v>2</v>
      </c>
      <c r="O3524" s="1">
        <v>-10.878</v>
      </c>
      <c r="P3524">
        <v>1</v>
      </c>
      <c r="Q3524" s="1">
        <v>0.29299999999999998</v>
      </c>
      <c r="R3524" s="1">
        <v>0.874</v>
      </c>
      <c r="S3524" s="1">
        <v>0</v>
      </c>
      <c r="T3524" s="1">
        <v>0.111</v>
      </c>
      <c r="U3524" s="1">
        <v>0.27600000000000002</v>
      </c>
      <c r="V3524" s="1">
        <v>74.98</v>
      </c>
      <c r="W3524">
        <v>4</v>
      </c>
    </row>
    <row r="3525" spans="1:23" x14ac:dyDescent="0.25">
      <c r="A3525" s="1" t="s">
        <v>21095</v>
      </c>
      <c r="B3525" s="1" t="s">
        <v>14219</v>
      </c>
      <c r="C3525" s="1" t="s">
        <v>8697</v>
      </c>
      <c r="D3525" s="1" t="s">
        <v>8697</v>
      </c>
      <c r="E3525" s="1" t="s">
        <v>2579</v>
      </c>
      <c r="F3525" s="1" t="s">
        <v>13520</v>
      </c>
      <c r="G3525">
        <v>197589</v>
      </c>
      <c r="H3525">
        <v>41</v>
      </c>
      <c r="I3525" s="1" t="s">
        <v>11063</v>
      </c>
      <c r="J3525" s="11">
        <v>44729.706458333334</v>
      </c>
      <c r="K3525" s="1" t="s">
        <v>2580</v>
      </c>
      <c r="L3525" s="1">
        <v>0.59799999999999998</v>
      </c>
      <c r="M3525" s="1">
        <v>0.46800000000000003</v>
      </c>
      <c r="N3525">
        <v>9</v>
      </c>
      <c r="O3525" s="1">
        <v>-6.25</v>
      </c>
      <c r="P3525">
        <v>0</v>
      </c>
      <c r="Q3525" s="1">
        <v>0.19500000000000001</v>
      </c>
      <c r="R3525" s="1">
        <v>0.27</v>
      </c>
      <c r="S3525" s="1">
        <v>0.24299999999999999</v>
      </c>
      <c r="T3525" s="1">
        <v>0.109</v>
      </c>
      <c r="U3525" s="1">
        <v>0.79700000000000004</v>
      </c>
      <c r="V3525" s="1">
        <v>179.91</v>
      </c>
      <c r="W3525">
        <v>4</v>
      </c>
    </row>
    <row r="3526" spans="1:23" x14ac:dyDescent="0.25">
      <c r="A3526" s="1" t="s">
        <v>21096</v>
      </c>
      <c r="B3526" s="1" t="s">
        <v>14219</v>
      </c>
      <c r="C3526" s="1" t="s">
        <v>8698</v>
      </c>
      <c r="D3526" s="1" t="s">
        <v>21097</v>
      </c>
      <c r="E3526" s="1" t="s">
        <v>2579</v>
      </c>
      <c r="F3526" s="1" t="s">
        <v>11492</v>
      </c>
      <c r="G3526">
        <v>180196</v>
      </c>
      <c r="H3526">
        <v>44</v>
      </c>
      <c r="I3526" s="1" t="s">
        <v>11063</v>
      </c>
      <c r="J3526" s="11">
        <v>44729.706458333334</v>
      </c>
      <c r="K3526" s="1" t="s">
        <v>2580</v>
      </c>
      <c r="L3526" s="1">
        <v>0.75800000000000001</v>
      </c>
      <c r="M3526" s="1">
        <v>0.72099999999999997</v>
      </c>
      <c r="N3526">
        <v>8</v>
      </c>
      <c r="O3526" s="1">
        <v>-6.2910000000000004</v>
      </c>
      <c r="P3526">
        <v>0</v>
      </c>
      <c r="Q3526" s="1">
        <v>0.58199999999999996</v>
      </c>
      <c r="R3526" s="1">
        <v>0.10299999999999999</v>
      </c>
      <c r="S3526" s="1">
        <v>0.35399999999999998</v>
      </c>
      <c r="T3526" s="1">
        <v>0.38100000000000001</v>
      </c>
      <c r="U3526" s="1">
        <v>0.72799999999999998</v>
      </c>
      <c r="V3526" s="1">
        <v>116.908</v>
      </c>
      <c r="W3526">
        <v>4</v>
      </c>
    </row>
    <row r="3527" spans="1:23" x14ac:dyDescent="0.25">
      <c r="A3527" s="1" t="s">
        <v>21098</v>
      </c>
      <c r="B3527" s="1" t="s">
        <v>14219</v>
      </c>
      <c r="C3527" s="1" t="s">
        <v>8699</v>
      </c>
      <c r="D3527" s="1" t="s">
        <v>8699</v>
      </c>
      <c r="E3527" s="1" t="s">
        <v>2579</v>
      </c>
      <c r="F3527" s="1" t="s">
        <v>13509</v>
      </c>
      <c r="G3527">
        <v>228559</v>
      </c>
      <c r="H3527">
        <v>49</v>
      </c>
      <c r="I3527" s="1" t="s">
        <v>11063</v>
      </c>
      <c r="J3527" s="11">
        <v>44729.706458333334</v>
      </c>
      <c r="K3527" s="1" t="s">
        <v>2580</v>
      </c>
      <c r="L3527" s="1">
        <v>0.41799999999999998</v>
      </c>
      <c r="M3527" s="1">
        <v>0.68799999999999994</v>
      </c>
      <c r="N3527">
        <v>7</v>
      </c>
      <c r="O3527" s="1">
        <v>-5.6369999999999996</v>
      </c>
      <c r="P3527">
        <v>0</v>
      </c>
      <c r="Q3527" s="1">
        <v>0.10199999999999999</v>
      </c>
      <c r="R3527" s="1">
        <v>0.42199999999999999</v>
      </c>
      <c r="S3527" s="1">
        <v>0.89800000000000002</v>
      </c>
      <c r="T3527" s="1">
        <v>0.42499999999999999</v>
      </c>
      <c r="U3527" s="1">
        <v>0.53500000000000003</v>
      </c>
      <c r="V3527" s="1">
        <v>170.178</v>
      </c>
      <c r="W3527">
        <v>4</v>
      </c>
    </row>
    <row r="3528" spans="1:23" x14ac:dyDescent="0.25">
      <c r="A3528" s="1" t="s">
        <v>21099</v>
      </c>
      <c r="B3528" s="1" t="s">
        <v>14219</v>
      </c>
      <c r="C3528" s="1" t="s">
        <v>8700</v>
      </c>
      <c r="D3528" s="1" t="s">
        <v>8700</v>
      </c>
      <c r="E3528" s="1" t="s">
        <v>2579</v>
      </c>
      <c r="F3528" s="1" t="s">
        <v>11434</v>
      </c>
      <c r="G3528">
        <v>196340</v>
      </c>
      <c r="H3528">
        <v>53</v>
      </c>
      <c r="I3528" s="1" t="s">
        <v>11063</v>
      </c>
      <c r="J3528" s="11">
        <v>44729.706458333334</v>
      </c>
      <c r="K3528" s="1" t="s">
        <v>2580</v>
      </c>
      <c r="L3528" s="1">
        <v>0.71899999999999997</v>
      </c>
      <c r="M3528" s="1">
        <v>0.44</v>
      </c>
      <c r="N3528">
        <v>6</v>
      </c>
      <c r="O3528" s="1">
        <v>-6.266</v>
      </c>
      <c r="P3528">
        <v>0</v>
      </c>
      <c r="Q3528" s="1">
        <v>0.16600000000000001</v>
      </c>
      <c r="R3528" s="1">
        <v>0.36399999999999999</v>
      </c>
      <c r="S3528" s="1">
        <v>0</v>
      </c>
      <c r="T3528" s="1">
        <v>0.16300000000000001</v>
      </c>
      <c r="U3528" s="1">
        <v>0.505</v>
      </c>
      <c r="V3528" s="1">
        <v>133.01300000000001</v>
      </c>
      <c r="W3528">
        <v>4</v>
      </c>
    </row>
    <row r="3529" spans="1:23" x14ac:dyDescent="0.25">
      <c r="A3529" s="1" t="s">
        <v>21100</v>
      </c>
      <c r="B3529" s="1" t="s">
        <v>11184</v>
      </c>
      <c r="C3529" s="1" t="s">
        <v>8701</v>
      </c>
      <c r="D3529" s="1" t="s">
        <v>17863</v>
      </c>
      <c r="E3529" s="1" t="s">
        <v>2057</v>
      </c>
      <c r="F3529" s="1" t="s">
        <v>17793</v>
      </c>
      <c r="G3529">
        <v>227200</v>
      </c>
      <c r="H3529">
        <v>48</v>
      </c>
      <c r="I3529" s="1" t="s">
        <v>11063</v>
      </c>
      <c r="J3529" s="11">
        <v>44729.706458333334</v>
      </c>
      <c r="K3529" s="1" t="s">
        <v>50</v>
      </c>
      <c r="L3529" s="1">
        <v>0.65700000000000003</v>
      </c>
      <c r="M3529" s="1">
        <v>0.84199999999999997</v>
      </c>
      <c r="N3529">
        <v>0</v>
      </c>
      <c r="O3529" s="1">
        <v>-5.26</v>
      </c>
      <c r="P3529">
        <v>1</v>
      </c>
      <c r="Q3529" s="1">
        <v>0.68</v>
      </c>
      <c r="R3529" s="1">
        <v>0.51</v>
      </c>
      <c r="S3529" s="1">
        <v>0.27700000000000002</v>
      </c>
      <c r="T3529" s="1">
        <v>0.223</v>
      </c>
      <c r="U3529" s="1">
        <v>0.59399999999999997</v>
      </c>
      <c r="V3529" s="1">
        <v>74.995000000000005</v>
      </c>
      <c r="W3529">
        <v>4</v>
      </c>
    </row>
    <row r="3530" spans="1:23" x14ac:dyDescent="0.25">
      <c r="A3530" s="1" t="s">
        <v>21101</v>
      </c>
      <c r="B3530" s="1" t="s">
        <v>21102</v>
      </c>
      <c r="C3530" s="1" t="s">
        <v>8702</v>
      </c>
      <c r="D3530" s="1" t="s">
        <v>21103</v>
      </c>
      <c r="E3530" s="1" t="s">
        <v>8703</v>
      </c>
      <c r="F3530" s="1" t="s">
        <v>21104</v>
      </c>
      <c r="G3530">
        <v>248038</v>
      </c>
      <c r="H3530">
        <v>26</v>
      </c>
      <c r="I3530" s="1" t="s">
        <v>11063</v>
      </c>
      <c r="J3530" s="11">
        <v>44729.706458333334</v>
      </c>
      <c r="K3530" s="1" t="s">
        <v>5441</v>
      </c>
      <c r="L3530" s="1">
        <v>0.40799999999999997</v>
      </c>
      <c r="M3530" s="1">
        <v>0.64900000000000002</v>
      </c>
      <c r="N3530">
        <v>4</v>
      </c>
      <c r="O3530" s="1">
        <v>-5.5750000000000002</v>
      </c>
      <c r="P3530">
        <v>0</v>
      </c>
      <c r="Q3530" s="1">
        <v>0.28599999999999998</v>
      </c>
      <c r="R3530" s="1">
        <v>0.308</v>
      </c>
      <c r="S3530" s="1">
        <v>0.11899999999999999</v>
      </c>
      <c r="T3530" s="1">
        <v>0.436</v>
      </c>
      <c r="U3530" s="1">
        <v>0.35099999999999998</v>
      </c>
      <c r="V3530" s="1">
        <v>69.959000000000003</v>
      </c>
      <c r="W3530">
        <v>4</v>
      </c>
    </row>
    <row r="3531" spans="1:23" x14ac:dyDescent="0.25">
      <c r="A3531" s="1" t="s">
        <v>21105</v>
      </c>
      <c r="B3531" s="1" t="s">
        <v>21106</v>
      </c>
      <c r="C3531" s="1" t="s">
        <v>8704</v>
      </c>
      <c r="D3531" s="1" t="s">
        <v>8704</v>
      </c>
      <c r="E3531" s="1" t="s">
        <v>8705</v>
      </c>
      <c r="F3531" s="1" t="s">
        <v>13644</v>
      </c>
      <c r="G3531">
        <v>241040</v>
      </c>
      <c r="H3531">
        <v>44</v>
      </c>
      <c r="I3531" s="1" t="s">
        <v>11063</v>
      </c>
      <c r="J3531" s="11">
        <v>44729.706458333334</v>
      </c>
      <c r="K3531" s="1" t="s">
        <v>8706</v>
      </c>
      <c r="L3531" s="1">
        <v>0.67200000000000004</v>
      </c>
      <c r="M3531" s="1">
        <v>0.64700000000000002</v>
      </c>
      <c r="N3531">
        <v>1</v>
      </c>
      <c r="O3531" s="1">
        <v>-6.2640000000000002</v>
      </c>
      <c r="P3531">
        <v>1</v>
      </c>
      <c r="Q3531" s="1">
        <v>0.314</v>
      </c>
      <c r="R3531" s="1">
        <v>0.53300000000000003</v>
      </c>
      <c r="S3531" s="1">
        <v>0.93200000000000005</v>
      </c>
      <c r="T3531" s="1">
        <v>0.122</v>
      </c>
      <c r="U3531" s="1">
        <v>0.23699999999999999</v>
      </c>
      <c r="V3531" s="1">
        <v>99.994</v>
      </c>
      <c r="W3531">
        <v>4</v>
      </c>
    </row>
    <row r="3532" spans="1:23" x14ac:dyDescent="0.25">
      <c r="A3532" s="1" t="s">
        <v>21107</v>
      </c>
      <c r="B3532" s="1" t="s">
        <v>14003</v>
      </c>
      <c r="C3532" s="1" t="s">
        <v>8707</v>
      </c>
      <c r="D3532" s="1" t="s">
        <v>2404</v>
      </c>
      <c r="E3532" s="1" t="s">
        <v>2404</v>
      </c>
      <c r="F3532" s="1" t="s">
        <v>14004</v>
      </c>
      <c r="G3532">
        <v>189428</v>
      </c>
      <c r="H3532">
        <v>38</v>
      </c>
      <c r="I3532" s="1" t="s">
        <v>11063</v>
      </c>
      <c r="J3532" s="11">
        <v>44729.706458333334</v>
      </c>
      <c r="K3532" s="1" t="s">
        <v>2405</v>
      </c>
      <c r="L3532" s="1">
        <v>0.49099999999999999</v>
      </c>
      <c r="M3532" s="1">
        <v>0.63400000000000001</v>
      </c>
      <c r="N3532">
        <v>9</v>
      </c>
      <c r="O3532" s="1">
        <v>-4.3360000000000003</v>
      </c>
      <c r="P3532">
        <v>0</v>
      </c>
      <c r="Q3532" s="1">
        <v>0.27300000000000002</v>
      </c>
      <c r="R3532" s="1">
        <v>0.73399999999999999</v>
      </c>
      <c r="S3532" s="1">
        <v>0</v>
      </c>
      <c r="T3532" s="1">
        <v>0.128</v>
      </c>
      <c r="U3532" s="1">
        <v>0.109</v>
      </c>
      <c r="V3532" s="1">
        <v>139.828</v>
      </c>
      <c r="W3532">
        <v>4</v>
      </c>
    </row>
    <row r="3533" spans="1:23" x14ac:dyDescent="0.25">
      <c r="A3533" s="1" t="s">
        <v>21108</v>
      </c>
      <c r="B3533" s="1" t="s">
        <v>14003</v>
      </c>
      <c r="C3533" s="1" t="s">
        <v>7338</v>
      </c>
      <c r="D3533" s="1" t="s">
        <v>7336</v>
      </c>
      <c r="E3533" s="1" t="s">
        <v>2404</v>
      </c>
      <c r="F3533" s="1" t="s">
        <v>16199</v>
      </c>
      <c r="G3533">
        <v>240774</v>
      </c>
      <c r="H3533">
        <v>14</v>
      </c>
      <c r="I3533" s="1" t="s">
        <v>11063</v>
      </c>
      <c r="J3533" s="11">
        <v>44729.706458333334</v>
      </c>
      <c r="K3533" s="1" t="s">
        <v>2405</v>
      </c>
      <c r="L3533" s="1">
        <v>0.51200000000000001</v>
      </c>
      <c r="M3533" s="1">
        <v>0.47699999999999998</v>
      </c>
      <c r="N3533">
        <v>2</v>
      </c>
      <c r="O3533" s="1">
        <v>-9.9120000000000008</v>
      </c>
      <c r="P3533">
        <v>0</v>
      </c>
      <c r="Q3533" s="1">
        <v>0.311</v>
      </c>
      <c r="R3533" s="1">
        <v>0.26</v>
      </c>
      <c r="S3533" s="1">
        <v>0.48399999999999999</v>
      </c>
      <c r="T3533" s="1">
        <v>0.11</v>
      </c>
      <c r="U3533" s="1">
        <v>0.17399999999999999</v>
      </c>
      <c r="V3533" s="1">
        <v>120.04</v>
      </c>
      <c r="W3533">
        <v>4</v>
      </c>
    </row>
    <row r="3534" spans="1:23" x14ac:dyDescent="0.25">
      <c r="A3534" s="1" t="s">
        <v>21109</v>
      </c>
      <c r="B3534" s="1" t="s">
        <v>13492</v>
      </c>
      <c r="C3534" s="1" t="s">
        <v>3267</v>
      </c>
      <c r="D3534" s="1" t="s">
        <v>21110</v>
      </c>
      <c r="E3534" s="1" t="s">
        <v>1960</v>
      </c>
      <c r="F3534" s="1" t="s">
        <v>11356</v>
      </c>
      <c r="G3534">
        <v>220540</v>
      </c>
      <c r="H3534">
        <v>73</v>
      </c>
      <c r="I3534" s="1" t="s">
        <v>11063</v>
      </c>
      <c r="J3534" s="11">
        <v>44729.706458333334</v>
      </c>
      <c r="K3534" s="1" t="s">
        <v>1961</v>
      </c>
      <c r="L3534" s="1">
        <v>0.51300000000000001</v>
      </c>
      <c r="M3534" s="1">
        <v>0.25</v>
      </c>
      <c r="N3534">
        <v>5</v>
      </c>
      <c r="O3534" s="1">
        <v>-9.3759999999999994</v>
      </c>
      <c r="P3534">
        <v>0</v>
      </c>
      <c r="Q3534" s="1">
        <v>0.36699999999999999</v>
      </c>
      <c r="R3534" s="1">
        <v>0.91300000000000003</v>
      </c>
      <c r="S3534" s="1">
        <v>0</v>
      </c>
      <c r="T3534" s="1">
        <v>0.11700000000000001</v>
      </c>
      <c r="U3534" s="1">
        <v>0.35099999999999998</v>
      </c>
      <c r="V3534" s="1">
        <v>74.102999999999994</v>
      </c>
      <c r="W3534">
        <v>4</v>
      </c>
    </row>
    <row r="3535" spans="1:23" x14ac:dyDescent="0.25">
      <c r="A3535" s="1" t="s">
        <v>21111</v>
      </c>
      <c r="B3535" s="1" t="s">
        <v>21112</v>
      </c>
      <c r="C3535" s="1" t="s">
        <v>8708</v>
      </c>
      <c r="D3535" s="1" t="s">
        <v>21113</v>
      </c>
      <c r="E3535" s="1" t="s">
        <v>8709</v>
      </c>
      <c r="F3535" s="1" t="s">
        <v>14207</v>
      </c>
      <c r="G3535">
        <v>268866</v>
      </c>
      <c r="H3535">
        <v>76</v>
      </c>
      <c r="I3535" s="1" t="s">
        <v>11063</v>
      </c>
      <c r="J3535" s="11">
        <v>44729.706458333334</v>
      </c>
      <c r="K3535" s="1" t="s">
        <v>8710</v>
      </c>
      <c r="L3535" s="1">
        <v>0.58899999999999997</v>
      </c>
      <c r="M3535" s="1">
        <v>0.73099999999999998</v>
      </c>
      <c r="N3535">
        <v>2</v>
      </c>
      <c r="O3535" s="1">
        <v>-6.343</v>
      </c>
      <c r="P3535">
        <v>1</v>
      </c>
      <c r="Q3535" s="1">
        <v>0.86799999999999999</v>
      </c>
      <c r="R3535" s="1">
        <v>0.53400000000000003</v>
      </c>
      <c r="S3535" s="1">
        <v>0</v>
      </c>
      <c r="T3535" s="1">
        <v>0.308</v>
      </c>
      <c r="U3535" s="1">
        <v>0.191</v>
      </c>
      <c r="V3535" s="1">
        <v>87.908000000000001</v>
      </c>
      <c r="W3535">
        <v>4</v>
      </c>
    </row>
    <row r="3536" spans="1:23" x14ac:dyDescent="0.25">
      <c r="A3536" s="1" t="s">
        <v>21114</v>
      </c>
      <c r="B3536" s="1" t="s">
        <v>13492</v>
      </c>
      <c r="C3536" s="1" t="s">
        <v>8711</v>
      </c>
      <c r="D3536" s="1" t="s">
        <v>21110</v>
      </c>
      <c r="E3536" s="1" t="s">
        <v>1960</v>
      </c>
      <c r="F3536" s="1" t="s">
        <v>11356</v>
      </c>
      <c r="G3536">
        <v>181279</v>
      </c>
      <c r="H3536">
        <v>73</v>
      </c>
      <c r="I3536" s="1" t="s">
        <v>11063</v>
      </c>
      <c r="J3536" s="11">
        <v>44729.706458333334</v>
      </c>
      <c r="K3536" s="1" t="s">
        <v>1961</v>
      </c>
      <c r="L3536" s="1">
        <v>0.67500000000000004</v>
      </c>
      <c r="M3536" s="1">
        <v>0.751</v>
      </c>
      <c r="N3536">
        <v>0</v>
      </c>
      <c r="O3536" s="1">
        <v>-3.5390000000000001</v>
      </c>
      <c r="P3536">
        <v>1</v>
      </c>
      <c r="Q3536" s="1">
        <v>0.29599999999999999</v>
      </c>
      <c r="R3536" s="1">
        <v>0.60399999999999998</v>
      </c>
      <c r="S3536" s="1">
        <v>0</v>
      </c>
      <c r="T3536" s="1">
        <v>0.89300000000000002</v>
      </c>
      <c r="U3536" s="1">
        <v>0.61199999999999999</v>
      </c>
      <c r="V3536" s="1">
        <v>118.384</v>
      </c>
      <c r="W3536">
        <v>4</v>
      </c>
    </row>
    <row r="3537" spans="1:23" x14ac:dyDescent="0.25">
      <c r="A3537" s="1" t="s">
        <v>21115</v>
      </c>
      <c r="B3537" s="1" t="s">
        <v>21116</v>
      </c>
      <c r="C3537" s="1" t="s">
        <v>8712</v>
      </c>
      <c r="D3537" s="1" t="s">
        <v>21117</v>
      </c>
      <c r="E3537" s="1" t="s">
        <v>8713</v>
      </c>
      <c r="F3537" s="1" t="s">
        <v>11399</v>
      </c>
      <c r="G3537">
        <v>170769</v>
      </c>
      <c r="H3537">
        <v>74</v>
      </c>
      <c r="I3537" s="1" t="s">
        <v>11063</v>
      </c>
      <c r="J3537" s="11">
        <v>44729.706458333334</v>
      </c>
      <c r="K3537" s="1" t="s">
        <v>8714</v>
      </c>
      <c r="L3537" s="1">
        <v>0.63200000000000001</v>
      </c>
      <c r="M3537" s="1">
        <v>0.68600000000000005</v>
      </c>
      <c r="N3537">
        <v>6</v>
      </c>
      <c r="O3537" s="1">
        <v>-7.665</v>
      </c>
      <c r="P3537">
        <v>0</v>
      </c>
      <c r="Q3537" s="1">
        <v>0.24299999999999999</v>
      </c>
      <c r="R3537" s="1">
        <v>0.54900000000000004</v>
      </c>
      <c r="S3537" s="1">
        <v>0</v>
      </c>
      <c r="T3537" s="1">
        <v>0.2</v>
      </c>
      <c r="U3537" s="1">
        <v>0.32900000000000001</v>
      </c>
      <c r="V3537" s="1">
        <v>89.948999999999998</v>
      </c>
      <c r="W3537">
        <v>4</v>
      </c>
    </row>
    <row r="3538" spans="1:23" x14ac:dyDescent="0.25">
      <c r="A3538" s="1" t="s">
        <v>21118</v>
      </c>
      <c r="B3538" s="1" t="s">
        <v>13492</v>
      </c>
      <c r="C3538" s="1" t="s">
        <v>3546</v>
      </c>
      <c r="D3538" s="1" t="s">
        <v>3546</v>
      </c>
      <c r="E3538" s="1" t="s">
        <v>1960</v>
      </c>
      <c r="F3538" s="1" t="s">
        <v>21119</v>
      </c>
      <c r="G3538">
        <v>201660</v>
      </c>
      <c r="H3538">
        <v>78</v>
      </c>
      <c r="I3538" s="1" t="s">
        <v>11063</v>
      </c>
      <c r="J3538" s="11">
        <v>44729.706458333334</v>
      </c>
      <c r="K3538" s="1" t="s">
        <v>1961</v>
      </c>
      <c r="L3538" s="1">
        <v>0.752</v>
      </c>
      <c r="M3538" s="1">
        <v>0.48799999999999999</v>
      </c>
      <c r="N3538">
        <v>6</v>
      </c>
      <c r="O3538" s="1">
        <v>-7.05</v>
      </c>
      <c r="P3538">
        <v>1</v>
      </c>
      <c r="Q3538" s="1">
        <v>0.70499999999999996</v>
      </c>
      <c r="R3538" s="1">
        <v>0.29699999999999999</v>
      </c>
      <c r="S3538" s="1">
        <v>0.91100000000000003</v>
      </c>
      <c r="T3538" s="1">
        <v>0.93600000000000005</v>
      </c>
      <c r="U3538" s="1">
        <v>0.53300000000000003</v>
      </c>
      <c r="V3538" s="1">
        <v>136.041</v>
      </c>
      <c r="W3538">
        <v>4</v>
      </c>
    </row>
    <row r="3539" spans="1:23" x14ac:dyDescent="0.25">
      <c r="A3539" s="1" t="s">
        <v>21120</v>
      </c>
      <c r="B3539" s="1" t="s">
        <v>15502</v>
      </c>
      <c r="C3539" s="1" t="s">
        <v>8715</v>
      </c>
      <c r="D3539" s="1" t="s">
        <v>21121</v>
      </c>
      <c r="E3539" s="1" t="s">
        <v>3729</v>
      </c>
      <c r="F3539" s="1" t="s">
        <v>17226</v>
      </c>
      <c r="G3539">
        <v>188493</v>
      </c>
      <c r="H3539">
        <v>55</v>
      </c>
      <c r="I3539" s="1" t="s">
        <v>11063</v>
      </c>
      <c r="J3539" s="11">
        <v>44729.706458333334</v>
      </c>
      <c r="K3539" s="1" t="s">
        <v>3730</v>
      </c>
      <c r="L3539" s="1">
        <v>0.74099999999999999</v>
      </c>
      <c r="M3539" s="1">
        <v>0.626</v>
      </c>
      <c r="N3539">
        <v>1</v>
      </c>
      <c r="O3539" s="1">
        <v>-4.8259999999999996</v>
      </c>
      <c r="P3539">
        <v>0</v>
      </c>
      <c r="Q3539" s="1">
        <v>0.88600000000000001</v>
      </c>
      <c r="R3539" s="1">
        <v>0.2</v>
      </c>
      <c r="S3539" s="1">
        <v>0</v>
      </c>
      <c r="T3539" s="1">
        <v>0.82799999999999996</v>
      </c>
      <c r="U3539" s="1">
        <v>0.70599999999999996</v>
      </c>
      <c r="V3539" s="1">
        <v>108.029</v>
      </c>
      <c r="W3539">
        <v>4</v>
      </c>
    </row>
    <row r="3540" spans="1:23" x14ac:dyDescent="0.25">
      <c r="A3540" s="1" t="s">
        <v>21122</v>
      </c>
      <c r="B3540" s="1" t="s">
        <v>15502</v>
      </c>
      <c r="C3540" s="1" t="s">
        <v>8716</v>
      </c>
      <c r="D3540" s="1" t="s">
        <v>21121</v>
      </c>
      <c r="E3540" s="1" t="s">
        <v>3729</v>
      </c>
      <c r="F3540" s="1" t="s">
        <v>17226</v>
      </c>
      <c r="G3540">
        <v>254506</v>
      </c>
      <c r="H3540">
        <v>63</v>
      </c>
      <c r="I3540" s="1" t="s">
        <v>11063</v>
      </c>
      <c r="J3540" s="11">
        <v>44729.706458333334</v>
      </c>
      <c r="K3540" s="1" t="s">
        <v>3730</v>
      </c>
      <c r="L3540" s="1">
        <v>0.38900000000000001</v>
      </c>
      <c r="M3540" s="1">
        <v>0.373</v>
      </c>
      <c r="N3540">
        <v>6</v>
      </c>
      <c r="O3540" s="1">
        <v>-5.72</v>
      </c>
      <c r="P3540">
        <v>1</v>
      </c>
      <c r="Q3540" s="1">
        <v>0.47</v>
      </c>
      <c r="R3540" s="1">
        <v>0.92800000000000005</v>
      </c>
      <c r="S3540" s="1">
        <v>0</v>
      </c>
      <c r="T3540" s="1">
        <v>0.14599999999999999</v>
      </c>
      <c r="U3540" s="1">
        <v>0.28299999999999997</v>
      </c>
      <c r="V3540" s="1">
        <v>90.289000000000001</v>
      </c>
      <c r="W3540">
        <v>4</v>
      </c>
    </row>
    <row r="3541" spans="1:23" x14ac:dyDescent="0.25">
      <c r="A3541" s="1" t="s">
        <v>21123</v>
      </c>
      <c r="B3541" s="1" t="s">
        <v>15502</v>
      </c>
      <c r="C3541" s="1" t="s">
        <v>3653</v>
      </c>
      <c r="D3541" s="1" t="s">
        <v>21121</v>
      </c>
      <c r="E3541" s="1" t="s">
        <v>3729</v>
      </c>
      <c r="F3541" s="1" t="s">
        <v>17226</v>
      </c>
      <c r="G3541">
        <v>199453</v>
      </c>
      <c r="H3541">
        <v>64</v>
      </c>
      <c r="I3541" s="1" t="s">
        <v>11063</v>
      </c>
      <c r="J3541" s="11">
        <v>44729.706458333334</v>
      </c>
      <c r="K3541" s="1" t="s">
        <v>3730</v>
      </c>
      <c r="L3541" s="1">
        <v>0.376</v>
      </c>
      <c r="M3541" s="1">
        <v>0.82199999999999995</v>
      </c>
      <c r="N3541">
        <v>0</v>
      </c>
      <c r="O3541" s="1">
        <v>-3.9740000000000002</v>
      </c>
      <c r="P3541">
        <v>1</v>
      </c>
      <c r="Q3541" s="1">
        <v>0.104</v>
      </c>
      <c r="R3541" s="1">
        <v>0.78300000000000003</v>
      </c>
      <c r="S3541" s="1">
        <v>0</v>
      </c>
      <c r="T3541" s="1">
        <v>0.84099999999999997</v>
      </c>
      <c r="U3541" s="1">
        <v>0.32700000000000001</v>
      </c>
      <c r="V3541" s="1">
        <v>120.49299999999999</v>
      </c>
      <c r="W3541">
        <v>4</v>
      </c>
    </row>
    <row r="3542" spans="1:23" x14ac:dyDescent="0.25">
      <c r="A3542" s="1" t="s">
        <v>21124</v>
      </c>
      <c r="B3542" s="1" t="s">
        <v>21125</v>
      </c>
      <c r="C3542" s="1" t="s">
        <v>3794</v>
      </c>
      <c r="D3542" s="1" t="s">
        <v>3794</v>
      </c>
      <c r="E3542" s="1" t="s">
        <v>8717</v>
      </c>
      <c r="F3542" s="1" t="s">
        <v>13449</v>
      </c>
      <c r="G3542">
        <v>210090</v>
      </c>
      <c r="H3542">
        <v>76</v>
      </c>
      <c r="I3542" s="1" t="s">
        <v>11063</v>
      </c>
      <c r="J3542" s="11">
        <v>44729.706458333334</v>
      </c>
      <c r="K3542" s="1" t="s">
        <v>8718</v>
      </c>
      <c r="L3542" s="1">
        <v>0.69</v>
      </c>
      <c r="M3542" s="1">
        <v>0.622</v>
      </c>
      <c r="N3542">
        <v>5</v>
      </c>
      <c r="O3542" s="1">
        <v>-5.0250000000000004</v>
      </c>
      <c r="P3542">
        <v>0</v>
      </c>
      <c r="Q3542" s="1">
        <v>0.622</v>
      </c>
      <c r="R3542" s="1">
        <v>0.253</v>
      </c>
      <c r="S3542" s="1">
        <v>0</v>
      </c>
      <c r="T3542" s="1">
        <v>0.11600000000000001</v>
      </c>
      <c r="U3542" s="1">
        <v>0.54400000000000004</v>
      </c>
      <c r="V3542" s="1">
        <v>102.04</v>
      </c>
      <c r="W3542">
        <v>4</v>
      </c>
    </row>
    <row r="3543" spans="1:23" x14ac:dyDescent="0.25">
      <c r="A3543" s="1" t="s">
        <v>21126</v>
      </c>
      <c r="B3543" s="1" t="s">
        <v>21127</v>
      </c>
      <c r="C3543" s="1" t="s">
        <v>8719</v>
      </c>
      <c r="D3543" s="1" t="s">
        <v>15850</v>
      </c>
      <c r="E3543" s="1" t="s">
        <v>8720</v>
      </c>
      <c r="F3543" s="1" t="s">
        <v>15851</v>
      </c>
      <c r="G3543">
        <v>217613</v>
      </c>
      <c r="H3543">
        <v>56</v>
      </c>
      <c r="I3543" s="1" t="s">
        <v>11063</v>
      </c>
      <c r="J3543" s="11">
        <v>44729.706458333334</v>
      </c>
      <c r="K3543" s="1" t="s">
        <v>8721</v>
      </c>
      <c r="L3543" s="1">
        <v>0.57199999999999995</v>
      </c>
      <c r="M3543" s="1">
        <v>0.53</v>
      </c>
      <c r="N3543">
        <v>6</v>
      </c>
      <c r="O3543" s="1">
        <v>-8.5210000000000008</v>
      </c>
      <c r="P3543">
        <v>0</v>
      </c>
      <c r="Q3543" s="1">
        <v>0.65400000000000003</v>
      </c>
      <c r="R3543" s="1">
        <v>0.64700000000000002</v>
      </c>
      <c r="S3543" s="1">
        <v>0.16900000000000001</v>
      </c>
      <c r="T3543" s="1">
        <v>0.127</v>
      </c>
      <c r="U3543" s="1">
        <v>0.12</v>
      </c>
      <c r="V3543" s="1">
        <v>170.13800000000001</v>
      </c>
      <c r="W3543">
        <v>4</v>
      </c>
    </row>
    <row r="3544" spans="1:23" x14ac:dyDescent="0.25">
      <c r="A3544" s="1" t="s">
        <v>21128</v>
      </c>
      <c r="B3544" s="1" t="s">
        <v>14545</v>
      </c>
      <c r="C3544" s="1" t="s">
        <v>8722</v>
      </c>
      <c r="D3544" s="1" t="s">
        <v>15850</v>
      </c>
      <c r="E3544" s="1" t="s">
        <v>2872</v>
      </c>
      <c r="F3544" s="1" t="s">
        <v>15851</v>
      </c>
      <c r="G3544">
        <v>207520</v>
      </c>
      <c r="H3544">
        <v>53</v>
      </c>
      <c r="I3544" s="1" t="s">
        <v>11063</v>
      </c>
      <c r="J3544" s="11">
        <v>44729.706458333334</v>
      </c>
      <c r="K3544" s="1" t="s">
        <v>2873</v>
      </c>
      <c r="L3544" s="1">
        <v>0.624</v>
      </c>
      <c r="M3544" s="1">
        <v>0.80600000000000005</v>
      </c>
      <c r="N3544">
        <v>1</v>
      </c>
      <c r="O3544" s="1">
        <v>-5.9569999999999999</v>
      </c>
      <c r="P3544">
        <v>1</v>
      </c>
      <c r="Q3544" s="1">
        <v>0.437</v>
      </c>
      <c r="R3544" s="1">
        <v>0.41099999999999998</v>
      </c>
      <c r="S3544" s="1">
        <v>0</v>
      </c>
      <c r="T3544" s="1">
        <v>0.872</v>
      </c>
      <c r="U3544" s="1">
        <v>0.52800000000000002</v>
      </c>
      <c r="V3544" s="1">
        <v>149.999</v>
      </c>
      <c r="W3544">
        <v>4</v>
      </c>
    </row>
    <row r="3545" spans="1:23" x14ac:dyDescent="0.25">
      <c r="A3545" s="1" t="s">
        <v>21129</v>
      </c>
      <c r="B3545" s="1" t="s">
        <v>16273</v>
      </c>
      <c r="C3545" s="1" t="s">
        <v>8723</v>
      </c>
      <c r="D3545" s="1" t="s">
        <v>8723</v>
      </c>
      <c r="E3545" s="1" t="s">
        <v>4370</v>
      </c>
      <c r="F3545" s="1" t="s">
        <v>11651</v>
      </c>
      <c r="G3545">
        <v>239711</v>
      </c>
      <c r="H3545">
        <v>58</v>
      </c>
      <c r="I3545" s="1" t="s">
        <v>11063</v>
      </c>
      <c r="J3545" s="11">
        <v>44729.706458333334</v>
      </c>
      <c r="K3545" s="1" t="s">
        <v>4371</v>
      </c>
      <c r="L3545" s="1">
        <v>0.56999999999999995</v>
      </c>
      <c r="M3545" s="1">
        <v>0.79700000000000004</v>
      </c>
      <c r="N3545">
        <v>6</v>
      </c>
      <c r="O3545" s="1">
        <v>-2.9540000000000002</v>
      </c>
      <c r="P3545">
        <v>1</v>
      </c>
      <c r="Q3545" s="1">
        <v>0.60799999999999998</v>
      </c>
      <c r="R3545" s="1">
        <v>0.47599999999999998</v>
      </c>
      <c r="S3545" s="1">
        <v>0.83299999999999996</v>
      </c>
      <c r="T3545" s="1">
        <v>0.11</v>
      </c>
      <c r="U3545" s="1">
        <v>0.21199999999999999</v>
      </c>
      <c r="V3545" s="1">
        <v>149.92500000000001</v>
      </c>
      <c r="W3545">
        <v>4</v>
      </c>
    </row>
    <row r="3546" spans="1:23" x14ac:dyDescent="0.25">
      <c r="A3546" s="1" t="s">
        <v>21130</v>
      </c>
      <c r="B3546" s="1" t="s">
        <v>21131</v>
      </c>
      <c r="C3546" s="1" t="s">
        <v>8724</v>
      </c>
      <c r="D3546" s="1" t="s">
        <v>21132</v>
      </c>
      <c r="E3546" s="1" t="s">
        <v>8725</v>
      </c>
      <c r="F3546" s="1" t="s">
        <v>15851</v>
      </c>
      <c r="G3546">
        <v>267200</v>
      </c>
      <c r="H3546">
        <v>0</v>
      </c>
      <c r="I3546" s="1" t="s">
        <v>11063</v>
      </c>
      <c r="J3546" s="11">
        <v>44729.706458333334</v>
      </c>
      <c r="K3546" s="1" t="s">
        <v>8726</v>
      </c>
      <c r="L3546" s="1">
        <v>0.48199999999999998</v>
      </c>
      <c r="M3546" s="1">
        <v>0.76900000000000002</v>
      </c>
      <c r="N3546">
        <v>6</v>
      </c>
      <c r="O3546" s="1">
        <v>-4.4729999999999999</v>
      </c>
      <c r="P3546">
        <v>1</v>
      </c>
      <c r="Q3546" s="1">
        <v>0.54900000000000004</v>
      </c>
      <c r="R3546" s="1">
        <v>0.34300000000000003</v>
      </c>
      <c r="S3546" s="1">
        <v>0.498</v>
      </c>
      <c r="T3546" s="1">
        <v>0.95299999999999996</v>
      </c>
      <c r="U3546" s="1">
        <v>0.42699999999999999</v>
      </c>
      <c r="V3546" s="1">
        <v>149.69</v>
      </c>
      <c r="W3546">
        <v>4</v>
      </c>
    </row>
    <row r="3547" spans="1:23" x14ac:dyDescent="0.25">
      <c r="A3547" s="1" t="s">
        <v>21133</v>
      </c>
      <c r="B3547" s="1" t="s">
        <v>14281</v>
      </c>
      <c r="C3547" s="1" t="s">
        <v>2631</v>
      </c>
      <c r="D3547" s="1" t="s">
        <v>14282</v>
      </c>
      <c r="E3547" s="1" t="s">
        <v>2632</v>
      </c>
      <c r="F3547" s="1" t="s">
        <v>14283</v>
      </c>
      <c r="G3547">
        <v>221894</v>
      </c>
      <c r="H3547">
        <v>0</v>
      </c>
      <c r="I3547" s="1" t="s">
        <v>11063</v>
      </c>
      <c r="J3547" s="11">
        <v>44729.706458333334</v>
      </c>
      <c r="K3547" s="1" t="s">
        <v>2633</v>
      </c>
      <c r="L3547" s="1">
        <v>0.55900000000000005</v>
      </c>
      <c r="M3547" s="1">
        <v>0.67</v>
      </c>
      <c r="N3547">
        <v>7</v>
      </c>
      <c r="O3547" s="1">
        <v>-4.9850000000000003</v>
      </c>
      <c r="P3547">
        <v>1</v>
      </c>
      <c r="Q3547" s="1">
        <v>0.47399999999999998</v>
      </c>
      <c r="R3547" s="1">
        <v>0.59199999999999997</v>
      </c>
      <c r="S3547" s="1">
        <v>0.184</v>
      </c>
      <c r="T3547" s="1">
        <v>0.17100000000000001</v>
      </c>
      <c r="U3547" s="1">
        <v>0.438</v>
      </c>
      <c r="V3547" s="1">
        <v>78.956999999999994</v>
      </c>
      <c r="W3547">
        <v>4</v>
      </c>
    </row>
    <row r="3548" spans="1:23" x14ac:dyDescent="0.25">
      <c r="A3548" s="1" t="s">
        <v>21134</v>
      </c>
      <c r="B3548" s="1" t="s">
        <v>21135</v>
      </c>
      <c r="C3548" s="1" t="s">
        <v>8727</v>
      </c>
      <c r="D3548" s="1" t="s">
        <v>17955</v>
      </c>
      <c r="E3548" s="1" t="s">
        <v>8728</v>
      </c>
      <c r="F3548" s="1" t="s">
        <v>17956</v>
      </c>
      <c r="G3548">
        <v>262521</v>
      </c>
      <c r="H3548">
        <v>0</v>
      </c>
      <c r="I3548" s="1" t="s">
        <v>11063</v>
      </c>
      <c r="J3548" s="11">
        <v>44729.706458333334</v>
      </c>
      <c r="K3548" s="1" t="s">
        <v>8729</v>
      </c>
      <c r="L3548" s="1">
        <v>0.59</v>
      </c>
      <c r="M3548" s="1">
        <v>0.53100000000000003</v>
      </c>
      <c r="N3548">
        <v>3</v>
      </c>
      <c r="O3548" s="1">
        <v>-6.8280000000000003</v>
      </c>
      <c r="P3548">
        <v>0</v>
      </c>
      <c r="Q3548" s="1">
        <v>0.32600000000000001</v>
      </c>
      <c r="R3548" s="1">
        <v>0.70399999999999996</v>
      </c>
      <c r="S3548" s="1">
        <v>0.30099999999999999</v>
      </c>
      <c r="T3548" s="1">
        <v>0.623</v>
      </c>
      <c r="U3548" s="1">
        <v>0.26600000000000001</v>
      </c>
      <c r="V3548" s="1">
        <v>75.114000000000004</v>
      </c>
      <c r="W3548">
        <v>4</v>
      </c>
    </row>
    <row r="3549" spans="1:23" x14ac:dyDescent="0.25">
      <c r="A3549" s="1" t="s">
        <v>21136</v>
      </c>
      <c r="B3549" s="1" t="s">
        <v>21137</v>
      </c>
      <c r="C3549" s="1" t="s">
        <v>8730</v>
      </c>
      <c r="D3549" s="1" t="s">
        <v>11541</v>
      </c>
      <c r="E3549" s="1" t="s">
        <v>8731</v>
      </c>
      <c r="F3549" s="1" t="s">
        <v>11542</v>
      </c>
      <c r="G3549">
        <v>282812</v>
      </c>
      <c r="H3549">
        <v>73</v>
      </c>
      <c r="I3549" s="1" t="s">
        <v>11063</v>
      </c>
      <c r="J3549" s="11">
        <v>44729.706458333334</v>
      </c>
      <c r="K3549" s="1" t="s">
        <v>8732</v>
      </c>
      <c r="L3549" s="1">
        <v>0.59299999999999997</v>
      </c>
      <c r="M3549" s="1">
        <v>0.39200000000000002</v>
      </c>
      <c r="N3549">
        <v>10</v>
      </c>
      <c r="O3549" s="1">
        <v>-6.8719999999999999</v>
      </c>
      <c r="P3549">
        <v>0</v>
      </c>
      <c r="Q3549" s="1">
        <v>0.25700000000000001</v>
      </c>
      <c r="R3549" s="1">
        <v>0.38200000000000001</v>
      </c>
      <c r="S3549" s="1">
        <v>0.114</v>
      </c>
      <c r="T3549" s="1">
        <v>0.13100000000000001</v>
      </c>
      <c r="U3549" s="1">
        <v>0.25</v>
      </c>
      <c r="V3549" s="1">
        <v>75.064999999999998</v>
      </c>
      <c r="W3549">
        <v>4</v>
      </c>
    </row>
    <row r="3550" spans="1:23" x14ac:dyDescent="0.25">
      <c r="A3550" s="1" t="s">
        <v>21138</v>
      </c>
      <c r="B3550" s="1" t="s">
        <v>17954</v>
      </c>
      <c r="C3550" s="1" t="s">
        <v>5851</v>
      </c>
      <c r="D3550" s="1" t="s">
        <v>17955</v>
      </c>
      <c r="E3550" s="1" t="s">
        <v>5852</v>
      </c>
      <c r="F3550" s="1" t="s">
        <v>17956</v>
      </c>
      <c r="G3550">
        <v>233337</v>
      </c>
      <c r="H3550">
        <v>0</v>
      </c>
      <c r="I3550" s="1" t="s">
        <v>11063</v>
      </c>
      <c r="J3550" s="11">
        <v>44729.706458333334</v>
      </c>
      <c r="K3550" s="1" t="s">
        <v>5853</v>
      </c>
      <c r="L3550" s="1">
        <v>0.49399999999999999</v>
      </c>
      <c r="M3550" s="1">
        <v>0.55900000000000005</v>
      </c>
      <c r="N3550">
        <v>0</v>
      </c>
      <c r="O3550" s="1">
        <v>-5.4450000000000003</v>
      </c>
      <c r="P3550">
        <v>1</v>
      </c>
      <c r="Q3550" s="1">
        <v>0.56499999999999995</v>
      </c>
      <c r="R3550" s="1">
        <v>0.436</v>
      </c>
      <c r="S3550" s="1">
        <v>0</v>
      </c>
      <c r="T3550" s="1">
        <v>0.16400000000000001</v>
      </c>
      <c r="U3550" s="1">
        <v>0.26400000000000001</v>
      </c>
      <c r="V3550" s="1">
        <v>119.247</v>
      </c>
      <c r="W3550">
        <v>4</v>
      </c>
    </row>
    <row r="3551" spans="1:23" x14ac:dyDescent="0.25">
      <c r="A3551" s="1" t="s">
        <v>21139</v>
      </c>
      <c r="B3551" s="1" t="s">
        <v>18130</v>
      </c>
      <c r="C3551" s="1" t="s">
        <v>8733</v>
      </c>
      <c r="D3551" s="1" t="s">
        <v>6020</v>
      </c>
      <c r="E3551" s="1" t="s">
        <v>6020</v>
      </c>
      <c r="F3551" s="1" t="s">
        <v>16174</v>
      </c>
      <c r="G3551">
        <v>208728</v>
      </c>
      <c r="H3551">
        <v>68</v>
      </c>
      <c r="I3551" s="1" t="s">
        <v>11063</v>
      </c>
      <c r="J3551" s="11">
        <v>44729.706458333334</v>
      </c>
      <c r="K3551" s="1" t="s">
        <v>6021</v>
      </c>
      <c r="L3551" s="1">
        <v>0.67500000000000004</v>
      </c>
      <c r="M3551" s="1">
        <v>0.60899999999999999</v>
      </c>
      <c r="N3551">
        <v>7</v>
      </c>
      <c r="O3551" s="1">
        <v>-5.0270000000000001</v>
      </c>
      <c r="P3551">
        <v>0</v>
      </c>
      <c r="Q3551" s="1">
        <v>0.58599999999999997</v>
      </c>
      <c r="R3551" s="1">
        <v>0.84</v>
      </c>
      <c r="S3551" s="1">
        <v>0</v>
      </c>
      <c r="T3551" s="1">
        <v>0.95699999999999996</v>
      </c>
      <c r="U3551" s="1">
        <v>0.378</v>
      </c>
      <c r="V3551" s="1">
        <v>120.039</v>
      </c>
      <c r="W3551">
        <v>4</v>
      </c>
    </row>
    <row r="3552" spans="1:23" x14ac:dyDescent="0.25">
      <c r="A3552" s="1" t="s">
        <v>21140</v>
      </c>
      <c r="B3552" s="1" t="s">
        <v>21141</v>
      </c>
      <c r="C3552" s="1" t="s">
        <v>8734</v>
      </c>
      <c r="D3552" s="1" t="s">
        <v>21142</v>
      </c>
      <c r="E3552" s="1" t="s">
        <v>8735</v>
      </c>
      <c r="F3552" s="1" t="s">
        <v>14343</v>
      </c>
      <c r="G3552">
        <v>190302</v>
      </c>
      <c r="H3552">
        <v>71</v>
      </c>
      <c r="I3552" s="1" t="s">
        <v>11063</v>
      </c>
      <c r="J3552" s="11">
        <v>44729.706458333334</v>
      </c>
      <c r="K3552" s="1" t="s">
        <v>8736</v>
      </c>
      <c r="L3552" s="1">
        <v>0.7</v>
      </c>
      <c r="M3552" s="1">
        <v>0.872</v>
      </c>
      <c r="N3552">
        <v>10</v>
      </c>
      <c r="O3552" s="1">
        <v>-5.8959999999999999</v>
      </c>
      <c r="P3552">
        <v>1</v>
      </c>
      <c r="Q3552" s="1">
        <v>0.66600000000000004</v>
      </c>
      <c r="R3552" s="1">
        <v>0.121</v>
      </c>
      <c r="S3552" s="1">
        <v>0.70799999999999996</v>
      </c>
      <c r="T3552" s="1">
        <v>0.10299999999999999</v>
      </c>
      <c r="U3552" s="1">
        <v>0.76100000000000001</v>
      </c>
      <c r="V3552" s="1">
        <v>125.03</v>
      </c>
      <c r="W3552">
        <v>4</v>
      </c>
    </row>
    <row r="3553" spans="1:23" x14ac:dyDescent="0.25">
      <c r="A3553" s="1" t="s">
        <v>21143</v>
      </c>
      <c r="B3553" s="1" t="s">
        <v>21144</v>
      </c>
      <c r="C3553" s="1" t="s">
        <v>8737</v>
      </c>
      <c r="D3553" s="1" t="s">
        <v>8737</v>
      </c>
      <c r="E3553" s="1" t="s">
        <v>8738</v>
      </c>
      <c r="F3553" s="1" t="s">
        <v>14835</v>
      </c>
      <c r="G3553">
        <v>202423</v>
      </c>
      <c r="H3553">
        <v>52</v>
      </c>
      <c r="I3553" s="1" t="s">
        <v>11063</v>
      </c>
      <c r="J3553" s="11">
        <v>44729.706458333334</v>
      </c>
      <c r="K3553" s="1" t="s">
        <v>8739</v>
      </c>
      <c r="L3553" s="1">
        <v>0.67900000000000005</v>
      </c>
      <c r="M3553" s="1">
        <v>0.82499999999999996</v>
      </c>
      <c r="N3553">
        <v>0</v>
      </c>
      <c r="O3553" s="1">
        <v>-3.7589999999999999</v>
      </c>
      <c r="P3553">
        <v>0</v>
      </c>
      <c r="Q3553" s="1">
        <v>0.44</v>
      </c>
      <c r="R3553" s="1">
        <v>0.66500000000000004</v>
      </c>
      <c r="S3553" s="1">
        <v>0</v>
      </c>
      <c r="T3553" s="1">
        <v>0.128</v>
      </c>
      <c r="U3553" s="1">
        <v>0.46600000000000003</v>
      </c>
      <c r="V3553" s="1">
        <v>119.946</v>
      </c>
      <c r="W3553">
        <v>4</v>
      </c>
    </row>
    <row r="3554" spans="1:23" x14ac:dyDescent="0.25">
      <c r="A3554" s="1" t="s">
        <v>21145</v>
      </c>
      <c r="B3554" s="1" t="s">
        <v>21146</v>
      </c>
      <c r="C3554" s="1" t="s">
        <v>8740</v>
      </c>
      <c r="D3554" s="1" t="s">
        <v>3255</v>
      </c>
      <c r="E3554" s="1" t="s">
        <v>8741</v>
      </c>
      <c r="F3554" s="1" t="s">
        <v>11677</v>
      </c>
      <c r="G3554">
        <v>215130</v>
      </c>
      <c r="H3554">
        <v>57</v>
      </c>
      <c r="I3554" s="1" t="s">
        <v>11063</v>
      </c>
      <c r="J3554" s="11">
        <v>44729.706458333334</v>
      </c>
      <c r="K3554" s="1" t="s">
        <v>8742</v>
      </c>
      <c r="L3554" s="1">
        <v>0.629</v>
      </c>
      <c r="M3554" s="1">
        <v>0.85199999999999998</v>
      </c>
      <c r="N3554">
        <v>1</v>
      </c>
      <c r="O3554" s="1">
        <v>-5.0940000000000003</v>
      </c>
      <c r="P3554">
        <v>1</v>
      </c>
      <c r="Q3554" s="1">
        <v>0.52100000000000002</v>
      </c>
      <c r="R3554" s="1">
        <v>0.86499999999999999</v>
      </c>
      <c r="S3554" s="1">
        <v>0.215</v>
      </c>
      <c r="T3554" s="1">
        <v>0.26300000000000001</v>
      </c>
      <c r="U3554" s="1">
        <v>0.41499999999999998</v>
      </c>
      <c r="V3554" s="1">
        <v>104.997</v>
      </c>
      <c r="W3554">
        <v>4</v>
      </c>
    </row>
    <row r="3555" spans="1:23" x14ac:dyDescent="0.25">
      <c r="A3555" s="1" t="s">
        <v>21147</v>
      </c>
      <c r="B3555" s="1" t="s">
        <v>21148</v>
      </c>
      <c r="C3555" s="1" t="s">
        <v>8743</v>
      </c>
      <c r="D3555" s="1" t="s">
        <v>8743</v>
      </c>
      <c r="E3555" s="1" t="s">
        <v>8744</v>
      </c>
      <c r="F3555" s="1" t="s">
        <v>19305</v>
      </c>
      <c r="G3555">
        <v>225181</v>
      </c>
      <c r="H3555">
        <v>67</v>
      </c>
      <c r="I3555" s="1" t="s">
        <v>11063</v>
      </c>
      <c r="J3555" s="11">
        <v>44729.706458333334</v>
      </c>
      <c r="K3555" s="1" t="s">
        <v>8745</v>
      </c>
      <c r="L3555" s="1">
        <v>0.86099999999999999</v>
      </c>
      <c r="M3555" s="1">
        <v>0.60199999999999998</v>
      </c>
      <c r="N3555">
        <v>2</v>
      </c>
      <c r="O3555" s="1">
        <v>-7.3140000000000001</v>
      </c>
      <c r="P3555">
        <v>0</v>
      </c>
      <c r="Q3555" s="1">
        <v>0.61699999999999999</v>
      </c>
      <c r="R3555" s="1">
        <v>0.36899999999999999</v>
      </c>
      <c r="S3555" s="1">
        <v>0.64400000000000002</v>
      </c>
      <c r="T3555" s="1">
        <v>0.751</v>
      </c>
      <c r="U3555" s="1">
        <v>0.68400000000000005</v>
      </c>
      <c r="V3555" s="1">
        <v>114.97799999999999</v>
      </c>
      <c r="W3555">
        <v>4</v>
      </c>
    </row>
    <row r="3556" spans="1:23" x14ac:dyDescent="0.25">
      <c r="A3556" s="1" t="s">
        <v>21149</v>
      </c>
      <c r="B3556" s="1" t="s">
        <v>14778</v>
      </c>
      <c r="C3556" s="1" t="s">
        <v>3064</v>
      </c>
      <c r="D3556" s="1" t="s">
        <v>3064</v>
      </c>
      <c r="E3556" s="1" t="s">
        <v>3065</v>
      </c>
      <c r="F3556" s="1" t="s">
        <v>11423</v>
      </c>
      <c r="G3556">
        <v>238991</v>
      </c>
      <c r="H3556">
        <v>57</v>
      </c>
      <c r="I3556" s="1" t="s">
        <v>11063</v>
      </c>
      <c r="J3556" s="11">
        <v>44729.706458333334</v>
      </c>
      <c r="K3556" s="1" t="s">
        <v>3066</v>
      </c>
      <c r="L3556" s="1">
        <v>0.63900000000000001</v>
      </c>
      <c r="M3556" s="1">
        <v>0.68500000000000005</v>
      </c>
      <c r="N3556">
        <v>9</v>
      </c>
      <c r="O3556" s="1">
        <v>-4.5709999999999997</v>
      </c>
      <c r="P3556">
        <v>0</v>
      </c>
      <c r="Q3556" s="1">
        <v>0.49</v>
      </c>
      <c r="R3556" s="1">
        <v>0.105</v>
      </c>
      <c r="S3556" s="1">
        <v>0</v>
      </c>
      <c r="T3556" s="1">
        <v>0.14299999999999999</v>
      </c>
      <c r="U3556" s="1">
        <v>0.36299999999999999</v>
      </c>
      <c r="V3556" s="1">
        <v>110.041</v>
      </c>
      <c r="W3556">
        <v>4</v>
      </c>
    </row>
    <row r="3557" spans="1:23" x14ac:dyDescent="0.25">
      <c r="A3557" s="1" t="s">
        <v>21150</v>
      </c>
      <c r="B3557" s="1" t="s">
        <v>16957</v>
      </c>
      <c r="C3557" s="1" t="s">
        <v>8746</v>
      </c>
      <c r="D3557" s="1" t="s">
        <v>8746</v>
      </c>
      <c r="E3557" s="1" t="s">
        <v>4956</v>
      </c>
      <c r="F3557" s="1" t="s">
        <v>13931</v>
      </c>
      <c r="G3557">
        <v>233684</v>
      </c>
      <c r="H3557">
        <v>46</v>
      </c>
      <c r="I3557" s="1" t="s">
        <v>11063</v>
      </c>
      <c r="J3557" s="11">
        <v>44729.706458333334</v>
      </c>
      <c r="K3557" s="1" t="s">
        <v>4957</v>
      </c>
      <c r="L3557" s="1">
        <v>0.33600000000000002</v>
      </c>
      <c r="M3557" s="1">
        <v>0.746</v>
      </c>
      <c r="N3557">
        <v>1</v>
      </c>
      <c r="O3557" s="1">
        <v>-4.3150000000000004</v>
      </c>
      <c r="P3557">
        <v>0</v>
      </c>
      <c r="Q3557" s="1">
        <v>0.68500000000000005</v>
      </c>
      <c r="R3557" s="1">
        <v>0.13600000000000001</v>
      </c>
      <c r="S3557" s="1">
        <v>0</v>
      </c>
      <c r="T3557" s="1">
        <v>0.73699999999999999</v>
      </c>
      <c r="U3557" s="1">
        <v>0.21</v>
      </c>
      <c r="V3557" s="1">
        <v>151.756</v>
      </c>
      <c r="W3557">
        <v>4</v>
      </c>
    </row>
    <row r="3558" spans="1:23" x14ac:dyDescent="0.25">
      <c r="A3558" s="1" t="s">
        <v>21151</v>
      </c>
      <c r="B3558" s="1" t="s">
        <v>21152</v>
      </c>
      <c r="C3558" s="1" t="s">
        <v>8747</v>
      </c>
      <c r="D3558" s="1" t="s">
        <v>16958</v>
      </c>
      <c r="E3558" s="1" t="s">
        <v>8748</v>
      </c>
      <c r="F3558" s="1" t="s">
        <v>13979</v>
      </c>
      <c r="G3558">
        <v>260903</v>
      </c>
      <c r="H3558">
        <v>53</v>
      </c>
      <c r="I3558" s="1" t="s">
        <v>11063</v>
      </c>
      <c r="J3558" s="11">
        <v>44729.706458333334</v>
      </c>
      <c r="K3558" s="1" t="s">
        <v>4957</v>
      </c>
      <c r="L3558" s="1">
        <v>0.57299999999999995</v>
      </c>
      <c r="M3558" s="1">
        <v>0.69</v>
      </c>
      <c r="N3558">
        <v>2</v>
      </c>
      <c r="O3558" s="1">
        <v>-4.9390000000000001</v>
      </c>
      <c r="P3558">
        <v>1</v>
      </c>
      <c r="Q3558" s="1">
        <v>0.39900000000000002</v>
      </c>
      <c r="R3558" s="1">
        <v>0.52300000000000002</v>
      </c>
      <c r="S3558" s="1">
        <v>0.45800000000000002</v>
      </c>
      <c r="T3558" s="1">
        <v>0.14799999999999999</v>
      </c>
      <c r="U3558" s="1">
        <v>0.34499999999999997</v>
      </c>
      <c r="V3558" s="1">
        <v>155.13800000000001</v>
      </c>
      <c r="W3558">
        <v>4</v>
      </c>
    </row>
    <row r="3559" spans="1:23" x14ac:dyDescent="0.25">
      <c r="A3559" s="1" t="s">
        <v>21153</v>
      </c>
      <c r="B3559" s="1" t="s">
        <v>16957</v>
      </c>
      <c r="C3559" s="1" t="s">
        <v>8749</v>
      </c>
      <c r="D3559" s="1" t="s">
        <v>8749</v>
      </c>
      <c r="E3559" s="1" t="s">
        <v>4956</v>
      </c>
      <c r="F3559" s="1" t="s">
        <v>21154</v>
      </c>
      <c r="G3559">
        <v>266482</v>
      </c>
      <c r="H3559">
        <v>57</v>
      </c>
      <c r="I3559" s="1" t="s">
        <v>11063</v>
      </c>
      <c r="J3559" s="11">
        <v>44729.706458333334</v>
      </c>
      <c r="K3559" s="1" t="s">
        <v>4957</v>
      </c>
      <c r="L3559" s="1">
        <v>0.747</v>
      </c>
      <c r="M3559" s="1">
        <v>0.49099999999999999</v>
      </c>
      <c r="N3559">
        <v>6</v>
      </c>
      <c r="O3559" s="1">
        <v>-6.0430000000000001</v>
      </c>
      <c r="P3559">
        <v>1</v>
      </c>
      <c r="Q3559" s="1">
        <v>0.63900000000000001</v>
      </c>
      <c r="R3559" s="1">
        <v>0.19700000000000001</v>
      </c>
      <c r="S3559" s="1">
        <v>0.17699999999999999</v>
      </c>
      <c r="T3559" s="1">
        <v>0.83699999999999997</v>
      </c>
      <c r="U3559" s="1">
        <v>0.82699999999999996</v>
      </c>
      <c r="V3559" s="1">
        <v>145.03399999999999</v>
      </c>
      <c r="W3559">
        <v>4</v>
      </c>
    </row>
    <row r="3560" spans="1:23" x14ac:dyDescent="0.25">
      <c r="A3560" s="1" t="s">
        <v>21155</v>
      </c>
      <c r="B3560" s="1" t="s">
        <v>16957</v>
      </c>
      <c r="C3560" s="1" t="s">
        <v>3601</v>
      </c>
      <c r="D3560" s="1" t="s">
        <v>3601</v>
      </c>
      <c r="E3560" s="1" t="s">
        <v>4956</v>
      </c>
      <c r="F3560" s="1" t="s">
        <v>14630</v>
      </c>
      <c r="G3560">
        <v>239853</v>
      </c>
      <c r="H3560">
        <v>62</v>
      </c>
      <c r="I3560" s="1" t="s">
        <v>11063</v>
      </c>
      <c r="J3560" s="11">
        <v>44729.706458333334</v>
      </c>
      <c r="K3560" s="1" t="s">
        <v>4957</v>
      </c>
      <c r="L3560" s="1">
        <v>0.56999999999999995</v>
      </c>
      <c r="M3560" s="1">
        <v>0.76300000000000001</v>
      </c>
      <c r="N3560">
        <v>1</v>
      </c>
      <c r="O3560" s="1">
        <v>-4.1369999999999996</v>
      </c>
      <c r="P3560">
        <v>1</v>
      </c>
      <c r="Q3560" s="1">
        <v>0.57299999999999995</v>
      </c>
      <c r="R3560" s="1">
        <v>0.85699999999999998</v>
      </c>
      <c r="S3560" s="1">
        <v>0.249</v>
      </c>
      <c r="T3560" s="1">
        <v>0.93200000000000005</v>
      </c>
      <c r="U3560" s="1">
        <v>0.43</v>
      </c>
      <c r="V3560" s="1">
        <v>150.08799999999999</v>
      </c>
      <c r="W3560">
        <v>4</v>
      </c>
    </row>
    <row r="3561" spans="1:23" x14ac:dyDescent="0.25">
      <c r="A3561" s="1" t="s">
        <v>21156</v>
      </c>
      <c r="B3561" s="1" t="s">
        <v>17642</v>
      </c>
      <c r="C3561" s="1" t="s">
        <v>8750</v>
      </c>
      <c r="D3561" s="1" t="s">
        <v>8750</v>
      </c>
      <c r="E3561" s="1" t="s">
        <v>5552</v>
      </c>
      <c r="F3561" s="1" t="s">
        <v>17277</v>
      </c>
      <c r="G3561">
        <v>223500</v>
      </c>
      <c r="H3561">
        <v>0</v>
      </c>
      <c r="I3561" s="1" t="s">
        <v>11063</v>
      </c>
      <c r="J3561" s="11">
        <v>44729.706458333334</v>
      </c>
      <c r="K3561" s="1" t="s">
        <v>2376</v>
      </c>
      <c r="L3561" s="1">
        <v>0.624</v>
      </c>
      <c r="M3561" s="1">
        <v>0.63800000000000001</v>
      </c>
      <c r="N3561">
        <v>7</v>
      </c>
      <c r="O3561" s="1">
        <v>-8.0749999999999993</v>
      </c>
      <c r="P3561">
        <v>0</v>
      </c>
      <c r="Q3561" s="1">
        <v>0.48199999999999998</v>
      </c>
      <c r="R3561" s="1">
        <v>0.246</v>
      </c>
      <c r="S3561" s="1">
        <v>0.2</v>
      </c>
      <c r="T3561" s="1">
        <v>0.93899999999999995</v>
      </c>
      <c r="U3561" s="1">
        <v>0.23799999999999999</v>
      </c>
      <c r="V3561" s="1">
        <v>160.001</v>
      </c>
      <c r="W3561">
        <v>4</v>
      </c>
    </row>
    <row r="3562" spans="1:23" x14ac:dyDescent="0.25">
      <c r="A3562" s="1" t="s">
        <v>21157</v>
      </c>
      <c r="B3562" s="1" t="s">
        <v>13969</v>
      </c>
      <c r="C3562" s="1" t="s">
        <v>8751</v>
      </c>
      <c r="D3562" s="1" t="s">
        <v>8751</v>
      </c>
      <c r="E3562" s="1" t="s">
        <v>2375</v>
      </c>
      <c r="F3562" s="1" t="s">
        <v>14633</v>
      </c>
      <c r="G3562">
        <v>220000</v>
      </c>
      <c r="H3562">
        <v>42</v>
      </c>
      <c r="I3562" s="1" t="s">
        <v>11063</v>
      </c>
      <c r="J3562" s="11">
        <v>44729.706458333334</v>
      </c>
      <c r="K3562" s="1" t="s">
        <v>2376</v>
      </c>
      <c r="L3562" s="1">
        <v>0.66100000000000003</v>
      </c>
      <c r="M3562" s="1">
        <v>0.76400000000000001</v>
      </c>
      <c r="N3562">
        <v>11</v>
      </c>
      <c r="O3562" s="1">
        <v>-6.8570000000000002</v>
      </c>
      <c r="P3562">
        <v>1</v>
      </c>
      <c r="Q3562" s="1">
        <v>0.41199999999999998</v>
      </c>
      <c r="R3562" s="1">
        <v>0.13300000000000001</v>
      </c>
      <c r="S3562" s="1">
        <v>0.223</v>
      </c>
      <c r="T3562" s="1">
        <v>0.121</v>
      </c>
      <c r="U3562" s="1">
        <v>0.39</v>
      </c>
      <c r="V3562" s="1">
        <v>149.971</v>
      </c>
      <c r="W3562">
        <v>4</v>
      </c>
    </row>
    <row r="3563" spans="1:23" x14ac:dyDescent="0.25">
      <c r="A3563" s="1" t="s">
        <v>21158</v>
      </c>
      <c r="B3563" s="1" t="s">
        <v>13969</v>
      </c>
      <c r="C3563" s="1" t="s">
        <v>8752</v>
      </c>
      <c r="D3563" s="1" t="s">
        <v>8752</v>
      </c>
      <c r="E3563" s="1" t="s">
        <v>2375</v>
      </c>
      <c r="F3563" s="1" t="s">
        <v>21159</v>
      </c>
      <c r="G3563">
        <v>208500</v>
      </c>
      <c r="H3563">
        <v>44</v>
      </c>
      <c r="I3563" s="1" t="s">
        <v>11063</v>
      </c>
      <c r="J3563" s="11">
        <v>44729.706458333334</v>
      </c>
      <c r="K3563" s="1" t="s">
        <v>2376</v>
      </c>
      <c r="L3563" s="1">
        <v>0.65900000000000003</v>
      </c>
      <c r="M3563" s="1">
        <v>0.76300000000000001</v>
      </c>
      <c r="N3563">
        <v>0</v>
      </c>
      <c r="O3563" s="1">
        <v>-6.17</v>
      </c>
      <c r="P3563">
        <v>1</v>
      </c>
      <c r="Q3563" s="1">
        <v>0.81899999999999995</v>
      </c>
      <c r="R3563" s="1">
        <v>0.183</v>
      </c>
      <c r="S3563" s="1">
        <v>0.129</v>
      </c>
      <c r="T3563" s="1">
        <v>0.57799999999999996</v>
      </c>
      <c r="U3563" s="1">
        <v>0.26500000000000001</v>
      </c>
      <c r="V3563" s="1">
        <v>160.02000000000001</v>
      </c>
      <c r="W3563">
        <v>4</v>
      </c>
    </row>
    <row r="3564" spans="1:23" x14ac:dyDescent="0.25">
      <c r="A3564" s="1" t="s">
        <v>21160</v>
      </c>
      <c r="B3564" s="1" t="s">
        <v>21161</v>
      </c>
      <c r="C3564" s="1" t="s">
        <v>8753</v>
      </c>
      <c r="D3564" s="1" t="s">
        <v>8753</v>
      </c>
      <c r="E3564" s="1" t="s">
        <v>8754</v>
      </c>
      <c r="F3564" s="1" t="s">
        <v>21162</v>
      </c>
      <c r="G3564">
        <v>220800</v>
      </c>
      <c r="H3564">
        <v>50</v>
      </c>
      <c r="I3564" s="1" t="s">
        <v>11063</v>
      </c>
      <c r="J3564" s="11">
        <v>44729.706458333334</v>
      </c>
      <c r="K3564" s="1" t="s">
        <v>8755</v>
      </c>
      <c r="L3564" s="1">
        <v>0.59299999999999997</v>
      </c>
      <c r="M3564" s="1">
        <v>0.56899999999999995</v>
      </c>
      <c r="N3564">
        <v>8</v>
      </c>
      <c r="O3564" s="1">
        <v>-7.0709999999999997</v>
      </c>
      <c r="P3564">
        <v>1</v>
      </c>
      <c r="Q3564" s="1">
        <v>0.16400000000000001</v>
      </c>
      <c r="R3564" s="1">
        <v>0.20799999999999999</v>
      </c>
      <c r="S3564" s="1">
        <v>0.442</v>
      </c>
      <c r="T3564" s="1">
        <v>0.221</v>
      </c>
      <c r="U3564" s="1">
        <v>0.3</v>
      </c>
      <c r="V3564" s="1">
        <v>149.90799999999999</v>
      </c>
      <c r="W3564">
        <v>4</v>
      </c>
    </row>
    <row r="3565" spans="1:23" x14ac:dyDescent="0.25">
      <c r="A3565" s="1" t="s">
        <v>21163</v>
      </c>
      <c r="B3565" s="1" t="s">
        <v>13969</v>
      </c>
      <c r="C3565" s="1" t="s">
        <v>5553</v>
      </c>
      <c r="D3565" s="1" t="s">
        <v>5553</v>
      </c>
      <c r="E3565" s="1" t="s">
        <v>2375</v>
      </c>
      <c r="F3565" s="1" t="s">
        <v>15363</v>
      </c>
      <c r="G3565">
        <v>208285</v>
      </c>
      <c r="H3565">
        <v>0</v>
      </c>
      <c r="I3565" s="1" t="s">
        <v>11063</v>
      </c>
      <c r="J3565" s="11">
        <v>44729.706458333334</v>
      </c>
      <c r="K3565" s="1" t="s">
        <v>2376</v>
      </c>
      <c r="L3565" s="1">
        <v>0.7</v>
      </c>
      <c r="M3565" s="1">
        <v>0.58099999999999996</v>
      </c>
      <c r="N3565">
        <v>1</v>
      </c>
      <c r="O3565" s="1">
        <v>-8.4930000000000003</v>
      </c>
      <c r="P3565">
        <v>0</v>
      </c>
      <c r="Q3565" s="1">
        <v>0.77900000000000003</v>
      </c>
      <c r="R3565" s="1">
        <v>0.11799999999999999</v>
      </c>
      <c r="S3565" s="1">
        <v>0.19600000000000001</v>
      </c>
      <c r="T3565" s="1">
        <v>0.13500000000000001</v>
      </c>
      <c r="U3565" s="1">
        <v>0.16500000000000001</v>
      </c>
      <c r="V3565" s="1">
        <v>140.01900000000001</v>
      </c>
      <c r="W3565">
        <v>4</v>
      </c>
    </row>
    <row r="3566" spans="1:23" x14ac:dyDescent="0.25">
      <c r="A3566" s="1" t="s">
        <v>21164</v>
      </c>
      <c r="B3566" s="1" t="s">
        <v>21165</v>
      </c>
      <c r="C3566" s="1" t="s">
        <v>8756</v>
      </c>
      <c r="D3566" s="1" t="s">
        <v>8756</v>
      </c>
      <c r="E3566" s="1" t="s">
        <v>8757</v>
      </c>
      <c r="F3566" s="1" t="s">
        <v>14617</v>
      </c>
      <c r="G3566">
        <v>194000</v>
      </c>
      <c r="H3566">
        <v>51</v>
      </c>
      <c r="I3566" s="1" t="s">
        <v>11063</v>
      </c>
      <c r="J3566" s="11">
        <v>44729.706458333334</v>
      </c>
      <c r="K3566" s="1" t="s">
        <v>2376</v>
      </c>
      <c r="L3566" s="1">
        <v>0.65300000000000002</v>
      </c>
      <c r="M3566" s="1">
        <v>0.68899999999999995</v>
      </c>
      <c r="N3566">
        <v>11</v>
      </c>
      <c r="O3566" s="1">
        <v>-8.3379999999999992</v>
      </c>
      <c r="P3566">
        <v>0</v>
      </c>
      <c r="Q3566" s="1">
        <v>0.88100000000000001</v>
      </c>
      <c r="R3566" s="1">
        <v>0.255</v>
      </c>
      <c r="S3566" s="1">
        <v>0.38700000000000001</v>
      </c>
      <c r="T3566" s="1">
        <v>0.93700000000000006</v>
      </c>
      <c r="U3566" s="1">
        <v>0.253</v>
      </c>
      <c r="V3566" s="1">
        <v>150.95400000000001</v>
      </c>
      <c r="W3566">
        <v>4</v>
      </c>
    </row>
    <row r="3567" spans="1:23" x14ac:dyDescent="0.25">
      <c r="A3567" s="1" t="s">
        <v>21166</v>
      </c>
      <c r="B3567" s="1" t="s">
        <v>13969</v>
      </c>
      <c r="C3567" s="1" t="s">
        <v>5555</v>
      </c>
      <c r="D3567" s="1" t="s">
        <v>5555</v>
      </c>
      <c r="E3567" s="1" t="s">
        <v>2375</v>
      </c>
      <c r="F3567" s="1" t="s">
        <v>11323</v>
      </c>
      <c r="G3567">
        <v>226981</v>
      </c>
      <c r="H3567">
        <v>49</v>
      </c>
      <c r="I3567" s="1" t="s">
        <v>11063</v>
      </c>
      <c r="J3567" s="11">
        <v>44729.706458333334</v>
      </c>
      <c r="K3567" s="1" t="s">
        <v>2376</v>
      </c>
      <c r="L3567" s="1">
        <v>0.69299999999999995</v>
      </c>
      <c r="M3567" s="1">
        <v>0.72499999999999998</v>
      </c>
      <c r="N3567">
        <v>0</v>
      </c>
      <c r="O3567" s="1">
        <v>-7.2969999999999997</v>
      </c>
      <c r="P3567">
        <v>0</v>
      </c>
      <c r="Q3567" s="1">
        <v>0.32100000000000001</v>
      </c>
      <c r="R3567" s="1">
        <v>0.121</v>
      </c>
      <c r="S3567" s="1">
        <v>0.27800000000000002</v>
      </c>
      <c r="T3567" s="1">
        <v>0.214</v>
      </c>
      <c r="U3567" s="1">
        <v>0.44700000000000001</v>
      </c>
      <c r="V3567" s="1">
        <v>105.961</v>
      </c>
      <c r="W3567">
        <v>4</v>
      </c>
    </row>
    <row r="3568" spans="1:23" x14ac:dyDescent="0.25">
      <c r="A3568" s="1" t="s">
        <v>21167</v>
      </c>
      <c r="B3568" s="1" t="s">
        <v>14219</v>
      </c>
      <c r="C3568" s="1" t="s">
        <v>8758</v>
      </c>
      <c r="D3568" s="1" t="s">
        <v>8758</v>
      </c>
      <c r="E3568" s="1" t="s">
        <v>2579</v>
      </c>
      <c r="F3568" s="1" t="s">
        <v>14228</v>
      </c>
      <c r="G3568">
        <v>228904</v>
      </c>
      <c r="H3568">
        <v>54</v>
      </c>
      <c r="I3568" s="1" t="s">
        <v>11063</v>
      </c>
      <c r="J3568" s="11">
        <v>44729.706458333334</v>
      </c>
      <c r="K3568" s="1" t="s">
        <v>2580</v>
      </c>
      <c r="L3568" s="1">
        <v>0.54900000000000004</v>
      </c>
      <c r="M3568" s="1">
        <v>0.65600000000000003</v>
      </c>
      <c r="N3568">
        <v>3</v>
      </c>
      <c r="O3568" s="1">
        <v>-6.5149999999999997</v>
      </c>
      <c r="P3568">
        <v>1</v>
      </c>
      <c r="Q3568" s="1">
        <v>0.438</v>
      </c>
      <c r="R3568" s="1">
        <v>0.35099999999999998</v>
      </c>
      <c r="S3568" s="1">
        <v>0.11899999999999999</v>
      </c>
      <c r="T3568" s="1">
        <v>0.129</v>
      </c>
      <c r="U3568" s="1">
        <v>0.59399999999999997</v>
      </c>
      <c r="V3568" s="1">
        <v>180.04300000000001</v>
      </c>
      <c r="W3568">
        <v>4</v>
      </c>
    </row>
    <row r="3569" spans="1:23" x14ac:dyDescent="0.25">
      <c r="A3569" s="1" t="s">
        <v>21168</v>
      </c>
      <c r="B3569" s="1" t="s">
        <v>21169</v>
      </c>
      <c r="C3569" s="1" t="s">
        <v>8759</v>
      </c>
      <c r="D3569" s="1" t="s">
        <v>21170</v>
      </c>
      <c r="E3569" s="1" t="s">
        <v>8760</v>
      </c>
      <c r="F3569" s="1" t="s">
        <v>20760</v>
      </c>
      <c r="G3569">
        <v>166153</v>
      </c>
      <c r="H3569">
        <v>27</v>
      </c>
      <c r="I3569" s="1" t="s">
        <v>11063</v>
      </c>
      <c r="J3569" s="11">
        <v>44729.706458333334</v>
      </c>
      <c r="K3569" s="1" t="s">
        <v>2356</v>
      </c>
      <c r="L3569" s="1">
        <v>0.50800000000000001</v>
      </c>
      <c r="M3569" s="1">
        <v>0.81499999999999995</v>
      </c>
      <c r="N3569">
        <v>7</v>
      </c>
      <c r="O3569" s="1">
        <v>-8.3350000000000009</v>
      </c>
      <c r="P3569">
        <v>0</v>
      </c>
      <c r="Q3569" s="1">
        <v>0.44900000000000001</v>
      </c>
      <c r="R3569" s="1">
        <v>0.46400000000000002</v>
      </c>
      <c r="S3569" s="1">
        <v>0.105</v>
      </c>
      <c r="T3569" s="1">
        <v>0.28399999999999997</v>
      </c>
      <c r="U3569" s="1">
        <v>0.30599999999999999</v>
      </c>
      <c r="V3569" s="1">
        <v>103.94199999999999</v>
      </c>
      <c r="W3569">
        <v>4</v>
      </c>
    </row>
    <row r="3570" spans="1:23" x14ac:dyDescent="0.25">
      <c r="A3570" s="1" t="s">
        <v>21171</v>
      </c>
      <c r="B3570" s="1" t="s">
        <v>15259</v>
      </c>
      <c r="C3570" s="1" t="s">
        <v>8761</v>
      </c>
      <c r="D3570" s="1" t="s">
        <v>21172</v>
      </c>
      <c r="E3570" s="1" t="s">
        <v>3503</v>
      </c>
      <c r="F3570" s="1" t="s">
        <v>21173</v>
      </c>
      <c r="G3570">
        <v>203925</v>
      </c>
      <c r="H3570">
        <v>0</v>
      </c>
      <c r="I3570" s="1" t="s">
        <v>11063</v>
      </c>
      <c r="J3570" s="11">
        <v>44729.706458333334</v>
      </c>
      <c r="K3570" s="1" t="s">
        <v>3033</v>
      </c>
      <c r="L3570" s="1">
        <v>0.58499999999999996</v>
      </c>
      <c r="M3570" s="1">
        <v>0.92900000000000005</v>
      </c>
      <c r="N3570">
        <v>6</v>
      </c>
      <c r="O3570" s="1">
        <v>-3.9780000000000002</v>
      </c>
      <c r="P3570">
        <v>0</v>
      </c>
      <c r="Q3570" s="1">
        <v>0.17799999999999999</v>
      </c>
      <c r="R3570" s="1">
        <v>0.24</v>
      </c>
      <c r="S3570" s="1">
        <v>0.86899999999999999</v>
      </c>
      <c r="T3570" s="1">
        <v>0.33800000000000002</v>
      </c>
      <c r="U3570" s="1">
        <v>0.28999999999999998</v>
      </c>
      <c r="V3570" s="1">
        <v>128.00899999999999</v>
      </c>
      <c r="W3570">
        <v>4</v>
      </c>
    </row>
    <row r="3571" spans="1:23" x14ac:dyDescent="0.25">
      <c r="A3571" s="1" t="s">
        <v>21174</v>
      </c>
      <c r="B3571" s="1" t="s">
        <v>21175</v>
      </c>
      <c r="C3571" s="1" t="s">
        <v>8762</v>
      </c>
      <c r="D3571" s="1" t="s">
        <v>8762</v>
      </c>
      <c r="E3571" s="1" t="s">
        <v>8763</v>
      </c>
      <c r="F3571" s="1" t="s">
        <v>11383</v>
      </c>
      <c r="G3571">
        <v>208352</v>
      </c>
      <c r="H3571">
        <v>46</v>
      </c>
      <c r="I3571" s="1" t="s">
        <v>11063</v>
      </c>
      <c r="J3571" s="11">
        <v>44729.706458333334</v>
      </c>
      <c r="K3571" s="1" t="s">
        <v>8764</v>
      </c>
      <c r="L3571" s="1">
        <v>0.38300000000000001</v>
      </c>
      <c r="M3571" s="1">
        <v>0.59499999999999997</v>
      </c>
      <c r="N3571">
        <v>10</v>
      </c>
      <c r="O3571" s="1">
        <v>-5.9080000000000004</v>
      </c>
      <c r="P3571">
        <v>0</v>
      </c>
      <c r="Q3571" s="1">
        <v>0.40899999999999997</v>
      </c>
      <c r="R3571" s="1">
        <v>0.875</v>
      </c>
      <c r="S3571" s="1">
        <v>0.28299999999999997</v>
      </c>
      <c r="T3571" s="1">
        <v>0.23799999999999999</v>
      </c>
      <c r="U3571" s="1">
        <v>0.23499999999999999</v>
      </c>
      <c r="V3571" s="1">
        <v>104.194</v>
      </c>
      <c r="W3571">
        <v>4</v>
      </c>
    </row>
    <row r="3572" spans="1:23" x14ac:dyDescent="0.25">
      <c r="A3572" s="1" t="s">
        <v>21176</v>
      </c>
      <c r="B3572" s="1" t="s">
        <v>21177</v>
      </c>
      <c r="C3572" s="1" t="s">
        <v>8765</v>
      </c>
      <c r="D3572" s="1" t="s">
        <v>21178</v>
      </c>
      <c r="E3572" s="1" t="s">
        <v>8766</v>
      </c>
      <c r="F3572" s="1" t="s">
        <v>21179</v>
      </c>
      <c r="G3572">
        <v>222461</v>
      </c>
      <c r="H3572">
        <v>0</v>
      </c>
      <c r="I3572" s="1" t="s">
        <v>11063</v>
      </c>
      <c r="J3572" s="11">
        <v>44729.706458333334</v>
      </c>
      <c r="K3572" s="1" t="s">
        <v>50</v>
      </c>
      <c r="L3572" s="1">
        <v>0.502</v>
      </c>
      <c r="M3572" s="1">
        <v>0.68300000000000005</v>
      </c>
      <c r="N3572">
        <v>1</v>
      </c>
      <c r="O3572" s="1">
        <v>-8.6820000000000004</v>
      </c>
      <c r="P3572">
        <v>0</v>
      </c>
      <c r="Q3572" s="1">
        <v>0.30199999999999999</v>
      </c>
      <c r="R3572" s="1">
        <v>0.27700000000000002</v>
      </c>
      <c r="S3572" s="1">
        <v>0.67800000000000005</v>
      </c>
      <c r="T3572" s="1">
        <v>0.11</v>
      </c>
      <c r="U3572" s="1">
        <v>0.13100000000000001</v>
      </c>
      <c r="V3572" s="1">
        <v>95.025000000000006</v>
      </c>
      <c r="W3572">
        <v>4</v>
      </c>
    </row>
    <row r="3573" spans="1:23" x14ac:dyDescent="0.25">
      <c r="A3573" s="1" t="s">
        <v>21180</v>
      </c>
      <c r="B3573" s="1" t="s">
        <v>21177</v>
      </c>
      <c r="C3573" s="1" t="s">
        <v>8767</v>
      </c>
      <c r="D3573" s="1" t="s">
        <v>21181</v>
      </c>
      <c r="E3573" s="1" t="s">
        <v>8766</v>
      </c>
      <c r="F3573" s="1" t="s">
        <v>13979</v>
      </c>
      <c r="G3573">
        <v>183692</v>
      </c>
      <c r="H3573">
        <v>0</v>
      </c>
      <c r="I3573" s="1" t="s">
        <v>11063</v>
      </c>
      <c r="J3573" s="11">
        <v>44729.706458333334</v>
      </c>
      <c r="K3573" s="1" t="s">
        <v>50</v>
      </c>
      <c r="L3573" s="1">
        <v>0.67600000000000005</v>
      </c>
      <c r="M3573" s="1">
        <v>0.86799999999999999</v>
      </c>
      <c r="N3573">
        <v>8</v>
      </c>
      <c r="O3573" s="1">
        <v>-4.665</v>
      </c>
      <c r="P3573">
        <v>1</v>
      </c>
      <c r="Q3573" s="1">
        <v>0.39100000000000001</v>
      </c>
      <c r="R3573" s="1">
        <v>0.33900000000000002</v>
      </c>
      <c r="S3573" s="1">
        <v>0.81399999999999995</v>
      </c>
      <c r="T3573" s="1">
        <v>0.17899999999999999</v>
      </c>
      <c r="U3573" s="1">
        <v>0.24</v>
      </c>
      <c r="V3573" s="1">
        <v>104.938</v>
      </c>
      <c r="W3573">
        <v>4</v>
      </c>
    </row>
    <row r="3574" spans="1:23" x14ac:dyDescent="0.25">
      <c r="A3574" s="1" t="s">
        <v>21182</v>
      </c>
      <c r="B3574" s="1" t="s">
        <v>21177</v>
      </c>
      <c r="C3574" s="1" t="s">
        <v>8768</v>
      </c>
      <c r="D3574" s="1" t="s">
        <v>2241</v>
      </c>
      <c r="E3574" s="1" t="s">
        <v>8766</v>
      </c>
      <c r="F3574" s="1" t="s">
        <v>16694</v>
      </c>
      <c r="G3574">
        <v>195230</v>
      </c>
      <c r="H3574">
        <v>0</v>
      </c>
      <c r="I3574" s="1" t="s">
        <v>11063</v>
      </c>
      <c r="J3574" s="11">
        <v>44729.706458333334</v>
      </c>
      <c r="K3574" s="1" t="s">
        <v>50</v>
      </c>
      <c r="L3574" s="1">
        <v>0.73</v>
      </c>
      <c r="M3574" s="1">
        <v>0.44900000000000001</v>
      </c>
      <c r="N3574">
        <v>8</v>
      </c>
      <c r="O3574" s="1">
        <v>-7.234</v>
      </c>
      <c r="P3574">
        <v>0</v>
      </c>
      <c r="Q3574" s="1">
        <v>0.51800000000000002</v>
      </c>
      <c r="R3574" s="1">
        <v>0.29399999999999998</v>
      </c>
      <c r="S3574" s="1">
        <v>0.56299999999999994</v>
      </c>
      <c r="T3574" s="1">
        <v>0.112</v>
      </c>
      <c r="U3574" s="1">
        <v>0.41399999999999998</v>
      </c>
      <c r="V3574" s="1">
        <v>112.015</v>
      </c>
      <c r="W3574">
        <v>4</v>
      </c>
    </row>
    <row r="3575" spans="1:23" x14ac:dyDescent="0.25">
      <c r="A3575" s="1" t="s">
        <v>21183</v>
      </c>
      <c r="B3575" s="1" t="s">
        <v>21177</v>
      </c>
      <c r="C3575" s="1" t="s">
        <v>8769</v>
      </c>
      <c r="D3575" s="1" t="s">
        <v>2241</v>
      </c>
      <c r="E3575" s="1" t="s">
        <v>8766</v>
      </c>
      <c r="F3575" s="1" t="s">
        <v>16694</v>
      </c>
      <c r="G3575">
        <v>177230</v>
      </c>
      <c r="H3575">
        <v>0</v>
      </c>
      <c r="I3575" s="1" t="s">
        <v>11063</v>
      </c>
      <c r="J3575" s="11">
        <v>44729.706458333334</v>
      </c>
      <c r="K3575" s="1" t="s">
        <v>50</v>
      </c>
      <c r="L3575" s="1">
        <v>0.81100000000000005</v>
      </c>
      <c r="M3575" s="1">
        <v>0.77200000000000002</v>
      </c>
      <c r="N3575">
        <v>11</v>
      </c>
      <c r="O3575" s="1">
        <v>-5.4249999999999998</v>
      </c>
      <c r="P3575">
        <v>0</v>
      </c>
      <c r="Q3575" s="1">
        <v>0.47099999999999997</v>
      </c>
      <c r="R3575" s="1">
        <v>0.29599999999999999</v>
      </c>
      <c r="S3575" s="1">
        <v>0.35599999999999998</v>
      </c>
      <c r="T3575" s="1">
        <v>0.71</v>
      </c>
      <c r="U3575" s="1">
        <v>0.32400000000000001</v>
      </c>
      <c r="V3575" s="1">
        <v>109.983</v>
      </c>
      <c r="W3575">
        <v>4</v>
      </c>
    </row>
    <row r="3576" spans="1:23" x14ac:dyDescent="0.25">
      <c r="A3576" s="1" t="s">
        <v>21184</v>
      </c>
      <c r="B3576" s="1" t="s">
        <v>17577</v>
      </c>
      <c r="C3576" s="1" t="s">
        <v>2885</v>
      </c>
      <c r="D3576" s="1" t="s">
        <v>17729</v>
      </c>
      <c r="E3576" s="1" t="s">
        <v>5495</v>
      </c>
      <c r="F3576" s="1" t="s">
        <v>11758</v>
      </c>
      <c r="G3576">
        <v>365419</v>
      </c>
      <c r="H3576">
        <v>48</v>
      </c>
      <c r="I3576" s="1" t="s">
        <v>11063</v>
      </c>
      <c r="J3576" s="11">
        <v>44729.706458333334</v>
      </c>
      <c r="K3576" s="1" t="s">
        <v>5441</v>
      </c>
      <c r="L3576" s="1">
        <v>0.38300000000000001</v>
      </c>
      <c r="M3576" s="1">
        <v>0.56599999999999995</v>
      </c>
      <c r="N3576">
        <v>11</v>
      </c>
      <c r="O3576" s="1">
        <v>-6.1790000000000003</v>
      </c>
      <c r="P3576">
        <v>1</v>
      </c>
      <c r="Q3576" s="1">
        <v>0.435</v>
      </c>
      <c r="R3576" s="1">
        <v>0.13400000000000001</v>
      </c>
      <c r="S3576" s="1">
        <v>0</v>
      </c>
      <c r="T3576" s="1">
        <v>0.13500000000000001</v>
      </c>
      <c r="U3576" s="1">
        <v>0.23400000000000001</v>
      </c>
      <c r="V3576" s="1" t="s">
        <v>8770</v>
      </c>
      <c r="W3576">
        <v>4</v>
      </c>
    </row>
    <row r="3577" spans="1:23" x14ac:dyDescent="0.25">
      <c r="A3577" s="1" t="s">
        <v>21185</v>
      </c>
      <c r="B3577" s="1" t="s">
        <v>17517</v>
      </c>
      <c r="C3577" s="1" t="s">
        <v>5439</v>
      </c>
      <c r="D3577" s="1" t="s">
        <v>17729</v>
      </c>
      <c r="E3577" s="1" t="s">
        <v>5440</v>
      </c>
      <c r="F3577" s="1" t="s">
        <v>11758</v>
      </c>
      <c r="G3577">
        <v>204782</v>
      </c>
      <c r="H3577">
        <v>45</v>
      </c>
      <c r="I3577" s="1" t="s">
        <v>11063</v>
      </c>
      <c r="J3577" s="11">
        <v>44729.706458333334</v>
      </c>
      <c r="K3577" s="1" t="s">
        <v>5441</v>
      </c>
      <c r="L3577" s="1">
        <v>0.48</v>
      </c>
      <c r="M3577" s="1">
        <v>0.73</v>
      </c>
      <c r="N3577">
        <v>5</v>
      </c>
      <c r="O3577" s="1">
        <v>-4.3520000000000003</v>
      </c>
      <c r="P3577">
        <v>0</v>
      </c>
      <c r="Q3577" s="1">
        <v>0.36599999999999999</v>
      </c>
      <c r="R3577" s="1">
        <v>0.84099999999999997</v>
      </c>
      <c r="S3577" s="1">
        <v>0</v>
      </c>
      <c r="T3577" s="1">
        <v>0.10299999999999999</v>
      </c>
      <c r="U3577" s="1">
        <v>0.29499999999999998</v>
      </c>
      <c r="V3577" s="1">
        <v>91.988</v>
      </c>
      <c r="W3577">
        <v>4</v>
      </c>
    </row>
    <row r="3578" spans="1:23" x14ac:dyDescent="0.25">
      <c r="A3578" s="1" t="s">
        <v>21186</v>
      </c>
      <c r="B3578" s="1" t="s">
        <v>21187</v>
      </c>
      <c r="C3578" s="1" t="s">
        <v>8771</v>
      </c>
      <c r="D3578" s="1" t="s">
        <v>17729</v>
      </c>
      <c r="E3578" s="1" t="s">
        <v>8772</v>
      </c>
      <c r="F3578" s="1" t="s">
        <v>11758</v>
      </c>
      <c r="G3578">
        <v>264000</v>
      </c>
      <c r="H3578">
        <v>38</v>
      </c>
      <c r="I3578" s="1" t="s">
        <v>11063</v>
      </c>
      <c r="J3578" s="11">
        <v>44729.706458333334</v>
      </c>
      <c r="K3578" s="1" t="s">
        <v>8773</v>
      </c>
      <c r="L3578" s="1">
        <v>0.432</v>
      </c>
      <c r="M3578" s="1">
        <v>0.67600000000000005</v>
      </c>
      <c r="N3578">
        <v>7</v>
      </c>
      <c r="O3578" s="1">
        <v>-7.6589999999999998</v>
      </c>
      <c r="P3578">
        <v>0</v>
      </c>
      <c r="Q3578" s="1">
        <v>0.11</v>
      </c>
      <c r="R3578" s="1">
        <v>0.14099999999999999</v>
      </c>
      <c r="S3578" s="1">
        <v>0.24399999999999999</v>
      </c>
      <c r="T3578" s="1">
        <v>0.29899999999999999</v>
      </c>
      <c r="U3578" s="1">
        <v>0.35099999999999998</v>
      </c>
      <c r="V3578" s="1">
        <v>179.98699999999999</v>
      </c>
      <c r="W3578">
        <v>4</v>
      </c>
    </row>
    <row r="3579" spans="1:23" x14ac:dyDescent="0.25">
      <c r="A3579" s="1" t="s">
        <v>21188</v>
      </c>
      <c r="B3579" s="1" t="s">
        <v>21189</v>
      </c>
      <c r="C3579" s="1" t="s">
        <v>8774</v>
      </c>
      <c r="D3579" s="1" t="s">
        <v>17729</v>
      </c>
      <c r="E3579" s="1" t="s">
        <v>8775</v>
      </c>
      <c r="F3579" s="1" t="s">
        <v>11758</v>
      </c>
      <c r="G3579">
        <v>219190</v>
      </c>
      <c r="H3579">
        <v>48</v>
      </c>
      <c r="I3579" s="1" t="s">
        <v>11063</v>
      </c>
      <c r="J3579" s="11">
        <v>44729.706458333334</v>
      </c>
      <c r="K3579" s="1" t="s">
        <v>8776</v>
      </c>
      <c r="L3579" s="1">
        <v>0.46500000000000002</v>
      </c>
      <c r="M3579" s="1">
        <v>0.77</v>
      </c>
      <c r="N3579">
        <v>3</v>
      </c>
      <c r="O3579" s="1">
        <v>-3.738</v>
      </c>
      <c r="P3579">
        <v>1</v>
      </c>
      <c r="Q3579" s="1">
        <v>0.69199999999999995</v>
      </c>
      <c r="R3579" s="1">
        <v>0.13800000000000001</v>
      </c>
      <c r="S3579" s="1">
        <v>0</v>
      </c>
      <c r="T3579" s="1">
        <v>0.95599999999999996</v>
      </c>
      <c r="U3579" s="1">
        <v>0.35799999999999998</v>
      </c>
      <c r="V3579" s="1">
        <v>172.74700000000001</v>
      </c>
      <c r="W3579">
        <v>4</v>
      </c>
    </row>
    <row r="3580" spans="1:23" x14ac:dyDescent="0.25">
      <c r="A3580" s="1" t="s">
        <v>21190</v>
      </c>
      <c r="B3580" s="1" t="s">
        <v>21191</v>
      </c>
      <c r="C3580" s="1" t="s">
        <v>8777</v>
      </c>
      <c r="D3580" s="1" t="s">
        <v>17729</v>
      </c>
      <c r="E3580" s="1" t="s">
        <v>8778</v>
      </c>
      <c r="F3580" s="1" t="s">
        <v>11758</v>
      </c>
      <c r="G3580">
        <v>236800</v>
      </c>
      <c r="H3580">
        <v>40</v>
      </c>
      <c r="I3580" s="1" t="s">
        <v>11063</v>
      </c>
      <c r="J3580" s="11">
        <v>44729.706458333334</v>
      </c>
      <c r="K3580" s="1" t="s">
        <v>5441</v>
      </c>
      <c r="L3580" s="1">
        <v>0.44800000000000001</v>
      </c>
      <c r="M3580" s="1">
        <v>0.64200000000000002</v>
      </c>
      <c r="N3580">
        <v>7</v>
      </c>
      <c r="O3580" s="1">
        <v>-5.1180000000000003</v>
      </c>
      <c r="P3580">
        <v>1</v>
      </c>
      <c r="Q3580" s="1">
        <v>0.437</v>
      </c>
      <c r="R3580" s="1">
        <v>0.40300000000000002</v>
      </c>
      <c r="S3580" s="1">
        <v>0.27800000000000002</v>
      </c>
      <c r="T3580" s="1">
        <v>0.106</v>
      </c>
      <c r="U3580" s="1">
        <v>0.18</v>
      </c>
      <c r="V3580" s="1">
        <v>149.77099999999999</v>
      </c>
      <c r="W3580">
        <v>4</v>
      </c>
    </row>
    <row r="3581" spans="1:23" x14ac:dyDescent="0.25">
      <c r="A3581" s="1" t="s">
        <v>21192</v>
      </c>
      <c r="B3581" s="1" t="s">
        <v>15547</v>
      </c>
      <c r="C3581" s="1" t="s">
        <v>1568</v>
      </c>
      <c r="D3581" s="1" t="s">
        <v>1568</v>
      </c>
      <c r="E3581" s="1" t="s">
        <v>3764</v>
      </c>
      <c r="F3581" s="1" t="s">
        <v>16691</v>
      </c>
      <c r="G3581">
        <v>164133</v>
      </c>
      <c r="H3581">
        <v>0</v>
      </c>
      <c r="I3581" s="1" t="s">
        <v>11063</v>
      </c>
      <c r="J3581" s="11">
        <v>44729.706458333334</v>
      </c>
      <c r="K3581" s="1" t="s">
        <v>3765</v>
      </c>
      <c r="L3581" s="1">
        <v>0.72499999999999998</v>
      </c>
      <c r="M3581" s="1">
        <v>0.42699999999999999</v>
      </c>
      <c r="N3581">
        <v>3</v>
      </c>
      <c r="O3581" s="1">
        <v>-7.3739999999999997</v>
      </c>
      <c r="P3581">
        <v>0</v>
      </c>
      <c r="Q3581" s="1">
        <v>0.51100000000000001</v>
      </c>
      <c r="R3581" s="1">
        <v>0.87</v>
      </c>
      <c r="S3581" s="1">
        <v>0</v>
      </c>
      <c r="T3581" s="1">
        <v>0.1</v>
      </c>
      <c r="U3581" s="1">
        <v>0.433</v>
      </c>
      <c r="V3581" s="1">
        <v>98.016999999999996</v>
      </c>
      <c r="W3581">
        <v>4</v>
      </c>
    </row>
    <row r="3582" spans="1:23" x14ac:dyDescent="0.25">
      <c r="A3582" s="1" t="s">
        <v>21193</v>
      </c>
      <c r="B3582" s="1" t="s">
        <v>11081</v>
      </c>
      <c r="C3582" s="1" t="s">
        <v>4329</v>
      </c>
      <c r="D3582" s="1" t="s">
        <v>8782</v>
      </c>
      <c r="E3582" s="1" t="s">
        <v>8779</v>
      </c>
      <c r="F3582" s="1" t="s">
        <v>15585</v>
      </c>
      <c r="G3582">
        <v>259787</v>
      </c>
      <c r="H3582">
        <v>53</v>
      </c>
      <c r="I3582" s="1" t="s">
        <v>11063</v>
      </c>
      <c r="J3582" s="11">
        <v>44729.706458333334</v>
      </c>
      <c r="K3582" s="1" t="s">
        <v>8780</v>
      </c>
      <c r="L3582" s="1">
        <v>0.55800000000000005</v>
      </c>
      <c r="M3582" s="1">
        <v>0.51300000000000001</v>
      </c>
      <c r="N3582">
        <v>5</v>
      </c>
      <c r="O3582" s="1">
        <v>-10.766999999999999</v>
      </c>
      <c r="P3582">
        <v>0</v>
      </c>
      <c r="Q3582" s="1">
        <v>0.23</v>
      </c>
      <c r="R3582" s="1">
        <v>0.39400000000000002</v>
      </c>
      <c r="S3582" s="1">
        <v>0.77800000000000002</v>
      </c>
      <c r="T3582" s="1">
        <v>0.39100000000000001</v>
      </c>
      <c r="U3582" s="1">
        <v>0.502</v>
      </c>
      <c r="V3582" s="1">
        <v>120.709</v>
      </c>
      <c r="W3582">
        <v>4</v>
      </c>
    </row>
    <row r="3583" spans="1:23" x14ac:dyDescent="0.25">
      <c r="A3583" s="1" t="s">
        <v>21194</v>
      </c>
      <c r="B3583" s="1" t="s">
        <v>11081</v>
      </c>
      <c r="C3583" s="1" t="s">
        <v>8781</v>
      </c>
      <c r="D3583" s="1" t="s">
        <v>8781</v>
      </c>
      <c r="E3583" s="1" t="s">
        <v>8779</v>
      </c>
      <c r="F3583" s="1" t="s">
        <v>14207</v>
      </c>
      <c r="G3583">
        <v>255529</v>
      </c>
      <c r="H3583">
        <v>60</v>
      </c>
      <c r="I3583" s="1" t="s">
        <v>11063</v>
      </c>
      <c r="J3583" s="11">
        <v>44729.706458333334</v>
      </c>
      <c r="K3583" s="1" t="s">
        <v>8780</v>
      </c>
      <c r="L3583" s="1">
        <v>0.71799999999999997</v>
      </c>
      <c r="M3583" s="1">
        <v>0.443</v>
      </c>
      <c r="N3583">
        <v>2</v>
      </c>
      <c r="O3583" s="1">
        <v>-12.369</v>
      </c>
      <c r="P3583">
        <v>0</v>
      </c>
      <c r="Q3583" s="1">
        <v>0.45800000000000002</v>
      </c>
      <c r="R3583" s="1">
        <v>0.91100000000000003</v>
      </c>
      <c r="S3583" s="1">
        <v>0.47099999999999997</v>
      </c>
      <c r="T3583" s="1">
        <v>0.97199999999999998</v>
      </c>
      <c r="U3583" s="1">
        <v>0.442</v>
      </c>
      <c r="V3583" s="1">
        <v>109.041</v>
      </c>
      <c r="W3583">
        <v>4</v>
      </c>
    </row>
    <row r="3584" spans="1:23" x14ac:dyDescent="0.25">
      <c r="A3584" s="1" t="s">
        <v>21195</v>
      </c>
      <c r="B3584" s="1" t="s">
        <v>11081</v>
      </c>
      <c r="C3584" s="1" t="s">
        <v>8782</v>
      </c>
      <c r="D3584" s="1" t="s">
        <v>8782</v>
      </c>
      <c r="E3584" s="1" t="s">
        <v>8779</v>
      </c>
      <c r="F3584" s="1" t="s">
        <v>15585</v>
      </c>
      <c r="G3584">
        <v>220726</v>
      </c>
      <c r="H3584">
        <v>62</v>
      </c>
      <c r="I3584" s="1" t="s">
        <v>11063</v>
      </c>
      <c r="J3584" s="11">
        <v>44729.706458333334</v>
      </c>
      <c r="K3584" s="1" t="s">
        <v>8780</v>
      </c>
      <c r="L3584" s="1">
        <v>0.41099999999999998</v>
      </c>
      <c r="M3584" s="1">
        <v>0.52300000000000002</v>
      </c>
      <c r="N3584">
        <v>11</v>
      </c>
      <c r="O3584" s="1">
        <v>-11.786</v>
      </c>
      <c r="P3584">
        <v>1</v>
      </c>
      <c r="Q3584" s="1">
        <v>0.24099999999999999</v>
      </c>
      <c r="R3584" s="1">
        <v>0.78200000000000003</v>
      </c>
      <c r="S3584" s="1">
        <v>0.90800000000000003</v>
      </c>
      <c r="T3584" s="1">
        <v>0.29299999999999998</v>
      </c>
      <c r="U3584" s="1">
        <v>0.20499999999999999</v>
      </c>
      <c r="V3584" s="1">
        <v>144.738</v>
      </c>
      <c r="W3584">
        <v>4</v>
      </c>
    </row>
    <row r="3585" spans="1:23" x14ac:dyDescent="0.25">
      <c r="A3585" s="1" t="s">
        <v>21196</v>
      </c>
      <c r="B3585" s="1" t="s">
        <v>11081</v>
      </c>
      <c r="C3585" s="1" t="s">
        <v>8783</v>
      </c>
      <c r="D3585" s="1" t="s">
        <v>21197</v>
      </c>
      <c r="E3585" s="1" t="s">
        <v>8779</v>
      </c>
      <c r="F3585" s="1" t="s">
        <v>15573</v>
      </c>
      <c r="G3585">
        <v>177045</v>
      </c>
      <c r="H3585">
        <v>57</v>
      </c>
      <c r="I3585" s="1" t="s">
        <v>11063</v>
      </c>
      <c r="J3585" s="11">
        <v>44729.706458333334</v>
      </c>
      <c r="K3585" s="1" t="s">
        <v>8780</v>
      </c>
      <c r="L3585" s="1">
        <v>0.77400000000000002</v>
      </c>
      <c r="M3585" s="1">
        <v>0.29499999999999998</v>
      </c>
      <c r="N3585">
        <v>6</v>
      </c>
      <c r="O3585" s="1" t="s">
        <v>192</v>
      </c>
      <c r="P3585">
        <v>0</v>
      </c>
      <c r="Q3585" s="1">
        <v>0.74099999999999999</v>
      </c>
      <c r="R3585" s="1">
        <v>0.89300000000000002</v>
      </c>
      <c r="S3585" s="1">
        <v>0.16300000000000001</v>
      </c>
      <c r="T3585" s="1">
        <v>0.63700000000000001</v>
      </c>
      <c r="U3585" s="1">
        <v>0.19700000000000001</v>
      </c>
      <c r="V3585" s="1">
        <v>141.00299999999999</v>
      </c>
      <c r="W3585">
        <v>4</v>
      </c>
    </row>
    <row r="3586" spans="1:23" x14ac:dyDescent="0.25">
      <c r="A3586" s="1" t="s">
        <v>21198</v>
      </c>
      <c r="B3586" s="1" t="s">
        <v>21199</v>
      </c>
      <c r="C3586" s="1" t="s">
        <v>8784</v>
      </c>
      <c r="D3586" s="1" t="s">
        <v>17245</v>
      </c>
      <c r="E3586" s="1" t="s">
        <v>8785</v>
      </c>
      <c r="F3586" s="1" t="s">
        <v>17246</v>
      </c>
      <c r="G3586">
        <v>258386</v>
      </c>
      <c r="H3586">
        <v>69</v>
      </c>
      <c r="I3586" s="1" t="s">
        <v>11063</v>
      </c>
      <c r="J3586" s="11">
        <v>44729.706458333334</v>
      </c>
      <c r="K3586" s="1" t="s">
        <v>8786</v>
      </c>
      <c r="L3586" s="1">
        <v>0.73599999999999999</v>
      </c>
      <c r="M3586" s="1">
        <v>0.67700000000000005</v>
      </c>
      <c r="N3586">
        <v>4</v>
      </c>
      <c r="O3586" s="1">
        <v>-7.0359999999999996</v>
      </c>
      <c r="P3586">
        <v>0</v>
      </c>
      <c r="Q3586" s="1">
        <v>0.35199999999999998</v>
      </c>
      <c r="R3586" s="1">
        <v>0.114</v>
      </c>
      <c r="S3586" s="1">
        <v>0.84399999999999997</v>
      </c>
      <c r="T3586" s="1">
        <v>0.94899999999999995</v>
      </c>
      <c r="U3586" s="1">
        <v>0.747</v>
      </c>
      <c r="V3586" s="1">
        <v>121.01</v>
      </c>
      <c r="W3586">
        <v>4</v>
      </c>
    </row>
    <row r="3587" spans="1:23" x14ac:dyDescent="0.25">
      <c r="A3587" s="1" t="s">
        <v>11080</v>
      </c>
      <c r="B3587" s="1" t="s">
        <v>11081</v>
      </c>
      <c r="C3587" s="1" t="s">
        <v>8787</v>
      </c>
      <c r="D3587" s="1" t="s">
        <v>11082</v>
      </c>
      <c r="E3587" s="1" t="s">
        <v>8779</v>
      </c>
      <c r="F3587" s="1" t="s">
        <v>19165</v>
      </c>
      <c r="G3587">
        <v>324806</v>
      </c>
      <c r="H3587">
        <v>62</v>
      </c>
      <c r="I3587" s="1" t="s">
        <v>11063</v>
      </c>
      <c r="J3587" s="11">
        <v>44729.706458333334</v>
      </c>
      <c r="K3587" s="1" t="s">
        <v>8780</v>
      </c>
      <c r="L3587" s="1">
        <v>0.48699999999999999</v>
      </c>
      <c r="M3587" s="1">
        <v>0.68</v>
      </c>
      <c r="N3587">
        <v>7</v>
      </c>
      <c r="O3587" s="1">
        <v>-8.4969999999999999</v>
      </c>
      <c r="P3587">
        <v>0</v>
      </c>
      <c r="Q3587" s="1">
        <v>0.40799999999999997</v>
      </c>
      <c r="R3587" s="1">
        <v>0.59899999999999998</v>
      </c>
      <c r="S3587" s="1">
        <v>0.33900000000000002</v>
      </c>
      <c r="T3587" s="1">
        <v>0.14399999999999999</v>
      </c>
      <c r="U3587" s="1">
        <v>0.752</v>
      </c>
      <c r="V3587" s="1">
        <v>94.46</v>
      </c>
      <c r="W3587">
        <v>3</v>
      </c>
    </row>
    <row r="3588" spans="1:23" x14ac:dyDescent="0.25">
      <c r="A3588" s="1" t="s">
        <v>21200</v>
      </c>
      <c r="B3588" s="1" t="s">
        <v>21201</v>
      </c>
      <c r="C3588" s="1" t="s">
        <v>8788</v>
      </c>
      <c r="D3588" s="1" t="s">
        <v>3255</v>
      </c>
      <c r="E3588" s="1" t="s">
        <v>8789</v>
      </c>
      <c r="F3588" s="1" t="s">
        <v>11677</v>
      </c>
      <c r="G3588">
        <v>232936</v>
      </c>
      <c r="H3588">
        <v>55</v>
      </c>
      <c r="I3588" s="1" t="s">
        <v>11063</v>
      </c>
      <c r="J3588" s="11">
        <v>44729.706458333334</v>
      </c>
      <c r="K3588" s="1" t="s">
        <v>8790</v>
      </c>
      <c r="L3588" s="1">
        <v>0.29399999999999998</v>
      </c>
      <c r="M3588" s="1">
        <v>0.69699999999999995</v>
      </c>
      <c r="N3588">
        <v>6</v>
      </c>
      <c r="O3588" s="1">
        <v>-6.0289999999999999</v>
      </c>
      <c r="P3588">
        <v>1</v>
      </c>
      <c r="Q3588" s="1">
        <v>0.128</v>
      </c>
      <c r="R3588" s="1">
        <v>0.39800000000000002</v>
      </c>
      <c r="S3588" s="1">
        <v>0.11</v>
      </c>
      <c r="T3588" s="1">
        <v>0.13600000000000001</v>
      </c>
      <c r="U3588" s="1">
        <v>0.183</v>
      </c>
      <c r="V3588" s="1">
        <v>160.566</v>
      </c>
      <c r="W3588">
        <v>4</v>
      </c>
    </row>
    <row r="3589" spans="1:23" x14ac:dyDescent="0.25">
      <c r="A3589" s="1" t="s">
        <v>21202</v>
      </c>
      <c r="B3589" s="1" t="s">
        <v>13873</v>
      </c>
      <c r="C3589" s="1" t="s">
        <v>8791</v>
      </c>
      <c r="D3589" s="1" t="s">
        <v>21203</v>
      </c>
      <c r="E3589" s="1" t="s">
        <v>2283</v>
      </c>
      <c r="F3589" s="1" t="s">
        <v>21204</v>
      </c>
      <c r="G3589">
        <v>131250</v>
      </c>
      <c r="H3589">
        <v>59</v>
      </c>
      <c r="I3589" s="1" t="s">
        <v>11063</v>
      </c>
      <c r="J3589" s="11">
        <v>44729.706458333334</v>
      </c>
      <c r="K3589" s="1" t="s">
        <v>1964</v>
      </c>
      <c r="L3589" s="1">
        <v>0.70699999999999996</v>
      </c>
      <c r="M3589" s="1">
        <v>0.57899999999999996</v>
      </c>
      <c r="N3589">
        <v>0</v>
      </c>
      <c r="O3589" s="1">
        <v>-6.1980000000000004</v>
      </c>
      <c r="P3589">
        <v>0</v>
      </c>
      <c r="Q3589" s="1">
        <v>0.29299999999999998</v>
      </c>
      <c r="R3589" s="1">
        <v>0.38400000000000001</v>
      </c>
      <c r="S3589" s="1">
        <v>0.72</v>
      </c>
      <c r="T3589" s="1">
        <v>0.40799999999999997</v>
      </c>
      <c r="U3589" s="1">
        <v>0.35699999999999998</v>
      </c>
      <c r="V3589" s="1">
        <v>96.061999999999998</v>
      </c>
      <c r="W3589">
        <v>4</v>
      </c>
    </row>
    <row r="3590" spans="1:23" x14ac:dyDescent="0.25">
      <c r="A3590" s="1" t="s">
        <v>21205</v>
      </c>
      <c r="B3590" s="1" t="s">
        <v>21206</v>
      </c>
      <c r="C3590" s="1" t="s">
        <v>8792</v>
      </c>
      <c r="D3590" s="1" t="s">
        <v>21207</v>
      </c>
      <c r="E3590" s="1" t="s">
        <v>8793</v>
      </c>
      <c r="F3590" s="1" t="s">
        <v>11685</v>
      </c>
      <c r="G3590">
        <v>343800</v>
      </c>
      <c r="H3590">
        <v>57</v>
      </c>
      <c r="I3590" s="1" t="s">
        <v>11063</v>
      </c>
      <c r="J3590" s="11">
        <v>44729.706458333334</v>
      </c>
      <c r="K3590" s="1" t="s">
        <v>8794</v>
      </c>
      <c r="L3590" s="1">
        <v>0.70499999999999996</v>
      </c>
      <c r="M3590" s="1">
        <v>0.67400000000000004</v>
      </c>
      <c r="N3590">
        <v>11</v>
      </c>
      <c r="O3590" s="1">
        <v>-8.4320000000000004</v>
      </c>
      <c r="P3590">
        <v>0</v>
      </c>
      <c r="Q3590" s="1">
        <v>0.4</v>
      </c>
      <c r="R3590" s="1">
        <v>0.184</v>
      </c>
      <c r="S3590" s="1">
        <v>0.14899999999999999</v>
      </c>
      <c r="T3590" s="1">
        <v>0.13800000000000001</v>
      </c>
      <c r="U3590" s="1">
        <v>0.10299999999999999</v>
      </c>
      <c r="V3590" s="1">
        <v>105</v>
      </c>
      <c r="W3590">
        <v>4</v>
      </c>
    </row>
    <row r="3591" spans="1:23" x14ac:dyDescent="0.25">
      <c r="A3591" s="1" t="s">
        <v>21208</v>
      </c>
      <c r="B3591" s="1" t="s">
        <v>21209</v>
      </c>
      <c r="C3591" s="1" t="s">
        <v>8795</v>
      </c>
      <c r="D3591" s="1" t="s">
        <v>21210</v>
      </c>
      <c r="E3591" s="1" t="s">
        <v>8796</v>
      </c>
      <c r="F3591" s="1" t="s">
        <v>21211</v>
      </c>
      <c r="G3591">
        <v>160000</v>
      </c>
      <c r="H3591">
        <v>62</v>
      </c>
      <c r="I3591" s="1" t="s">
        <v>11063</v>
      </c>
      <c r="J3591" s="11">
        <v>44729.706458333334</v>
      </c>
      <c r="K3591" s="1" t="s">
        <v>1964</v>
      </c>
      <c r="L3591" s="1">
        <v>0.68300000000000005</v>
      </c>
      <c r="M3591" s="1">
        <v>0.48099999999999998</v>
      </c>
      <c r="N3591">
        <v>8</v>
      </c>
      <c r="O3591" s="1">
        <v>-9.1739999999999995</v>
      </c>
      <c r="P3591">
        <v>0</v>
      </c>
      <c r="Q3591" s="1">
        <v>0.75</v>
      </c>
      <c r="R3591" s="1">
        <v>0.191</v>
      </c>
      <c r="S3591" s="1">
        <v>0.73599999999999999</v>
      </c>
      <c r="T3591" s="1">
        <v>0.90700000000000003</v>
      </c>
      <c r="U3591" s="1">
        <v>0.47</v>
      </c>
      <c r="V3591" s="1">
        <v>120.001</v>
      </c>
      <c r="W3591">
        <v>4</v>
      </c>
    </row>
    <row r="3592" spans="1:23" x14ac:dyDescent="0.25">
      <c r="A3592" s="1" t="s">
        <v>21212</v>
      </c>
      <c r="B3592" s="1" t="s">
        <v>21213</v>
      </c>
      <c r="C3592" s="1" t="s">
        <v>8797</v>
      </c>
      <c r="D3592" s="1" t="s">
        <v>21210</v>
      </c>
      <c r="E3592" s="1" t="s">
        <v>8798</v>
      </c>
      <c r="F3592" s="1" t="s">
        <v>21211</v>
      </c>
      <c r="G3592">
        <v>262956</v>
      </c>
      <c r="H3592">
        <v>64</v>
      </c>
      <c r="I3592" s="1" t="s">
        <v>11063</v>
      </c>
      <c r="J3592" s="11">
        <v>44729.706458333334</v>
      </c>
      <c r="K3592" s="1" t="s">
        <v>1964</v>
      </c>
      <c r="L3592" s="1">
        <v>0.749</v>
      </c>
      <c r="M3592" s="1">
        <v>0.745</v>
      </c>
      <c r="N3592">
        <v>6</v>
      </c>
      <c r="O3592" s="1">
        <v>-7.367</v>
      </c>
      <c r="P3592">
        <v>0</v>
      </c>
      <c r="Q3592" s="1">
        <v>0.47899999999999998</v>
      </c>
      <c r="R3592" s="1">
        <v>0.41</v>
      </c>
      <c r="S3592" s="1">
        <v>0.39500000000000002</v>
      </c>
      <c r="T3592" s="1">
        <v>0.748</v>
      </c>
      <c r="U3592" s="1">
        <v>0.34699999999999998</v>
      </c>
      <c r="V3592" s="1">
        <v>115.048</v>
      </c>
      <c r="W3592">
        <v>4</v>
      </c>
    </row>
    <row r="3593" spans="1:23" x14ac:dyDescent="0.25">
      <c r="A3593" s="1" t="s">
        <v>21214</v>
      </c>
      <c r="B3593" s="1" t="s">
        <v>14725</v>
      </c>
      <c r="C3593" s="1" t="s">
        <v>8799</v>
      </c>
      <c r="D3593" s="1" t="s">
        <v>18561</v>
      </c>
      <c r="E3593" s="1" t="s">
        <v>3024</v>
      </c>
      <c r="F3593" s="1" t="s">
        <v>16150</v>
      </c>
      <c r="G3593">
        <v>226285</v>
      </c>
      <c r="H3593">
        <v>42</v>
      </c>
      <c r="I3593" s="1" t="s">
        <v>11063</v>
      </c>
      <c r="J3593" s="11">
        <v>44729.706458333334</v>
      </c>
      <c r="K3593" s="1" t="s">
        <v>2939</v>
      </c>
      <c r="L3593" s="1">
        <v>0.68500000000000005</v>
      </c>
      <c r="M3593" s="1">
        <v>0.85499999999999998</v>
      </c>
      <c r="N3593">
        <v>1</v>
      </c>
      <c r="O3593" s="1">
        <v>-5.1660000000000004</v>
      </c>
      <c r="P3593">
        <v>0</v>
      </c>
      <c r="Q3593" s="1">
        <v>0.39300000000000002</v>
      </c>
      <c r="R3593" s="1">
        <v>0.86399999999999999</v>
      </c>
      <c r="S3593" s="1">
        <v>0.92600000000000005</v>
      </c>
      <c r="T3593" s="1">
        <v>0.98499999999999999</v>
      </c>
      <c r="U3593" s="1">
        <v>0.192</v>
      </c>
      <c r="V3593" s="1">
        <v>139.97900000000001</v>
      </c>
      <c r="W3593">
        <v>4</v>
      </c>
    </row>
    <row r="3594" spans="1:23" x14ac:dyDescent="0.25">
      <c r="A3594" s="1" t="s">
        <v>21215</v>
      </c>
      <c r="B3594" s="1" t="s">
        <v>14725</v>
      </c>
      <c r="C3594" s="1" t="s">
        <v>3761</v>
      </c>
      <c r="D3594" s="1" t="s">
        <v>18561</v>
      </c>
      <c r="E3594" s="1" t="s">
        <v>3024</v>
      </c>
      <c r="F3594" s="1" t="s">
        <v>16150</v>
      </c>
      <c r="G3594">
        <v>226285</v>
      </c>
      <c r="H3594">
        <v>56</v>
      </c>
      <c r="I3594" s="1" t="s">
        <v>11063</v>
      </c>
      <c r="J3594" s="11">
        <v>44729.706458333334</v>
      </c>
      <c r="K3594" s="1" t="s">
        <v>2939</v>
      </c>
      <c r="L3594" s="1">
        <v>0.67700000000000005</v>
      </c>
      <c r="M3594" s="1">
        <v>0.79200000000000004</v>
      </c>
      <c r="N3594">
        <v>11</v>
      </c>
      <c r="O3594" s="1">
        <v>-5.0339999999999998</v>
      </c>
      <c r="P3594">
        <v>0</v>
      </c>
      <c r="Q3594" s="1">
        <v>0.13</v>
      </c>
      <c r="R3594" s="1">
        <v>0.86199999999999999</v>
      </c>
      <c r="S3594" s="1">
        <v>0.158</v>
      </c>
      <c r="T3594" s="1">
        <v>0.1</v>
      </c>
      <c r="U3594" s="1">
        <v>0.19500000000000001</v>
      </c>
      <c r="V3594" s="1">
        <v>139.923</v>
      </c>
      <c r="W3594">
        <v>4</v>
      </c>
    </row>
    <row r="3595" spans="1:23" x14ac:dyDescent="0.25">
      <c r="A3595" s="1" t="s">
        <v>21216</v>
      </c>
      <c r="B3595" s="1" t="s">
        <v>14725</v>
      </c>
      <c r="C3595" s="1" t="s">
        <v>8800</v>
      </c>
      <c r="D3595" s="1" t="s">
        <v>2428</v>
      </c>
      <c r="E3595" s="1" t="s">
        <v>3024</v>
      </c>
      <c r="F3595" s="1" t="s">
        <v>11530</v>
      </c>
      <c r="G3595">
        <v>210000</v>
      </c>
      <c r="H3595">
        <v>34</v>
      </c>
      <c r="I3595" s="1" t="s">
        <v>11063</v>
      </c>
      <c r="J3595" s="11">
        <v>44729.706458333334</v>
      </c>
      <c r="K3595" s="1" t="s">
        <v>2939</v>
      </c>
      <c r="L3595" s="1">
        <v>0.56999999999999995</v>
      </c>
      <c r="M3595" s="1">
        <v>0.73699999999999999</v>
      </c>
      <c r="N3595">
        <v>11</v>
      </c>
      <c r="O3595" s="1">
        <v>-4.9459999999999997</v>
      </c>
      <c r="P3595">
        <v>0</v>
      </c>
      <c r="Q3595" s="1">
        <v>0.43</v>
      </c>
      <c r="R3595" s="1">
        <v>0.39900000000000002</v>
      </c>
      <c r="S3595" s="1">
        <v>0.48299999999999998</v>
      </c>
      <c r="T3595" s="1">
        <v>0.109</v>
      </c>
      <c r="U3595" s="1">
        <v>0.185</v>
      </c>
      <c r="V3595" s="1">
        <v>159.99799999999999</v>
      </c>
      <c r="W3595">
        <v>4</v>
      </c>
    </row>
    <row r="3596" spans="1:23" x14ac:dyDescent="0.25">
      <c r="A3596" s="1" t="s">
        <v>21217</v>
      </c>
      <c r="B3596" s="1" t="s">
        <v>21218</v>
      </c>
      <c r="C3596" s="1" t="s">
        <v>8275</v>
      </c>
      <c r="D3596" s="1" t="s">
        <v>8275</v>
      </c>
      <c r="E3596" s="1" t="s">
        <v>8801</v>
      </c>
      <c r="F3596" s="1" t="s">
        <v>20052</v>
      </c>
      <c r="G3596">
        <v>195251</v>
      </c>
      <c r="H3596">
        <v>0</v>
      </c>
      <c r="I3596" s="1" t="s">
        <v>11063</v>
      </c>
      <c r="J3596" s="11">
        <v>44729.706458333334</v>
      </c>
      <c r="K3596" s="1" t="s">
        <v>2066</v>
      </c>
      <c r="L3596" s="1">
        <v>0.53100000000000003</v>
      </c>
      <c r="M3596" s="1">
        <v>0.76900000000000002</v>
      </c>
      <c r="N3596">
        <v>10</v>
      </c>
      <c r="O3596" s="1">
        <v>-2.8809999999999998</v>
      </c>
      <c r="P3596">
        <v>0</v>
      </c>
      <c r="Q3596" s="1">
        <v>0.63</v>
      </c>
      <c r="R3596" s="1">
        <v>0.32500000000000001</v>
      </c>
      <c r="S3596" s="1">
        <v>0</v>
      </c>
      <c r="T3596" s="1">
        <v>0.30499999999999999</v>
      </c>
      <c r="U3596" s="1">
        <v>0.47899999999999998</v>
      </c>
      <c r="V3596" s="1">
        <v>77.350999999999999</v>
      </c>
      <c r="W3596">
        <v>4</v>
      </c>
    </row>
    <row r="3597" spans="1:23" x14ac:dyDescent="0.25">
      <c r="A3597" s="1" t="s">
        <v>21219</v>
      </c>
      <c r="B3597" s="1" t="s">
        <v>14580</v>
      </c>
      <c r="C3597" s="1" t="s">
        <v>2897</v>
      </c>
      <c r="D3597" s="1" t="s">
        <v>2897</v>
      </c>
      <c r="E3597" s="1" t="s">
        <v>2898</v>
      </c>
      <c r="F3597" s="1" t="s">
        <v>14073</v>
      </c>
      <c r="G3597">
        <v>145666</v>
      </c>
      <c r="H3597">
        <v>0</v>
      </c>
      <c r="I3597" s="1" t="s">
        <v>11063</v>
      </c>
      <c r="J3597" s="11">
        <v>44729.706458333334</v>
      </c>
      <c r="K3597" s="1" t="s">
        <v>2066</v>
      </c>
      <c r="L3597" s="1">
        <v>0.36699999999999999</v>
      </c>
      <c r="M3597" s="1">
        <v>0.63100000000000001</v>
      </c>
      <c r="N3597">
        <v>11</v>
      </c>
      <c r="O3597" s="1">
        <v>-6.6470000000000002</v>
      </c>
      <c r="P3597">
        <v>0</v>
      </c>
      <c r="Q3597" s="1">
        <v>0.435</v>
      </c>
      <c r="R3597" s="1">
        <v>0.68500000000000005</v>
      </c>
      <c r="S3597" s="1">
        <v>0</v>
      </c>
      <c r="T3597" s="1">
        <v>0.124</v>
      </c>
      <c r="U3597" s="1">
        <v>0.5</v>
      </c>
      <c r="V3597" s="1">
        <v>180.059</v>
      </c>
      <c r="W3597">
        <v>4</v>
      </c>
    </row>
    <row r="3598" spans="1:23" x14ac:dyDescent="0.25">
      <c r="A3598" s="1" t="s">
        <v>21220</v>
      </c>
      <c r="B3598" s="1" t="s">
        <v>14582</v>
      </c>
      <c r="C3598" s="1" t="s">
        <v>2899</v>
      </c>
      <c r="D3598" s="1" t="s">
        <v>2899</v>
      </c>
      <c r="E3598" s="1" t="s">
        <v>2900</v>
      </c>
      <c r="F3598" s="1" t="s">
        <v>14583</v>
      </c>
      <c r="G3598">
        <v>193379</v>
      </c>
      <c r="H3598">
        <v>0</v>
      </c>
      <c r="I3598" s="1" t="s">
        <v>11063</v>
      </c>
      <c r="J3598" s="11">
        <v>44729.706458333334</v>
      </c>
      <c r="K3598" s="1" t="s">
        <v>2066</v>
      </c>
      <c r="L3598" s="1">
        <v>0.46</v>
      </c>
      <c r="M3598" s="1">
        <v>0.69699999999999995</v>
      </c>
      <c r="N3598">
        <v>7</v>
      </c>
      <c r="O3598" s="1">
        <v>-3.423</v>
      </c>
      <c r="P3598">
        <v>0</v>
      </c>
      <c r="Q3598" s="1">
        <v>0.41399999999999998</v>
      </c>
      <c r="R3598" s="1">
        <v>0.27800000000000002</v>
      </c>
      <c r="S3598" s="1">
        <v>0.5</v>
      </c>
      <c r="T3598" s="1">
        <v>0.30599999999999999</v>
      </c>
      <c r="U3598" s="1">
        <v>0.315</v>
      </c>
      <c r="V3598" s="1">
        <v>144.113</v>
      </c>
      <c r="W3598">
        <v>4</v>
      </c>
    </row>
    <row r="3599" spans="1:23" x14ac:dyDescent="0.25">
      <c r="A3599" s="1" t="s">
        <v>21221</v>
      </c>
      <c r="B3599" s="1" t="s">
        <v>21222</v>
      </c>
      <c r="C3599" s="1" t="s">
        <v>8802</v>
      </c>
      <c r="D3599" s="1" t="s">
        <v>8802</v>
      </c>
      <c r="E3599" s="1" t="s">
        <v>8803</v>
      </c>
      <c r="F3599" s="1" t="s">
        <v>13580</v>
      </c>
      <c r="G3599">
        <v>193741</v>
      </c>
      <c r="H3599">
        <v>38</v>
      </c>
      <c r="I3599" s="1" t="s">
        <v>11063</v>
      </c>
      <c r="J3599" s="11">
        <v>44729.706458333334</v>
      </c>
      <c r="K3599" s="1" t="s">
        <v>8804</v>
      </c>
      <c r="L3599" s="1">
        <v>0.66900000000000004</v>
      </c>
      <c r="M3599" s="1">
        <v>0.66800000000000004</v>
      </c>
      <c r="N3599">
        <v>4</v>
      </c>
      <c r="O3599" s="1">
        <v>-5.5529999999999999</v>
      </c>
      <c r="P3599">
        <v>1</v>
      </c>
      <c r="Q3599" s="1">
        <v>0.20699999999999999</v>
      </c>
      <c r="R3599" s="1">
        <v>0.29399999999999998</v>
      </c>
      <c r="S3599" s="1">
        <v>0</v>
      </c>
      <c r="T3599" s="1">
        <v>0.183</v>
      </c>
      <c r="U3599" s="1">
        <v>0.48299999999999998</v>
      </c>
      <c r="V3599" s="1">
        <v>77.492999999999995</v>
      </c>
      <c r="W3599">
        <v>4</v>
      </c>
    </row>
    <row r="3600" spans="1:23" x14ac:dyDescent="0.25">
      <c r="A3600" s="1" t="s">
        <v>21223</v>
      </c>
      <c r="B3600" s="1" t="s">
        <v>21224</v>
      </c>
      <c r="C3600" s="1" t="s">
        <v>8805</v>
      </c>
      <c r="D3600" s="1" t="s">
        <v>8805</v>
      </c>
      <c r="E3600" s="1" t="s">
        <v>8806</v>
      </c>
      <c r="F3600" s="1" t="s">
        <v>14499</v>
      </c>
      <c r="G3600">
        <v>198393</v>
      </c>
      <c r="H3600">
        <v>0</v>
      </c>
      <c r="I3600" s="1" t="s">
        <v>11063</v>
      </c>
      <c r="J3600" s="11">
        <v>44729.706458333334</v>
      </c>
      <c r="K3600" s="1" t="s">
        <v>3444</v>
      </c>
      <c r="L3600" s="1">
        <v>0.56999999999999995</v>
      </c>
      <c r="M3600" s="1">
        <v>0.79800000000000004</v>
      </c>
      <c r="N3600">
        <v>5</v>
      </c>
      <c r="O3600" s="1">
        <v>-5.8159999999999998</v>
      </c>
      <c r="P3600">
        <v>0</v>
      </c>
      <c r="Q3600" s="1">
        <v>0.16900000000000001</v>
      </c>
      <c r="R3600" s="1">
        <v>0.63</v>
      </c>
      <c r="S3600" s="1">
        <v>0.69</v>
      </c>
      <c r="T3600" s="1">
        <v>0.13500000000000001</v>
      </c>
      <c r="U3600" s="1">
        <v>0.6</v>
      </c>
      <c r="V3600" s="1">
        <v>150.08500000000001</v>
      </c>
      <c r="W3600">
        <v>4</v>
      </c>
    </row>
    <row r="3601" spans="1:23" x14ac:dyDescent="0.25">
      <c r="A3601" s="1" t="s">
        <v>21225</v>
      </c>
      <c r="B3601" s="1" t="s">
        <v>21226</v>
      </c>
      <c r="C3601" s="1" t="s">
        <v>8807</v>
      </c>
      <c r="D3601" s="1" t="s">
        <v>8807</v>
      </c>
      <c r="E3601" s="1" t="s">
        <v>8808</v>
      </c>
      <c r="F3601" s="1" t="s">
        <v>20231</v>
      </c>
      <c r="G3601">
        <v>228300</v>
      </c>
      <c r="H3601">
        <v>0</v>
      </c>
      <c r="I3601" s="1" t="s">
        <v>11063</v>
      </c>
      <c r="J3601" s="11">
        <v>44729.706458333334</v>
      </c>
      <c r="K3601" s="1" t="s">
        <v>3444</v>
      </c>
      <c r="L3601" s="1">
        <v>0.56200000000000006</v>
      </c>
      <c r="M3601" s="1">
        <v>0.97</v>
      </c>
      <c r="N3601">
        <v>0</v>
      </c>
      <c r="O3601" s="1">
        <v>-2.2349999999999999</v>
      </c>
      <c r="P3601">
        <v>0</v>
      </c>
      <c r="Q3601" s="1">
        <v>0.33800000000000002</v>
      </c>
      <c r="R3601" s="1">
        <v>0.85299999999999998</v>
      </c>
      <c r="S3601" s="1">
        <v>0.95499999999999996</v>
      </c>
      <c r="T3601" s="1">
        <v>0.13500000000000001</v>
      </c>
      <c r="U3601" s="1">
        <v>0.65400000000000003</v>
      </c>
      <c r="V3601" s="1">
        <v>164.08</v>
      </c>
      <c r="W3601">
        <v>4</v>
      </c>
    </row>
    <row r="3602" spans="1:23" x14ac:dyDescent="0.25">
      <c r="A3602" s="1" t="s">
        <v>21227</v>
      </c>
      <c r="B3602" s="1" t="s">
        <v>21228</v>
      </c>
      <c r="C3602" s="1" t="s">
        <v>8809</v>
      </c>
      <c r="D3602" s="1" t="s">
        <v>21229</v>
      </c>
      <c r="E3602" s="1" t="s">
        <v>8810</v>
      </c>
      <c r="F3602" s="1" t="s">
        <v>11327</v>
      </c>
      <c r="G3602">
        <v>216319</v>
      </c>
      <c r="H3602">
        <v>39</v>
      </c>
      <c r="I3602" s="1" t="s">
        <v>11063</v>
      </c>
      <c r="J3602" s="11">
        <v>44729.706458333334</v>
      </c>
      <c r="K3602" s="1" t="s">
        <v>8811</v>
      </c>
      <c r="L3602" s="1">
        <v>0.59599999999999997</v>
      </c>
      <c r="M3602" s="1">
        <v>0.745</v>
      </c>
      <c r="N3602">
        <v>0</v>
      </c>
      <c r="O3602" s="1">
        <v>-4.3140000000000001</v>
      </c>
      <c r="P3602">
        <v>0</v>
      </c>
      <c r="Q3602" s="1">
        <v>0.35799999999999998</v>
      </c>
      <c r="R3602" s="1">
        <v>0.20799999999999999</v>
      </c>
      <c r="S3602" s="1">
        <v>0.36299999999999999</v>
      </c>
      <c r="T3602" s="1">
        <v>0.20899999999999999</v>
      </c>
      <c r="U3602" s="1">
        <v>0.59499999999999997</v>
      </c>
      <c r="V3602" s="1">
        <v>81.063999999999993</v>
      </c>
      <c r="W3602">
        <v>4</v>
      </c>
    </row>
    <row r="3603" spans="1:23" x14ac:dyDescent="0.25">
      <c r="A3603" s="1" t="s">
        <v>21230</v>
      </c>
      <c r="B3603" s="1" t="s">
        <v>21226</v>
      </c>
      <c r="C3603" s="1" t="s">
        <v>8812</v>
      </c>
      <c r="D3603" s="1" t="s">
        <v>2055</v>
      </c>
      <c r="E3603" s="1" t="s">
        <v>8808</v>
      </c>
      <c r="F3603" s="1" t="s">
        <v>21231</v>
      </c>
      <c r="G3603">
        <v>217777</v>
      </c>
      <c r="H3603">
        <v>31</v>
      </c>
      <c r="I3603" s="1" t="s">
        <v>11063</v>
      </c>
      <c r="J3603" s="11">
        <v>44729.706458333334</v>
      </c>
      <c r="K3603" s="1" t="s">
        <v>3444</v>
      </c>
      <c r="L3603" s="1">
        <v>0.65900000000000003</v>
      </c>
      <c r="M3603" s="1">
        <v>0.81</v>
      </c>
      <c r="N3603">
        <v>1</v>
      </c>
      <c r="O3603" s="1">
        <v>-5.0709999999999997</v>
      </c>
      <c r="P3603">
        <v>1</v>
      </c>
      <c r="Q3603" s="1">
        <v>0.23799999999999999</v>
      </c>
      <c r="R3603" s="1">
        <v>0.79400000000000004</v>
      </c>
      <c r="S3603" s="1">
        <v>0.61</v>
      </c>
      <c r="T3603" s="1">
        <v>0.33500000000000002</v>
      </c>
      <c r="U3603" s="1">
        <v>0.48799999999999999</v>
      </c>
      <c r="V3603" s="1">
        <v>108.04300000000001</v>
      </c>
      <c r="W3603">
        <v>4</v>
      </c>
    </row>
    <row r="3604" spans="1:23" x14ac:dyDescent="0.25">
      <c r="A3604" s="1" t="s">
        <v>21232</v>
      </c>
      <c r="B3604" s="1" t="s">
        <v>21233</v>
      </c>
      <c r="C3604" s="1" t="s">
        <v>8813</v>
      </c>
      <c r="D3604" s="1" t="s">
        <v>15584</v>
      </c>
      <c r="E3604" s="1" t="s">
        <v>8814</v>
      </c>
      <c r="F3604" s="1" t="s">
        <v>15585</v>
      </c>
      <c r="G3604">
        <v>220420</v>
      </c>
      <c r="H3604">
        <v>49</v>
      </c>
      <c r="I3604" s="1" t="s">
        <v>11063</v>
      </c>
      <c r="J3604" s="11">
        <v>44729.706458333334</v>
      </c>
      <c r="K3604" s="1" t="s">
        <v>8815</v>
      </c>
      <c r="L3604" s="1">
        <v>0.69299999999999995</v>
      </c>
      <c r="M3604" s="1">
        <v>0.85</v>
      </c>
      <c r="N3604">
        <v>11</v>
      </c>
      <c r="O3604" s="1">
        <v>-3.4359999999999999</v>
      </c>
      <c r="P3604">
        <v>0</v>
      </c>
      <c r="Q3604" s="1">
        <v>0.40500000000000003</v>
      </c>
      <c r="R3604" s="1">
        <v>0.215</v>
      </c>
      <c r="S3604" s="1">
        <v>0.26600000000000001</v>
      </c>
      <c r="T3604" s="1">
        <v>0.192</v>
      </c>
      <c r="U3604" s="1">
        <v>0.23699999999999999</v>
      </c>
      <c r="V3604" s="1">
        <v>98.09</v>
      </c>
      <c r="W3604">
        <v>4</v>
      </c>
    </row>
    <row r="3605" spans="1:23" x14ac:dyDescent="0.25">
      <c r="A3605" s="1" t="s">
        <v>21234</v>
      </c>
      <c r="B3605" s="1" t="s">
        <v>21235</v>
      </c>
      <c r="C3605" s="1" t="s">
        <v>8816</v>
      </c>
      <c r="D3605" s="1" t="s">
        <v>8816</v>
      </c>
      <c r="E3605" s="1" t="s">
        <v>8817</v>
      </c>
      <c r="F3605" s="1" t="s">
        <v>21236</v>
      </c>
      <c r="G3605">
        <v>222000</v>
      </c>
      <c r="H3605">
        <v>43</v>
      </c>
      <c r="I3605" s="1" t="s">
        <v>11063</v>
      </c>
      <c r="J3605" s="11">
        <v>44729.706458333334</v>
      </c>
      <c r="K3605" s="1" t="s">
        <v>8818</v>
      </c>
      <c r="L3605" s="1">
        <v>0.59799999999999998</v>
      </c>
      <c r="M3605" s="1">
        <v>0.72699999999999998</v>
      </c>
      <c r="N3605">
        <v>4</v>
      </c>
      <c r="O3605" s="1">
        <v>-5.3440000000000003</v>
      </c>
      <c r="P3605">
        <v>0</v>
      </c>
      <c r="Q3605" s="1">
        <v>0.51500000000000001</v>
      </c>
      <c r="R3605" s="1">
        <v>0.38900000000000001</v>
      </c>
      <c r="S3605" s="1">
        <v>0.245</v>
      </c>
      <c r="T3605" s="1">
        <v>0.90300000000000002</v>
      </c>
      <c r="U3605" s="1">
        <v>0.43</v>
      </c>
      <c r="V3605" s="1">
        <v>160.08799999999999</v>
      </c>
      <c r="W3605">
        <v>4</v>
      </c>
    </row>
    <row r="3606" spans="1:23" x14ac:dyDescent="0.25">
      <c r="A3606" s="1" t="s">
        <v>21237</v>
      </c>
      <c r="B3606" s="1" t="s">
        <v>11351</v>
      </c>
      <c r="C3606" s="1" t="s">
        <v>8819</v>
      </c>
      <c r="D3606" s="1" t="s">
        <v>8819</v>
      </c>
      <c r="E3606" s="1" t="s">
        <v>141</v>
      </c>
      <c r="F3606" s="1" t="s">
        <v>15705</v>
      </c>
      <c r="G3606">
        <v>260307</v>
      </c>
      <c r="H3606">
        <v>37</v>
      </c>
      <c r="I3606" s="1" t="s">
        <v>11063</v>
      </c>
      <c r="J3606" s="11">
        <v>44729.706458333334</v>
      </c>
      <c r="K3606" s="1" t="s">
        <v>142</v>
      </c>
      <c r="L3606" s="1">
        <v>0.41599999999999998</v>
      </c>
      <c r="M3606" s="1">
        <v>0.66500000000000004</v>
      </c>
      <c r="N3606">
        <v>0</v>
      </c>
      <c r="O3606" s="1">
        <v>-5.6749999999999998</v>
      </c>
      <c r="P3606">
        <v>0</v>
      </c>
      <c r="Q3606" s="1">
        <v>0.35299999999999998</v>
      </c>
      <c r="R3606" s="1">
        <v>0.48199999999999998</v>
      </c>
      <c r="S3606" s="1">
        <v>0.28499999999999998</v>
      </c>
      <c r="T3606" s="1">
        <v>0.10299999999999999</v>
      </c>
      <c r="U3606" s="1">
        <v>0.127</v>
      </c>
      <c r="V3606" s="1">
        <v>151.886</v>
      </c>
      <c r="W3606">
        <v>4</v>
      </c>
    </row>
    <row r="3607" spans="1:23" x14ac:dyDescent="0.25">
      <c r="A3607" s="1" t="s">
        <v>21238</v>
      </c>
      <c r="B3607" s="1" t="s">
        <v>18462</v>
      </c>
      <c r="C3607" s="1" t="s">
        <v>8820</v>
      </c>
      <c r="D3607" s="1" t="s">
        <v>8820</v>
      </c>
      <c r="E3607" s="1" t="s">
        <v>6346</v>
      </c>
      <c r="F3607" s="1" t="s">
        <v>17163</v>
      </c>
      <c r="G3607">
        <v>182800</v>
      </c>
      <c r="H3607">
        <v>0</v>
      </c>
      <c r="I3607" s="1" t="s">
        <v>11063</v>
      </c>
      <c r="J3607" s="11">
        <v>44729.706458333334</v>
      </c>
      <c r="K3607" s="1" t="s">
        <v>142</v>
      </c>
      <c r="L3607" s="1">
        <v>0.32500000000000001</v>
      </c>
      <c r="M3607" s="1">
        <v>0.55700000000000005</v>
      </c>
      <c r="N3607">
        <v>2</v>
      </c>
      <c r="O3607" s="1">
        <v>-6.82</v>
      </c>
      <c r="P3607">
        <v>1</v>
      </c>
      <c r="Q3607" s="1">
        <v>0.47599999999999998</v>
      </c>
      <c r="R3607" s="1">
        <v>0.112</v>
      </c>
      <c r="S3607" s="1">
        <v>0</v>
      </c>
      <c r="T3607" s="1">
        <v>0.29399999999999998</v>
      </c>
      <c r="U3607" s="1">
        <v>0.86299999999999999</v>
      </c>
      <c r="V3607" s="1">
        <v>75.725999999999999</v>
      </c>
      <c r="W3607">
        <v>4</v>
      </c>
    </row>
    <row r="3608" spans="1:23" x14ac:dyDescent="0.25">
      <c r="A3608" s="1" t="s">
        <v>21239</v>
      </c>
      <c r="B3608" s="1" t="s">
        <v>21240</v>
      </c>
      <c r="C3608" s="1" t="s">
        <v>8821</v>
      </c>
      <c r="D3608" s="1" t="s">
        <v>8821</v>
      </c>
      <c r="E3608" s="1" t="s">
        <v>8822</v>
      </c>
      <c r="F3608" s="1" t="s">
        <v>16448</v>
      </c>
      <c r="G3608">
        <v>188272</v>
      </c>
      <c r="H3608">
        <v>38</v>
      </c>
      <c r="I3608" s="1" t="s">
        <v>11063</v>
      </c>
      <c r="J3608" s="11">
        <v>44729.706458333334</v>
      </c>
      <c r="K3608" s="1" t="s">
        <v>8823</v>
      </c>
      <c r="L3608" s="1">
        <v>0.48299999999999998</v>
      </c>
      <c r="M3608" s="1">
        <v>0.64500000000000002</v>
      </c>
      <c r="N3608">
        <v>11</v>
      </c>
      <c r="O3608" s="1">
        <v>-6.4029999999999996</v>
      </c>
      <c r="P3608">
        <v>1</v>
      </c>
      <c r="Q3608" s="1">
        <v>0.83399999999999996</v>
      </c>
      <c r="R3608" s="1">
        <v>0.71699999999999997</v>
      </c>
      <c r="S3608" s="1">
        <v>0.11</v>
      </c>
      <c r="T3608" s="1">
        <v>0.25800000000000001</v>
      </c>
      <c r="U3608" s="1">
        <v>0.32800000000000001</v>
      </c>
      <c r="V3608" s="1">
        <v>82.373999999999995</v>
      </c>
      <c r="W3608">
        <v>4</v>
      </c>
    </row>
    <row r="3609" spans="1:23" x14ac:dyDescent="0.25">
      <c r="A3609" s="1" t="s">
        <v>21241</v>
      </c>
      <c r="B3609" s="1" t="s">
        <v>11173</v>
      </c>
      <c r="C3609" s="1" t="s">
        <v>8824</v>
      </c>
      <c r="D3609" s="1" t="s">
        <v>8824</v>
      </c>
      <c r="E3609" s="1" t="s">
        <v>3030</v>
      </c>
      <c r="F3609" s="1" t="s">
        <v>14736</v>
      </c>
      <c r="G3609">
        <v>199772</v>
      </c>
      <c r="H3609">
        <v>39</v>
      </c>
      <c r="I3609" s="1" t="s">
        <v>11063</v>
      </c>
      <c r="J3609" s="11">
        <v>44729.706458333334</v>
      </c>
      <c r="K3609" s="1" t="s">
        <v>142</v>
      </c>
      <c r="L3609" s="1">
        <v>0.47099999999999997</v>
      </c>
      <c r="M3609" s="1">
        <v>0.64800000000000002</v>
      </c>
      <c r="N3609">
        <v>0</v>
      </c>
      <c r="O3609" s="1">
        <v>-5.0579999999999998</v>
      </c>
      <c r="P3609">
        <v>0</v>
      </c>
      <c r="Q3609" s="1">
        <v>0.316</v>
      </c>
      <c r="R3609" s="1">
        <v>0.23400000000000001</v>
      </c>
      <c r="S3609" s="1">
        <v>0.89700000000000002</v>
      </c>
      <c r="T3609" s="1">
        <v>0.11</v>
      </c>
      <c r="U3609" s="1">
        <v>0.129</v>
      </c>
      <c r="V3609" s="1">
        <v>87.959000000000003</v>
      </c>
      <c r="W3609">
        <v>4</v>
      </c>
    </row>
    <row r="3610" spans="1:23" x14ac:dyDescent="0.25">
      <c r="A3610" s="1" t="s">
        <v>21242</v>
      </c>
      <c r="B3610" s="1" t="s">
        <v>11173</v>
      </c>
      <c r="C3610" s="1" t="s">
        <v>8825</v>
      </c>
      <c r="D3610" s="1" t="s">
        <v>8825</v>
      </c>
      <c r="E3610" s="1" t="s">
        <v>3030</v>
      </c>
      <c r="F3610" s="1" t="s">
        <v>16754</v>
      </c>
      <c r="G3610">
        <v>208421</v>
      </c>
      <c r="H3610">
        <v>41</v>
      </c>
      <c r="I3610" s="1" t="s">
        <v>11063</v>
      </c>
      <c r="J3610" s="11">
        <v>44729.706458333334</v>
      </c>
      <c r="K3610" s="1" t="s">
        <v>142</v>
      </c>
      <c r="L3610" s="1">
        <v>0.60799999999999998</v>
      </c>
      <c r="M3610" s="1">
        <v>0.59199999999999997</v>
      </c>
      <c r="N3610">
        <v>5</v>
      </c>
      <c r="O3610" s="1">
        <v>-4.3899999999999997</v>
      </c>
      <c r="P3610">
        <v>0</v>
      </c>
      <c r="Q3610" s="1">
        <v>0.27400000000000002</v>
      </c>
      <c r="R3610" s="1">
        <v>0.246</v>
      </c>
      <c r="S3610" s="1">
        <v>0.59799999999999998</v>
      </c>
      <c r="T3610" s="1">
        <v>0.111</v>
      </c>
      <c r="U3610" s="1">
        <v>0.3</v>
      </c>
      <c r="V3610" s="1">
        <v>151.94200000000001</v>
      </c>
      <c r="W3610">
        <v>4</v>
      </c>
    </row>
    <row r="3611" spans="1:23" x14ac:dyDescent="0.25">
      <c r="A3611" s="1" t="s">
        <v>21243</v>
      </c>
      <c r="B3611" s="1" t="s">
        <v>21240</v>
      </c>
      <c r="C3611" s="1" t="s">
        <v>3745</v>
      </c>
      <c r="D3611" s="1" t="s">
        <v>3745</v>
      </c>
      <c r="E3611" s="1" t="s">
        <v>8822</v>
      </c>
      <c r="F3611" s="1" t="s">
        <v>16691</v>
      </c>
      <c r="G3611">
        <v>222608</v>
      </c>
      <c r="H3611">
        <v>43</v>
      </c>
      <c r="I3611" s="1" t="s">
        <v>11063</v>
      </c>
      <c r="J3611" s="11">
        <v>44729.706458333334</v>
      </c>
      <c r="K3611" s="1" t="s">
        <v>8823</v>
      </c>
      <c r="L3611" s="1">
        <v>0.48799999999999999</v>
      </c>
      <c r="M3611" s="1">
        <v>0.64400000000000002</v>
      </c>
      <c r="N3611">
        <v>6</v>
      </c>
      <c r="O3611" s="1">
        <v>-5.194</v>
      </c>
      <c r="P3611">
        <v>0</v>
      </c>
      <c r="Q3611" s="1">
        <v>0.36099999999999999</v>
      </c>
      <c r="R3611" s="1">
        <v>0.17599999999999999</v>
      </c>
      <c r="S3611" s="1">
        <v>0.94499999999999995</v>
      </c>
      <c r="T3611" s="1">
        <v>0.107</v>
      </c>
      <c r="U3611" s="1">
        <v>0.16500000000000001</v>
      </c>
      <c r="V3611" s="1">
        <v>137.916</v>
      </c>
      <c r="W3611">
        <v>4</v>
      </c>
    </row>
    <row r="3612" spans="1:23" x14ac:dyDescent="0.25">
      <c r="A3612" s="1" t="s">
        <v>21244</v>
      </c>
      <c r="B3612" s="1" t="s">
        <v>19789</v>
      </c>
      <c r="C3612" s="1" t="s">
        <v>8826</v>
      </c>
      <c r="D3612" s="1" t="s">
        <v>8826</v>
      </c>
      <c r="E3612" s="1" t="s">
        <v>7518</v>
      </c>
      <c r="F3612" s="1" t="s">
        <v>17924</v>
      </c>
      <c r="G3612">
        <v>216000</v>
      </c>
      <c r="H3612">
        <v>45</v>
      </c>
      <c r="I3612" s="1" t="s">
        <v>11063</v>
      </c>
      <c r="J3612" s="11">
        <v>44729.706458333334</v>
      </c>
      <c r="K3612" s="1" t="s">
        <v>5216</v>
      </c>
      <c r="L3612" s="1">
        <v>0.54300000000000004</v>
      </c>
      <c r="M3612" s="1">
        <v>0.53600000000000003</v>
      </c>
      <c r="N3612">
        <v>0</v>
      </c>
      <c r="O3612" s="1">
        <v>-9.1869999999999994</v>
      </c>
      <c r="P3612">
        <v>1</v>
      </c>
      <c r="Q3612" s="1">
        <v>0.129</v>
      </c>
      <c r="R3612" s="1">
        <v>0.106</v>
      </c>
      <c r="S3612" s="1">
        <v>0.24</v>
      </c>
      <c r="T3612" s="1">
        <v>0.112</v>
      </c>
      <c r="U3612" s="1">
        <v>0.29899999999999999</v>
      </c>
      <c r="V3612" s="1">
        <v>179.941</v>
      </c>
      <c r="W3612">
        <v>4</v>
      </c>
    </row>
    <row r="3613" spans="1:23" x14ac:dyDescent="0.25">
      <c r="A3613" s="1" t="s">
        <v>50</v>
      </c>
      <c r="B3613" s="1" t="s">
        <v>50</v>
      </c>
      <c r="C3613" s="1" t="s">
        <v>8827</v>
      </c>
      <c r="D3613" s="1" t="s">
        <v>50</v>
      </c>
      <c r="E3613" s="1" t="s">
        <v>8828</v>
      </c>
      <c r="F3613" s="1" t="s">
        <v>50</v>
      </c>
      <c r="G3613">
        <v>259000</v>
      </c>
      <c r="H3613">
        <v>0</v>
      </c>
      <c r="I3613" s="1" t="s">
        <v>11063</v>
      </c>
      <c r="J3613" s="11">
        <v>44729.706458333334</v>
      </c>
      <c r="K3613" s="1" t="s">
        <v>50</v>
      </c>
      <c r="L3613" s="1" t="s">
        <v>50</v>
      </c>
      <c r="M3613" s="1" t="s">
        <v>50</v>
      </c>
      <c r="O3613" s="1" t="s">
        <v>50</v>
      </c>
      <c r="Q3613" s="1" t="s">
        <v>50</v>
      </c>
      <c r="R3613" s="1" t="s">
        <v>50</v>
      </c>
      <c r="S3613" s="1" t="s">
        <v>50</v>
      </c>
      <c r="T3613" s="1" t="s">
        <v>50</v>
      </c>
      <c r="U3613" s="1" t="s">
        <v>50</v>
      </c>
      <c r="V3613" s="1" t="s">
        <v>50</v>
      </c>
    </row>
    <row r="3614" spans="1:23" x14ac:dyDescent="0.25">
      <c r="A3614" s="1" t="s">
        <v>11962</v>
      </c>
      <c r="B3614" s="1" t="s">
        <v>11963</v>
      </c>
      <c r="C3614" s="1" t="s">
        <v>501</v>
      </c>
      <c r="D3614" s="1" t="s">
        <v>501</v>
      </c>
      <c r="E3614" s="1" t="s">
        <v>502</v>
      </c>
      <c r="F3614" s="1" t="s">
        <v>21245</v>
      </c>
      <c r="G3614">
        <v>236571</v>
      </c>
      <c r="H3614">
        <v>32</v>
      </c>
      <c r="I3614" s="1" t="s">
        <v>11063</v>
      </c>
      <c r="J3614" s="11">
        <v>44729.718136574076</v>
      </c>
      <c r="K3614" s="1" t="s">
        <v>503</v>
      </c>
      <c r="L3614" s="1">
        <v>0.61599999999999999</v>
      </c>
      <c r="M3614" s="1">
        <v>0.90100000000000002</v>
      </c>
      <c r="N3614">
        <v>11</v>
      </c>
      <c r="O3614" s="1">
        <v>-4.125</v>
      </c>
      <c r="P3614">
        <v>0</v>
      </c>
      <c r="Q3614" s="1">
        <v>0.81</v>
      </c>
      <c r="R3614" s="1">
        <v>0.11899999999999999</v>
      </c>
      <c r="S3614" s="1">
        <v>0.57699999999999996</v>
      </c>
      <c r="T3614" s="1">
        <v>0.13300000000000001</v>
      </c>
      <c r="U3614" s="1">
        <v>0.248</v>
      </c>
      <c r="V3614" s="1">
        <v>140.02600000000001</v>
      </c>
      <c r="W3614">
        <v>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F2DA2-EA0D-419F-94D2-B246BE2D9667}">
  <sheetPr codeName="Sheet10"/>
  <dimension ref="A1:P9"/>
  <sheetViews>
    <sheetView tabSelected="1" workbookViewId="0">
      <pane ySplit="1" topLeftCell="A2" activePane="bottomLeft" state="frozen"/>
      <selection activeCell="F17" sqref="F17"/>
      <selection pane="bottomLeft" activeCell="S18" sqref="S18"/>
    </sheetView>
  </sheetViews>
  <sheetFormatPr defaultRowHeight="15" x14ac:dyDescent="0.25"/>
  <cols>
    <col min="1" max="1" width="12.28515625" bestFit="1" customWidth="1"/>
    <col min="2" max="2" width="15.5703125" bestFit="1" customWidth="1"/>
    <col min="3" max="3" width="17" bestFit="1" customWidth="1"/>
    <col min="4" max="4" width="12.42578125" bestFit="1" customWidth="1"/>
    <col min="5" max="5" width="14.28515625" style="18" bestFit="1" customWidth="1"/>
    <col min="6" max="6" width="9.28515625" style="18" bestFit="1" customWidth="1"/>
    <col min="7" max="7" width="6.5703125" bestFit="1" customWidth="1"/>
    <col min="8" max="8" width="11.5703125" bestFit="1" customWidth="1"/>
    <col min="9" max="9" width="8.5703125" bestFit="1" customWidth="1"/>
    <col min="10" max="10" width="14.28515625" bestFit="1" customWidth="1"/>
    <col min="11" max="11" width="14.7109375" bestFit="1" customWidth="1"/>
    <col min="12" max="12" width="18.85546875" bestFit="1" customWidth="1"/>
    <col min="13" max="13" width="10.85546875" bestFit="1" customWidth="1"/>
    <col min="14" max="14" width="10.42578125" bestFit="1" customWidth="1"/>
    <col min="15" max="15" width="9.42578125" bestFit="1" customWidth="1"/>
    <col min="16" max="16" width="16.7109375" bestFit="1" customWidth="1"/>
  </cols>
  <sheetData>
    <row r="1" spans="1:16" x14ac:dyDescent="0.25">
      <c r="A1" s="12" t="s">
        <v>1170</v>
      </c>
      <c r="B1" s="12" t="s">
        <v>2</v>
      </c>
      <c r="C1" s="12" t="s">
        <v>497</v>
      </c>
      <c r="D1" s="12" t="s">
        <v>3</v>
      </c>
      <c r="E1" s="16" t="s">
        <v>5</v>
      </c>
      <c r="F1" s="16" t="s">
        <v>6</v>
      </c>
      <c r="G1" s="12" t="s">
        <v>7</v>
      </c>
      <c r="H1" s="12" t="s">
        <v>8</v>
      </c>
      <c r="I1" s="12" t="s">
        <v>9</v>
      </c>
      <c r="J1" s="12" t="s">
        <v>10</v>
      </c>
      <c r="K1" s="12" t="s">
        <v>11</v>
      </c>
      <c r="L1" s="12" t="s">
        <v>12</v>
      </c>
      <c r="M1" s="12" t="s">
        <v>13</v>
      </c>
      <c r="N1" s="12" t="s">
        <v>14</v>
      </c>
      <c r="O1" s="12" t="s">
        <v>15</v>
      </c>
      <c r="P1" s="12" t="s">
        <v>16</v>
      </c>
    </row>
    <row r="2" spans="1:16" x14ac:dyDescent="0.25">
      <c r="A2" s="12" t="s">
        <v>21246</v>
      </c>
      <c r="B2" s="13">
        <f>AVERAGE(Liked[Duration (ms)])</f>
        <v>216993.49681704954</v>
      </c>
      <c r="C2" s="14" t="str">
        <f>LEFT(B2*0.0000166667)&amp;":"&amp;INT((B2*0.0000166667-LEFT(B2*0.0000166667))*60)</f>
        <v>3:36</v>
      </c>
      <c r="D2" s="13">
        <f>AVERAGE(Liked[Popularity])</f>
        <v>45.153611956822587</v>
      </c>
      <c r="E2" s="17">
        <f>AVERAGE(Liked[Danceability])</f>
        <v>0.59540155081694923</v>
      </c>
      <c r="F2" s="17">
        <f>AVERAGE(Liked[Energy])</f>
        <v>0.70370645250623276</v>
      </c>
      <c r="G2" s="15">
        <f>AVERAGE(Liked[Key])</f>
        <v>5.3769039047355305</v>
      </c>
      <c r="H2" s="15">
        <f>AVERAGE(Liked[Loudness])</f>
        <v>-5.9570360710321948</v>
      </c>
      <c r="I2" s="17">
        <f>AVERAGE(Liked[Mode])</f>
        <v>0.46967599003046245</v>
      </c>
      <c r="J2" s="17">
        <f>AVERAGE(Liked[Speechiness])</f>
        <v>0.4457092218222119</v>
      </c>
      <c r="K2" s="17">
        <f>AVERAGE(Liked[Acousticness])</f>
        <v>0.4084680144004425</v>
      </c>
      <c r="L2" s="17">
        <f>AVERAGE(Liked[Instrumentalness])</f>
        <v>0.2816746053724733</v>
      </c>
      <c r="M2" s="17">
        <f>AVERAGE(Liked[Liveness])</f>
        <v>0.38174688451952343</v>
      </c>
      <c r="N2" s="17">
        <f>AVERAGE(Liked[Valence])</f>
        <v>0.42386098033785724</v>
      </c>
      <c r="O2" s="15">
        <f>AVERAGE(Liked[Tempo])</f>
        <v>124.61065055555551</v>
      </c>
      <c r="P2" s="15">
        <f>AVERAGE(Liked[Time Signature])</f>
        <v>3.9728607034062589</v>
      </c>
    </row>
    <row r="3" spans="1:16" x14ac:dyDescent="0.25">
      <c r="A3" s="12" t="s">
        <v>21261</v>
      </c>
      <c r="B3" s="13">
        <f>AVERAGE(bangerz[Duration (ms)])</f>
        <v>218179.62857142856</v>
      </c>
      <c r="C3" s="14" t="str">
        <f>LEFT(B3*0.0000166667)&amp;":"&amp;INT((B3*0.0000166667-LEFT(B3*0.0000166667))*60)</f>
        <v>3:38</v>
      </c>
      <c r="D3" s="13">
        <f>AVERAGE(bangerz[Popularity])</f>
        <v>43.428571428571431</v>
      </c>
      <c r="E3" s="17">
        <f>AVERAGE(bangerz[Danceability])</f>
        <v>0.5780857142857142</v>
      </c>
      <c r="F3" s="17">
        <f>AVERAGE(bangerz[Energy])</f>
        <v>0.6887428571428571</v>
      </c>
      <c r="G3" s="15">
        <f>AVERAGE(bangerz[Key])</f>
        <v>6.2571428571428571</v>
      </c>
      <c r="H3" s="15">
        <f>AVERAGE(bangerz[Loudness])</f>
        <v>-6.5532000000000012</v>
      </c>
      <c r="I3" s="17">
        <f>AVERAGE(bangerz[Mode])</f>
        <v>0.2857142857142857</v>
      </c>
      <c r="J3" s="17">
        <f>AVERAGE(bangerz[Speechiness])</f>
        <v>0.40657142857142869</v>
      </c>
      <c r="K3" s="17">
        <f>AVERAGE(bangerz[Acousticness])</f>
        <v>0.42974285714285715</v>
      </c>
      <c r="L3" s="17">
        <f>AVERAGE(bangerz[Instrumentalness])</f>
        <v>0.28540000000000004</v>
      </c>
      <c r="M3" s="17">
        <f>AVERAGE(bangerz[Liveness])</f>
        <v>0.42037142857142862</v>
      </c>
      <c r="N3" s="17">
        <f>AVERAGE(bangerz[Valence])</f>
        <v>0.37237142857142863</v>
      </c>
      <c r="O3" s="15">
        <f>AVERAGE(bangerz[Tempo])</f>
        <v>117.09688571428568</v>
      </c>
      <c r="P3" s="15">
        <f>AVERAGE(bangerz[Time Signature])</f>
        <v>4</v>
      </c>
    </row>
    <row r="4" spans="1:16" x14ac:dyDescent="0.25">
      <c r="A4" s="12" t="s">
        <v>13377</v>
      </c>
      <c r="B4" s="13">
        <f>AVERAGE(Classico[Duration (ms)])</f>
        <v>262774.26190476189</v>
      </c>
      <c r="C4" s="14" t="str">
        <f t="shared" ref="C4:C9" si="0">LEFT(B4*0.0000166667)&amp;":"&amp;INT((B4*0.0000166667-LEFT(B4*0.0000166667))*60)</f>
        <v>4:22</v>
      </c>
      <c r="D4" s="13">
        <f>AVERAGE(Classico[Popularity])</f>
        <v>37.936507936507937</v>
      </c>
      <c r="E4" s="17">
        <f>AVERAGE(Classico[Danceability])</f>
        <v>0.35985087719298225</v>
      </c>
      <c r="F4" s="17">
        <f>AVERAGE(Classico[Energy])</f>
        <v>0.18523333333333333</v>
      </c>
      <c r="G4" s="15">
        <f>AVERAGE(Classico[Key])</f>
        <v>4.6583333333333332</v>
      </c>
      <c r="H4" s="15">
        <f>AVERAGE(Classico[Loudness])</f>
        <v>-25.378468750000007</v>
      </c>
      <c r="I4" s="17">
        <f>AVERAGE(Classico[Mode])</f>
        <v>0.63492063492063489</v>
      </c>
      <c r="J4" s="17">
        <f>AVERAGE(Classico[Speechiness])</f>
        <v>0.122</v>
      </c>
      <c r="K4" s="17">
        <f>AVERAGE(Classico[Acousticness])</f>
        <v>0.98323809523809491</v>
      </c>
      <c r="L4" s="17">
        <f>AVERAGE(Classico[Instrumentalness])</f>
        <v>0.90714285714285736</v>
      </c>
      <c r="M4" s="17">
        <f>AVERAGE(Classico[Liveness])</f>
        <v>0.14510869565217388</v>
      </c>
      <c r="N4" s="17">
        <f>AVERAGE(Classico[Valence])</f>
        <v>0.2537333333333332</v>
      </c>
      <c r="O4" s="15">
        <f>AVERAGE(Classico[Tempo])</f>
        <v>113.49563636363636</v>
      </c>
      <c r="P4" s="15">
        <f>AVERAGE(Classico[Time Signature])</f>
        <v>3.5714285714285716</v>
      </c>
    </row>
    <row r="5" spans="1:16" x14ac:dyDescent="0.25">
      <c r="A5" s="12" t="s">
        <v>1670</v>
      </c>
      <c r="B5" s="13">
        <f>AVERAGE(Hardstyle[Duration (ms)])</f>
        <v>221794.65625</v>
      </c>
      <c r="C5" s="14" t="str">
        <f t="shared" si="0"/>
        <v>3:41</v>
      </c>
      <c r="D5" s="13">
        <f>AVERAGE(Hardstyle[Popularity])</f>
        <v>46.05</v>
      </c>
      <c r="E5" s="17">
        <f>AVERAGE(Hardstyle[Danceability])</f>
        <v>0.46520979020979047</v>
      </c>
      <c r="F5" s="17">
        <f>AVERAGE(Hardstyle[Energy])</f>
        <v>0.89287974683544225</v>
      </c>
      <c r="G5" s="15">
        <f>AVERAGE(Hardstyle[Key])</f>
        <v>5.0684931506849313</v>
      </c>
      <c r="H5" s="15">
        <f>AVERAGE(Hardstyle[Loudness])</f>
        <v>-3.9875441176470598</v>
      </c>
      <c r="I5" s="17">
        <f>AVERAGE(Hardstyle[Mode])</f>
        <v>0.34375</v>
      </c>
      <c r="J5" s="17">
        <f>AVERAGE(Hardstyle[Speechiness])</f>
        <v>0.22665957446808499</v>
      </c>
      <c r="K5" s="17">
        <f>AVERAGE(Hardstyle[Acousticness])</f>
        <v>0.19216666666666665</v>
      </c>
      <c r="L5" s="17">
        <f>AVERAGE(Hardstyle[Instrumentalness])</f>
        <v>0.14819607843137256</v>
      </c>
      <c r="M5" s="17">
        <f>AVERAGE(Hardstyle[Liveness])</f>
        <v>0.31098039215686285</v>
      </c>
      <c r="N5" s="17">
        <f>AVERAGE(Hardstyle[Valence])</f>
        <v>0.28496923076923092</v>
      </c>
      <c r="O5" s="15">
        <f>AVERAGE(Hardstyle[Tempo])</f>
        <v>152.8777702702703</v>
      </c>
      <c r="P5" s="15">
        <f>AVERAGE(Hardstyle[Time Signature])</f>
        <v>3.9624999999999999</v>
      </c>
    </row>
    <row r="6" spans="1:16" x14ac:dyDescent="0.25">
      <c r="A6" s="12" t="s">
        <v>6919</v>
      </c>
      <c r="B6" s="13">
        <f>AVERAGE(Summer[Duration (ms)])</f>
        <v>182036</v>
      </c>
      <c r="C6" s="14" t="str">
        <f t="shared" si="0"/>
        <v>3:2</v>
      </c>
      <c r="D6" s="13">
        <f>AVERAGE(Summer[Popularity])</f>
        <v>73.900000000000006</v>
      </c>
      <c r="E6" s="17">
        <f>AVERAGE(Summer[Danceability])</f>
        <v>0.7385531914893616</v>
      </c>
      <c r="F6" s="17">
        <f>AVERAGE(Summer[Energy])</f>
        <v>0.73593333333333344</v>
      </c>
      <c r="G6" s="15">
        <f>AVERAGE(Summer[Key])</f>
        <v>4.7826086956521738</v>
      </c>
      <c r="H6" s="15">
        <f>AVERAGE(Summer[Loudness])</f>
        <v>-5.0852619047619045</v>
      </c>
      <c r="I6" s="17">
        <f>AVERAGE(Summer[Mode])</f>
        <v>0.44</v>
      </c>
      <c r="J6" s="17">
        <f>AVERAGE(Summer[Speechiness])</f>
        <v>0.17911111111111111</v>
      </c>
      <c r="K6" s="17">
        <f>AVERAGE(Summer[Acousticness])</f>
        <v>0.30948148148148147</v>
      </c>
      <c r="L6" s="17">
        <f>AVERAGE(Summer[Instrumentalness])</f>
        <v>6.6470588235294122E-3</v>
      </c>
      <c r="M6" s="17">
        <f>AVERAGE(Summer[Liveness])</f>
        <v>0.23324137931034486</v>
      </c>
      <c r="N6" s="17">
        <f>AVERAGE(Summer[Valence])</f>
        <v>0.57240000000000002</v>
      </c>
      <c r="O6" s="15">
        <f>AVERAGE(Summer[Tempo])</f>
        <v>116.00792</v>
      </c>
      <c r="P6" s="15">
        <f>AVERAGE(Summer[Time Signature])</f>
        <v>4</v>
      </c>
    </row>
    <row r="7" spans="1:16" x14ac:dyDescent="0.25">
      <c r="A7" s="12" t="s">
        <v>12422</v>
      </c>
      <c r="B7" s="13">
        <f>AVERAGE(Hard[Duration (ms)])</f>
        <v>239406.83756345179</v>
      </c>
      <c r="C7" s="14" t="str">
        <f t="shared" si="0"/>
        <v>3:59</v>
      </c>
      <c r="D7" s="13">
        <f>AVERAGE(Hard[Popularity])</f>
        <v>34.609137055837564</v>
      </c>
      <c r="E7" s="17">
        <f>AVERAGE(Hard[Danceability])</f>
        <v>0.52882584269662913</v>
      </c>
      <c r="F7" s="17">
        <f>AVERAGE(Hard[Energy])</f>
        <v>0.91885026737967956</v>
      </c>
      <c r="G7" s="15">
        <f>AVERAGE(Hard[Key])</f>
        <v>4.9234972677595632</v>
      </c>
      <c r="H7" s="15">
        <f>AVERAGE(Hard[Loudness])</f>
        <v>-3.879386075949367</v>
      </c>
      <c r="I7" s="17">
        <f>AVERAGE(Hard[Mode])</f>
        <v>0.46666666666666667</v>
      </c>
      <c r="J7" s="17">
        <f>AVERAGE(Hard[Speechiness])</f>
        <v>0.20513043478260873</v>
      </c>
      <c r="K7" s="17">
        <f>AVERAGE(Hard[Acousticness])</f>
        <v>0.23741666666666672</v>
      </c>
      <c r="L7" s="17">
        <f>AVERAGE(Hard[Instrumentalness])</f>
        <v>0.41711999999999982</v>
      </c>
      <c r="M7" s="17">
        <f>AVERAGE(Hard[Liveness])</f>
        <v>0.29858450704225353</v>
      </c>
      <c r="N7" s="17">
        <f>AVERAGE(Hard[Valence])</f>
        <v>0.29563779527559053</v>
      </c>
      <c r="O7" s="15">
        <f>AVERAGE(Hard[Tempo])</f>
        <v>135.57494382022469</v>
      </c>
      <c r="P7" s="15">
        <f>AVERAGE(Hard[Time Signature])</f>
        <v>3.8974358974358974</v>
      </c>
    </row>
    <row r="8" spans="1:16" x14ac:dyDescent="0.25">
      <c r="A8" s="12" t="s">
        <v>1171</v>
      </c>
      <c r="B8" s="13">
        <f>AVERAGE(Soirée[Duration (ms)])</f>
        <v>208038.4607329843</v>
      </c>
      <c r="C8" s="14" t="str">
        <f t="shared" si="0"/>
        <v>3:28</v>
      </c>
      <c r="D8" s="13">
        <f>AVERAGE(Soirée[Popularity])</f>
        <v>58.753926701570684</v>
      </c>
      <c r="E8" s="17">
        <f>AVERAGE(Soirée[Danceability])</f>
        <v>0.67590710382513652</v>
      </c>
      <c r="F8" s="17">
        <f>AVERAGE(Soirée[Energy])</f>
        <v>0.70075862068965511</v>
      </c>
      <c r="G8" s="15">
        <f>AVERAGE(Soirée[Key])</f>
        <v>5.1695906432748542</v>
      </c>
      <c r="H8" s="15">
        <f>AVERAGE(Soirée[Loudness])</f>
        <v>-5.9627467532467548</v>
      </c>
      <c r="I8" s="17">
        <f>AVERAGE(Soirée[Mode])</f>
        <v>0.45026178010471202</v>
      </c>
      <c r="J8" s="17">
        <f>AVERAGE(Soirée[Speechiness])</f>
        <v>0.20933333333333332</v>
      </c>
      <c r="K8" s="17">
        <f>AVERAGE(Soirée[Acousticness])</f>
        <v>0.2945714285714286</v>
      </c>
      <c r="L8" s="17">
        <f>AVERAGE(Soirée[Instrumentalness])</f>
        <v>8.8337662337662326E-2</v>
      </c>
      <c r="M8" s="17">
        <f>AVERAGE(Soirée[Liveness])</f>
        <v>0.23571698113207554</v>
      </c>
      <c r="N8" s="17">
        <f>AVERAGE(Soirée[Valence])</f>
        <v>0.49068023255813931</v>
      </c>
      <c r="O8" s="15">
        <f>AVERAGE(Soirée[Tempo])</f>
        <v>122.98158227848104</v>
      </c>
      <c r="P8" s="15">
        <f>AVERAGE(Soirée[Time Signature])</f>
        <v>3.9790575916230368</v>
      </c>
    </row>
    <row r="9" spans="1:16" x14ac:dyDescent="0.25">
      <c r="A9" s="12" t="s">
        <v>11216</v>
      </c>
      <c r="B9" s="13">
        <f>AVERAGE(Yes[Duration (ms)])</f>
        <v>218322.45</v>
      </c>
      <c r="C9" s="14" t="str">
        <f t="shared" si="0"/>
        <v>3:38</v>
      </c>
      <c r="D9" s="13">
        <f>AVERAGE(Yes[Popularity])</f>
        <v>37.866666666666667</v>
      </c>
      <c r="E9" s="17">
        <f>AVERAGE(Yes[Danceability])</f>
        <v>0.59789999999999999</v>
      </c>
      <c r="F9" s="17">
        <f>AVERAGE(Yes[Energy])</f>
        <v>0.68994915254237277</v>
      </c>
      <c r="G9" s="15">
        <f>AVERAGE(Yes[Key])</f>
        <v>5</v>
      </c>
      <c r="H9" s="15">
        <f>AVERAGE(Yes[Loudness])</f>
        <v>-5.90815</v>
      </c>
      <c r="I9" s="17">
        <f>AVERAGE(Yes[Mode])</f>
        <v>0.36666666666666664</v>
      </c>
      <c r="J9" s="17">
        <f>AVERAGE(Yes[Speechiness])</f>
        <v>7.8326666666666683E-2</v>
      </c>
      <c r="K9" s="17">
        <f>AVERAGE(Yes[Acousticness])</f>
        <v>0.15888297833333331</v>
      </c>
      <c r="L9" s="17">
        <f>AVERAGE(Yes[Instrumentalness])</f>
        <v>3.2149505333333335E-2</v>
      </c>
      <c r="M9" s="17">
        <f>AVERAGE(Yes[Liveness])</f>
        <v>0.16495000000000001</v>
      </c>
      <c r="N9" s="17">
        <f>AVERAGE(Yes[Valence])</f>
        <v>0.35866999999999999</v>
      </c>
      <c r="O9" s="15">
        <f>AVERAGE(Yes[Tempo])</f>
        <v>121.34176666666663</v>
      </c>
      <c r="P9" s="15">
        <f>AVERAGE(Yes[Time Signature])</f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Analyse">
                <anchor moveWithCells="1" sizeWithCells="1">
                  <from>
                    <xdr:col>17</xdr:col>
                    <xdr:colOff>447675</xdr:colOff>
                    <xdr:row>3</xdr:row>
                    <xdr:rowOff>0</xdr:rowOff>
                  </from>
                  <to>
                    <xdr:col>19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4" name="Button 11">
              <controlPr defaultSize="0" print="0" autoFill="0" autoPict="0" macro="[0]!_xludf.clear">
                <anchor moveWithCells="1" sizeWithCells="1">
                  <from>
                    <xdr:col>17</xdr:col>
                    <xdr:colOff>466725</xdr:colOff>
                    <xdr:row>6</xdr:row>
                    <xdr:rowOff>57150</xdr:rowOff>
                  </from>
                  <to>
                    <xdr:col>19</xdr:col>
                    <xdr:colOff>19050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FCD5A-B20F-4467-8C67-E47ACCE84BAE}">
  <sheetPr codeName="Sheet2"/>
  <dimension ref="A1:W36"/>
  <sheetViews>
    <sheetView topLeftCell="J1" workbookViewId="0">
      <selection activeCell="Q19" sqref="Q19"/>
    </sheetView>
  </sheetViews>
  <sheetFormatPr defaultRowHeight="15" x14ac:dyDescent="0.25"/>
  <cols>
    <col min="1" max="1" width="27.85546875" bestFit="1" customWidth="1"/>
    <col min="2" max="2" width="76" bestFit="1" customWidth="1"/>
    <col min="3" max="3" width="36.85546875" bestFit="1" customWidth="1"/>
    <col min="4" max="4" width="32.85546875" bestFit="1" customWidth="1"/>
    <col min="5" max="5" width="35.85546875" bestFit="1" customWidth="1"/>
    <col min="6" max="6" width="14.85546875" bestFit="1" customWidth="1"/>
    <col min="7" max="7" width="15.5703125" bestFit="1" customWidth="1"/>
    <col min="8" max="8" width="12.42578125" bestFit="1" customWidth="1"/>
    <col min="9" max="9" width="39.42578125" bestFit="1" customWidth="1"/>
    <col min="10" max="10" width="15.85546875" bestFit="1" customWidth="1"/>
    <col min="11" max="11" width="81.140625" bestFit="1" customWidth="1"/>
    <col min="12" max="12" width="14.28515625" bestFit="1" customWidth="1"/>
    <col min="13" max="13" width="9.28515625" bestFit="1" customWidth="1"/>
    <col min="14" max="14" width="6.5703125" bestFit="1" customWidth="1"/>
    <col min="15" max="15" width="11.5703125" bestFit="1" customWidth="1"/>
    <col min="16" max="16" width="8.5703125" bestFit="1" customWidth="1"/>
    <col min="17" max="17" width="14.28515625" bestFit="1" customWidth="1"/>
    <col min="18" max="18" width="14.7109375" bestFit="1" customWidth="1"/>
    <col min="19" max="19" width="18.85546875" bestFit="1" customWidth="1"/>
    <col min="20" max="20" width="10.85546875" bestFit="1" customWidth="1"/>
    <col min="21" max="21" width="10.42578125" bestFit="1" customWidth="1"/>
    <col min="22" max="22" width="9.42578125" bestFit="1" customWidth="1"/>
    <col min="23" max="23" width="16.7109375" bestFit="1" customWidth="1"/>
  </cols>
  <sheetData>
    <row r="1" spans="1:23" x14ac:dyDescent="0.25">
      <c r="A1" t="s">
        <v>11055</v>
      </c>
      <c r="B1" t="s">
        <v>11056</v>
      </c>
      <c r="C1" t="s">
        <v>0</v>
      </c>
      <c r="D1" t="s">
        <v>11057</v>
      </c>
      <c r="E1" t="s">
        <v>1</v>
      </c>
      <c r="F1" t="s">
        <v>11058</v>
      </c>
      <c r="G1" t="s">
        <v>2</v>
      </c>
      <c r="H1" t="s">
        <v>3</v>
      </c>
      <c r="I1" t="s">
        <v>11059</v>
      </c>
      <c r="J1" t="s">
        <v>11060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</row>
    <row r="2" spans="1:23" x14ac:dyDescent="0.25">
      <c r="A2" s="1" t="s">
        <v>16639</v>
      </c>
      <c r="B2" s="1" t="s">
        <v>16640</v>
      </c>
      <c r="C2" s="1" t="s">
        <v>4682</v>
      </c>
      <c r="D2" s="1" t="s">
        <v>6488</v>
      </c>
      <c r="E2" s="1" t="s">
        <v>4683</v>
      </c>
      <c r="F2" s="1" t="s">
        <v>15406</v>
      </c>
      <c r="G2">
        <v>336000</v>
      </c>
      <c r="H2">
        <v>38</v>
      </c>
      <c r="I2" s="1" t="s">
        <v>11063</v>
      </c>
      <c r="J2" s="11">
        <v>44639.779247685183</v>
      </c>
      <c r="K2" s="1" t="s">
        <v>998</v>
      </c>
      <c r="L2" s="1">
        <v>0.52700000000000002</v>
      </c>
      <c r="M2" s="1">
        <v>0.65900000000000003</v>
      </c>
      <c r="N2">
        <v>2</v>
      </c>
      <c r="O2" s="1">
        <v>-6.5339999999999998</v>
      </c>
      <c r="P2">
        <v>1</v>
      </c>
      <c r="Q2" s="1">
        <v>0.34200000000000003</v>
      </c>
      <c r="R2" s="1">
        <v>0.65700000000000003</v>
      </c>
      <c r="S2" s="1">
        <v>0.73599999999999999</v>
      </c>
      <c r="T2" s="1">
        <v>0.95099999999999996</v>
      </c>
      <c r="U2" s="1">
        <v>0.126</v>
      </c>
      <c r="V2" s="1">
        <v>100.01</v>
      </c>
      <c r="W2">
        <v>4</v>
      </c>
    </row>
    <row r="3" spans="1:23" x14ac:dyDescent="0.25">
      <c r="A3" s="1" t="s">
        <v>16157</v>
      </c>
      <c r="B3" s="1" t="s">
        <v>16158</v>
      </c>
      <c r="C3" s="1" t="s">
        <v>4281</v>
      </c>
      <c r="D3" s="1" t="s">
        <v>4281</v>
      </c>
      <c r="E3" s="1" t="s">
        <v>4282</v>
      </c>
      <c r="F3" s="1" t="s">
        <v>15668</v>
      </c>
      <c r="G3">
        <v>248674</v>
      </c>
      <c r="H3">
        <v>35</v>
      </c>
      <c r="I3" s="1" t="s">
        <v>11063</v>
      </c>
      <c r="J3" s="11">
        <v>44639.780300925922</v>
      </c>
      <c r="K3" s="1" t="s">
        <v>933</v>
      </c>
      <c r="L3" s="1">
        <v>0.40600000000000003</v>
      </c>
      <c r="M3" s="1">
        <v>0.76500000000000001</v>
      </c>
      <c r="N3">
        <v>2</v>
      </c>
      <c r="O3" s="1">
        <v>-4.6399999999999997</v>
      </c>
      <c r="P3">
        <v>1</v>
      </c>
      <c r="Q3" s="1">
        <v>0.42199999999999999</v>
      </c>
      <c r="R3" s="1">
        <v>0.28100000000000003</v>
      </c>
      <c r="S3" s="1">
        <v>0.309</v>
      </c>
      <c r="T3" s="1">
        <v>0.88900000000000001</v>
      </c>
      <c r="U3" s="1">
        <v>0.123</v>
      </c>
      <c r="V3" s="1">
        <v>166.06200000000001</v>
      </c>
      <c r="W3">
        <v>4</v>
      </c>
    </row>
    <row r="4" spans="1:23" x14ac:dyDescent="0.25">
      <c r="A4" s="1" t="s">
        <v>16108</v>
      </c>
      <c r="B4" s="1" t="s">
        <v>16109</v>
      </c>
      <c r="C4" s="1" t="s">
        <v>4240</v>
      </c>
      <c r="D4" s="1" t="s">
        <v>4240</v>
      </c>
      <c r="E4" s="1" t="s">
        <v>4241</v>
      </c>
      <c r="F4" s="1" t="s">
        <v>16110</v>
      </c>
      <c r="G4">
        <v>253642</v>
      </c>
      <c r="H4">
        <v>26</v>
      </c>
      <c r="I4" s="1" t="s">
        <v>11063</v>
      </c>
      <c r="J4" s="11">
        <v>44639.783761574072</v>
      </c>
      <c r="K4" s="1" t="s">
        <v>4242</v>
      </c>
      <c r="L4" s="1">
        <v>0.42</v>
      </c>
      <c r="M4" s="1">
        <v>0.61</v>
      </c>
      <c r="N4">
        <v>7</v>
      </c>
      <c r="O4" s="1">
        <v>-6.0709999999999997</v>
      </c>
      <c r="P4">
        <v>0</v>
      </c>
      <c r="Q4" s="1">
        <v>0.57699999999999996</v>
      </c>
      <c r="R4" s="1">
        <v>0.14799999999999999</v>
      </c>
      <c r="S4" s="1">
        <v>0</v>
      </c>
      <c r="T4" s="1">
        <v>0.10199999999999999</v>
      </c>
      <c r="U4" s="1">
        <v>0.157</v>
      </c>
      <c r="V4" s="1">
        <v>128.13499999999999</v>
      </c>
      <c r="W4">
        <v>4</v>
      </c>
    </row>
    <row r="5" spans="1:23" x14ac:dyDescent="0.25">
      <c r="A5" s="1" t="s">
        <v>15907</v>
      </c>
      <c r="B5" s="1" t="s">
        <v>15908</v>
      </c>
      <c r="C5" s="1" t="s">
        <v>3668</v>
      </c>
      <c r="D5" s="1" t="s">
        <v>3668</v>
      </c>
      <c r="E5" s="1" t="s">
        <v>4078</v>
      </c>
      <c r="F5" s="1" t="s">
        <v>15909</v>
      </c>
      <c r="G5">
        <v>194546</v>
      </c>
      <c r="H5">
        <v>22</v>
      </c>
      <c r="I5" s="1" t="s">
        <v>11063</v>
      </c>
      <c r="J5" s="11">
        <v>44639.78833333333</v>
      </c>
      <c r="K5" s="1" t="s">
        <v>1118</v>
      </c>
      <c r="L5" s="1">
        <v>0.63700000000000001</v>
      </c>
      <c r="M5" s="1">
        <v>0.63300000000000001</v>
      </c>
      <c r="N5">
        <v>11</v>
      </c>
      <c r="O5" s="1">
        <v>-6.6189999999999998</v>
      </c>
      <c r="P5">
        <v>0</v>
      </c>
      <c r="Q5" s="1">
        <v>0.12</v>
      </c>
      <c r="R5" s="1">
        <v>0.26</v>
      </c>
      <c r="S5" s="1">
        <v>0.14000000000000001</v>
      </c>
      <c r="T5" s="1">
        <v>0.24199999999999999</v>
      </c>
      <c r="U5" s="1">
        <v>0.115</v>
      </c>
      <c r="V5" s="1">
        <v>95.141999999999996</v>
      </c>
      <c r="W5">
        <v>4</v>
      </c>
    </row>
    <row r="6" spans="1:23" x14ac:dyDescent="0.25">
      <c r="A6" s="1" t="s">
        <v>11543</v>
      </c>
      <c r="B6" s="1" t="s">
        <v>11544</v>
      </c>
      <c r="C6" s="1" t="s">
        <v>3999</v>
      </c>
      <c r="D6" s="1" t="s">
        <v>3999</v>
      </c>
      <c r="E6" s="1" t="s">
        <v>280</v>
      </c>
      <c r="F6" s="1" t="s">
        <v>11545</v>
      </c>
      <c r="G6">
        <v>212860</v>
      </c>
      <c r="H6">
        <v>63</v>
      </c>
      <c r="I6" s="1" t="s">
        <v>11063</v>
      </c>
      <c r="J6" s="11">
        <v>44639.797546296293</v>
      </c>
      <c r="K6" s="1" t="s">
        <v>281</v>
      </c>
      <c r="L6" s="1">
        <v>0.247</v>
      </c>
      <c r="M6" s="1">
        <v>0.442</v>
      </c>
      <c r="N6">
        <v>6</v>
      </c>
      <c r="O6" s="1">
        <v>-8.7029999999999994</v>
      </c>
      <c r="P6">
        <v>1</v>
      </c>
      <c r="Q6" s="1">
        <v>0.41</v>
      </c>
      <c r="R6" s="1">
        <v>0.71599999999999997</v>
      </c>
      <c r="S6" s="1">
        <v>0</v>
      </c>
      <c r="T6" s="1">
        <v>0.65500000000000003</v>
      </c>
      <c r="U6" s="1">
        <v>0.26100000000000001</v>
      </c>
      <c r="V6" s="1">
        <v>62.951999999999998</v>
      </c>
      <c r="W6">
        <v>4</v>
      </c>
    </row>
    <row r="7" spans="1:23" x14ac:dyDescent="0.25">
      <c r="A7" s="1" t="s">
        <v>11535</v>
      </c>
      <c r="B7" s="1" t="s">
        <v>11536</v>
      </c>
      <c r="C7" s="1" t="s">
        <v>3979</v>
      </c>
      <c r="D7" s="1" t="s">
        <v>11537</v>
      </c>
      <c r="E7" s="1" t="s">
        <v>275</v>
      </c>
      <c r="F7" s="1" t="s">
        <v>11538</v>
      </c>
      <c r="G7">
        <v>242753</v>
      </c>
      <c r="H7">
        <v>56</v>
      </c>
      <c r="I7" s="1" t="s">
        <v>11063</v>
      </c>
      <c r="J7" s="11">
        <v>44639.799826388888</v>
      </c>
      <c r="K7" s="1" t="s">
        <v>276</v>
      </c>
      <c r="L7" s="1">
        <v>0.72399999999999998</v>
      </c>
      <c r="M7" s="1">
        <v>0.69399999999999995</v>
      </c>
      <c r="N7">
        <v>9</v>
      </c>
      <c r="O7" s="1">
        <v>-8.141</v>
      </c>
      <c r="P7">
        <v>0</v>
      </c>
      <c r="Q7" s="1">
        <v>0.59799999999999998</v>
      </c>
      <c r="R7" s="1">
        <v>0.35</v>
      </c>
      <c r="S7" s="1">
        <v>0</v>
      </c>
      <c r="T7" s="1">
        <v>0.83799999999999997</v>
      </c>
      <c r="U7" s="1">
        <v>0.79700000000000004</v>
      </c>
      <c r="V7" s="1">
        <v>100.07899999999999</v>
      </c>
      <c r="W7">
        <v>4</v>
      </c>
    </row>
    <row r="8" spans="1:23" x14ac:dyDescent="0.25">
      <c r="A8" s="1" t="s">
        <v>15754</v>
      </c>
      <c r="B8" s="1" t="s">
        <v>15755</v>
      </c>
      <c r="C8" s="1" t="s">
        <v>3941</v>
      </c>
      <c r="D8" s="1" t="s">
        <v>3941</v>
      </c>
      <c r="E8" s="1" t="s">
        <v>3942</v>
      </c>
      <c r="F8" s="1" t="s">
        <v>15756</v>
      </c>
      <c r="G8">
        <v>164842</v>
      </c>
      <c r="H8">
        <v>27</v>
      </c>
      <c r="I8" s="1" t="s">
        <v>11063</v>
      </c>
      <c r="J8" s="11">
        <v>44639.80672453704</v>
      </c>
      <c r="K8" s="1" t="s">
        <v>933</v>
      </c>
      <c r="L8" s="1">
        <v>0.65900000000000003</v>
      </c>
      <c r="M8" s="1">
        <v>0.57799999999999996</v>
      </c>
      <c r="N8">
        <v>1</v>
      </c>
      <c r="O8" s="1">
        <v>-5.25</v>
      </c>
      <c r="P8">
        <v>0</v>
      </c>
      <c r="Q8" s="1">
        <v>0.53100000000000003</v>
      </c>
      <c r="R8" s="1">
        <v>0.498</v>
      </c>
      <c r="S8" s="1">
        <v>0</v>
      </c>
      <c r="T8" s="1">
        <v>0.13200000000000001</v>
      </c>
      <c r="U8" s="1">
        <v>0.311</v>
      </c>
      <c r="V8" s="1">
        <v>94.891999999999996</v>
      </c>
      <c r="W8">
        <v>4</v>
      </c>
    </row>
    <row r="9" spans="1:23" x14ac:dyDescent="0.25">
      <c r="A9" s="1" t="s">
        <v>15682</v>
      </c>
      <c r="B9" s="1" t="s">
        <v>15683</v>
      </c>
      <c r="C9" s="1" t="s">
        <v>3881</v>
      </c>
      <c r="D9" s="1" t="s">
        <v>3881</v>
      </c>
      <c r="E9" s="1" t="s">
        <v>3882</v>
      </c>
      <c r="F9" s="1" t="s">
        <v>15684</v>
      </c>
      <c r="G9">
        <v>162253</v>
      </c>
      <c r="H9">
        <v>30</v>
      </c>
      <c r="I9" s="1" t="s">
        <v>11063</v>
      </c>
      <c r="J9" s="11">
        <v>44639.807395833333</v>
      </c>
      <c r="K9" s="1" t="s">
        <v>50</v>
      </c>
      <c r="L9" s="1">
        <v>0.55800000000000005</v>
      </c>
      <c r="M9" s="1">
        <v>0.90400000000000003</v>
      </c>
      <c r="N9">
        <v>0</v>
      </c>
      <c r="O9" s="1">
        <v>-6.8239999999999998</v>
      </c>
      <c r="P9">
        <v>1</v>
      </c>
      <c r="Q9" s="1">
        <v>0.105</v>
      </c>
      <c r="R9" s="1">
        <v>0.28899999999999998</v>
      </c>
      <c r="S9" s="1">
        <v>0.39</v>
      </c>
      <c r="T9" s="1">
        <v>0.20599999999999999</v>
      </c>
      <c r="U9" s="1">
        <v>0.33</v>
      </c>
      <c r="V9" s="1">
        <v>142.06299999999999</v>
      </c>
      <c r="W9">
        <v>4</v>
      </c>
    </row>
    <row r="10" spans="1:23" x14ac:dyDescent="0.25">
      <c r="A10" s="1" t="s">
        <v>15669</v>
      </c>
      <c r="B10" s="1" t="s">
        <v>15670</v>
      </c>
      <c r="C10" s="1" t="s">
        <v>3871</v>
      </c>
      <c r="D10" s="1" t="s">
        <v>3871</v>
      </c>
      <c r="E10" s="1" t="s">
        <v>3872</v>
      </c>
      <c r="F10" s="1" t="s">
        <v>15671</v>
      </c>
      <c r="G10">
        <v>210075</v>
      </c>
      <c r="H10">
        <v>27</v>
      </c>
      <c r="I10" s="1" t="s">
        <v>11063</v>
      </c>
      <c r="J10" s="11">
        <v>44639.808969907404</v>
      </c>
      <c r="K10" s="1" t="s">
        <v>21255</v>
      </c>
      <c r="L10" s="1">
        <v>0.317</v>
      </c>
      <c r="M10" s="1">
        <v>0.65900000000000003</v>
      </c>
      <c r="N10">
        <v>9</v>
      </c>
      <c r="O10" s="1">
        <v>-6.1980000000000004</v>
      </c>
      <c r="P10">
        <v>1</v>
      </c>
      <c r="Q10" s="1">
        <v>0.89200000000000002</v>
      </c>
      <c r="R10" s="1">
        <v>0.65400000000000003</v>
      </c>
      <c r="S10" s="1">
        <v>0.10199999999999999</v>
      </c>
      <c r="T10" s="1">
        <v>0.186</v>
      </c>
      <c r="U10" s="1">
        <v>0.18</v>
      </c>
      <c r="V10" s="1">
        <v>123.889</v>
      </c>
      <c r="W10">
        <v>4</v>
      </c>
    </row>
    <row r="11" spans="1:23" x14ac:dyDescent="0.25">
      <c r="A11" s="1" t="s">
        <v>15622</v>
      </c>
      <c r="B11" s="1" t="s">
        <v>15623</v>
      </c>
      <c r="C11" s="1" t="s">
        <v>3831</v>
      </c>
      <c r="D11" s="1" t="s">
        <v>3831</v>
      </c>
      <c r="E11" s="1" t="s">
        <v>3832</v>
      </c>
      <c r="F11" s="1" t="s">
        <v>15624</v>
      </c>
      <c r="G11">
        <v>208256</v>
      </c>
      <c r="H11">
        <v>31</v>
      </c>
      <c r="I11" s="1" t="s">
        <v>11063</v>
      </c>
      <c r="J11" s="11">
        <v>44639.813298611109</v>
      </c>
      <c r="K11" s="1" t="s">
        <v>50</v>
      </c>
      <c r="L11" s="1">
        <v>0.59699999999999998</v>
      </c>
      <c r="M11" s="1">
        <v>0.80200000000000005</v>
      </c>
      <c r="N11">
        <v>8</v>
      </c>
      <c r="O11" s="1">
        <v>-6.5880000000000001</v>
      </c>
      <c r="P11">
        <v>0</v>
      </c>
      <c r="Q11" s="1">
        <v>0.10299999999999999</v>
      </c>
      <c r="R11" s="1">
        <v>0.16</v>
      </c>
      <c r="S11" s="1">
        <v>0</v>
      </c>
      <c r="T11" s="1">
        <v>0.123</v>
      </c>
      <c r="U11" s="1">
        <v>0.45100000000000001</v>
      </c>
      <c r="V11" s="1">
        <v>94.959000000000003</v>
      </c>
      <c r="W11">
        <v>4</v>
      </c>
    </row>
    <row r="12" spans="1:23" x14ac:dyDescent="0.25">
      <c r="A12" s="1" t="s">
        <v>11328</v>
      </c>
      <c r="B12" s="1" t="s">
        <v>11329</v>
      </c>
      <c r="C12" s="1" t="s">
        <v>123</v>
      </c>
      <c r="D12" s="1" t="s">
        <v>11330</v>
      </c>
      <c r="E12" s="1" t="s">
        <v>124</v>
      </c>
      <c r="F12" s="1" t="s">
        <v>11331</v>
      </c>
      <c r="G12">
        <v>238805</v>
      </c>
      <c r="H12">
        <v>90</v>
      </c>
      <c r="I12" s="1" t="s">
        <v>11063</v>
      </c>
      <c r="J12" s="11">
        <v>44640.8046412037</v>
      </c>
      <c r="K12" s="1" t="s">
        <v>125</v>
      </c>
      <c r="L12" s="1">
        <v>0.76100000000000001</v>
      </c>
      <c r="M12" s="1">
        <v>0.52500000000000002</v>
      </c>
      <c r="N12">
        <v>11</v>
      </c>
      <c r="O12" s="1">
        <v>-6.9</v>
      </c>
      <c r="P12">
        <v>1</v>
      </c>
      <c r="Q12" s="1">
        <v>0.94399999999999995</v>
      </c>
      <c r="R12" s="1">
        <v>0.44</v>
      </c>
      <c r="S12" s="1">
        <v>0.67</v>
      </c>
      <c r="T12" s="1">
        <v>0.92100000000000004</v>
      </c>
      <c r="U12" s="1">
        <v>0.53100000000000003</v>
      </c>
      <c r="V12" s="1">
        <v>80.87</v>
      </c>
      <c r="W12">
        <v>4</v>
      </c>
    </row>
    <row r="13" spans="1:23" x14ac:dyDescent="0.25">
      <c r="A13" s="1" t="s">
        <v>14089</v>
      </c>
      <c r="B13" s="1" t="s">
        <v>14083</v>
      </c>
      <c r="C13" s="1" t="s">
        <v>2473</v>
      </c>
      <c r="D13" s="1" t="s">
        <v>14087</v>
      </c>
      <c r="E13" s="1" t="s">
        <v>2471</v>
      </c>
      <c r="F13" s="1" t="s">
        <v>14088</v>
      </c>
      <c r="G13">
        <v>226341</v>
      </c>
      <c r="H13">
        <v>59</v>
      </c>
      <c r="I13" s="1" t="s">
        <v>11063</v>
      </c>
      <c r="J13" s="11">
        <v>44643.727488425924</v>
      </c>
      <c r="K13" s="1" t="s">
        <v>21256</v>
      </c>
      <c r="L13" s="1">
        <v>0.64400000000000002</v>
      </c>
      <c r="M13" s="1">
        <v>0.86</v>
      </c>
      <c r="N13">
        <v>8</v>
      </c>
      <c r="O13" s="1">
        <v>-3.9660000000000002</v>
      </c>
      <c r="P13">
        <v>0</v>
      </c>
      <c r="Q13" s="1">
        <v>0.745</v>
      </c>
      <c r="R13" s="1">
        <v>0.13500000000000001</v>
      </c>
      <c r="S13" s="1">
        <v>0</v>
      </c>
      <c r="T13" s="1">
        <v>0.99</v>
      </c>
      <c r="U13" s="1">
        <v>0.47699999999999998</v>
      </c>
      <c r="V13" s="1">
        <v>122.994</v>
      </c>
      <c r="W13">
        <v>4</v>
      </c>
    </row>
    <row r="14" spans="1:23" x14ac:dyDescent="0.25">
      <c r="A14" s="1" t="s">
        <v>15580</v>
      </c>
      <c r="B14" s="1" t="s">
        <v>15581</v>
      </c>
      <c r="C14" s="1" t="s">
        <v>3799</v>
      </c>
      <c r="D14" s="1" t="s">
        <v>3799</v>
      </c>
      <c r="E14" s="1" t="s">
        <v>3800</v>
      </c>
      <c r="F14" s="1" t="s">
        <v>11492</v>
      </c>
      <c r="G14">
        <v>246932</v>
      </c>
      <c r="H14">
        <v>36</v>
      </c>
      <c r="I14" s="1" t="s">
        <v>11063</v>
      </c>
      <c r="J14" s="11">
        <v>44651.887789351851</v>
      </c>
      <c r="K14" s="1" t="s">
        <v>50</v>
      </c>
      <c r="L14" s="1">
        <v>0.54400000000000004</v>
      </c>
      <c r="M14" s="1">
        <v>0.81299999999999994</v>
      </c>
      <c r="N14">
        <v>2</v>
      </c>
      <c r="O14" s="1">
        <v>-5.2880000000000003</v>
      </c>
      <c r="P14">
        <v>1</v>
      </c>
      <c r="Q14" s="1">
        <v>0.45300000000000001</v>
      </c>
      <c r="R14" s="1">
        <v>0.67900000000000005</v>
      </c>
      <c r="S14" s="1">
        <v>0.39</v>
      </c>
      <c r="T14" s="1">
        <v>0.111</v>
      </c>
      <c r="U14" s="1">
        <v>0.27</v>
      </c>
      <c r="V14" s="1">
        <v>139.94499999999999</v>
      </c>
      <c r="W14">
        <v>4</v>
      </c>
    </row>
    <row r="15" spans="1:23" x14ac:dyDescent="0.25">
      <c r="A15" s="1" t="s">
        <v>15970</v>
      </c>
      <c r="B15" s="1" t="s">
        <v>14290</v>
      </c>
      <c r="C15" s="1" t="s">
        <v>4132</v>
      </c>
      <c r="D15" s="1" t="s">
        <v>4132</v>
      </c>
      <c r="E15" s="1" t="s">
        <v>2641</v>
      </c>
      <c r="F15" s="1" t="s">
        <v>14068</v>
      </c>
      <c r="G15">
        <v>264180</v>
      </c>
      <c r="H15">
        <v>34</v>
      </c>
      <c r="I15" s="1" t="s">
        <v>11063</v>
      </c>
      <c r="J15" s="11">
        <v>44651.888124999998</v>
      </c>
      <c r="K15" s="1" t="s">
        <v>1030</v>
      </c>
      <c r="L15" s="1">
        <v>0.49</v>
      </c>
      <c r="M15" s="1">
        <v>0.48199999999999998</v>
      </c>
      <c r="N15">
        <v>6</v>
      </c>
      <c r="O15" s="1">
        <v>-7.2350000000000003</v>
      </c>
      <c r="P15">
        <v>0</v>
      </c>
      <c r="Q15" s="1">
        <v>0.54600000000000004</v>
      </c>
      <c r="R15" s="1">
        <v>0.14199999999999999</v>
      </c>
      <c r="S15" s="1">
        <v>0</v>
      </c>
      <c r="T15" s="1">
        <v>0.109</v>
      </c>
      <c r="U15" s="1">
        <v>0.13600000000000001</v>
      </c>
      <c r="V15" s="1">
        <v>130.017</v>
      </c>
      <c r="W15">
        <v>4</v>
      </c>
    </row>
    <row r="16" spans="1:23" x14ac:dyDescent="0.25">
      <c r="A16" s="1" t="s">
        <v>14031</v>
      </c>
      <c r="B16" s="1" t="s">
        <v>11304</v>
      </c>
      <c r="C16" s="1" t="s">
        <v>2425</v>
      </c>
      <c r="D16" s="1" t="s">
        <v>2433</v>
      </c>
      <c r="E16" s="1" t="s">
        <v>102</v>
      </c>
      <c r="F16" s="1" t="s">
        <v>11305</v>
      </c>
      <c r="G16">
        <v>218826</v>
      </c>
      <c r="H16">
        <v>44</v>
      </c>
      <c r="I16" s="1" t="s">
        <v>11063</v>
      </c>
      <c r="J16" s="11">
        <v>44652.612673611111</v>
      </c>
      <c r="K16" s="1" t="s">
        <v>103</v>
      </c>
      <c r="L16" s="1">
        <v>0.64600000000000002</v>
      </c>
      <c r="M16" s="1">
        <v>0.81100000000000005</v>
      </c>
      <c r="N16">
        <v>11</v>
      </c>
      <c r="O16" s="1">
        <v>-8.782</v>
      </c>
      <c r="P16">
        <v>0</v>
      </c>
      <c r="Q16" s="1">
        <v>0.373</v>
      </c>
      <c r="R16" s="1">
        <v>0.36</v>
      </c>
      <c r="S16" s="1">
        <v>0.33300000000000002</v>
      </c>
      <c r="T16" s="1">
        <v>0.76900000000000002</v>
      </c>
      <c r="U16" s="1">
        <v>0.53100000000000003</v>
      </c>
      <c r="V16" s="1">
        <v>112.12</v>
      </c>
      <c r="W16">
        <v>4</v>
      </c>
    </row>
    <row r="17" spans="1:23" x14ac:dyDescent="0.25">
      <c r="A17" s="1" t="s">
        <v>14763</v>
      </c>
      <c r="B17" s="1" t="s">
        <v>14764</v>
      </c>
      <c r="C17" s="1" t="s">
        <v>3052</v>
      </c>
      <c r="D17" s="1" t="s">
        <v>3052</v>
      </c>
      <c r="E17" s="1" t="s">
        <v>3053</v>
      </c>
      <c r="F17" s="1" t="s">
        <v>11349</v>
      </c>
      <c r="G17">
        <v>181392</v>
      </c>
      <c r="H17">
        <v>41</v>
      </c>
      <c r="I17" s="1" t="s">
        <v>11063</v>
      </c>
      <c r="J17" s="11">
        <v>44653.526377314818</v>
      </c>
      <c r="K17" s="1" t="s">
        <v>50</v>
      </c>
      <c r="L17" s="1">
        <v>0.64700000000000002</v>
      </c>
      <c r="M17" s="1">
        <v>0.85299999999999998</v>
      </c>
      <c r="N17">
        <v>6</v>
      </c>
      <c r="O17" s="1">
        <v>-7.3609999999999998</v>
      </c>
      <c r="P17">
        <v>0</v>
      </c>
      <c r="Q17" s="1">
        <v>0.47499999999999998</v>
      </c>
      <c r="R17" s="1">
        <v>0.30099999999999999</v>
      </c>
      <c r="S17" s="1">
        <v>0.105</v>
      </c>
      <c r="T17" s="1">
        <v>0.191</v>
      </c>
      <c r="U17" s="1">
        <v>0.375</v>
      </c>
      <c r="V17" s="1">
        <v>140.02099999999999</v>
      </c>
      <c r="W17">
        <v>4</v>
      </c>
    </row>
    <row r="18" spans="1:23" x14ac:dyDescent="0.25">
      <c r="A18" s="1" t="s">
        <v>16410</v>
      </c>
      <c r="B18" s="1" t="s">
        <v>16411</v>
      </c>
      <c r="C18" s="1" t="s">
        <v>4476</v>
      </c>
      <c r="D18" s="1" t="s">
        <v>16412</v>
      </c>
      <c r="E18" s="1" t="s">
        <v>4477</v>
      </c>
      <c r="F18" s="1" t="s">
        <v>13590</v>
      </c>
      <c r="G18">
        <v>227500</v>
      </c>
      <c r="H18">
        <v>26</v>
      </c>
      <c r="I18" s="1" t="s">
        <v>11063</v>
      </c>
      <c r="J18" s="11">
        <v>44653.787268518521</v>
      </c>
      <c r="K18" s="1" t="s">
        <v>21257</v>
      </c>
      <c r="L18" s="1">
        <v>0.51900000000000002</v>
      </c>
      <c r="M18" s="1">
        <v>0.81200000000000006</v>
      </c>
      <c r="N18">
        <v>11</v>
      </c>
      <c r="O18" s="1">
        <v>-4.5730000000000004</v>
      </c>
      <c r="P18">
        <v>0</v>
      </c>
      <c r="Q18" s="1">
        <v>0.32300000000000001</v>
      </c>
      <c r="R18" s="1">
        <v>0.36199999999999999</v>
      </c>
      <c r="S18" s="1">
        <v>0.82299999999999995</v>
      </c>
      <c r="T18" s="1">
        <v>0.25600000000000001</v>
      </c>
      <c r="U18" s="1">
        <v>0.127</v>
      </c>
      <c r="V18" s="1">
        <v>95.977999999999994</v>
      </c>
      <c r="W18">
        <v>4</v>
      </c>
    </row>
    <row r="19" spans="1:23" x14ac:dyDescent="0.25">
      <c r="A19" s="1" t="s">
        <v>15665</v>
      </c>
      <c r="B19" s="1" t="s">
        <v>15666</v>
      </c>
      <c r="C19" s="1" t="s">
        <v>3869</v>
      </c>
      <c r="D19" s="1" t="s">
        <v>15667</v>
      </c>
      <c r="E19" s="1" t="s">
        <v>3870</v>
      </c>
      <c r="F19" s="1" t="s">
        <v>15668</v>
      </c>
      <c r="G19">
        <v>210026</v>
      </c>
      <c r="H19">
        <v>30</v>
      </c>
      <c r="I19" s="1" t="s">
        <v>11063</v>
      </c>
      <c r="J19" s="11">
        <v>44655.479201388887</v>
      </c>
      <c r="K19" s="1" t="s">
        <v>328</v>
      </c>
      <c r="L19" s="1">
        <v>0.52400000000000002</v>
      </c>
      <c r="M19" s="1">
        <v>0.76200000000000001</v>
      </c>
      <c r="N19">
        <v>8</v>
      </c>
      <c r="O19" s="1">
        <v>-7.9829999999999997</v>
      </c>
      <c r="P19">
        <v>0</v>
      </c>
      <c r="Q19" s="1">
        <v>0.61799999999999999</v>
      </c>
      <c r="R19" s="1">
        <v>0.24099999999999999</v>
      </c>
      <c r="S19" s="1">
        <v>0.188</v>
      </c>
      <c r="T19" s="1">
        <v>0.57899999999999996</v>
      </c>
      <c r="U19" s="1">
        <v>0.434</v>
      </c>
      <c r="V19" s="1">
        <v>120.023</v>
      </c>
      <c r="W19">
        <v>4</v>
      </c>
    </row>
    <row r="20" spans="1:23" x14ac:dyDescent="0.25">
      <c r="A20" s="1" t="s">
        <v>11505</v>
      </c>
      <c r="B20" s="1" t="s">
        <v>11506</v>
      </c>
      <c r="C20" s="1" t="s">
        <v>254</v>
      </c>
      <c r="D20" s="1" t="s">
        <v>11507</v>
      </c>
      <c r="E20" s="1" t="s">
        <v>255</v>
      </c>
      <c r="F20" s="1" t="s">
        <v>11445</v>
      </c>
      <c r="G20">
        <v>221700</v>
      </c>
      <c r="H20">
        <v>51</v>
      </c>
      <c r="I20" s="1" t="s">
        <v>11063</v>
      </c>
      <c r="J20" s="11">
        <v>44657.713738425926</v>
      </c>
      <c r="K20" s="1" t="s">
        <v>256</v>
      </c>
      <c r="L20" s="1">
        <v>0.61799999999999999</v>
      </c>
      <c r="M20" s="1">
        <v>0.65400000000000003</v>
      </c>
      <c r="N20">
        <v>0</v>
      </c>
      <c r="O20" s="1">
        <v>-6.0659999999999998</v>
      </c>
      <c r="P20">
        <v>0</v>
      </c>
      <c r="Q20" s="1">
        <v>0.32100000000000001</v>
      </c>
      <c r="R20" s="1">
        <v>0.45300000000000001</v>
      </c>
      <c r="S20" s="1">
        <v>0.191</v>
      </c>
      <c r="T20" s="1">
        <v>0.11899999999999999</v>
      </c>
      <c r="U20" s="1">
        <v>0.45700000000000002</v>
      </c>
      <c r="V20" s="1">
        <v>75.052999999999997</v>
      </c>
      <c r="W20">
        <v>4</v>
      </c>
    </row>
    <row r="21" spans="1:23" x14ac:dyDescent="0.25">
      <c r="A21" s="1" t="s">
        <v>15577</v>
      </c>
      <c r="B21" s="1" t="s">
        <v>11181</v>
      </c>
      <c r="C21" s="1" t="s">
        <v>3796</v>
      </c>
      <c r="D21" s="1" t="s">
        <v>15578</v>
      </c>
      <c r="E21" s="1" t="s">
        <v>3797</v>
      </c>
      <c r="F21" s="1" t="s">
        <v>15579</v>
      </c>
      <c r="G21">
        <v>207465</v>
      </c>
      <c r="H21">
        <v>30</v>
      </c>
      <c r="I21" s="1" t="s">
        <v>11063</v>
      </c>
      <c r="J21" s="11">
        <v>44657.7190625</v>
      </c>
      <c r="K21" s="1" t="s">
        <v>3798</v>
      </c>
      <c r="L21" s="1">
        <v>0.58599999999999997</v>
      </c>
      <c r="M21" s="1">
        <v>0.80500000000000005</v>
      </c>
      <c r="N21">
        <v>6</v>
      </c>
      <c r="O21" s="1">
        <v>-5.609</v>
      </c>
      <c r="P21">
        <v>0</v>
      </c>
      <c r="Q21" s="1">
        <v>0.19400000000000001</v>
      </c>
      <c r="R21" s="1">
        <v>0.33600000000000002</v>
      </c>
      <c r="S21" s="1">
        <v>0.105</v>
      </c>
      <c r="T21" s="1">
        <v>0.14199999999999999</v>
      </c>
      <c r="U21" s="1">
        <v>0.749</v>
      </c>
      <c r="V21" s="1">
        <v>140.17099999999999</v>
      </c>
      <c r="W21">
        <v>4</v>
      </c>
    </row>
    <row r="22" spans="1:23" x14ac:dyDescent="0.25">
      <c r="A22" s="1" t="s">
        <v>17188</v>
      </c>
      <c r="B22" s="1" t="s">
        <v>14709</v>
      </c>
      <c r="C22" s="1" t="s">
        <v>82</v>
      </c>
      <c r="D22" s="1" t="s">
        <v>17187</v>
      </c>
      <c r="E22" s="1" t="s">
        <v>3009</v>
      </c>
      <c r="F22" s="1" t="s">
        <v>11597</v>
      </c>
      <c r="G22">
        <v>247213</v>
      </c>
      <c r="H22">
        <v>58</v>
      </c>
      <c r="I22" s="1" t="s">
        <v>11063</v>
      </c>
      <c r="J22" s="11">
        <v>44658.011145833334</v>
      </c>
      <c r="K22" s="1" t="s">
        <v>3010</v>
      </c>
      <c r="L22" s="1">
        <v>0.61699999999999999</v>
      </c>
      <c r="M22" s="1">
        <v>0.84199999999999997</v>
      </c>
      <c r="N22">
        <v>10</v>
      </c>
      <c r="O22" s="1">
        <v>-4.0620000000000003</v>
      </c>
      <c r="P22">
        <v>0</v>
      </c>
      <c r="Q22" s="1">
        <v>0.34</v>
      </c>
      <c r="R22" s="1">
        <v>0.11700000000000001</v>
      </c>
      <c r="S22" s="1">
        <v>0.26100000000000001</v>
      </c>
      <c r="T22" s="1">
        <v>0.13100000000000001</v>
      </c>
      <c r="U22" s="1">
        <v>0.36</v>
      </c>
      <c r="V22" s="1">
        <v>127.955</v>
      </c>
      <c r="W22">
        <v>4</v>
      </c>
    </row>
    <row r="23" spans="1:23" x14ac:dyDescent="0.25">
      <c r="A23" s="1" t="s">
        <v>11574</v>
      </c>
      <c r="B23" s="1" t="s">
        <v>11575</v>
      </c>
      <c r="C23" s="1" t="s">
        <v>4357</v>
      </c>
      <c r="D23" s="1" t="s">
        <v>11576</v>
      </c>
      <c r="E23" s="1" t="s">
        <v>302</v>
      </c>
      <c r="F23" s="1" t="s">
        <v>11577</v>
      </c>
      <c r="G23">
        <v>215844</v>
      </c>
      <c r="H23">
        <v>26</v>
      </c>
      <c r="I23" s="1" t="s">
        <v>11063</v>
      </c>
      <c r="J23" s="11">
        <v>44658.012488425928</v>
      </c>
      <c r="K23" s="1" t="s">
        <v>50</v>
      </c>
      <c r="L23" s="1">
        <v>0.73699999999999999</v>
      </c>
      <c r="M23" s="1">
        <v>0.48899999999999999</v>
      </c>
      <c r="N23">
        <v>1</v>
      </c>
      <c r="O23" s="1">
        <v>-5.8209999999999997</v>
      </c>
      <c r="P23">
        <v>0</v>
      </c>
      <c r="Q23" s="1">
        <v>0.28699999999999998</v>
      </c>
      <c r="R23" s="1">
        <v>0.42199999999999999</v>
      </c>
      <c r="S23" s="1">
        <v>0.44500000000000001</v>
      </c>
      <c r="T23" s="1">
        <v>0.52300000000000002</v>
      </c>
      <c r="U23" s="1">
        <v>0.13500000000000001</v>
      </c>
      <c r="V23" s="1">
        <v>100.036</v>
      </c>
      <c r="W23">
        <v>4</v>
      </c>
    </row>
    <row r="24" spans="1:23" x14ac:dyDescent="0.25">
      <c r="A24" s="1" t="s">
        <v>16359</v>
      </c>
      <c r="B24" s="1" t="s">
        <v>16360</v>
      </c>
      <c r="C24" s="1" t="s">
        <v>1594</v>
      </c>
      <c r="D24" s="1" t="s">
        <v>16361</v>
      </c>
      <c r="E24" s="1" t="s">
        <v>4438</v>
      </c>
      <c r="F24" s="1" t="s">
        <v>16362</v>
      </c>
      <c r="G24">
        <v>204280</v>
      </c>
      <c r="H24">
        <v>53</v>
      </c>
      <c r="I24" s="1" t="s">
        <v>11063</v>
      </c>
      <c r="J24" s="11">
        <v>44658.017939814818</v>
      </c>
      <c r="K24" s="1" t="s">
        <v>4439</v>
      </c>
      <c r="L24" s="1">
        <v>0.57699999999999996</v>
      </c>
      <c r="M24" s="1">
        <v>0.92200000000000004</v>
      </c>
      <c r="N24">
        <v>8</v>
      </c>
      <c r="O24" s="1">
        <v>-3.339</v>
      </c>
      <c r="P24">
        <v>0</v>
      </c>
      <c r="Q24" s="1">
        <v>0.44500000000000001</v>
      </c>
      <c r="R24" s="1">
        <v>0.64700000000000002</v>
      </c>
      <c r="S24" s="1">
        <v>0</v>
      </c>
      <c r="T24" s="1">
        <v>0.98399999999999999</v>
      </c>
      <c r="U24" s="1">
        <v>0.67900000000000005</v>
      </c>
      <c r="V24" s="1">
        <v>142.03700000000001</v>
      </c>
      <c r="W24">
        <v>4</v>
      </c>
    </row>
    <row r="25" spans="1:23" x14ac:dyDescent="0.25">
      <c r="A25" s="1" t="s">
        <v>16173</v>
      </c>
      <c r="B25" s="1" t="s">
        <v>15019</v>
      </c>
      <c r="C25" s="1" t="s">
        <v>4293</v>
      </c>
      <c r="D25" s="1" t="s">
        <v>4293</v>
      </c>
      <c r="E25" s="1" t="s">
        <v>3285</v>
      </c>
      <c r="F25" s="1" t="s">
        <v>16174</v>
      </c>
      <c r="G25">
        <v>220569</v>
      </c>
      <c r="H25">
        <v>28</v>
      </c>
      <c r="I25" s="1" t="s">
        <v>11063</v>
      </c>
      <c r="J25" s="11">
        <v>44658.966516203705</v>
      </c>
      <c r="K25" s="1" t="s">
        <v>998</v>
      </c>
      <c r="L25" s="1">
        <v>0.72299999999999998</v>
      </c>
      <c r="M25" s="1">
        <v>0.65100000000000002</v>
      </c>
      <c r="N25">
        <v>8</v>
      </c>
      <c r="O25" s="1">
        <v>-8.2040000000000006</v>
      </c>
      <c r="P25">
        <v>1</v>
      </c>
      <c r="Q25" s="1">
        <v>0.35799999999999998</v>
      </c>
      <c r="R25" s="1">
        <v>0.94899999999999995</v>
      </c>
      <c r="S25" s="1">
        <v>0.871</v>
      </c>
      <c r="T25" s="1">
        <v>0.10299999999999999</v>
      </c>
      <c r="U25" s="1">
        <v>0.38300000000000001</v>
      </c>
      <c r="V25" s="1">
        <v>144.97</v>
      </c>
      <c r="W25">
        <v>4</v>
      </c>
    </row>
    <row r="26" spans="1:23" x14ac:dyDescent="0.25">
      <c r="A26" s="1" t="s">
        <v>17224</v>
      </c>
      <c r="B26" s="1" t="s">
        <v>17225</v>
      </c>
      <c r="C26" s="1" t="s">
        <v>4528</v>
      </c>
      <c r="D26" s="1" t="s">
        <v>4528</v>
      </c>
      <c r="E26" s="1" t="s">
        <v>5196</v>
      </c>
      <c r="F26" s="1" t="s">
        <v>17226</v>
      </c>
      <c r="G26">
        <v>240272</v>
      </c>
      <c r="H26">
        <v>59</v>
      </c>
      <c r="I26" s="1" t="s">
        <v>11063</v>
      </c>
      <c r="J26" s="11">
        <v>44659.494895833333</v>
      </c>
      <c r="K26" s="1" t="s">
        <v>21258</v>
      </c>
      <c r="L26" s="1">
        <v>0.50800000000000001</v>
      </c>
      <c r="M26" s="1">
        <v>0.754</v>
      </c>
      <c r="N26">
        <v>7</v>
      </c>
      <c r="O26" s="1">
        <v>-5.7080000000000002</v>
      </c>
      <c r="P26">
        <v>0</v>
      </c>
      <c r="Q26" s="1">
        <v>0.185</v>
      </c>
      <c r="R26" s="1">
        <v>0.59699999999999998</v>
      </c>
      <c r="S26" s="1">
        <v>0.84299999999999997</v>
      </c>
      <c r="T26" s="1">
        <v>0.307</v>
      </c>
      <c r="U26" s="1">
        <v>0.38300000000000001</v>
      </c>
      <c r="V26" s="1">
        <v>119.892</v>
      </c>
      <c r="W26">
        <v>4</v>
      </c>
    </row>
    <row r="27" spans="1:23" x14ac:dyDescent="0.25">
      <c r="A27" s="1" t="s">
        <v>11153</v>
      </c>
      <c r="B27" s="1" t="s">
        <v>11154</v>
      </c>
      <c r="C27" s="1" t="s">
        <v>6301</v>
      </c>
      <c r="D27" s="1" t="s">
        <v>6301</v>
      </c>
      <c r="E27" s="1" t="s">
        <v>6302</v>
      </c>
      <c r="F27" s="1" t="s">
        <v>11704</v>
      </c>
      <c r="G27">
        <v>172413</v>
      </c>
      <c r="H27">
        <v>61</v>
      </c>
      <c r="I27" s="1" t="s">
        <v>11063</v>
      </c>
      <c r="J27" s="11">
        <v>44663.538726851853</v>
      </c>
      <c r="K27" s="1" t="s">
        <v>50</v>
      </c>
      <c r="L27" s="1">
        <v>0.47899999999999998</v>
      </c>
      <c r="M27" s="1">
        <v>0.71399999999999997</v>
      </c>
      <c r="N27">
        <v>7</v>
      </c>
      <c r="O27" s="1">
        <v>-3.7759999999999998</v>
      </c>
      <c r="P27">
        <v>0</v>
      </c>
      <c r="Q27" s="1">
        <v>0.109</v>
      </c>
      <c r="R27" s="1">
        <v>0.25</v>
      </c>
      <c r="S27" s="1">
        <v>0.153</v>
      </c>
      <c r="T27" s="1">
        <v>0.20599999999999999</v>
      </c>
      <c r="U27" s="1">
        <v>0.49</v>
      </c>
      <c r="V27" s="1">
        <v>98.23</v>
      </c>
      <c r="W27">
        <v>4</v>
      </c>
    </row>
    <row r="28" spans="1:23" x14ac:dyDescent="0.25">
      <c r="A28" s="1" t="s">
        <v>11317</v>
      </c>
      <c r="B28" s="1" t="s">
        <v>11318</v>
      </c>
      <c r="C28" s="1" t="s">
        <v>114</v>
      </c>
      <c r="D28" s="1" t="s">
        <v>5486</v>
      </c>
      <c r="E28" s="1" t="s">
        <v>115</v>
      </c>
      <c r="F28" s="1" t="s">
        <v>11319</v>
      </c>
      <c r="G28">
        <v>237720</v>
      </c>
      <c r="H28">
        <v>89</v>
      </c>
      <c r="I28" s="1" t="s">
        <v>11063</v>
      </c>
      <c r="J28" s="11">
        <v>44665.767870370371</v>
      </c>
      <c r="K28" s="1" t="s">
        <v>116</v>
      </c>
      <c r="L28" s="1">
        <v>0.67100000000000004</v>
      </c>
      <c r="M28" s="1">
        <v>0.67300000000000004</v>
      </c>
      <c r="N28">
        <v>11</v>
      </c>
      <c r="O28" s="1">
        <v>-6.9409999999999998</v>
      </c>
      <c r="P28">
        <v>0</v>
      </c>
      <c r="Q28" s="1">
        <v>0.44400000000000001</v>
      </c>
      <c r="R28" s="1">
        <v>0.14799999999999999</v>
      </c>
      <c r="S28" s="1">
        <v>0.52900000000000003</v>
      </c>
      <c r="T28" s="1">
        <v>0.30399999999999999</v>
      </c>
      <c r="U28" s="1">
        <v>0.49399999999999999</v>
      </c>
      <c r="V28" s="1">
        <v>121.96299999999999</v>
      </c>
      <c r="W28">
        <v>4</v>
      </c>
    </row>
    <row r="29" spans="1:23" x14ac:dyDescent="0.25">
      <c r="A29" s="1" t="s">
        <v>14418</v>
      </c>
      <c r="B29" s="1" t="s">
        <v>14419</v>
      </c>
      <c r="C29" s="1" t="s">
        <v>2759</v>
      </c>
      <c r="D29" s="1" t="s">
        <v>2759</v>
      </c>
      <c r="E29" s="1" t="s">
        <v>2760</v>
      </c>
      <c r="F29" s="1" t="s">
        <v>14410</v>
      </c>
      <c r="G29">
        <v>194531</v>
      </c>
      <c r="H29">
        <v>44</v>
      </c>
      <c r="I29" s="1" t="s">
        <v>11063</v>
      </c>
      <c r="J29" s="11">
        <v>44666.615439814814</v>
      </c>
      <c r="K29" s="1" t="s">
        <v>21259</v>
      </c>
      <c r="L29" s="1">
        <v>0.71199999999999997</v>
      </c>
      <c r="M29" s="1">
        <v>0.37</v>
      </c>
      <c r="N29">
        <v>4</v>
      </c>
      <c r="O29" s="1">
        <v>-13.351000000000001</v>
      </c>
      <c r="P29">
        <v>0</v>
      </c>
      <c r="Q29" s="1">
        <v>0.40200000000000002</v>
      </c>
      <c r="R29" s="1">
        <v>0.755</v>
      </c>
      <c r="S29" s="1">
        <v>0.495</v>
      </c>
      <c r="T29" s="1">
        <v>0.11700000000000001</v>
      </c>
      <c r="U29" s="1">
        <v>0.154</v>
      </c>
      <c r="V29" s="1">
        <v>99.99</v>
      </c>
      <c r="W29">
        <v>4</v>
      </c>
    </row>
    <row r="30" spans="1:23" x14ac:dyDescent="0.25">
      <c r="A30" s="1" t="s">
        <v>18913</v>
      </c>
      <c r="B30" s="1" t="s">
        <v>18910</v>
      </c>
      <c r="C30" s="1" t="s">
        <v>2357</v>
      </c>
      <c r="D30" s="1" t="s">
        <v>18914</v>
      </c>
      <c r="E30" s="1" t="s">
        <v>6714</v>
      </c>
      <c r="F30" s="1" t="s">
        <v>16332</v>
      </c>
      <c r="G30">
        <v>187013</v>
      </c>
      <c r="H30">
        <v>61</v>
      </c>
      <c r="I30" s="1" t="s">
        <v>11063</v>
      </c>
      <c r="J30" s="11">
        <v>44666.633611111109</v>
      </c>
      <c r="K30" s="1" t="s">
        <v>6715</v>
      </c>
      <c r="L30" s="1">
        <v>0.68200000000000005</v>
      </c>
      <c r="M30" s="1">
        <v>0.88</v>
      </c>
      <c r="N30">
        <v>6</v>
      </c>
      <c r="O30" s="1">
        <v>-4.2789999999999999</v>
      </c>
      <c r="P30">
        <v>0</v>
      </c>
      <c r="Q30" s="1">
        <v>0.61699999999999999</v>
      </c>
      <c r="R30" s="1">
        <v>0.32500000000000001</v>
      </c>
      <c r="S30" s="1">
        <v>0</v>
      </c>
      <c r="T30" s="1">
        <v>0.32700000000000001</v>
      </c>
      <c r="U30" s="1">
        <v>0.86399999999999999</v>
      </c>
      <c r="V30" s="1">
        <v>98.004999999999995</v>
      </c>
      <c r="W30">
        <v>4</v>
      </c>
    </row>
    <row r="31" spans="1:23" x14ac:dyDescent="0.25">
      <c r="A31" s="1" t="s">
        <v>14388</v>
      </c>
      <c r="B31" s="1" t="s">
        <v>14389</v>
      </c>
      <c r="C31" s="1" t="s">
        <v>2731</v>
      </c>
      <c r="D31" s="1" t="s">
        <v>2731</v>
      </c>
      <c r="E31" s="1" t="s">
        <v>2732</v>
      </c>
      <c r="F31" s="1" t="s">
        <v>14390</v>
      </c>
      <c r="G31">
        <v>252026</v>
      </c>
      <c r="H31">
        <v>65</v>
      </c>
      <c r="I31" s="1" t="s">
        <v>11063</v>
      </c>
      <c r="J31" s="11">
        <v>44675.735451388886</v>
      </c>
      <c r="K31" s="1" t="s">
        <v>2733</v>
      </c>
      <c r="L31" s="1">
        <v>0.59199999999999997</v>
      </c>
      <c r="M31" s="1">
        <v>0.54</v>
      </c>
      <c r="N31">
        <v>8</v>
      </c>
      <c r="O31" s="1">
        <v>-11.249000000000001</v>
      </c>
      <c r="P31">
        <v>0</v>
      </c>
      <c r="Q31" s="1">
        <v>0.58699999999999997</v>
      </c>
      <c r="R31" s="1">
        <v>0.69199999999999995</v>
      </c>
      <c r="S31" s="1">
        <v>0.187</v>
      </c>
      <c r="T31" s="1">
        <v>0.96499999999999997</v>
      </c>
      <c r="U31" s="1">
        <v>0.35399999999999998</v>
      </c>
      <c r="V31" s="1">
        <v>111.955</v>
      </c>
      <c r="W31">
        <v>4</v>
      </c>
    </row>
    <row r="32" spans="1:23" x14ac:dyDescent="0.25">
      <c r="A32" s="1" t="s">
        <v>17057</v>
      </c>
      <c r="B32" s="1" t="s">
        <v>17058</v>
      </c>
      <c r="C32" s="1" t="s">
        <v>5045</v>
      </c>
      <c r="D32" s="1" t="s">
        <v>5045</v>
      </c>
      <c r="E32" s="1" t="s">
        <v>5046</v>
      </c>
      <c r="F32" s="1" t="s">
        <v>17059</v>
      </c>
      <c r="G32">
        <v>134404</v>
      </c>
      <c r="H32">
        <v>43</v>
      </c>
      <c r="I32" s="1" t="s">
        <v>11063</v>
      </c>
      <c r="J32" s="11">
        <v>44678.734340277777</v>
      </c>
      <c r="K32" s="1" t="s">
        <v>21260</v>
      </c>
      <c r="L32" s="1">
        <v>0.749</v>
      </c>
      <c r="M32" s="1">
        <v>0.36299999999999999</v>
      </c>
      <c r="N32">
        <v>0</v>
      </c>
      <c r="O32" s="1">
        <v>-7.33</v>
      </c>
      <c r="P32">
        <v>0</v>
      </c>
      <c r="Q32" s="1">
        <v>0.13400000000000001</v>
      </c>
      <c r="R32" s="1">
        <v>0.69599999999999995</v>
      </c>
      <c r="S32" s="1">
        <v>0.311</v>
      </c>
      <c r="T32" s="1">
        <v>0.96499999999999997</v>
      </c>
      <c r="U32" s="1">
        <v>0.47299999999999998</v>
      </c>
      <c r="V32" s="1">
        <v>74.959000000000003</v>
      </c>
      <c r="W32">
        <v>4</v>
      </c>
    </row>
    <row r="33" spans="1:23" x14ac:dyDescent="0.25">
      <c r="A33" s="1" t="s">
        <v>14625</v>
      </c>
      <c r="B33" s="1" t="s">
        <v>14626</v>
      </c>
      <c r="C33" s="1" t="s">
        <v>2935</v>
      </c>
      <c r="D33" s="1" t="s">
        <v>2935</v>
      </c>
      <c r="E33" s="1" t="s">
        <v>2936</v>
      </c>
      <c r="F33" s="1" t="s">
        <v>11627</v>
      </c>
      <c r="G33">
        <v>176000</v>
      </c>
      <c r="H33">
        <v>34</v>
      </c>
      <c r="I33" s="1" t="s">
        <v>11063</v>
      </c>
      <c r="J33" s="11">
        <v>44680.840358796297</v>
      </c>
      <c r="K33" s="1" t="s">
        <v>50</v>
      </c>
      <c r="L33" s="1">
        <v>0.433</v>
      </c>
      <c r="M33" s="1">
        <v>0.60599999999999998</v>
      </c>
      <c r="N33">
        <v>11</v>
      </c>
      <c r="O33" s="1">
        <v>-5.6859999999999999</v>
      </c>
      <c r="P33">
        <v>0</v>
      </c>
      <c r="Q33" s="1">
        <v>0.42199999999999999</v>
      </c>
      <c r="R33" s="1">
        <v>0.79500000000000004</v>
      </c>
      <c r="S33" s="1">
        <v>0.38800000000000001</v>
      </c>
      <c r="T33" s="1">
        <v>0.318</v>
      </c>
      <c r="U33" s="1">
        <v>0.183</v>
      </c>
      <c r="V33" s="1">
        <v>179.99199999999999</v>
      </c>
      <c r="W33">
        <v>4</v>
      </c>
    </row>
    <row r="34" spans="1:23" x14ac:dyDescent="0.25">
      <c r="A34" s="1" t="s">
        <v>11661</v>
      </c>
      <c r="B34" s="1" t="s">
        <v>11662</v>
      </c>
      <c r="C34" s="1" t="s">
        <v>379</v>
      </c>
      <c r="D34" s="1" t="s">
        <v>379</v>
      </c>
      <c r="E34" s="1" t="s">
        <v>380</v>
      </c>
      <c r="F34" s="1" t="s">
        <v>11295</v>
      </c>
      <c r="G34">
        <v>212935</v>
      </c>
      <c r="H34">
        <v>43</v>
      </c>
      <c r="I34" s="1" t="s">
        <v>11063</v>
      </c>
      <c r="J34" s="11">
        <v>44691.432638888888</v>
      </c>
      <c r="K34" s="1" t="s">
        <v>381</v>
      </c>
      <c r="L34" s="1">
        <v>0.45500000000000002</v>
      </c>
      <c r="M34" s="1">
        <v>0.755</v>
      </c>
      <c r="N34">
        <v>7</v>
      </c>
      <c r="O34" s="1">
        <v>-6.8879999999999999</v>
      </c>
      <c r="P34">
        <v>1</v>
      </c>
      <c r="Q34" s="1">
        <v>0.25</v>
      </c>
      <c r="R34" s="1">
        <v>0.439</v>
      </c>
      <c r="S34" s="1">
        <v>0.17799999999999999</v>
      </c>
      <c r="T34" s="1">
        <v>0.245</v>
      </c>
      <c r="U34" s="1">
        <v>0.35199999999999998</v>
      </c>
      <c r="V34" s="1">
        <v>140.797</v>
      </c>
      <c r="W34">
        <v>4</v>
      </c>
    </row>
    <row r="35" spans="1:23" x14ac:dyDescent="0.25">
      <c r="A35" s="1" t="s">
        <v>15412</v>
      </c>
      <c r="B35" s="1" t="s">
        <v>15413</v>
      </c>
      <c r="C35" s="1" t="s">
        <v>3640</v>
      </c>
      <c r="D35" s="1" t="s">
        <v>3640</v>
      </c>
      <c r="E35" s="1" t="s">
        <v>3641</v>
      </c>
      <c r="F35" s="1" t="s">
        <v>15410</v>
      </c>
      <c r="G35">
        <v>251687</v>
      </c>
      <c r="H35">
        <v>39</v>
      </c>
      <c r="I35" s="1" t="s">
        <v>11063</v>
      </c>
      <c r="J35" s="11">
        <v>44691.432951388888</v>
      </c>
      <c r="K35" s="1" t="s">
        <v>381</v>
      </c>
      <c r="L35" s="1">
        <v>0.47799999999999998</v>
      </c>
      <c r="M35" s="1">
        <v>0.71199999999999997</v>
      </c>
      <c r="N35">
        <v>0</v>
      </c>
      <c r="O35" s="1">
        <v>-3.6160000000000001</v>
      </c>
      <c r="P35">
        <v>1</v>
      </c>
      <c r="Q35" s="1">
        <v>0.318</v>
      </c>
      <c r="R35" s="1">
        <v>0.59699999999999998</v>
      </c>
      <c r="S35" s="1">
        <v>0.74299999999999999</v>
      </c>
      <c r="T35" s="1">
        <v>0.13400000000000001</v>
      </c>
      <c r="U35" s="1">
        <v>0.372</v>
      </c>
      <c r="V35" s="1">
        <v>172.25200000000001</v>
      </c>
      <c r="W35">
        <v>4</v>
      </c>
    </row>
    <row r="36" spans="1:23" x14ac:dyDescent="0.25">
      <c r="A36" s="1" t="s">
        <v>16203</v>
      </c>
      <c r="B36" s="1" t="s">
        <v>16204</v>
      </c>
      <c r="C36" s="1" t="s">
        <v>1221</v>
      </c>
      <c r="D36" s="1" t="s">
        <v>1221</v>
      </c>
      <c r="E36" s="1" t="s">
        <v>4316</v>
      </c>
      <c r="F36" s="1" t="s">
        <v>16150</v>
      </c>
      <c r="G36">
        <v>212312</v>
      </c>
      <c r="H36">
        <v>21</v>
      </c>
      <c r="I36" s="1" t="s">
        <v>11063</v>
      </c>
      <c r="J36" s="11">
        <v>44693.025069444448</v>
      </c>
      <c r="K36" s="1" t="s">
        <v>50</v>
      </c>
      <c r="L36" s="1">
        <v>0.749</v>
      </c>
      <c r="M36" s="1">
        <v>0.71199999999999997</v>
      </c>
      <c r="N36">
        <v>7</v>
      </c>
      <c r="O36" s="1">
        <v>-9.7810000000000006</v>
      </c>
      <c r="P36">
        <v>0</v>
      </c>
      <c r="Q36" s="1">
        <v>0.24</v>
      </c>
      <c r="R36" s="1">
        <v>0.15</v>
      </c>
      <c r="S36" s="1">
        <v>0.10299999999999999</v>
      </c>
      <c r="T36" s="1">
        <v>0.57299999999999995</v>
      </c>
      <c r="U36" s="1">
        <v>0.41899999999999998</v>
      </c>
      <c r="V36" s="1">
        <v>99.983000000000004</v>
      </c>
      <c r="W36">
        <v>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98AF3-A85F-4DB6-807F-1860F63AAA46}">
  <sheetPr codeName="Sheet1"/>
  <dimension ref="A1:A16"/>
  <sheetViews>
    <sheetView workbookViewId="0">
      <selection activeCell="F12" sqref="F12"/>
    </sheetView>
  </sheetViews>
  <sheetFormatPr defaultRowHeight="15" x14ac:dyDescent="0.25"/>
  <cols>
    <col min="1" max="1" width="11" customWidth="1"/>
  </cols>
  <sheetData>
    <row r="1" spans="1:1" x14ac:dyDescent="0.25">
      <c r="A1" t="s">
        <v>11216</v>
      </c>
    </row>
    <row r="2" spans="1:1" x14ac:dyDescent="0.25">
      <c r="A2" t="s">
        <v>1171</v>
      </c>
    </row>
    <row r="3" spans="1:1" x14ac:dyDescent="0.25">
      <c r="A3" t="s">
        <v>12422</v>
      </c>
    </row>
    <row r="4" spans="1:1" x14ac:dyDescent="0.25">
      <c r="A4" t="s">
        <v>6919</v>
      </c>
    </row>
    <row r="5" spans="1:1" x14ac:dyDescent="0.25">
      <c r="A5" t="s">
        <v>1670</v>
      </c>
    </row>
    <row r="6" spans="1:1" x14ac:dyDescent="0.25">
      <c r="A6" t="s">
        <v>13377</v>
      </c>
    </row>
    <row r="7" spans="1:1" x14ac:dyDescent="0.25">
      <c r="A7" t="s">
        <v>21246</v>
      </c>
    </row>
    <row r="8" spans="1:1" x14ac:dyDescent="0.25">
      <c r="A8" t="s">
        <v>21247</v>
      </c>
    </row>
    <row r="9" spans="1:1" x14ac:dyDescent="0.25">
      <c r="A9" t="s">
        <v>21261</v>
      </c>
    </row>
    <row r="10" spans="1:1" x14ac:dyDescent="0.25">
      <c r="A10" t="s">
        <v>21248</v>
      </c>
    </row>
    <row r="11" spans="1:1" x14ac:dyDescent="0.25">
      <c r="A11" t="s">
        <v>21249</v>
      </c>
    </row>
    <row r="12" spans="1:1" x14ac:dyDescent="0.25">
      <c r="A12" t="s">
        <v>21250</v>
      </c>
    </row>
    <row r="13" spans="1:1" x14ac:dyDescent="0.25">
      <c r="A13" t="s">
        <v>21251</v>
      </c>
    </row>
    <row r="14" spans="1:1" x14ac:dyDescent="0.25">
      <c r="A14" t="s">
        <v>21252</v>
      </c>
    </row>
    <row r="15" spans="1:1" x14ac:dyDescent="0.25">
      <c r="A15" t="s">
        <v>21253</v>
      </c>
    </row>
    <row r="16" spans="1:1" x14ac:dyDescent="0.25">
      <c r="A16" t="s">
        <v>21254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18E63-DE39-4D5B-97DD-08692279FD7B}">
  <sheetPr codeName="Sheet9"/>
  <dimension ref="A1:Y14439"/>
  <sheetViews>
    <sheetView workbookViewId="0">
      <selection activeCell="E25" sqref="E25"/>
    </sheetView>
  </sheetViews>
  <sheetFormatPr defaultRowHeight="15" x14ac:dyDescent="0.25"/>
  <cols>
    <col min="1" max="1" width="67.85546875" style="8" bestFit="1" customWidth="1"/>
    <col min="3" max="3" width="32.5703125" bestFit="1" customWidth="1"/>
    <col min="4" max="4" width="13.28515625" bestFit="1" customWidth="1"/>
    <col min="6" max="6" width="8.85546875" bestFit="1" customWidth="1"/>
    <col min="7" max="7" width="13.28515625" bestFit="1" customWidth="1"/>
  </cols>
  <sheetData>
    <row r="1" spans="1:25" x14ac:dyDescent="0.25">
      <c r="A1" s="9">
        <v>888</v>
      </c>
      <c r="C1" s="9" t="s">
        <v>10695</v>
      </c>
      <c r="D1" t="s">
        <v>1116</v>
      </c>
      <c r="F1" t="s">
        <v>1115</v>
      </c>
      <c r="G1" t="s">
        <v>1116</v>
      </c>
      <c r="I1" s="1" t="s">
        <v>8195</v>
      </c>
      <c r="J1" s="1" t="s">
        <v>918</v>
      </c>
      <c r="K1" s="1" t="s">
        <v>919</v>
      </c>
      <c r="L1" s="1" t="s">
        <v>924</v>
      </c>
      <c r="M1" s="1" t="s">
        <v>936</v>
      </c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5">
      <c r="A2" s="8" t="s">
        <v>9178</v>
      </c>
      <c r="C2" s="7" t="s">
        <v>7024</v>
      </c>
      <c r="D2">
        <f t="shared" ref="D2:D65" si="0">COUNTIF(A:A,C2)</f>
        <v>88</v>
      </c>
      <c r="I2" s="1" t="s">
        <v>918</v>
      </c>
      <c r="J2" s="1" t="s">
        <v>919</v>
      </c>
      <c r="K2" s="1" t="s">
        <v>924</v>
      </c>
      <c r="L2" s="1" t="s">
        <v>936</v>
      </c>
      <c r="M2" s="1" t="s">
        <v>943</v>
      </c>
      <c r="N2" s="1" t="s">
        <v>1079</v>
      </c>
      <c r="O2" s="1" t="s">
        <v>955</v>
      </c>
      <c r="P2" s="1" t="s">
        <v>930</v>
      </c>
      <c r="Q2" s="1" t="s">
        <v>944</v>
      </c>
      <c r="R2" s="1" t="s">
        <v>956</v>
      </c>
      <c r="S2" s="1" t="s">
        <v>957</v>
      </c>
      <c r="T2" s="1"/>
      <c r="U2" s="1"/>
      <c r="V2" s="1"/>
      <c r="W2" s="1"/>
      <c r="X2" s="1"/>
      <c r="Y2" s="1"/>
    </row>
    <row r="3" spans="1:25" x14ac:dyDescent="0.25">
      <c r="A3" s="8" t="s">
        <v>9006</v>
      </c>
      <c r="C3" s="7" t="s">
        <v>5035</v>
      </c>
      <c r="D3">
        <f t="shared" si="0"/>
        <v>38</v>
      </c>
      <c r="I3" s="1" t="s">
        <v>918</v>
      </c>
      <c r="J3" s="1" t="s">
        <v>919</v>
      </c>
      <c r="K3" s="1" t="s">
        <v>929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8" t="s">
        <v>8934</v>
      </c>
      <c r="C4" s="7" t="s">
        <v>2057</v>
      </c>
      <c r="D4">
        <f t="shared" si="0"/>
        <v>37</v>
      </c>
      <c r="I4" s="1" t="s">
        <v>918</v>
      </c>
      <c r="J4" s="1" t="s">
        <v>919</v>
      </c>
      <c r="K4" s="1" t="s">
        <v>929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8" t="s">
        <v>9241</v>
      </c>
      <c r="C5" s="7" t="s">
        <v>9175</v>
      </c>
      <c r="D5">
        <f t="shared" si="0"/>
        <v>33</v>
      </c>
      <c r="I5" s="1" t="s">
        <v>948</v>
      </c>
      <c r="J5" s="1" t="s">
        <v>918</v>
      </c>
      <c r="K5" s="1" t="s">
        <v>25</v>
      </c>
      <c r="L5" s="1" t="s">
        <v>919</v>
      </c>
      <c r="M5" s="1" t="s">
        <v>920</v>
      </c>
      <c r="N5" s="1" t="s">
        <v>954</v>
      </c>
      <c r="O5" s="1" t="s">
        <v>1114</v>
      </c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8" t="s">
        <v>10667</v>
      </c>
      <c r="C6" s="7" t="s">
        <v>2735</v>
      </c>
      <c r="D6">
        <f t="shared" si="0"/>
        <v>30</v>
      </c>
      <c r="I6" s="1" t="s">
        <v>50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8" t="s">
        <v>10284</v>
      </c>
      <c r="C7" s="7" t="s">
        <v>3250</v>
      </c>
      <c r="D7">
        <f t="shared" si="0"/>
        <v>30</v>
      </c>
      <c r="I7" s="1" t="s">
        <v>25</v>
      </c>
      <c r="J7" s="1" t="s">
        <v>920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7" t="s">
        <v>9456</v>
      </c>
      <c r="C8" s="7" t="s">
        <v>112</v>
      </c>
      <c r="D8">
        <f t="shared" si="0"/>
        <v>29</v>
      </c>
      <c r="I8" s="1" t="s">
        <v>923</v>
      </c>
      <c r="J8" s="1" t="s">
        <v>1113</v>
      </c>
      <c r="K8" s="1" t="s">
        <v>328</v>
      </c>
      <c r="L8" s="1" t="s">
        <v>84</v>
      </c>
      <c r="M8" s="1" t="s">
        <v>10696</v>
      </c>
      <c r="N8" s="1" t="s">
        <v>25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8" t="s">
        <v>9456</v>
      </c>
      <c r="C9" s="7" t="s">
        <v>6505</v>
      </c>
      <c r="D9">
        <f t="shared" si="0"/>
        <v>27</v>
      </c>
      <c r="I9" s="1" t="s">
        <v>25</v>
      </c>
      <c r="J9" s="1" t="s">
        <v>919</v>
      </c>
      <c r="K9" s="1" t="s">
        <v>920</v>
      </c>
      <c r="L9" s="1" t="s">
        <v>946</v>
      </c>
      <c r="M9" s="1" t="s">
        <v>921</v>
      </c>
      <c r="N9" s="1" t="s">
        <v>923</v>
      </c>
      <c r="O9" s="1" t="s">
        <v>1113</v>
      </c>
      <c r="P9" s="1" t="s">
        <v>328</v>
      </c>
      <c r="Q9" s="1" t="s">
        <v>922</v>
      </c>
      <c r="R9" s="1"/>
      <c r="S9" s="1"/>
      <c r="T9" s="1"/>
      <c r="U9" s="1"/>
      <c r="V9" s="1"/>
      <c r="W9" s="1"/>
      <c r="X9" s="1"/>
      <c r="Y9" s="1"/>
    </row>
    <row r="10" spans="1:25" x14ac:dyDescent="0.25">
      <c r="A10" s="7" t="s">
        <v>3615</v>
      </c>
      <c r="C10" s="7" t="s">
        <v>8928</v>
      </c>
      <c r="D10">
        <f t="shared" si="0"/>
        <v>27</v>
      </c>
      <c r="I10" s="1" t="s">
        <v>50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8" t="s">
        <v>3615</v>
      </c>
      <c r="C11" s="7" t="s">
        <v>6383</v>
      </c>
      <c r="D11">
        <f t="shared" si="0"/>
        <v>27</v>
      </c>
      <c r="I11" s="1" t="s">
        <v>25</v>
      </c>
      <c r="J11" s="1" t="s">
        <v>920</v>
      </c>
      <c r="K11" s="1" t="s">
        <v>946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7" t="s">
        <v>9849</v>
      </c>
      <c r="C12" s="7" t="s">
        <v>2667</v>
      </c>
      <c r="D12">
        <f t="shared" si="0"/>
        <v>26</v>
      </c>
      <c r="I12" s="1" t="s">
        <v>934</v>
      </c>
      <c r="J12" s="1" t="s">
        <v>918</v>
      </c>
      <c r="K12" s="1" t="s">
        <v>1110</v>
      </c>
      <c r="L12" s="1" t="s">
        <v>25</v>
      </c>
      <c r="M12" s="1" t="s">
        <v>923</v>
      </c>
      <c r="N12" s="1" t="s">
        <v>920</v>
      </c>
      <c r="O12" s="1" t="s">
        <v>924</v>
      </c>
      <c r="P12" s="1" t="s">
        <v>974</v>
      </c>
      <c r="Q12" s="1" t="s">
        <v>921</v>
      </c>
      <c r="R12" s="1" t="s">
        <v>919</v>
      </c>
      <c r="S12" s="1"/>
      <c r="T12" s="1"/>
      <c r="U12" s="1"/>
      <c r="V12" s="1"/>
      <c r="W12" s="1"/>
      <c r="X12" s="1"/>
      <c r="Y12" s="1"/>
    </row>
    <row r="13" spans="1:25" x14ac:dyDescent="0.25">
      <c r="A13" s="7" t="s">
        <v>9849</v>
      </c>
      <c r="C13" s="7" t="s">
        <v>73</v>
      </c>
      <c r="D13">
        <f t="shared" si="0"/>
        <v>26</v>
      </c>
      <c r="I13" s="1" t="s">
        <v>1090</v>
      </c>
      <c r="J13" s="1" t="s">
        <v>25</v>
      </c>
      <c r="K13" s="1" t="s">
        <v>920</v>
      </c>
      <c r="L13" s="1" t="s">
        <v>974</v>
      </c>
      <c r="M13" s="1" t="s">
        <v>950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7" t="s">
        <v>9849</v>
      </c>
      <c r="C14" s="7" t="s">
        <v>8877</v>
      </c>
      <c r="D14">
        <f t="shared" si="0"/>
        <v>25</v>
      </c>
      <c r="I14" s="1" t="s">
        <v>918</v>
      </c>
      <c r="J14" s="1" t="s">
        <v>916</v>
      </c>
      <c r="K14" s="1" t="s">
        <v>920</v>
      </c>
      <c r="L14" s="1" t="s">
        <v>921</v>
      </c>
      <c r="M14" s="1" t="s">
        <v>922</v>
      </c>
      <c r="N14" s="1" t="s">
        <v>919</v>
      </c>
      <c r="O14" s="1" t="s">
        <v>972</v>
      </c>
      <c r="P14" s="1" t="s">
        <v>929</v>
      </c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7" t="s">
        <v>3142</v>
      </c>
      <c r="C15" s="7" t="s">
        <v>2468</v>
      </c>
      <c r="D15">
        <f t="shared" si="0"/>
        <v>24</v>
      </c>
      <c r="I15" s="1" t="s">
        <v>918</v>
      </c>
      <c r="J15" s="1" t="s">
        <v>932</v>
      </c>
      <c r="K15" s="1" t="s">
        <v>25</v>
      </c>
      <c r="L15" s="1" t="s">
        <v>916</v>
      </c>
      <c r="M15" s="1" t="s">
        <v>920</v>
      </c>
      <c r="N15" s="1" t="s">
        <v>921</v>
      </c>
      <c r="O15" s="1" t="s">
        <v>922</v>
      </c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7" t="s">
        <v>2614</v>
      </c>
      <c r="C16" s="7" t="s">
        <v>2375</v>
      </c>
      <c r="D16">
        <f t="shared" si="0"/>
        <v>24</v>
      </c>
      <c r="I16" s="1" t="s">
        <v>918</v>
      </c>
      <c r="J16" s="1" t="s">
        <v>919</v>
      </c>
      <c r="K16" s="1" t="s">
        <v>936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8" t="s">
        <v>10049</v>
      </c>
      <c r="C17" s="7" t="s">
        <v>423</v>
      </c>
      <c r="D17">
        <f t="shared" si="0"/>
        <v>23</v>
      </c>
      <c r="I17" s="1" t="s">
        <v>1081</v>
      </c>
      <c r="J17" s="1" t="s">
        <v>923</v>
      </c>
      <c r="K17" s="1" t="s">
        <v>1113</v>
      </c>
      <c r="L17" s="1" t="s">
        <v>328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8" t="s">
        <v>10379</v>
      </c>
      <c r="C18" s="7" t="s">
        <v>683</v>
      </c>
      <c r="D18">
        <f t="shared" si="0"/>
        <v>23</v>
      </c>
      <c r="I18" s="1" t="s">
        <v>1081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7" t="s">
        <v>2602</v>
      </c>
      <c r="C19" s="7" t="s">
        <v>3449</v>
      </c>
      <c r="D19">
        <f t="shared" si="0"/>
        <v>23</v>
      </c>
      <c r="I19" s="1" t="s">
        <v>1167</v>
      </c>
      <c r="J19" s="1" t="s">
        <v>1053</v>
      </c>
      <c r="K19" s="1" t="s">
        <v>1086</v>
      </c>
      <c r="L19" s="1" t="s">
        <v>933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7" t="s">
        <v>2602</v>
      </c>
      <c r="C20" s="7" t="s">
        <v>2327</v>
      </c>
      <c r="D20">
        <f t="shared" si="0"/>
        <v>22</v>
      </c>
      <c r="I20" s="1" t="s">
        <v>981</v>
      </c>
      <c r="J20" s="1" t="s">
        <v>1019</v>
      </c>
      <c r="K20" s="1" t="s">
        <v>983</v>
      </c>
      <c r="L20" s="1" t="s">
        <v>10697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7" t="s">
        <v>2602</v>
      </c>
      <c r="C21" s="7" t="s">
        <v>3496</v>
      </c>
      <c r="D21">
        <f t="shared" si="0"/>
        <v>22</v>
      </c>
      <c r="I21" s="1" t="s">
        <v>918</v>
      </c>
      <c r="J21" s="1" t="s">
        <v>25</v>
      </c>
      <c r="K21" s="1" t="s">
        <v>923</v>
      </c>
      <c r="L21" s="1" t="s">
        <v>1000</v>
      </c>
      <c r="M21" s="1" t="s">
        <v>919</v>
      </c>
      <c r="N21" s="1" t="s">
        <v>920</v>
      </c>
      <c r="O21" s="1" t="s">
        <v>933</v>
      </c>
      <c r="P21" s="1" t="s">
        <v>921</v>
      </c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7" t="s">
        <v>2602</v>
      </c>
      <c r="C22" s="7" t="s">
        <v>3009</v>
      </c>
      <c r="D22">
        <f t="shared" si="0"/>
        <v>22</v>
      </c>
      <c r="I22" s="1" t="s">
        <v>1001</v>
      </c>
      <c r="J22" s="1" t="s">
        <v>927</v>
      </c>
      <c r="K22" s="1" t="s">
        <v>992</v>
      </c>
      <c r="L22" s="1" t="s">
        <v>981</v>
      </c>
      <c r="M22" s="1" t="s">
        <v>1066</v>
      </c>
      <c r="N22" s="1" t="s">
        <v>919</v>
      </c>
      <c r="O22" s="1" t="s">
        <v>993</v>
      </c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7" t="s">
        <v>2602</v>
      </c>
      <c r="C23" s="7" t="s">
        <v>2872</v>
      </c>
      <c r="D23">
        <f t="shared" si="0"/>
        <v>22</v>
      </c>
      <c r="I23" s="1" t="s">
        <v>10698</v>
      </c>
      <c r="J23" s="1" t="s">
        <v>983</v>
      </c>
      <c r="K23" s="1" t="s">
        <v>919</v>
      </c>
      <c r="L23" s="1" t="s">
        <v>1020</v>
      </c>
      <c r="M23" s="1" t="s">
        <v>929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7" t="s">
        <v>2602</v>
      </c>
      <c r="C24" s="7" t="s">
        <v>1972</v>
      </c>
      <c r="D24">
        <f t="shared" si="0"/>
        <v>22</v>
      </c>
      <c r="I24" s="1" t="s">
        <v>4580</v>
      </c>
      <c r="J24" s="1" t="s">
        <v>1030</v>
      </c>
      <c r="K24" s="1" t="s">
        <v>1013</v>
      </c>
      <c r="L24" s="1" t="s">
        <v>918</v>
      </c>
      <c r="M24" s="1" t="s">
        <v>919</v>
      </c>
      <c r="N24" s="1" t="s">
        <v>936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7" t="s">
        <v>2602</v>
      </c>
      <c r="C25" s="7" t="s">
        <v>9114</v>
      </c>
      <c r="D25">
        <f t="shared" si="0"/>
        <v>22</v>
      </c>
      <c r="I25" s="1" t="s">
        <v>1001</v>
      </c>
      <c r="J25" s="1" t="s">
        <v>927</v>
      </c>
      <c r="K25" s="1" t="s">
        <v>919</v>
      </c>
      <c r="L25" s="1" t="s">
        <v>921</v>
      </c>
      <c r="M25" s="1" t="s">
        <v>918</v>
      </c>
      <c r="N25" s="1" t="s">
        <v>25</v>
      </c>
      <c r="O25" s="1" t="s">
        <v>920</v>
      </c>
      <c r="P25" s="1" t="s">
        <v>933</v>
      </c>
      <c r="Q25" s="1" t="s">
        <v>924</v>
      </c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7" t="s">
        <v>2602</v>
      </c>
      <c r="C26" s="7" t="s">
        <v>8981</v>
      </c>
      <c r="D26">
        <f t="shared" si="0"/>
        <v>21</v>
      </c>
      <c r="I26" s="1" t="s">
        <v>918</v>
      </c>
      <c r="J26" s="1" t="s">
        <v>927</v>
      </c>
      <c r="K26" s="1" t="s">
        <v>1056</v>
      </c>
      <c r="L26" s="1" t="s">
        <v>981</v>
      </c>
      <c r="M26" s="1" t="s">
        <v>919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7" t="s">
        <v>2602</v>
      </c>
      <c r="C27" s="7" t="s">
        <v>8920</v>
      </c>
      <c r="D27">
        <f t="shared" si="0"/>
        <v>21</v>
      </c>
      <c r="I27" s="1" t="s">
        <v>979</v>
      </c>
      <c r="J27" s="1" t="s">
        <v>980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7" t="s">
        <v>8945</v>
      </c>
      <c r="C28" s="7" t="s">
        <v>3708</v>
      </c>
      <c r="D28">
        <f t="shared" si="0"/>
        <v>21</v>
      </c>
      <c r="I28" s="1" t="s">
        <v>964</v>
      </c>
      <c r="J28" s="1" t="s">
        <v>1109</v>
      </c>
      <c r="K28" s="1" t="s">
        <v>919</v>
      </c>
      <c r="L28" s="1" t="s">
        <v>918</v>
      </c>
      <c r="M28" s="1" t="s">
        <v>932</v>
      </c>
      <c r="N28" s="1" t="s">
        <v>940</v>
      </c>
      <c r="O28" s="1" t="s">
        <v>25</v>
      </c>
      <c r="P28" s="1" t="s">
        <v>923</v>
      </c>
      <c r="Q28" s="1" t="s">
        <v>916</v>
      </c>
      <c r="R28" s="1" t="s">
        <v>920</v>
      </c>
      <c r="S28" s="1" t="s">
        <v>933</v>
      </c>
      <c r="T28" s="1" t="s">
        <v>954</v>
      </c>
      <c r="U28" s="1" t="s">
        <v>974</v>
      </c>
      <c r="V28" s="1" t="s">
        <v>921</v>
      </c>
      <c r="W28" s="1"/>
      <c r="X28" s="1"/>
      <c r="Y28" s="1"/>
    </row>
    <row r="29" spans="1:25" x14ac:dyDescent="0.25">
      <c r="A29" s="7" t="s">
        <v>10391</v>
      </c>
      <c r="C29" s="7" t="s">
        <v>3262</v>
      </c>
      <c r="D29">
        <f t="shared" si="0"/>
        <v>20</v>
      </c>
      <c r="I29" s="1" t="s">
        <v>928</v>
      </c>
      <c r="J29" s="1" t="s">
        <v>983</v>
      </c>
      <c r="K29" s="1" t="s">
        <v>919</v>
      </c>
      <c r="L29" s="1" t="s">
        <v>1020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7" t="s">
        <v>10391</v>
      </c>
      <c r="C30" s="7" t="s">
        <v>6439</v>
      </c>
      <c r="D30">
        <f t="shared" si="0"/>
        <v>20</v>
      </c>
      <c r="I30" s="1" t="s">
        <v>981</v>
      </c>
      <c r="J30" s="1" t="s">
        <v>1019</v>
      </c>
      <c r="K30" s="1" t="s">
        <v>983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8" t="s">
        <v>10391</v>
      </c>
      <c r="C31" s="7" t="s">
        <v>2062</v>
      </c>
      <c r="D31">
        <f t="shared" si="0"/>
        <v>19</v>
      </c>
      <c r="I31" s="1" t="s">
        <v>1013</v>
      </c>
      <c r="J31" s="1" t="s">
        <v>918</v>
      </c>
      <c r="K31" s="1" t="s">
        <v>927</v>
      </c>
      <c r="L31" s="1" t="s">
        <v>919</v>
      </c>
      <c r="M31" s="1" t="s">
        <v>936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8" t="s">
        <v>10391</v>
      </c>
      <c r="C32" s="7" t="s">
        <v>1960</v>
      </c>
      <c r="D32">
        <f t="shared" si="0"/>
        <v>19</v>
      </c>
      <c r="I32" s="1" t="s">
        <v>918</v>
      </c>
      <c r="J32" s="1" t="s">
        <v>25</v>
      </c>
      <c r="K32" s="1" t="s">
        <v>927</v>
      </c>
      <c r="L32" s="1" t="s">
        <v>919</v>
      </c>
      <c r="M32" s="1" t="s">
        <v>920</v>
      </c>
      <c r="N32" s="1" t="s">
        <v>936</v>
      </c>
      <c r="O32" s="1" t="s">
        <v>1108</v>
      </c>
      <c r="P32" s="1" t="s">
        <v>960</v>
      </c>
      <c r="Q32" s="1" t="s">
        <v>961</v>
      </c>
      <c r="R32" s="1" t="s">
        <v>921</v>
      </c>
      <c r="S32" s="1"/>
      <c r="T32" s="1"/>
      <c r="U32" s="1"/>
      <c r="V32" s="1"/>
      <c r="W32" s="1"/>
      <c r="X32" s="1"/>
      <c r="Y32" s="1"/>
    </row>
    <row r="33" spans="1:25" x14ac:dyDescent="0.25">
      <c r="A33" s="8" t="s">
        <v>10569</v>
      </c>
      <c r="C33" s="7" t="s">
        <v>7897</v>
      </c>
      <c r="D33">
        <f t="shared" si="0"/>
        <v>19</v>
      </c>
      <c r="I33" s="1" t="s">
        <v>1108</v>
      </c>
      <c r="J33" s="1" t="s">
        <v>918</v>
      </c>
      <c r="K33" s="1" t="s">
        <v>25</v>
      </c>
      <c r="L33" s="1" t="s">
        <v>923</v>
      </c>
      <c r="M33" s="1" t="s">
        <v>947</v>
      </c>
      <c r="N33" s="1" t="s">
        <v>919</v>
      </c>
      <c r="O33" s="1" t="s">
        <v>920</v>
      </c>
      <c r="P33" s="1" t="s">
        <v>924</v>
      </c>
      <c r="Q33" s="1" t="s">
        <v>921</v>
      </c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8" t="s">
        <v>9480</v>
      </c>
      <c r="C34" s="7" t="s">
        <v>6817</v>
      </c>
      <c r="D34">
        <f t="shared" si="0"/>
        <v>18</v>
      </c>
      <c r="I34" s="1" t="s">
        <v>50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8" t="s">
        <v>9480</v>
      </c>
      <c r="C35" s="7" t="s">
        <v>8703</v>
      </c>
      <c r="D35">
        <f t="shared" si="0"/>
        <v>18</v>
      </c>
      <c r="I35" s="1" t="s">
        <v>840</v>
      </c>
      <c r="J35" s="1" t="s">
        <v>328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8" t="s">
        <v>9008</v>
      </c>
      <c r="C36" s="7" t="s">
        <v>2259</v>
      </c>
      <c r="D36">
        <f t="shared" si="0"/>
        <v>18</v>
      </c>
      <c r="I36" s="1" t="s">
        <v>1146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8" t="s">
        <v>9008</v>
      </c>
      <c r="C37" s="7" t="s">
        <v>9014</v>
      </c>
      <c r="D37">
        <f t="shared" si="0"/>
        <v>18</v>
      </c>
      <c r="I37" s="1" t="s">
        <v>1045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8" t="s">
        <v>9008</v>
      </c>
      <c r="C38" s="7" t="s">
        <v>689</v>
      </c>
      <c r="D38">
        <f t="shared" si="0"/>
        <v>18</v>
      </c>
      <c r="I38" s="1" t="s">
        <v>335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8" t="s">
        <v>10423</v>
      </c>
      <c r="C39" s="7" t="s">
        <v>3024</v>
      </c>
      <c r="D39">
        <f t="shared" si="0"/>
        <v>17</v>
      </c>
      <c r="I39" s="1" t="s">
        <v>918</v>
      </c>
      <c r="J39" s="1" t="s">
        <v>25</v>
      </c>
      <c r="K39" s="1" t="s">
        <v>923</v>
      </c>
      <c r="L39" s="1" t="s">
        <v>920</v>
      </c>
      <c r="M39" s="1" t="s">
        <v>328</v>
      </c>
      <c r="N39" s="1" t="s">
        <v>921</v>
      </c>
      <c r="O39" s="1" t="s">
        <v>931</v>
      </c>
      <c r="P39" s="1" t="s">
        <v>1054</v>
      </c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8" t="s">
        <v>9635</v>
      </c>
      <c r="C40" s="7" t="s">
        <v>2369</v>
      </c>
      <c r="D40">
        <f t="shared" si="0"/>
        <v>17</v>
      </c>
      <c r="I40" s="1" t="s">
        <v>934</v>
      </c>
      <c r="J40" s="1" t="s">
        <v>1110</v>
      </c>
      <c r="K40" s="1" t="s">
        <v>25</v>
      </c>
      <c r="L40" s="1" t="s">
        <v>923</v>
      </c>
      <c r="M40" s="1" t="s">
        <v>920</v>
      </c>
      <c r="N40" s="1" t="s">
        <v>933</v>
      </c>
      <c r="O40" s="1" t="s">
        <v>954</v>
      </c>
      <c r="P40" s="1" t="s">
        <v>974</v>
      </c>
      <c r="Q40" s="1" t="s">
        <v>921</v>
      </c>
      <c r="R40" s="1" t="s">
        <v>949</v>
      </c>
      <c r="S40" s="1"/>
      <c r="T40" s="1"/>
      <c r="U40" s="1"/>
      <c r="V40" s="1"/>
      <c r="W40" s="1"/>
      <c r="X40" s="1"/>
      <c r="Y40" s="1"/>
    </row>
    <row r="41" spans="1:25" x14ac:dyDescent="0.25">
      <c r="A41" s="8" t="s">
        <v>9859</v>
      </c>
      <c r="C41" s="7" t="s">
        <v>141</v>
      </c>
      <c r="D41">
        <f t="shared" si="0"/>
        <v>17</v>
      </c>
      <c r="I41" s="1" t="s">
        <v>1051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7" t="s">
        <v>10036</v>
      </c>
      <c r="C42" s="7" t="s">
        <v>3423</v>
      </c>
      <c r="D42">
        <f t="shared" si="0"/>
        <v>16</v>
      </c>
      <c r="I42" s="1" t="s">
        <v>933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7" t="s">
        <v>10255</v>
      </c>
      <c r="C43" s="7" t="s">
        <v>6787</v>
      </c>
      <c r="D43">
        <f t="shared" si="0"/>
        <v>16</v>
      </c>
      <c r="I43" s="1" t="s">
        <v>948</v>
      </c>
      <c r="J43" s="1" t="s">
        <v>25</v>
      </c>
      <c r="K43" s="1" t="s">
        <v>923</v>
      </c>
      <c r="L43" s="1" t="s">
        <v>1053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8" t="s">
        <v>9268</v>
      </c>
      <c r="C44" s="7" t="s">
        <v>9293</v>
      </c>
      <c r="D44">
        <f t="shared" si="0"/>
        <v>16</v>
      </c>
      <c r="I44" s="1" t="s">
        <v>999</v>
      </c>
      <c r="J44" s="1" t="s">
        <v>921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8" t="s">
        <v>9268</v>
      </c>
      <c r="C45" s="7" t="s">
        <v>9139</v>
      </c>
      <c r="D45">
        <f t="shared" si="0"/>
        <v>16</v>
      </c>
      <c r="I45" s="1" t="s">
        <v>999</v>
      </c>
      <c r="J45" s="1" t="s">
        <v>921</v>
      </c>
      <c r="K45" s="1" t="s">
        <v>918</v>
      </c>
      <c r="L45" s="1" t="s">
        <v>25</v>
      </c>
      <c r="M45" s="1" t="s">
        <v>923</v>
      </c>
      <c r="N45" s="1" t="s">
        <v>919</v>
      </c>
      <c r="O45" s="1" t="s">
        <v>920</v>
      </c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8" t="s">
        <v>10523</v>
      </c>
      <c r="C46" s="7" t="s">
        <v>442</v>
      </c>
      <c r="D46">
        <f t="shared" si="0"/>
        <v>16</v>
      </c>
      <c r="I46" s="1" t="s">
        <v>999</v>
      </c>
      <c r="J46" s="1" t="s">
        <v>921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8" t="s">
        <v>9823</v>
      </c>
      <c r="C47" s="7" t="s">
        <v>3649</v>
      </c>
      <c r="D47">
        <f t="shared" si="0"/>
        <v>16</v>
      </c>
      <c r="I47" s="1" t="s">
        <v>50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7" t="s">
        <v>10485</v>
      </c>
      <c r="C48" s="7" t="s">
        <v>9451</v>
      </c>
      <c r="D48">
        <f t="shared" si="0"/>
        <v>16</v>
      </c>
      <c r="I48" s="1" t="s">
        <v>918</v>
      </c>
      <c r="J48" s="1" t="s">
        <v>25</v>
      </c>
      <c r="K48" s="1" t="s">
        <v>923</v>
      </c>
      <c r="L48" s="1" t="s">
        <v>999</v>
      </c>
      <c r="M48" s="1" t="s">
        <v>919</v>
      </c>
      <c r="N48" s="1" t="s">
        <v>920</v>
      </c>
      <c r="O48" s="1" t="s">
        <v>921</v>
      </c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7" t="s">
        <v>2847</v>
      </c>
      <c r="C49" s="7" t="s">
        <v>8419</v>
      </c>
      <c r="D49">
        <f t="shared" si="0"/>
        <v>16</v>
      </c>
      <c r="I49" s="1" t="s">
        <v>1045</v>
      </c>
      <c r="J49" s="1" t="s">
        <v>1042</v>
      </c>
      <c r="K49" s="1" t="s">
        <v>999</v>
      </c>
      <c r="L49" s="1" t="s">
        <v>921</v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7" t="s">
        <v>2847</v>
      </c>
      <c r="C50" s="7" t="s">
        <v>7917</v>
      </c>
      <c r="D50">
        <f t="shared" si="0"/>
        <v>15</v>
      </c>
      <c r="I50" s="1" t="s">
        <v>1045</v>
      </c>
      <c r="J50" s="1" t="s">
        <v>1042</v>
      </c>
      <c r="K50" s="1" t="s">
        <v>999</v>
      </c>
      <c r="L50" s="1" t="s">
        <v>921</v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A51" s="7" t="s">
        <v>2847</v>
      </c>
      <c r="C51" s="7" t="s">
        <v>2343</v>
      </c>
      <c r="D51">
        <f t="shared" si="0"/>
        <v>15</v>
      </c>
      <c r="I51" s="1" t="s">
        <v>967</v>
      </c>
      <c r="J51" s="1" t="s">
        <v>10699</v>
      </c>
      <c r="K51" s="1" t="s">
        <v>1065</v>
      </c>
      <c r="L51" s="1" t="s">
        <v>10700</v>
      </c>
      <c r="M51" s="1" t="s">
        <v>10701</v>
      </c>
      <c r="N51" s="1" t="s">
        <v>10702</v>
      </c>
      <c r="O51" s="1" t="s">
        <v>10703</v>
      </c>
      <c r="P51" s="1" t="s">
        <v>10704</v>
      </c>
      <c r="Q51" s="1" t="s">
        <v>10705</v>
      </c>
      <c r="R51" s="1"/>
      <c r="S51" s="1"/>
      <c r="T51" s="1"/>
      <c r="U51" s="1"/>
      <c r="V51" s="1"/>
      <c r="W51" s="1"/>
      <c r="X51" s="1"/>
      <c r="Y51" s="1"/>
    </row>
    <row r="52" spans="1:25" x14ac:dyDescent="0.25">
      <c r="A52" s="7" t="s">
        <v>2847</v>
      </c>
      <c r="C52" s="7" t="s">
        <v>8832</v>
      </c>
      <c r="D52">
        <f t="shared" si="0"/>
        <v>15</v>
      </c>
      <c r="I52" s="1" t="s">
        <v>919</v>
      </c>
      <c r="J52" s="1" t="s">
        <v>929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A53" s="7" t="s">
        <v>8972</v>
      </c>
      <c r="C53" s="7" t="s">
        <v>2283</v>
      </c>
      <c r="D53">
        <f t="shared" si="0"/>
        <v>15</v>
      </c>
      <c r="I53" s="1" t="s">
        <v>1108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A54" s="7" t="s">
        <v>5252</v>
      </c>
      <c r="C54" s="7" t="s">
        <v>6280</v>
      </c>
      <c r="D54">
        <f t="shared" si="0"/>
        <v>15</v>
      </c>
      <c r="I54" s="1" t="s">
        <v>25</v>
      </c>
      <c r="J54" s="1" t="s">
        <v>920</v>
      </c>
      <c r="K54" s="1" t="s">
        <v>921</v>
      </c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A55" s="7" t="s">
        <v>5252</v>
      </c>
      <c r="C55" s="7" t="s">
        <v>5615</v>
      </c>
      <c r="D55">
        <f t="shared" si="0"/>
        <v>15</v>
      </c>
      <c r="I55" s="1" t="s">
        <v>919</v>
      </c>
      <c r="J55" s="1" t="s">
        <v>929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A56" s="7" t="s">
        <v>5252</v>
      </c>
      <c r="C56" s="7" t="s">
        <v>160</v>
      </c>
      <c r="D56">
        <f t="shared" si="0"/>
        <v>15</v>
      </c>
      <c r="I56" s="1" t="s">
        <v>918</v>
      </c>
      <c r="J56" s="1" t="s">
        <v>25</v>
      </c>
      <c r="K56" s="1" t="s">
        <v>997</v>
      </c>
      <c r="L56" s="1" t="s">
        <v>919</v>
      </c>
      <c r="M56" s="1" t="s">
        <v>920</v>
      </c>
      <c r="N56" s="1" t="s">
        <v>924</v>
      </c>
      <c r="O56" s="1" t="s">
        <v>967</v>
      </c>
      <c r="P56" s="1" t="s">
        <v>969</v>
      </c>
      <c r="Q56" s="1" t="s">
        <v>10706</v>
      </c>
      <c r="R56" s="1" t="s">
        <v>970</v>
      </c>
      <c r="S56" s="1" t="s">
        <v>955</v>
      </c>
      <c r="T56" s="1" t="s">
        <v>1014</v>
      </c>
      <c r="U56" s="1" t="s">
        <v>944</v>
      </c>
      <c r="V56" s="1" t="s">
        <v>956</v>
      </c>
      <c r="W56" s="1"/>
      <c r="X56" s="1"/>
      <c r="Y56" s="1"/>
    </row>
    <row r="57" spans="1:25" x14ac:dyDescent="0.25">
      <c r="A57" s="7" t="s">
        <v>5252</v>
      </c>
      <c r="C57" s="7" t="s">
        <v>5403</v>
      </c>
      <c r="D57">
        <f t="shared" si="0"/>
        <v>14</v>
      </c>
      <c r="I57" s="1" t="s">
        <v>10707</v>
      </c>
      <c r="J57" s="1" t="s">
        <v>10708</v>
      </c>
      <c r="K57" s="1" t="s">
        <v>10709</v>
      </c>
      <c r="L57" s="1" t="s">
        <v>138</v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A58" s="7" t="s">
        <v>5252</v>
      </c>
      <c r="C58" s="7" t="s">
        <v>2404</v>
      </c>
      <c r="D58">
        <f t="shared" si="0"/>
        <v>14</v>
      </c>
      <c r="I58" s="1" t="s">
        <v>1045</v>
      </c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A59" s="7" t="s">
        <v>2416</v>
      </c>
      <c r="C59" s="7" t="s">
        <v>3192</v>
      </c>
      <c r="D59">
        <f t="shared" si="0"/>
        <v>14</v>
      </c>
      <c r="I59" s="1" t="s">
        <v>967</v>
      </c>
      <c r="J59" s="1" t="s">
        <v>969</v>
      </c>
      <c r="K59" s="1" t="s">
        <v>10706</v>
      </c>
      <c r="L59" s="1" t="s">
        <v>970</v>
      </c>
      <c r="M59" s="1" t="s">
        <v>1045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A60" s="8" t="s">
        <v>2416</v>
      </c>
      <c r="C60" s="8" t="s">
        <v>9026</v>
      </c>
      <c r="D60">
        <f t="shared" si="0"/>
        <v>14</v>
      </c>
      <c r="I60" s="1" t="s">
        <v>1012</v>
      </c>
      <c r="J60" s="1" t="s">
        <v>1013</v>
      </c>
      <c r="K60" s="1" t="s">
        <v>955</v>
      </c>
      <c r="L60" s="1" t="s">
        <v>1014</v>
      </c>
      <c r="M60" s="1" t="s">
        <v>1015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A61" s="8" t="s">
        <v>10287</v>
      </c>
      <c r="C61" s="7" t="s">
        <v>4956</v>
      </c>
      <c r="D61">
        <f t="shared" si="0"/>
        <v>14</v>
      </c>
      <c r="I61" s="1" t="s">
        <v>918</v>
      </c>
      <c r="J61" s="1" t="s">
        <v>25</v>
      </c>
      <c r="K61" s="1" t="s">
        <v>923</v>
      </c>
      <c r="L61" s="1" t="s">
        <v>919</v>
      </c>
      <c r="M61" s="1" t="s">
        <v>920</v>
      </c>
      <c r="N61" s="1" t="s">
        <v>933</v>
      </c>
      <c r="O61" s="1" t="s">
        <v>921</v>
      </c>
      <c r="P61" s="1" t="s">
        <v>10698</v>
      </c>
      <c r="Q61" s="1" t="s">
        <v>10710</v>
      </c>
      <c r="R61" s="1"/>
      <c r="S61" s="1"/>
      <c r="T61" s="1"/>
      <c r="U61" s="1"/>
      <c r="V61" s="1"/>
      <c r="W61" s="1"/>
      <c r="X61" s="1"/>
      <c r="Y61" s="1"/>
    </row>
    <row r="62" spans="1:25" x14ac:dyDescent="0.25">
      <c r="A62" s="7" t="s">
        <v>9074</v>
      </c>
      <c r="C62" s="7" t="s">
        <v>9331</v>
      </c>
      <c r="D62">
        <f t="shared" si="0"/>
        <v>14</v>
      </c>
      <c r="I62" s="1" t="s">
        <v>1101</v>
      </c>
      <c r="J62" s="1" t="s">
        <v>1102</v>
      </c>
      <c r="K62" s="1" t="s">
        <v>977</v>
      </c>
      <c r="L62" s="1" t="s">
        <v>1103</v>
      </c>
      <c r="M62" s="1" t="s">
        <v>1104</v>
      </c>
      <c r="N62" s="1" t="s">
        <v>1105</v>
      </c>
      <c r="O62" s="1" t="s">
        <v>1106</v>
      </c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A63" s="8" t="s">
        <v>10208</v>
      </c>
      <c r="C63" s="7" t="s">
        <v>6372</v>
      </c>
      <c r="D63">
        <f t="shared" si="0"/>
        <v>14</v>
      </c>
      <c r="I63" s="1" t="s">
        <v>1101</v>
      </c>
      <c r="J63" s="1" t="s">
        <v>1102</v>
      </c>
      <c r="K63" s="1" t="s">
        <v>977</v>
      </c>
      <c r="L63" s="1" t="s">
        <v>1103</v>
      </c>
      <c r="M63" s="1" t="s">
        <v>1104</v>
      </c>
      <c r="N63" s="1" t="s">
        <v>1105</v>
      </c>
      <c r="O63" s="1" t="s">
        <v>1106</v>
      </c>
      <c r="P63" s="1" t="s">
        <v>25</v>
      </c>
      <c r="Q63" s="1" t="s">
        <v>919</v>
      </c>
      <c r="R63" s="1" t="s">
        <v>920</v>
      </c>
      <c r="S63" s="1" t="s">
        <v>921</v>
      </c>
      <c r="T63" s="1"/>
      <c r="U63" s="1"/>
      <c r="V63" s="1"/>
      <c r="W63" s="1"/>
      <c r="X63" s="1"/>
      <c r="Y63" s="1"/>
    </row>
    <row r="64" spans="1:25" x14ac:dyDescent="0.25">
      <c r="A64" s="7" t="s">
        <v>4393</v>
      </c>
      <c r="C64" s="7" t="s">
        <v>9353</v>
      </c>
      <c r="D64">
        <f t="shared" si="0"/>
        <v>13</v>
      </c>
      <c r="I64" s="1" t="s">
        <v>10711</v>
      </c>
      <c r="J64" s="1" t="s">
        <v>10712</v>
      </c>
      <c r="K64" s="1" t="s">
        <v>10713</v>
      </c>
      <c r="L64" s="1" t="s">
        <v>10714</v>
      </c>
      <c r="M64" s="1" t="s">
        <v>10715</v>
      </c>
      <c r="N64" s="1" t="s">
        <v>10716</v>
      </c>
      <c r="O64" s="1" t="s">
        <v>984</v>
      </c>
      <c r="P64" s="1" t="s">
        <v>990</v>
      </c>
      <c r="Q64" s="1" t="s">
        <v>10717</v>
      </c>
      <c r="R64" s="1"/>
      <c r="S64" s="1"/>
      <c r="T64" s="1"/>
      <c r="U64" s="1"/>
      <c r="V64" s="1"/>
      <c r="W64" s="1"/>
      <c r="X64" s="1"/>
      <c r="Y64" s="1"/>
    </row>
    <row r="65" spans="1:25" x14ac:dyDescent="0.25">
      <c r="A65" s="7" t="s">
        <v>4263</v>
      </c>
      <c r="C65" s="7" t="s">
        <v>6040</v>
      </c>
      <c r="D65">
        <f t="shared" si="0"/>
        <v>13</v>
      </c>
      <c r="I65" s="1" t="s">
        <v>1095</v>
      </c>
      <c r="J65" s="1" t="s">
        <v>1096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25">
      <c r="A66" s="8" t="s">
        <v>4263</v>
      </c>
      <c r="C66" s="7" t="s">
        <v>6831</v>
      </c>
      <c r="D66">
        <f t="shared" ref="D66:D129" si="1">COUNTIF(A:A,C66)</f>
        <v>13</v>
      </c>
      <c r="I66" s="1" t="s">
        <v>918</v>
      </c>
      <c r="J66" s="1" t="s">
        <v>940</v>
      </c>
      <c r="K66" s="1" t="s">
        <v>1031</v>
      </c>
      <c r="L66" s="1" t="s">
        <v>1110</v>
      </c>
      <c r="M66" s="1" t="s">
        <v>25</v>
      </c>
      <c r="N66" s="1" t="s">
        <v>923</v>
      </c>
      <c r="O66" s="1" t="s">
        <v>916</v>
      </c>
      <c r="P66" s="1" t="s">
        <v>920</v>
      </c>
      <c r="Q66" s="1" t="s">
        <v>954</v>
      </c>
      <c r="R66" s="1" t="s">
        <v>974</v>
      </c>
      <c r="S66" s="1" t="s">
        <v>921</v>
      </c>
      <c r="T66" s="1" t="s">
        <v>1033</v>
      </c>
      <c r="U66" s="1" t="s">
        <v>1108</v>
      </c>
      <c r="V66" s="1"/>
      <c r="W66" s="1"/>
      <c r="X66" s="1"/>
      <c r="Y66" s="1"/>
    </row>
    <row r="67" spans="1:25" x14ac:dyDescent="0.25">
      <c r="A67" s="8" t="s">
        <v>9725</v>
      </c>
      <c r="C67" s="7" t="s">
        <v>9032</v>
      </c>
      <c r="D67">
        <f t="shared" si="1"/>
        <v>13</v>
      </c>
      <c r="I67" s="1" t="s">
        <v>25</v>
      </c>
      <c r="J67" s="1" t="s">
        <v>927</v>
      </c>
      <c r="K67" s="1" t="s">
        <v>981</v>
      </c>
      <c r="L67" s="1" t="s">
        <v>920</v>
      </c>
      <c r="M67" s="1" t="s">
        <v>933</v>
      </c>
      <c r="N67" s="1" t="s">
        <v>921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7" t="s">
        <v>1998</v>
      </c>
      <c r="C68" s="7" t="s">
        <v>2427</v>
      </c>
      <c r="D68">
        <f t="shared" si="1"/>
        <v>13</v>
      </c>
      <c r="I68" s="1" t="s">
        <v>1004</v>
      </c>
      <c r="J68" s="1" t="s">
        <v>1010</v>
      </c>
      <c r="K68" s="1" t="s">
        <v>1005</v>
      </c>
      <c r="L68" s="1" t="s">
        <v>10718</v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A69" s="7" t="s">
        <v>5098</v>
      </c>
      <c r="C69" s="7" t="s">
        <v>5106</v>
      </c>
      <c r="D69">
        <f t="shared" si="1"/>
        <v>13</v>
      </c>
      <c r="I69" s="1" t="s">
        <v>996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A70" s="7" t="s">
        <v>5098</v>
      </c>
      <c r="C70" s="7" t="s">
        <v>238</v>
      </c>
      <c r="D70">
        <f t="shared" si="1"/>
        <v>13</v>
      </c>
      <c r="I70" s="1" t="s">
        <v>25</v>
      </c>
      <c r="J70" s="1" t="s">
        <v>920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A71" s="7" t="s">
        <v>5098</v>
      </c>
      <c r="C71" s="7" t="s">
        <v>3156</v>
      </c>
      <c r="D71">
        <f t="shared" si="1"/>
        <v>13</v>
      </c>
      <c r="I71" s="1" t="s">
        <v>25</v>
      </c>
      <c r="J71" s="1" t="s">
        <v>974</v>
      </c>
      <c r="K71" s="1" t="s">
        <v>10719</v>
      </c>
      <c r="L71" s="1" t="s">
        <v>950</v>
      </c>
      <c r="M71" s="1" t="s">
        <v>10720</v>
      </c>
      <c r="N71" s="1" t="s">
        <v>920</v>
      </c>
      <c r="O71" s="1" t="s">
        <v>933</v>
      </c>
      <c r="P71" s="1" t="s">
        <v>10721</v>
      </c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A72" s="7" t="s">
        <v>10319</v>
      </c>
      <c r="C72" s="7" t="s">
        <v>5376</v>
      </c>
      <c r="D72">
        <f t="shared" si="1"/>
        <v>13</v>
      </c>
      <c r="I72" s="1" t="s">
        <v>50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A73" s="7" t="s">
        <v>9914</v>
      </c>
      <c r="C73" s="7" t="s">
        <v>9974</v>
      </c>
      <c r="D73">
        <f t="shared" si="1"/>
        <v>13</v>
      </c>
      <c r="I73" s="1" t="s">
        <v>1149</v>
      </c>
      <c r="J73" s="1" t="s">
        <v>25</v>
      </c>
      <c r="K73" s="1" t="s">
        <v>923</v>
      </c>
      <c r="L73" s="1" t="s">
        <v>998</v>
      </c>
      <c r="M73" s="1" t="s">
        <v>1086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A74" s="7" t="s">
        <v>5660</v>
      </c>
      <c r="C74" s="7" t="s">
        <v>2579</v>
      </c>
      <c r="D74">
        <f t="shared" si="1"/>
        <v>12</v>
      </c>
      <c r="I74" s="1" t="s">
        <v>50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A75" s="7" t="s">
        <v>5660</v>
      </c>
      <c r="C75" s="7" t="s">
        <v>1969</v>
      </c>
      <c r="D75">
        <f t="shared" si="1"/>
        <v>12</v>
      </c>
      <c r="I75" s="1" t="s">
        <v>927</v>
      </c>
      <c r="J75" s="1" t="s">
        <v>998</v>
      </c>
      <c r="K75" s="1" t="s">
        <v>992</v>
      </c>
      <c r="L75" s="1" t="s">
        <v>1086</v>
      </c>
      <c r="M75" s="1" t="s">
        <v>933</v>
      </c>
      <c r="N75" s="1" t="s">
        <v>993</v>
      </c>
      <c r="O75" s="1" t="s">
        <v>994</v>
      </c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A76" s="7" t="s">
        <v>5660</v>
      </c>
      <c r="C76" s="7" t="s">
        <v>6773</v>
      </c>
      <c r="D76">
        <f t="shared" si="1"/>
        <v>12</v>
      </c>
      <c r="I76" s="1" t="s">
        <v>25</v>
      </c>
      <c r="J76" s="1" t="s">
        <v>920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A77" s="8" t="s">
        <v>5660</v>
      </c>
      <c r="C77" s="7" t="s">
        <v>8082</v>
      </c>
      <c r="D77">
        <f t="shared" si="1"/>
        <v>12</v>
      </c>
      <c r="I77" s="1" t="s">
        <v>50</v>
      </c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A78" s="8" t="s">
        <v>9854</v>
      </c>
      <c r="C78" s="7" t="s">
        <v>2487</v>
      </c>
      <c r="D78">
        <f t="shared" si="1"/>
        <v>12</v>
      </c>
      <c r="I78" s="1" t="s">
        <v>25</v>
      </c>
      <c r="J78" s="1" t="s">
        <v>1086</v>
      </c>
      <c r="K78" s="1" t="s">
        <v>919</v>
      </c>
      <c r="L78" s="1" t="s">
        <v>920</v>
      </c>
      <c r="M78" s="1" t="s">
        <v>921</v>
      </c>
      <c r="N78" s="1" t="s">
        <v>998</v>
      </c>
      <c r="O78" s="1" t="s">
        <v>933</v>
      </c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A79" s="8" t="s">
        <v>9280</v>
      </c>
      <c r="C79" s="7" t="s">
        <v>2279</v>
      </c>
      <c r="D79">
        <f t="shared" si="1"/>
        <v>12</v>
      </c>
      <c r="I79" s="1" t="s">
        <v>918</v>
      </c>
      <c r="J79" s="1" t="s">
        <v>25</v>
      </c>
      <c r="K79" s="1" t="s">
        <v>923</v>
      </c>
      <c r="L79" s="1" t="s">
        <v>919</v>
      </c>
      <c r="M79" s="1" t="s">
        <v>920</v>
      </c>
      <c r="N79" s="1" t="s">
        <v>921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A80" s="7" t="s">
        <v>9439</v>
      </c>
      <c r="C80" s="7" t="s">
        <v>9112</v>
      </c>
      <c r="D80">
        <f t="shared" si="1"/>
        <v>12</v>
      </c>
      <c r="I80" s="1" t="s">
        <v>1001</v>
      </c>
      <c r="J80" s="1" t="s">
        <v>996</v>
      </c>
      <c r="K80" s="1" t="s">
        <v>933</v>
      </c>
      <c r="L80" s="1" t="s">
        <v>2541</v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A81" s="7" t="s">
        <v>9439</v>
      </c>
      <c r="C81" s="7" t="s">
        <v>5308</v>
      </c>
      <c r="D81">
        <f t="shared" si="1"/>
        <v>12</v>
      </c>
      <c r="I81" s="1" t="s">
        <v>1001</v>
      </c>
      <c r="J81" s="1" t="s">
        <v>1019</v>
      </c>
      <c r="K81" s="1" t="s">
        <v>10722</v>
      </c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A82" s="7" t="s">
        <v>9439</v>
      </c>
      <c r="C82" s="7" t="s">
        <v>8892</v>
      </c>
      <c r="D82">
        <f t="shared" si="1"/>
        <v>12</v>
      </c>
      <c r="I82" s="1" t="s">
        <v>996</v>
      </c>
      <c r="J82" s="1" t="s">
        <v>25</v>
      </c>
      <c r="K82" s="1" t="s">
        <v>997</v>
      </c>
      <c r="L82" s="1" t="s">
        <v>927</v>
      </c>
      <c r="M82" s="1" t="s">
        <v>998</v>
      </c>
      <c r="N82" s="1" t="s">
        <v>992</v>
      </c>
      <c r="O82" s="1" t="s">
        <v>933</v>
      </c>
      <c r="P82" s="1" t="s">
        <v>994</v>
      </c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A83" s="7" t="s">
        <v>9316</v>
      </c>
      <c r="C83" s="7" t="s">
        <v>3589</v>
      </c>
      <c r="D83">
        <f t="shared" si="1"/>
        <v>12</v>
      </c>
      <c r="I83" s="1" t="s">
        <v>975</v>
      </c>
      <c r="J83" s="1" t="s">
        <v>925</v>
      </c>
      <c r="K83" s="1" t="s">
        <v>10723</v>
      </c>
      <c r="L83" s="1" t="s">
        <v>10724</v>
      </c>
      <c r="M83" s="1" t="s">
        <v>1058</v>
      </c>
      <c r="N83" s="1" t="s">
        <v>927</v>
      </c>
      <c r="O83" s="1" t="s">
        <v>10725</v>
      </c>
      <c r="P83" s="1" t="s">
        <v>1001</v>
      </c>
      <c r="Q83" s="1" t="s">
        <v>918</v>
      </c>
      <c r="R83" s="1" t="s">
        <v>1000</v>
      </c>
      <c r="S83" s="1" t="s">
        <v>919</v>
      </c>
      <c r="T83" s="1" t="s">
        <v>936</v>
      </c>
      <c r="U83" s="1" t="s">
        <v>921</v>
      </c>
      <c r="V83" s="1"/>
      <c r="W83" s="1"/>
      <c r="X83" s="1"/>
      <c r="Y83" s="1"/>
    </row>
    <row r="84" spans="1:25" x14ac:dyDescent="0.25">
      <c r="A84" s="7" t="s">
        <v>4626</v>
      </c>
      <c r="C84" s="7" t="s">
        <v>8271</v>
      </c>
      <c r="D84">
        <f t="shared" si="1"/>
        <v>12</v>
      </c>
      <c r="I84" s="1" t="s">
        <v>996</v>
      </c>
      <c r="J84" s="1" t="s">
        <v>2541</v>
      </c>
      <c r="K84" s="1" t="s">
        <v>1082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7" t="s">
        <v>10341</v>
      </c>
      <c r="C85" s="7" t="s">
        <v>2155</v>
      </c>
      <c r="D85">
        <f t="shared" si="1"/>
        <v>12</v>
      </c>
      <c r="I85" s="1" t="s">
        <v>10726</v>
      </c>
      <c r="J85" s="1" t="s">
        <v>924</v>
      </c>
      <c r="K85" s="1" t="s">
        <v>919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7" t="s">
        <v>8839</v>
      </c>
      <c r="C86" s="7" t="s">
        <v>154</v>
      </c>
      <c r="D86">
        <f t="shared" si="1"/>
        <v>12</v>
      </c>
      <c r="I86" s="1" t="s">
        <v>918</v>
      </c>
      <c r="J86" s="1" t="s">
        <v>924</v>
      </c>
      <c r="K86" s="1" t="s">
        <v>1001</v>
      </c>
      <c r="L86" s="1" t="s">
        <v>25</v>
      </c>
      <c r="M86" s="1" t="s">
        <v>927</v>
      </c>
      <c r="N86" s="1" t="s">
        <v>998</v>
      </c>
      <c r="O86" s="1" t="s">
        <v>992</v>
      </c>
      <c r="P86" s="1" t="s">
        <v>981</v>
      </c>
      <c r="Q86" s="1" t="s">
        <v>939</v>
      </c>
      <c r="R86" s="1" t="s">
        <v>1066</v>
      </c>
      <c r="S86" s="1" t="s">
        <v>993</v>
      </c>
      <c r="T86" s="1" t="s">
        <v>994</v>
      </c>
      <c r="U86" s="1"/>
      <c r="V86" s="1"/>
      <c r="W86" s="1"/>
      <c r="X86" s="1"/>
      <c r="Y86" s="1"/>
    </row>
    <row r="87" spans="1:25" x14ac:dyDescent="0.25">
      <c r="A87" s="7" t="s">
        <v>8839</v>
      </c>
      <c r="C87" s="7" t="s">
        <v>9162</v>
      </c>
      <c r="D87">
        <f t="shared" si="1"/>
        <v>12</v>
      </c>
      <c r="I87" s="1" t="s">
        <v>50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7" t="s">
        <v>8839</v>
      </c>
      <c r="C88" s="7" t="s">
        <v>8839</v>
      </c>
      <c r="D88">
        <f t="shared" si="1"/>
        <v>11</v>
      </c>
      <c r="I88" s="1" t="s">
        <v>918</v>
      </c>
      <c r="J88" s="1" t="s">
        <v>8695</v>
      </c>
      <c r="K88" s="1" t="s">
        <v>919</v>
      </c>
      <c r="L88" s="1" t="s">
        <v>1020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7" t="s">
        <v>8839</v>
      </c>
      <c r="C89" s="7" t="s">
        <v>5003</v>
      </c>
      <c r="D89">
        <f t="shared" si="1"/>
        <v>11</v>
      </c>
      <c r="I89" s="1" t="s">
        <v>1001</v>
      </c>
      <c r="J89" s="1" t="s">
        <v>1019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7" t="s">
        <v>8839</v>
      </c>
      <c r="C90" s="7" t="s">
        <v>4945</v>
      </c>
      <c r="D90">
        <f t="shared" si="1"/>
        <v>11</v>
      </c>
      <c r="I90" s="1" t="s">
        <v>981</v>
      </c>
      <c r="J90" s="1" t="s">
        <v>1019</v>
      </c>
      <c r="K90" s="1" t="s">
        <v>983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7" t="s">
        <v>8839</v>
      </c>
      <c r="C91" s="7" t="s">
        <v>1978</v>
      </c>
      <c r="D91">
        <f t="shared" si="1"/>
        <v>11</v>
      </c>
      <c r="I91" s="1" t="s">
        <v>996</v>
      </c>
      <c r="J91" s="1" t="s">
        <v>10727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8" t="s">
        <v>8839</v>
      </c>
      <c r="C92" s="7" t="s">
        <v>4741</v>
      </c>
      <c r="D92">
        <f t="shared" si="1"/>
        <v>10</v>
      </c>
      <c r="I92" s="1" t="s">
        <v>918</v>
      </c>
      <c r="J92" s="1" t="s">
        <v>25</v>
      </c>
      <c r="K92" s="1" t="s">
        <v>923</v>
      </c>
      <c r="L92" s="1" t="s">
        <v>916</v>
      </c>
      <c r="M92" s="1" t="s">
        <v>919</v>
      </c>
      <c r="N92" s="1" t="s">
        <v>924</v>
      </c>
      <c r="O92" s="1" t="s">
        <v>974</v>
      </c>
      <c r="P92" s="1" t="s">
        <v>922</v>
      </c>
      <c r="Q92" s="1" t="s">
        <v>929</v>
      </c>
      <c r="R92" s="1" t="s">
        <v>941</v>
      </c>
      <c r="S92" s="1" t="s">
        <v>1084</v>
      </c>
      <c r="T92" s="1" t="s">
        <v>1085</v>
      </c>
      <c r="U92" s="1" t="s">
        <v>955</v>
      </c>
      <c r="V92" s="1" t="s">
        <v>1034</v>
      </c>
      <c r="W92" s="1" t="s">
        <v>1014</v>
      </c>
      <c r="X92" s="1" t="s">
        <v>956</v>
      </c>
      <c r="Y92" s="1"/>
    </row>
    <row r="93" spans="1:25" x14ac:dyDescent="0.25">
      <c r="A93" s="8" t="s">
        <v>8839</v>
      </c>
      <c r="C93" s="7" t="s">
        <v>170</v>
      </c>
      <c r="D93">
        <f t="shared" si="1"/>
        <v>10</v>
      </c>
      <c r="I93" s="1" t="s">
        <v>1043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8" t="s">
        <v>8839</v>
      </c>
      <c r="C94" s="7" t="s">
        <v>283</v>
      </c>
      <c r="D94">
        <f t="shared" si="1"/>
        <v>10</v>
      </c>
      <c r="I94" s="1" t="s">
        <v>918</v>
      </c>
      <c r="J94" s="1" t="s">
        <v>971</v>
      </c>
      <c r="K94" s="1" t="s">
        <v>940</v>
      </c>
      <c r="L94" s="1" t="s">
        <v>25</v>
      </c>
      <c r="M94" s="1" t="s">
        <v>947</v>
      </c>
      <c r="N94" s="1" t="s">
        <v>919</v>
      </c>
      <c r="O94" s="1" t="s">
        <v>920</v>
      </c>
      <c r="P94" s="1" t="s">
        <v>921</v>
      </c>
      <c r="Q94" s="1" t="s">
        <v>924</v>
      </c>
      <c r="R94" s="1" t="s">
        <v>10728</v>
      </c>
      <c r="S94" s="1"/>
      <c r="T94" s="1"/>
      <c r="U94" s="1"/>
      <c r="V94" s="1"/>
      <c r="W94" s="1"/>
      <c r="X94" s="1"/>
      <c r="Y94" s="1"/>
    </row>
    <row r="95" spans="1:25" x14ac:dyDescent="0.25">
      <c r="A95" s="8" t="s">
        <v>8839</v>
      </c>
      <c r="C95" s="7" t="s">
        <v>3886</v>
      </c>
      <c r="D95">
        <f t="shared" si="1"/>
        <v>10</v>
      </c>
      <c r="I95" s="1" t="s">
        <v>918</v>
      </c>
      <c r="J95" s="1" t="s">
        <v>919</v>
      </c>
      <c r="K95" s="1" t="s">
        <v>930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8" t="s">
        <v>8839</v>
      </c>
      <c r="C96" s="7" t="s">
        <v>8514</v>
      </c>
      <c r="D96">
        <f t="shared" si="1"/>
        <v>10</v>
      </c>
      <c r="I96" s="1" t="s">
        <v>963</v>
      </c>
      <c r="J96" s="1" t="s">
        <v>951</v>
      </c>
      <c r="K96" s="1" t="s">
        <v>934</v>
      </c>
      <c r="L96" s="1" t="s">
        <v>918</v>
      </c>
      <c r="M96" s="1" t="s">
        <v>25</v>
      </c>
      <c r="N96" s="1" t="s">
        <v>923</v>
      </c>
      <c r="O96" s="1" t="s">
        <v>920</v>
      </c>
      <c r="P96" s="1" t="s">
        <v>954</v>
      </c>
      <c r="Q96" s="1" t="s">
        <v>921</v>
      </c>
      <c r="R96" s="1" t="s">
        <v>919</v>
      </c>
      <c r="S96" s="1" t="s">
        <v>933</v>
      </c>
      <c r="T96" s="1" t="s">
        <v>328</v>
      </c>
      <c r="U96" s="1"/>
      <c r="V96" s="1"/>
      <c r="W96" s="1"/>
      <c r="X96" s="1"/>
      <c r="Y96" s="1"/>
    </row>
    <row r="97" spans="1:25" x14ac:dyDescent="0.25">
      <c r="A97" s="8" t="s">
        <v>9359</v>
      </c>
      <c r="C97" s="7" t="s">
        <v>2035</v>
      </c>
      <c r="D97">
        <f t="shared" si="1"/>
        <v>10</v>
      </c>
      <c r="I97" s="1" t="s">
        <v>1081</v>
      </c>
      <c r="J97" s="1" t="s">
        <v>1013</v>
      </c>
      <c r="K97" s="1" t="s">
        <v>919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8" t="s">
        <v>9359</v>
      </c>
      <c r="C98" s="7" t="s">
        <v>2602</v>
      </c>
      <c r="D98">
        <f t="shared" si="1"/>
        <v>9</v>
      </c>
      <c r="I98" s="1" t="s">
        <v>25</v>
      </c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7" t="s">
        <v>5927</v>
      </c>
      <c r="C99" s="7" t="s">
        <v>3503</v>
      </c>
      <c r="D99">
        <f t="shared" si="1"/>
        <v>9</v>
      </c>
      <c r="I99" s="1" t="s">
        <v>996</v>
      </c>
      <c r="J99" s="1" t="s">
        <v>948</v>
      </c>
      <c r="K99" s="1" t="s">
        <v>25</v>
      </c>
      <c r="L99" s="1" t="s">
        <v>923</v>
      </c>
      <c r="M99" s="1" t="s">
        <v>997</v>
      </c>
      <c r="N99" s="1" t="s">
        <v>920</v>
      </c>
      <c r="O99" s="1" t="s">
        <v>1149</v>
      </c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8" t="s">
        <v>5927</v>
      </c>
      <c r="C100" s="7" t="s">
        <v>10086</v>
      </c>
      <c r="D100">
        <f t="shared" si="1"/>
        <v>9</v>
      </c>
      <c r="I100" s="1" t="s">
        <v>918</v>
      </c>
      <c r="J100" s="1" t="s">
        <v>25</v>
      </c>
      <c r="K100" s="1" t="s">
        <v>919</v>
      </c>
      <c r="L100" s="1" t="s">
        <v>920</v>
      </c>
      <c r="M100" s="1" t="s">
        <v>921</v>
      </c>
      <c r="N100" s="1" t="s">
        <v>10729</v>
      </c>
      <c r="O100" s="1" t="s">
        <v>930</v>
      </c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7" t="s">
        <v>4158</v>
      </c>
      <c r="C101" s="7" t="s">
        <v>272</v>
      </c>
      <c r="D101">
        <f t="shared" si="1"/>
        <v>9</v>
      </c>
      <c r="I101" s="1" t="s">
        <v>918</v>
      </c>
      <c r="J101" s="1" t="s">
        <v>25</v>
      </c>
      <c r="K101" s="1" t="s">
        <v>919</v>
      </c>
      <c r="L101" s="1" t="s">
        <v>920</v>
      </c>
      <c r="M101" s="1" t="s">
        <v>921</v>
      </c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7" t="s">
        <v>10071</v>
      </c>
      <c r="C102" s="7" t="s">
        <v>1512</v>
      </c>
      <c r="D102">
        <f t="shared" si="1"/>
        <v>9</v>
      </c>
      <c r="I102" s="1" t="s">
        <v>918</v>
      </c>
      <c r="J102" s="1" t="s">
        <v>25</v>
      </c>
      <c r="K102" s="1" t="s">
        <v>919</v>
      </c>
      <c r="L102" s="1" t="s">
        <v>920</v>
      </c>
      <c r="M102" s="1" t="s">
        <v>921</v>
      </c>
      <c r="N102" s="1" t="s">
        <v>1013</v>
      </c>
      <c r="O102" s="1" t="s">
        <v>927</v>
      </c>
      <c r="P102" s="1" t="s">
        <v>936</v>
      </c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7" t="s">
        <v>10144</v>
      </c>
      <c r="C103" s="7" t="s">
        <v>9477</v>
      </c>
      <c r="D103">
        <f t="shared" si="1"/>
        <v>9</v>
      </c>
      <c r="I103" s="1" t="s">
        <v>918</v>
      </c>
      <c r="J103" s="1" t="s">
        <v>25</v>
      </c>
      <c r="K103" s="1" t="s">
        <v>919</v>
      </c>
      <c r="L103" s="1" t="s">
        <v>920</v>
      </c>
      <c r="M103" s="1" t="s">
        <v>921</v>
      </c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7" t="s">
        <v>10385</v>
      </c>
      <c r="C104" s="7" t="s">
        <v>8930</v>
      </c>
      <c r="D104">
        <f t="shared" si="1"/>
        <v>9</v>
      </c>
      <c r="I104" s="1" t="s">
        <v>918</v>
      </c>
      <c r="J104" s="1" t="s">
        <v>25</v>
      </c>
      <c r="K104" s="1" t="s">
        <v>919</v>
      </c>
      <c r="L104" s="1" t="s">
        <v>920</v>
      </c>
      <c r="M104" s="1" t="s">
        <v>921</v>
      </c>
      <c r="N104" s="1" t="s">
        <v>925</v>
      </c>
      <c r="O104" s="1" t="s">
        <v>927</v>
      </c>
      <c r="P104" s="1" t="s">
        <v>928</v>
      </c>
      <c r="Q104" s="1" t="s">
        <v>10730</v>
      </c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7" t="s">
        <v>10110</v>
      </c>
      <c r="C105" s="7" t="s">
        <v>9615</v>
      </c>
      <c r="D105">
        <f t="shared" si="1"/>
        <v>9</v>
      </c>
      <c r="I105" s="1" t="s">
        <v>918</v>
      </c>
      <c r="J105" s="1" t="s">
        <v>25</v>
      </c>
      <c r="K105" s="1" t="s">
        <v>919</v>
      </c>
      <c r="L105" s="1" t="s">
        <v>920</v>
      </c>
      <c r="M105" s="1" t="s">
        <v>921</v>
      </c>
      <c r="N105" s="1" t="s">
        <v>1001</v>
      </c>
      <c r="O105" s="1" t="s">
        <v>927</v>
      </c>
      <c r="P105" s="1" t="s">
        <v>992</v>
      </c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A106" s="8" t="s">
        <v>10110</v>
      </c>
      <c r="C106" s="7" t="s">
        <v>2185</v>
      </c>
      <c r="D106">
        <f t="shared" si="1"/>
        <v>9</v>
      </c>
      <c r="I106" s="1" t="s">
        <v>918</v>
      </c>
      <c r="J106" s="1" t="s">
        <v>25</v>
      </c>
      <c r="K106" s="1" t="s">
        <v>919</v>
      </c>
      <c r="L106" s="1" t="s">
        <v>920</v>
      </c>
      <c r="M106" s="1" t="s">
        <v>921</v>
      </c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25">
      <c r="A107" s="7" t="s">
        <v>5403</v>
      </c>
      <c r="C107" s="7" t="s">
        <v>7442</v>
      </c>
      <c r="D107">
        <f t="shared" si="1"/>
        <v>9</v>
      </c>
      <c r="I107" s="1" t="s">
        <v>918</v>
      </c>
      <c r="J107" s="1" t="s">
        <v>25</v>
      </c>
      <c r="K107" s="1" t="s">
        <v>919</v>
      </c>
      <c r="L107" s="1" t="s">
        <v>920</v>
      </c>
      <c r="M107" s="1" t="s">
        <v>921</v>
      </c>
      <c r="N107" s="1" t="s">
        <v>996</v>
      </c>
      <c r="O107" s="1" t="s">
        <v>997</v>
      </c>
      <c r="P107" s="1" t="s">
        <v>927</v>
      </c>
      <c r="Q107" s="1" t="s">
        <v>998</v>
      </c>
      <c r="R107" s="1" t="s">
        <v>933</v>
      </c>
      <c r="S107" s="1" t="s">
        <v>993</v>
      </c>
      <c r="T107" s="1" t="s">
        <v>994</v>
      </c>
      <c r="U107" s="1" t="s">
        <v>925</v>
      </c>
      <c r="V107" s="1" t="s">
        <v>10731</v>
      </c>
      <c r="W107" s="1"/>
      <c r="X107" s="1"/>
      <c r="Y107" s="1"/>
    </row>
    <row r="108" spans="1:25" x14ac:dyDescent="0.25">
      <c r="A108" s="7" t="s">
        <v>5403</v>
      </c>
      <c r="C108" s="7" t="s">
        <v>2360</v>
      </c>
      <c r="D108">
        <f t="shared" si="1"/>
        <v>9</v>
      </c>
      <c r="I108" s="1" t="s">
        <v>918</v>
      </c>
      <c r="J108" s="1" t="s">
        <v>25</v>
      </c>
      <c r="K108" s="1" t="s">
        <v>919</v>
      </c>
      <c r="L108" s="1" t="s">
        <v>920</v>
      </c>
      <c r="M108" s="1" t="s">
        <v>921</v>
      </c>
      <c r="N108" s="1" t="s">
        <v>1149</v>
      </c>
      <c r="O108" s="1" t="s">
        <v>923</v>
      </c>
      <c r="P108" s="1" t="s">
        <v>998</v>
      </c>
      <c r="Q108" s="1" t="s">
        <v>1086</v>
      </c>
      <c r="R108" s="1" t="s">
        <v>933</v>
      </c>
      <c r="S108" s="1" t="s">
        <v>10719</v>
      </c>
      <c r="T108" s="1" t="s">
        <v>1020</v>
      </c>
      <c r="U108" s="1" t="s">
        <v>10732</v>
      </c>
      <c r="V108" s="1"/>
      <c r="W108" s="1"/>
      <c r="X108" s="1"/>
      <c r="Y108" s="1"/>
    </row>
    <row r="109" spans="1:25" x14ac:dyDescent="0.25">
      <c r="A109" s="7" t="s">
        <v>5403</v>
      </c>
      <c r="C109" s="7" t="s">
        <v>8851</v>
      </c>
      <c r="D109">
        <f t="shared" si="1"/>
        <v>9</v>
      </c>
      <c r="I109" s="1" t="s">
        <v>25</v>
      </c>
      <c r="J109" s="1" t="s">
        <v>1086</v>
      </c>
      <c r="K109" s="1" t="s">
        <v>919</v>
      </c>
      <c r="L109" s="1" t="s">
        <v>920</v>
      </c>
      <c r="M109" s="1" t="s">
        <v>921</v>
      </c>
      <c r="N109" s="1" t="s">
        <v>948</v>
      </c>
      <c r="O109" s="1" t="s">
        <v>298</v>
      </c>
      <c r="P109" s="1" t="s">
        <v>923</v>
      </c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25">
      <c r="A110" s="7" t="s">
        <v>5403</v>
      </c>
      <c r="C110" s="7" t="s">
        <v>8292</v>
      </c>
      <c r="D110">
        <f t="shared" si="1"/>
        <v>9</v>
      </c>
      <c r="I110" s="1" t="s">
        <v>948</v>
      </c>
      <c r="J110" s="1" t="s">
        <v>298</v>
      </c>
      <c r="K110" s="1" t="s">
        <v>25</v>
      </c>
      <c r="L110" s="1" t="s">
        <v>923</v>
      </c>
      <c r="M110" s="1" t="s">
        <v>1069</v>
      </c>
      <c r="N110" s="1" t="s">
        <v>1149</v>
      </c>
      <c r="O110" s="1" t="s">
        <v>997</v>
      </c>
      <c r="P110" s="1" t="s">
        <v>1150</v>
      </c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25">
      <c r="A111" s="7" t="s">
        <v>5403</v>
      </c>
      <c r="C111" s="7" t="s">
        <v>7892</v>
      </c>
      <c r="D111">
        <f t="shared" si="1"/>
        <v>9</v>
      </c>
      <c r="I111" s="1" t="s">
        <v>10733</v>
      </c>
      <c r="J111" s="1" t="s">
        <v>948</v>
      </c>
      <c r="K111" s="1" t="s">
        <v>298</v>
      </c>
      <c r="L111" s="1" t="s">
        <v>25</v>
      </c>
      <c r="M111" s="1" t="s">
        <v>923</v>
      </c>
      <c r="N111" s="1" t="s">
        <v>997</v>
      </c>
      <c r="O111" s="1" t="s">
        <v>1167</v>
      </c>
      <c r="P111" s="1" t="s">
        <v>10734</v>
      </c>
      <c r="Q111" s="1" t="s">
        <v>1085</v>
      </c>
      <c r="R111" s="1" t="s">
        <v>10735</v>
      </c>
      <c r="S111" s="1" t="s">
        <v>955</v>
      </c>
      <c r="T111" s="1" t="s">
        <v>959</v>
      </c>
      <c r="U111" s="1" t="s">
        <v>1014</v>
      </c>
      <c r="V111" s="1" t="s">
        <v>944</v>
      </c>
      <c r="W111" s="1" t="s">
        <v>10736</v>
      </c>
      <c r="X111" s="1"/>
      <c r="Y111" s="1"/>
    </row>
    <row r="112" spans="1:25" x14ac:dyDescent="0.25">
      <c r="A112" s="7" t="s">
        <v>5403</v>
      </c>
      <c r="C112" s="7" t="s">
        <v>8808</v>
      </c>
      <c r="D112">
        <f t="shared" si="1"/>
        <v>9</v>
      </c>
      <c r="I112" s="1" t="s">
        <v>948</v>
      </c>
      <c r="J112" s="1" t="s">
        <v>1051</v>
      </c>
      <c r="K112" s="1" t="s">
        <v>25</v>
      </c>
      <c r="L112" s="1" t="s">
        <v>923</v>
      </c>
      <c r="M112" s="1" t="s">
        <v>1053</v>
      </c>
      <c r="N112" s="1" t="s">
        <v>1086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25">
      <c r="A113" s="7" t="s">
        <v>5403</v>
      </c>
      <c r="C113" s="7" t="s">
        <v>4386</v>
      </c>
      <c r="D113">
        <f t="shared" si="1"/>
        <v>9</v>
      </c>
      <c r="I113" s="1" t="s">
        <v>1053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25">
      <c r="A114" s="7" t="s">
        <v>5403</v>
      </c>
      <c r="C114" s="7" t="s">
        <v>7519</v>
      </c>
      <c r="D114">
        <f t="shared" si="1"/>
        <v>9</v>
      </c>
      <c r="I114" s="1" t="s">
        <v>1053</v>
      </c>
      <c r="J114" s="1" t="s">
        <v>992</v>
      </c>
      <c r="K114" s="1" t="s">
        <v>993</v>
      </c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25">
      <c r="A115" s="7" t="s">
        <v>5403</v>
      </c>
      <c r="C115" s="7" t="s">
        <v>157</v>
      </c>
      <c r="D115">
        <f t="shared" si="1"/>
        <v>9</v>
      </c>
      <c r="I115" s="1" t="s">
        <v>1053</v>
      </c>
      <c r="J115" s="1" t="s">
        <v>298</v>
      </c>
      <c r="K115" s="1" t="s">
        <v>2927</v>
      </c>
      <c r="L115" s="1" t="s">
        <v>1069</v>
      </c>
      <c r="M115" s="1" t="s">
        <v>25</v>
      </c>
      <c r="N115" s="1" t="s">
        <v>923</v>
      </c>
      <c r="O115" s="1" t="s">
        <v>998</v>
      </c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25">
      <c r="A116" s="7" t="s">
        <v>5403</v>
      </c>
      <c r="C116" s="7" t="s">
        <v>5802</v>
      </c>
      <c r="D116">
        <f t="shared" si="1"/>
        <v>9</v>
      </c>
      <c r="I116" s="1" t="s">
        <v>1053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25">
      <c r="A117" s="7" t="s">
        <v>5403</v>
      </c>
      <c r="C117" s="7" t="s">
        <v>3729</v>
      </c>
      <c r="D117">
        <f t="shared" si="1"/>
        <v>8</v>
      </c>
      <c r="I117" s="1" t="s">
        <v>2147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25">
      <c r="A118" s="7" t="s">
        <v>5403</v>
      </c>
      <c r="C118" s="7" t="s">
        <v>8834</v>
      </c>
      <c r="D118">
        <f t="shared" si="1"/>
        <v>8</v>
      </c>
      <c r="I118" s="1" t="s">
        <v>927</v>
      </c>
      <c r="J118" s="1" t="s">
        <v>1001</v>
      </c>
      <c r="K118" s="1" t="s">
        <v>10737</v>
      </c>
      <c r="L118" s="1" t="s">
        <v>10738</v>
      </c>
      <c r="M118" s="1" t="s">
        <v>919</v>
      </c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25">
      <c r="A119" s="7" t="s">
        <v>5403</v>
      </c>
      <c r="C119" s="8" t="s">
        <v>9069</v>
      </c>
      <c r="D119">
        <f t="shared" si="1"/>
        <v>8</v>
      </c>
      <c r="I119" s="1" t="s">
        <v>2153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25">
      <c r="A120" s="8" t="s">
        <v>5403</v>
      </c>
      <c r="C120" s="7" t="s">
        <v>3093</v>
      </c>
      <c r="D120">
        <f t="shared" si="1"/>
        <v>8</v>
      </c>
      <c r="I120" s="1" t="s">
        <v>996</v>
      </c>
      <c r="J120" s="1" t="s">
        <v>999</v>
      </c>
      <c r="K120" s="1" t="s">
        <v>921</v>
      </c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25">
      <c r="A121" s="7" t="s">
        <v>9738</v>
      </c>
      <c r="C121" s="7" t="s">
        <v>3257</v>
      </c>
      <c r="D121">
        <f t="shared" si="1"/>
        <v>8</v>
      </c>
      <c r="I121" s="1" t="s">
        <v>919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25">
      <c r="A122" s="8" t="s">
        <v>9120</v>
      </c>
      <c r="C122" s="7" t="s">
        <v>9146</v>
      </c>
      <c r="D122">
        <f t="shared" si="1"/>
        <v>8</v>
      </c>
      <c r="I122" s="1" t="s">
        <v>918</v>
      </c>
      <c r="J122" s="1" t="s">
        <v>919</v>
      </c>
      <c r="K122" s="1" t="s">
        <v>924</v>
      </c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25">
      <c r="A123" s="8" t="s">
        <v>9120</v>
      </c>
      <c r="C123" s="7" t="s">
        <v>3499</v>
      </c>
      <c r="D123">
        <f t="shared" si="1"/>
        <v>8</v>
      </c>
      <c r="I123" s="1" t="s">
        <v>918</v>
      </c>
      <c r="J123" s="1" t="s">
        <v>919</v>
      </c>
      <c r="K123" s="1" t="s">
        <v>924</v>
      </c>
      <c r="L123" s="1" t="s">
        <v>930</v>
      </c>
      <c r="M123" s="1" t="s">
        <v>1014</v>
      </c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25">
      <c r="A124" s="8" t="s">
        <v>9120</v>
      </c>
      <c r="C124" s="7" t="s">
        <v>8833</v>
      </c>
      <c r="D124">
        <f t="shared" si="1"/>
        <v>8</v>
      </c>
      <c r="I124" s="1" t="s">
        <v>918</v>
      </c>
      <c r="J124" s="1" t="s">
        <v>919</v>
      </c>
      <c r="K124" s="1" t="s">
        <v>936</v>
      </c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25">
      <c r="A125" s="7" t="s">
        <v>9882</v>
      </c>
      <c r="C125" s="7" t="s">
        <v>7615</v>
      </c>
      <c r="D125">
        <f t="shared" si="1"/>
        <v>8</v>
      </c>
      <c r="I125" s="1" t="s">
        <v>1004</v>
      </c>
      <c r="J125" s="1" t="s">
        <v>1005</v>
      </c>
      <c r="K125" s="1" t="s">
        <v>1006</v>
      </c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25">
      <c r="A126" s="8" t="s">
        <v>9651</v>
      </c>
      <c r="C126" s="7" t="s">
        <v>3852</v>
      </c>
      <c r="D126">
        <f t="shared" si="1"/>
        <v>8</v>
      </c>
      <c r="I126" s="1" t="s">
        <v>1074</v>
      </c>
      <c r="J126" s="1" t="s">
        <v>955</v>
      </c>
      <c r="K126" s="1" t="s">
        <v>1034</v>
      </c>
      <c r="L126" s="1" t="s">
        <v>995</v>
      </c>
      <c r="M126" s="1" t="s">
        <v>1014</v>
      </c>
      <c r="N126" s="1" t="s">
        <v>956</v>
      </c>
      <c r="O126" s="1" t="s">
        <v>941</v>
      </c>
      <c r="P126" s="1" t="s">
        <v>924</v>
      </c>
      <c r="Q126" s="1" t="s">
        <v>944</v>
      </c>
      <c r="R126" s="1" t="s">
        <v>328</v>
      </c>
      <c r="S126" s="1"/>
      <c r="T126" s="1"/>
      <c r="U126" s="1"/>
      <c r="V126" s="1"/>
      <c r="W126" s="1"/>
      <c r="X126" s="1"/>
      <c r="Y126" s="1"/>
    </row>
    <row r="127" spans="1:25" x14ac:dyDescent="0.25">
      <c r="A127" s="7" t="s">
        <v>9585</v>
      </c>
      <c r="C127" s="7" t="s">
        <v>8180</v>
      </c>
      <c r="D127">
        <f t="shared" si="1"/>
        <v>8</v>
      </c>
      <c r="I127" s="1" t="s">
        <v>941</v>
      </c>
      <c r="J127" s="1" t="s">
        <v>1143</v>
      </c>
      <c r="K127" s="1" t="s">
        <v>1085</v>
      </c>
      <c r="L127" s="1" t="s">
        <v>955</v>
      </c>
      <c r="M127" s="1" t="s">
        <v>924</v>
      </c>
      <c r="N127" s="1" t="s">
        <v>1014</v>
      </c>
      <c r="O127" s="1" t="s">
        <v>944</v>
      </c>
      <c r="P127" s="1" t="s">
        <v>956</v>
      </c>
      <c r="Q127" s="1" t="s">
        <v>918</v>
      </c>
      <c r="R127" s="1" t="s">
        <v>919</v>
      </c>
      <c r="S127" s="1" t="s">
        <v>1074</v>
      </c>
      <c r="T127" s="1" t="s">
        <v>1034</v>
      </c>
      <c r="U127" s="1" t="s">
        <v>995</v>
      </c>
      <c r="V127" s="1"/>
      <c r="W127" s="1"/>
      <c r="X127" s="1"/>
      <c r="Y127" s="1"/>
    </row>
    <row r="128" spans="1:25" x14ac:dyDescent="0.25">
      <c r="A128" s="8" t="s">
        <v>10197</v>
      </c>
      <c r="C128" s="7" t="s">
        <v>9625</v>
      </c>
      <c r="D128">
        <f t="shared" si="1"/>
        <v>8</v>
      </c>
      <c r="I128" s="1" t="s">
        <v>1034</v>
      </c>
      <c r="J128" s="1" t="s">
        <v>1014</v>
      </c>
      <c r="K128" s="1" t="s">
        <v>956</v>
      </c>
      <c r="L128" s="1" t="s">
        <v>1074</v>
      </c>
      <c r="M128" s="1" t="s">
        <v>955</v>
      </c>
      <c r="N128" s="1" t="s">
        <v>995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25">
      <c r="A129" s="8" t="s">
        <v>9752</v>
      </c>
      <c r="C129" s="7" t="s">
        <v>9300</v>
      </c>
      <c r="D129">
        <f t="shared" si="1"/>
        <v>8</v>
      </c>
      <c r="I129" s="1" t="s">
        <v>10739</v>
      </c>
      <c r="J129" s="1" t="s">
        <v>955</v>
      </c>
      <c r="K129" s="1" t="s">
        <v>1014</v>
      </c>
      <c r="L129" s="1" t="s">
        <v>10740</v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25">
      <c r="A130" s="8" t="s">
        <v>9752</v>
      </c>
      <c r="C130" s="7" t="s">
        <v>2524</v>
      </c>
      <c r="D130">
        <f t="shared" ref="D130:D193" si="2">COUNTIF(A:A,C130)</f>
        <v>8</v>
      </c>
      <c r="I130" s="1" t="s">
        <v>918</v>
      </c>
      <c r="J130" s="1" t="s">
        <v>927</v>
      </c>
      <c r="K130" s="1" t="s">
        <v>919</v>
      </c>
      <c r="L130" s="1" t="s">
        <v>965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25">
      <c r="A131" s="8" t="s">
        <v>9752</v>
      </c>
      <c r="C131" s="7" t="s">
        <v>214</v>
      </c>
      <c r="D131">
        <f t="shared" si="2"/>
        <v>8</v>
      </c>
      <c r="I131" s="1" t="s">
        <v>918</v>
      </c>
      <c r="J131" s="1" t="s">
        <v>919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25">
      <c r="A132" s="8" t="s">
        <v>10151</v>
      </c>
      <c r="C132" s="7" t="s">
        <v>3202</v>
      </c>
      <c r="D132">
        <f t="shared" si="2"/>
        <v>8</v>
      </c>
      <c r="I132" s="1" t="s">
        <v>50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25">
      <c r="A133" s="8" t="s">
        <v>10151</v>
      </c>
      <c r="C133" s="7" t="s">
        <v>9626</v>
      </c>
      <c r="D133">
        <f t="shared" si="2"/>
        <v>8</v>
      </c>
      <c r="I133" s="1" t="s">
        <v>918</v>
      </c>
      <c r="J133" s="1" t="s">
        <v>919</v>
      </c>
      <c r="K133" s="1" t="s">
        <v>929</v>
      </c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25">
      <c r="A134" s="7" t="s">
        <v>6505</v>
      </c>
      <c r="C134" s="7" t="s">
        <v>2792</v>
      </c>
      <c r="D134">
        <f t="shared" si="2"/>
        <v>8</v>
      </c>
      <c r="I134" s="1" t="s">
        <v>918</v>
      </c>
      <c r="J134" s="1" t="s">
        <v>1051</v>
      </c>
      <c r="K134" s="1" t="s">
        <v>1052</v>
      </c>
      <c r="L134" s="1" t="s">
        <v>916</v>
      </c>
      <c r="M134" s="1" t="s">
        <v>920</v>
      </c>
      <c r="N134" s="1" t="s">
        <v>921</v>
      </c>
      <c r="O134" s="1" t="s">
        <v>922</v>
      </c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25">
      <c r="A135" s="7" t="s">
        <v>6505</v>
      </c>
      <c r="C135" s="7" t="s">
        <v>6067</v>
      </c>
      <c r="D135">
        <f t="shared" si="2"/>
        <v>8</v>
      </c>
      <c r="I135" s="1" t="s">
        <v>10741</v>
      </c>
      <c r="J135" s="1" t="s">
        <v>1014</v>
      </c>
      <c r="K135" s="1" t="s">
        <v>1040</v>
      </c>
      <c r="L135" s="1" t="s">
        <v>930</v>
      </c>
      <c r="M135" s="1" t="s">
        <v>945</v>
      </c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25">
      <c r="A136" s="7" t="s">
        <v>6505</v>
      </c>
      <c r="C136" s="7" t="s">
        <v>1948</v>
      </c>
      <c r="D136">
        <f t="shared" si="2"/>
        <v>8</v>
      </c>
      <c r="I136" s="1" t="s">
        <v>10741</v>
      </c>
      <c r="J136" s="1" t="s">
        <v>1014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25">
      <c r="A137" s="7" t="s">
        <v>6505</v>
      </c>
      <c r="C137" s="7" t="s">
        <v>5550</v>
      </c>
      <c r="D137">
        <f t="shared" si="2"/>
        <v>7</v>
      </c>
      <c r="I137" s="1" t="s">
        <v>10741</v>
      </c>
      <c r="J137" s="1" t="s">
        <v>1014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25">
      <c r="A138" s="7" t="s">
        <v>6505</v>
      </c>
      <c r="C138" s="7" t="s">
        <v>6020</v>
      </c>
      <c r="D138">
        <f t="shared" si="2"/>
        <v>7</v>
      </c>
      <c r="I138" s="1" t="s">
        <v>10741</v>
      </c>
      <c r="J138" s="1" t="s">
        <v>1014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25">
      <c r="A139" s="7" t="s">
        <v>6505</v>
      </c>
      <c r="C139" s="7" t="s">
        <v>2837</v>
      </c>
      <c r="D139">
        <f t="shared" si="2"/>
        <v>7</v>
      </c>
      <c r="I139" s="1" t="s">
        <v>10734</v>
      </c>
      <c r="J139" s="1" t="s">
        <v>955</v>
      </c>
      <c r="K139" s="1" t="s">
        <v>1014</v>
      </c>
      <c r="L139" s="1" t="s">
        <v>10741</v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25">
      <c r="A140" s="7" t="s">
        <v>6505</v>
      </c>
      <c r="C140" s="7" t="s">
        <v>3764</v>
      </c>
      <c r="D140">
        <f t="shared" si="2"/>
        <v>7</v>
      </c>
      <c r="I140" s="1" t="s">
        <v>1040</v>
      </c>
      <c r="J140" s="1" t="s">
        <v>930</v>
      </c>
      <c r="K140" s="1" t="s">
        <v>10741</v>
      </c>
      <c r="L140" s="1" t="s">
        <v>1014</v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25">
      <c r="A141" s="7" t="s">
        <v>6505</v>
      </c>
      <c r="C141" s="7" t="s">
        <v>8978</v>
      </c>
      <c r="D141">
        <f t="shared" si="2"/>
        <v>7</v>
      </c>
      <c r="I141" s="1" t="s">
        <v>918</v>
      </c>
      <c r="J141" s="1" t="s">
        <v>919</v>
      </c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25">
      <c r="A142" s="7" t="s">
        <v>6505</v>
      </c>
      <c r="C142" s="8" t="s">
        <v>9230</v>
      </c>
      <c r="D142">
        <f t="shared" si="2"/>
        <v>7</v>
      </c>
      <c r="I142" s="1" t="s">
        <v>25</v>
      </c>
      <c r="J142" s="1" t="s">
        <v>1086</v>
      </c>
      <c r="K142" s="1" t="s">
        <v>919</v>
      </c>
      <c r="L142" s="1" t="s">
        <v>920</v>
      </c>
      <c r="M142" s="1" t="s">
        <v>921</v>
      </c>
      <c r="N142" s="1" t="s">
        <v>10742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25">
      <c r="A143" s="7" t="s">
        <v>6505</v>
      </c>
      <c r="C143" s="7" t="s">
        <v>208</v>
      </c>
      <c r="D143">
        <f t="shared" si="2"/>
        <v>7</v>
      </c>
      <c r="I143" s="1" t="s">
        <v>934</v>
      </c>
      <c r="J143" s="1" t="s">
        <v>918</v>
      </c>
      <c r="K143" s="1" t="s">
        <v>25</v>
      </c>
      <c r="L143" s="1" t="s">
        <v>923</v>
      </c>
      <c r="M143" s="1" t="s">
        <v>935</v>
      </c>
      <c r="N143" s="1" t="s">
        <v>920</v>
      </c>
      <c r="O143" s="1" t="s">
        <v>921</v>
      </c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25">
      <c r="A144" s="7" t="s">
        <v>6505</v>
      </c>
      <c r="C144" s="7" t="s">
        <v>6030</v>
      </c>
      <c r="D144">
        <f t="shared" si="2"/>
        <v>7</v>
      </c>
      <c r="I144" s="1" t="s">
        <v>934</v>
      </c>
      <c r="J144" s="1" t="s">
        <v>918</v>
      </c>
      <c r="K144" s="1" t="s">
        <v>25</v>
      </c>
      <c r="L144" s="1" t="s">
        <v>923</v>
      </c>
      <c r="M144" s="1" t="s">
        <v>935</v>
      </c>
      <c r="N144" s="1" t="s">
        <v>920</v>
      </c>
      <c r="O144" s="1" t="s">
        <v>921</v>
      </c>
      <c r="P144" s="1" t="s">
        <v>955</v>
      </c>
      <c r="Q144" s="1" t="s">
        <v>924</v>
      </c>
      <c r="R144" s="1" t="s">
        <v>1014</v>
      </c>
      <c r="S144" s="1" t="s">
        <v>944</v>
      </c>
      <c r="T144" s="1" t="s">
        <v>956</v>
      </c>
      <c r="U144" s="1" t="s">
        <v>750</v>
      </c>
      <c r="V144" s="1" t="s">
        <v>1129</v>
      </c>
      <c r="W144" s="1" t="s">
        <v>761</v>
      </c>
      <c r="X144" s="1"/>
      <c r="Y144" s="1"/>
    </row>
    <row r="145" spans="1:25" x14ac:dyDescent="0.25">
      <c r="A145" s="7" t="s">
        <v>6505</v>
      </c>
      <c r="C145" s="7" t="s">
        <v>5381</v>
      </c>
      <c r="D145">
        <f t="shared" si="2"/>
        <v>7</v>
      </c>
      <c r="I145" s="1" t="s">
        <v>931</v>
      </c>
      <c r="J145" s="1" t="s">
        <v>932</v>
      </c>
      <c r="K145" s="1" t="s">
        <v>923</v>
      </c>
      <c r="L145" s="1" t="s">
        <v>916</v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25">
      <c r="A146" s="7" t="s">
        <v>6505</v>
      </c>
      <c r="C146" s="7" t="s">
        <v>8300</v>
      </c>
      <c r="D146">
        <f t="shared" si="2"/>
        <v>7</v>
      </c>
      <c r="I146" s="1" t="s">
        <v>298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25">
      <c r="A147" s="7" t="s">
        <v>6505</v>
      </c>
      <c r="C147" s="7" t="s">
        <v>5006</v>
      </c>
      <c r="D147">
        <f t="shared" si="2"/>
        <v>7</v>
      </c>
      <c r="I147" s="1" t="s">
        <v>918</v>
      </c>
      <c r="J147" s="1" t="s">
        <v>25</v>
      </c>
      <c r="K147" s="1" t="s">
        <v>923</v>
      </c>
      <c r="L147" s="1" t="s">
        <v>919</v>
      </c>
      <c r="M147" s="1" t="s">
        <v>920</v>
      </c>
      <c r="N147" s="1" t="s">
        <v>921</v>
      </c>
      <c r="O147" s="1" t="s">
        <v>1090</v>
      </c>
      <c r="P147" s="1" t="s">
        <v>974</v>
      </c>
      <c r="Q147" s="1" t="s">
        <v>950</v>
      </c>
      <c r="R147" s="1"/>
      <c r="S147" s="1"/>
      <c r="T147" s="1"/>
      <c r="U147" s="1"/>
      <c r="V147" s="1"/>
      <c r="W147" s="1"/>
      <c r="X147" s="1"/>
      <c r="Y147" s="1"/>
    </row>
    <row r="148" spans="1:25" x14ac:dyDescent="0.25">
      <c r="A148" s="7" t="s">
        <v>6505</v>
      </c>
      <c r="C148" s="7" t="s">
        <v>8779</v>
      </c>
      <c r="D148">
        <f t="shared" si="2"/>
        <v>7</v>
      </c>
      <c r="I148" s="1" t="s">
        <v>84</v>
      </c>
      <c r="J148" s="1" t="s">
        <v>1168</v>
      </c>
      <c r="K148" s="1" t="s">
        <v>10743</v>
      </c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25">
      <c r="A149" s="7" t="s">
        <v>6505</v>
      </c>
      <c r="C149" s="7" t="s">
        <v>7870</v>
      </c>
      <c r="D149">
        <f t="shared" si="2"/>
        <v>7</v>
      </c>
      <c r="I149" s="1" t="s">
        <v>25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25">
      <c r="A150" s="7" t="s">
        <v>6505</v>
      </c>
      <c r="C150" s="7" t="s">
        <v>7249</v>
      </c>
      <c r="D150">
        <f t="shared" si="2"/>
        <v>7</v>
      </c>
      <c r="I150" s="1" t="s">
        <v>916</v>
      </c>
      <c r="J150" s="1" t="s">
        <v>920</v>
      </c>
      <c r="K150" s="1" t="s">
        <v>922</v>
      </c>
      <c r="L150" s="1" t="s">
        <v>1137</v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25">
      <c r="A151" s="7" t="s">
        <v>6505</v>
      </c>
      <c r="C151" s="7" t="s">
        <v>6164</v>
      </c>
      <c r="D151">
        <f t="shared" si="2"/>
        <v>7</v>
      </c>
      <c r="I151" s="1" t="s">
        <v>25</v>
      </c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25">
      <c r="A152" s="7" t="s">
        <v>6505</v>
      </c>
      <c r="C152" s="7" t="s">
        <v>9064</v>
      </c>
      <c r="D152">
        <f t="shared" si="2"/>
        <v>7</v>
      </c>
      <c r="I152" s="1" t="s">
        <v>90</v>
      </c>
      <c r="J152" s="1" t="s">
        <v>934</v>
      </c>
      <c r="K152" s="1" t="s">
        <v>918</v>
      </c>
      <c r="L152" s="1" t="s">
        <v>25</v>
      </c>
      <c r="M152" s="1" t="s">
        <v>919</v>
      </c>
      <c r="N152" s="1" t="s">
        <v>920</v>
      </c>
      <c r="O152" s="1" t="s">
        <v>924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25">
      <c r="A153" s="7" t="s">
        <v>6505</v>
      </c>
      <c r="C153" s="7" t="s">
        <v>4608</v>
      </c>
      <c r="D153">
        <f t="shared" si="2"/>
        <v>7</v>
      </c>
      <c r="I153" s="1" t="s">
        <v>10744</v>
      </c>
      <c r="J153" s="1" t="s">
        <v>10745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25">
      <c r="A154" s="7" t="s">
        <v>6505</v>
      </c>
      <c r="C154" s="8" t="s">
        <v>9081</v>
      </c>
      <c r="D154">
        <f t="shared" si="2"/>
        <v>7</v>
      </c>
      <c r="I154" s="1" t="s">
        <v>949</v>
      </c>
      <c r="J154" s="1" t="s">
        <v>920</v>
      </c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25">
      <c r="A155" s="7" t="s">
        <v>6505</v>
      </c>
      <c r="C155" s="7" t="s">
        <v>5120</v>
      </c>
      <c r="D155">
        <f t="shared" si="2"/>
        <v>7</v>
      </c>
      <c r="I155" s="1" t="s">
        <v>916</v>
      </c>
      <c r="J155" s="1" t="s">
        <v>1066</v>
      </c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25">
      <c r="A156" s="7" t="s">
        <v>6505</v>
      </c>
      <c r="C156" s="7" t="s">
        <v>6419</v>
      </c>
      <c r="D156">
        <f t="shared" si="2"/>
        <v>7</v>
      </c>
      <c r="I156" s="1" t="s">
        <v>918</v>
      </c>
      <c r="J156" s="1" t="s">
        <v>25</v>
      </c>
      <c r="K156" s="1" t="s">
        <v>923</v>
      </c>
      <c r="L156" s="1" t="s">
        <v>920</v>
      </c>
      <c r="M156" s="1" t="s">
        <v>933</v>
      </c>
      <c r="N156" s="1" t="s">
        <v>921</v>
      </c>
      <c r="O156" s="1" t="s">
        <v>934</v>
      </c>
      <c r="P156" s="1" t="s">
        <v>935</v>
      </c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25">
      <c r="A157" s="8" t="s">
        <v>6505</v>
      </c>
      <c r="C157" s="7" t="s">
        <v>2085</v>
      </c>
      <c r="D157">
        <f t="shared" si="2"/>
        <v>7</v>
      </c>
      <c r="I157" s="1" t="s">
        <v>25</v>
      </c>
      <c r="J157" s="1" t="s">
        <v>923</v>
      </c>
      <c r="K157" s="1" t="s">
        <v>916</v>
      </c>
      <c r="L157" s="1" t="s">
        <v>920</v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25">
      <c r="A158" s="8" t="s">
        <v>6505</v>
      </c>
      <c r="C158" s="7" t="s">
        <v>3213</v>
      </c>
      <c r="D158">
        <f t="shared" si="2"/>
        <v>7</v>
      </c>
      <c r="I158" s="1" t="s">
        <v>967</v>
      </c>
      <c r="J158" s="1" t="s">
        <v>968</v>
      </c>
      <c r="K158" s="1" t="s">
        <v>969</v>
      </c>
      <c r="L158" s="1" t="s">
        <v>970</v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25">
      <c r="A159" s="8" t="s">
        <v>6505</v>
      </c>
      <c r="C159" s="7" t="s">
        <v>7634</v>
      </c>
      <c r="D159">
        <f t="shared" si="2"/>
        <v>7</v>
      </c>
      <c r="I159" s="1" t="s">
        <v>918</v>
      </c>
      <c r="J159" s="1" t="s">
        <v>971</v>
      </c>
      <c r="K159" s="1" t="s">
        <v>940</v>
      </c>
      <c r="L159" s="1" t="s">
        <v>25</v>
      </c>
      <c r="M159" s="1" t="s">
        <v>947</v>
      </c>
      <c r="N159" s="1" t="s">
        <v>919</v>
      </c>
      <c r="O159" s="1" t="s">
        <v>920</v>
      </c>
      <c r="P159" s="1" t="s">
        <v>921</v>
      </c>
      <c r="Q159" s="1" t="s">
        <v>6272</v>
      </c>
      <c r="R159" s="1"/>
      <c r="S159" s="1"/>
      <c r="T159" s="1"/>
      <c r="U159" s="1"/>
      <c r="V159" s="1"/>
      <c r="W159" s="1"/>
      <c r="X159" s="1"/>
      <c r="Y159" s="1"/>
    </row>
    <row r="160" spans="1:25" x14ac:dyDescent="0.25">
      <c r="A160" s="8" t="s">
        <v>6505</v>
      </c>
      <c r="C160" s="7" t="s">
        <v>5497</v>
      </c>
      <c r="D160">
        <f t="shared" si="2"/>
        <v>7</v>
      </c>
      <c r="I160" s="1" t="s">
        <v>918</v>
      </c>
      <c r="J160" s="1" t="s">
        <v>25</v>
      </c>
      <c r="K160" s="1" t="s">
        <v>919</v>
      </c>
      <c r="L160" s="1" t="s">
        <v>920</v>
      </c>
      <c r="M160" s="1" t="s">
        <v>921</v>
      </c>
      <c r="N160" s="1" t="s">
        <v>922</v>
      </c>
      <c r="O160" s="1" t="s">
        <v>936</v>
      </c>
      <c r="P160" s="1" t="s">
        <v>929</v>
      </c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25">
      <c r="A161" s="7" t="s">
        <v>3771</v>
      </c>
      <c r="C161" s="7" t="s">
        <v>4499</v>
      </c>
      <c r="D161">
        <f t="shared" si="2"/>
        <v>7</v>
      </c>
      <c r="I161" s="1" t="s">
        <v>918</v>
      </c>
      <c r="J161" s="1" t="s">
        <v>25</v>
      </c>
      <c r="K161" s="1" t="s">
        <v>919</v>
      </c>
      <c r="L161" s="1" t="s">
        <v>920</v>
      </c>
      <c r="M161" s="1" t="s">
        <v>921</v>
      </c>
      <c r="N161" s="1" t="s">
        <v>922</v>
      </c>
      <c r="O161" s="1" t="s">
        <v>923</v>
      </c>
      <c r="P161" s="1" t="s">
        <v>916</v>
      </c>
      <c r="Q161" s="1" t="s">
        <v>924</v>
      </c>
      <c r="R161" s="1" t="s">
        <v>925</v>
      </c>
      <c r="S161" s="1" t="s">
        <v>926</v>
      </c>
      <c r="T161" s="1" t="s">
        <v>927</v>
      </c>
      <c r="U161" s="1" t="s">
        <v>928</v>
      </c>
      <c r="V161" s="1" t="s">
        <v>929</v>
      </c>
      <c r="W161" s="1" t="s">
        <v>10746</v>
      </c>
      <c r="X161" s="1" t="s">
        <v>930</v>
      </c>
      <c r="Y161" s="1" t="s">
        <v>10747</v>
      </c>
    </row>
    <row r="162" spans="1:25" x14ac:dyDescent="0.25">
      <c r="A162" s="7" t="s">
        <v>3771</v>
      </c>
      <c r="C162" s="7" t="s">
        <v>2471</v>
      </c>
      <c r="D162">
        <f t="shared" si="2"/>
        <v>7</v>
      </c>
      <c r="I162" s="1" t="s">
        <v>967</v>
      </c>
      <c r="J162" s="1" t="s">
        <v>969</v>
      </c>
      <c r="K162" s="1" t="s">
        <v>10706</v>
      </c>
      <c r="L162" s="1" t="s">
        <v>970</v>
      </c>
      <c r="M162" s="1" t="s">
        <v>948</v>
      </c>
      <c r="N162" s="1" t="s">
        <v>1069</v>
      </c>
      <c r="O162" s="1" t="s">
        <v>25</v>
      </c>
      <c r="P162" s="1" t="s">
        <v>1070</v>
      </c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25">
      <c r="A163" s="7" t="s">
        <v>3771</v>
      </c>
      <c r="C163" s="7" t="s">
        <v>3771</v>
      </c>
      <c r="D163">
        <f t="shared" si="2"/>
        <v>6</v>
      </c>
      <c r="I163" s="1" t="s">
        <v>35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25">
      <c r="A164" s="7" t="s">
        <v>3771</v>
      </c>
      <c r="C164" s="7" t="s">
        <v>8957</v>
      </c>
      <c r="D164">
        <f t="shared" si="2"/>
        <v>6</v>
      </c>
      <c r="I164" s="1" t="s">
        <v>918</v>
      </c>
      <c r="J164" s="1" t="s">
        <v>25</v>
      </c>
      <c r="K164" s="1" t="s">
        <v>923</v>
      </c>
      <c r="L164" s="1" t="s">
        <v>919</v>
      </c>
      <c r="M164" s="1" t="s">
        <v>920</v>
      </c>
      <c r="N164" s="1" t="s">
        <v>933</v>
      </c>
      <c r="O164" s="1" t="s">
        <v>921</v>
      </c>
      <c r="P164" s="1" t="s">
        <v>924</v>
      </c>
      <c r="Q164" s="1" t="s">
        <v>936</v>
      </c>
      <c r="R164" s="1" t="s">
        <v>929</v>
      </c>
      <c r="S164" s="1"/>
      <c r="T164" s="1"/>
      <c r="U164" s="1"/>
      <c r="V164" s="1"/>
      <c r="W164" s="1"/>
      <c r="X164" s="1"/>
      <c r="Y164" s="1"/>
    </row>
    <row r="165" spans="1:25" x14ac:dyDescent="0.25">
      <c r="A165" s="7" t="s">
        <v>3771</v>
      </c>
      <c r="C165" s="7" t="s">
        <v>5781</v>
      </c>
      <c r="D165">
        <f t="shared" si="2"/>
        <v>6</v>
      </c>
      <c r="I165" s="1" t="s">
        <v>916</v>
      </c>
      <c r="J165" s="1" t="s">
        <v>10748</v>
      </c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25">
      <c r="A166" s="7" t="s">
        <v>3771</v>
      </c>
      <c r="C166" s="7" t="s">
        <v>3844</v>
      </c>
      <c r="D166">
        <f t="shared" si="2"/>
        <v>6</v>
      </c>
      <c r="I166" s="1" t="s">
        <v>25</v>
      </c>
      <c r="J166" s="1" t="s">
        <v>919</v>
      </c>
      <c r="K166" s="1" t="s">
        <v>920</v>
      </c>
      <c r="L166" s="1" t="s">
        <v>946</v>
      </c>
      <c r="M166" s="1" t="s">
        <v>921</v>
      </c>
      <c r="N166" s="1" t="s">
        <v>10749</v>
      </c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25">
      <c r="A167" s="8" t="s">
        <v>9662</v>
      </c>
      <c r="C167" s="8" t="s">
        <v>9624</v>
      </c>
      <c r="D167">
        <f t="shared" si="2"/>
        <v>6</v>
      </c>
      <c r="I167" s="1" t="s">
        <v>10750</v>
      </c>
      <c r="J167" s="1" t="s">
        <v>10716</v>
      </c>
      <c r="K167" s="1" t="s">
        <v>8695</v>
      </c>
      <c r="L167" s="1" t="s">
        <v>918</v>
      </c>
      <c r="M167" s="1" t="s">
        <v>919</v>
      </c>
      <c r="N167" s="1" t="s">
        <v>929</v>
      </c>
      <c r="O167" s="1" t="s">
        <v>975</v>
      </c>
      <c r="P167" s="1" t="s">
        <v>90</v>
      </c>
      <c r="Q167" s="1" t="s">
        <v>964</v>
      </c>
      <c r="R167" s="1" t="s">
        <v>10751</v>
      </c>
      <c r="S167" s="1"/>
      <c r="T167" s="1"/>
      <c r="U167" s="1"/>
      <c r="V167" s="1"/>
      <c r="W167" s="1"/>
      <c r="X167" s="1"/>
      <c r="Y167" s="1"/>
    </row>
    <row r="168" spans="1:25" x14ac:dyDescent="0.25">
      <c r="A168" s="7" t="s">
        <v>3729</v>
      </c>
      <c r="C168" s="7" t="s">
        <v>7597</v>
      </c>
      <c r="D168">
        <f t="shared" si="2"/>
        <v>6</v>
      </c>
      <c r="I168" s="1" t="s">
        <v>934</v>
      </c>
      <c r="J168" s="1" t="s">
        <v>918</v>
      </c>
      <c r="K168" s="1" t="s">
        <v>1110</v>
      </c>
      <c r="L168" s="1" t="s">
        <v>25</v>
      </c>
      <c r="M168" s="1" t="s">
        <v>923</v>
      </c>
      <c r="N168" s="1" t="s">
        <v>920</v>
      </c>
      <c r="O168" s="1" t="s">
        <v>924</v>
      </c>
      <c r="P168" s="1" t="s">
        <v>974</v>
      </c>
      <c r="Q168" s="1" t="s">
        <v>921</v>
      </c>
      <c r="R168" s="1" t="s">
        <v>933</v>
      </c>
      <c r="S168" s="1" t="s">
        <v>954</v>
      </c>
      <c r="T168" s="1"/>
      <c r="U168" s="1"/>
      <c r="V168" s="1"/>
      <c r="W168" s="1"/>
      <c r="X168" s="1"/>
      <c r="Y168" s="1"/>
    </row>
    <row r="169" spans="1:25" x14ac:dyDescent="0.25">
      <c r="A169" s="7" t="s">
        <v>3729</v>
      </c>
      <c r="C169" s="7" t="s">
        <v>469</v>
      </c>
      <c r="D169">
        <f t="shared" si="2"/>
        <v>6</v>
      </c>
      <c r="I169" s="1" t="s">
        <v>918</v>
      </c>
      <c r="J169" s="1" t="s">
        <v>25</v>
      </c>
      <c r="K169" s="1" t="s">
        <v>923</v>
      </c>
      <c r="L169" s="1" t="s">
        <v>919</v>
      </c>
      <c r="M169" s="1" t="s">
        <v>920</v>
      </c>
      <c r="N169" s="1" t="s">
        <v>921</v>
      </c>
      <c r="O169" s="1" t="s">
        <v>936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25">
      <c r="A170" s="7" t="s">
        <v>3729</v>
      </c>
      <c r="C170" s="7" t="s">
        <v>1975</v>
      </c>
      <c r="D170">
        <f t="shared" si="2"/>
        <v>6</v>
      </c>
      <c r="I170" s="1" t="s">
        <v>925</v>
      </c>
      <c r="J170" s="1" t="s">
        <v>937</v>
      </c>
      <c r="K170" s="1" t="s">
        <v>918</v>
      </c>
      <c r="L170" s="1" t="s">
        <v>938</v>
      </c>
      <c r="M170" s="1" t="s">
        <v>939</v>
      </c>
      <c r="N170" s="1" t="s">
        <v>928</v>
      </c>
      <c r="O170" s="1" t="s">
        <v>919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25">
      <c r="A171" s="7" t="s">
        <v>3729</v>
      </c>
      <c r="C171" s="7" t="s">
        <v>5471</v>
      </c>
      <c r="D171">
        <f t="shared" si="2"/>
        <v>6</v>
      </c>
      <c r="I171" s="1" t="s">
        <v>940</v>
      </c>
      <c r="J171" s="1" t="s">
        <v>916</v>
      </c>
      <c r="K171" s="1" t="s">
        <v>921</v>
      </c>
      <c r="L171" s="1" t="s">
        <v>929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25">
      <c r="A172" s="7" t="s">
        <v>3729</v>
      </c>
      <c r="C172" s="7" t="s">
        <v>3104</v>
      </c>
      <c r="D172">
        <f t="shared" si="2"/>
        <v>6</v>
      </c>
      <c r="I172" s="1" t="s">
        <v>918</v>
      </c>
      <c r="J172" s="1" t="s">
        <v>25</v>
      </c>
      <c r="K172" s="1" t="s">
        <v>923</v>
      </c>
      <c r="L172" s="1" t="s">
        <v>919</v>
      </c>
      <c r="M172" s="1" t="s">
        <v>920</v>
      </c>
      <c r="N172" s="1" t="s">
        <v>933</v>
      </c>
      <c r="O172" s="1" t="s">
        <v>328</v>
      </c>
      <c r="P172" s="1" t="s">
        <v>921</v>
      </c>
      <c r="Q172" s="1" t="s">
        <v>987</v>
      </c>
      <c r="R172" s="1"/>
      <c r="S172" s="1"/>
      <c r="T172" s="1"/>
      <c r="U172" s="1"/>
      <c r="V172" s="1"/>
      <c r="W172" s="1"/>
      <c r="X172" s="1"/>
      <c r="Y172" s="1"/>
    </row>
    <row r="173" spans="1:25" x14ac:dyDescent="0.25">
      <c r="A173" s="8" t="s">
        <v>3729</v>
      </c>
      <c r="C173" s="7" t="s">
        <v>8845</v>
      </c>
      <c r="D173">
        <f t="shared" si="2"/>
        <v>6</v>
      </c>
      <c r="I173" s="1" t="s">
        <v>941</v>
      </c>
      <c r="J173" s="1" t="s">
        <v>918</v>
      </c>
      <c r="K173" s="1" t="s">
        <v>942</v>
      </c>
      <c r="L173" s="1" t="s">
        <v>943</v>
      </c>
      <c r="M173" s="1" t="s">
        <v>930</v>
      </c>
      <c r="N173" s="1" t="s">
        <v>944</v>
      </c>
      <c r="O173" s="1" t="s">
        <v>945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25">
      <c r="A174" s="8" t="s">
        <v>3729</v>
      </c>
      <c r="C174" s="7" t="s">
        <v>9620</v>
      </c>
      <c r="D174">
        <f t="shared" si="2"/>
        <v>6</v>
      </c>
      <c r="I174" s="1" t="s">
        <v>25</v>
      </c>
      <c r="J174" s="1" t="s">
        <v>1136</v>
      </c>
      <c r="K174" s="1" t="s">
        <v>10752</v>
      </c>
      <c r="L174" s="1" t="s">
        <v>920</v>
      </c>
      <c r="M174" s="1" t="s">
        <v>328</v>
      </c>
      <c r="N174" s="1" t="s">
        <v>840</v>
      </c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25">
      <c r="A175" s="8" t="s">
        <v>3729</v>
      </c>
      <c r="C175" s="7" t="s">
        <v>5238</v>
      </c>
      <c r="D175">
        <f t="shared" si="2"/>
        <v>6</v>
      </c>
      <c r="I175" s="1" t="s">
        <v>50</v>
      </c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25">
      <c r="A176" s="7" t="s">
        <v>8957</v>
      </c>
      <c r="C176" s="7" t="s">
        <v>173</v>
      </c>
      <c r="D176">
        <f t="shared" si="2"/>
        <v>6</v>
      </c>
      <c r="I176" s="1" t="s">
        <v>918</v>
      </c>
      <c r="J176" s="1" t="s">
        <v>25</v>
      </c>
      <c r="K176" s="1" t="s">
        <v>919</v>
      </c>
      <c r="L176" s="1" t="s">
        <v>920</v>
      </c>
      <c r="M176" s="1" t="s">
        <v>946</v>
      </c>
      <c r="N176" s="1" t="s">
        <v>921</v>
      </c>
      <c r="O176" s="1" t="s">
        <v>922</v>
      </c>
      <c r="P176" s="1" t="s">
        <v>923</v>
      </c>
      <c r="Q176" s="1" t="s">
        <v>947</v>
      </c>
      <c r="R176" s="1" t="s">
        <v>933</v>
      </c>
      <c r="S176" s="1"/>
      <c r="T176" s="1"/>
      <c r="U176" s="1"/>
      <c r="V176" s="1"/>
      <c r="W176" s="1"/>
      <c r="X176" s="1"/>
      <c r="Y176" s="1"/>
    </row>
    <row r="177" spans="1:25" x14ac:dyDescent="0.25">
      <c r="A177" s="7" t="s">
        <v>8957</v>
      </c>
      <c r="C177" s="7" t="s">
        <v>2991</v>
      </c>
      <c r="D177">
        <f t="shared" si="2"/>
        <v>6</v>
      </c>
      <c r="I177" s="1" t="s">
        <v>25</v>
      </c>
      <c r="J177" s="1" t="s">
        <v>920</v>
      </c>
      <c r="K177" s="1" t="s">
        <v>921</v>
      </c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25">
      <c r="A178" s="7" t="s">
        <v>8957</v>
      </c>
      <c r="C178" s="7" t="s">
        <v>7394</v>
      </c>
      <c r="D178">
        <f t="shared" si="2"/>
        <v>6</v>
      </c>
      <c r="I178" s="1" t="s">
        <v>923</v>
      </c>
      <c r="J178" s="1" t="s">
        <v>961</v>
      </c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25">
      <c r="A179" s="8" t="s">
        <v>8957</v>
      </c>
      <c r="C179" s="7" t="s">
        <v>9472</v>
      </c>
      <c r="D179">
        <f t="shared" si="2"/>
        <v>6</v>
      </c>
      <c r="I179" s="1" t="s">
        <v>934</v>
      </c>
      <c r="J179" s="1" t="s">
        <v>948</v>
      </c>
      <c r="K179" s="1" t="s">
        <v>918</v>
      </c>
      <c r="L179" s="1" t="s">
        <v>949</v>
      </c>
      <c r="M179" s="1" t="s">
        <v>25</v>
      </c>
      <c r="N179" s="1" t="s">
        <v>916</v>
      </c>
      <c r="O179" s="1" t="s">
        <v>919</v>
      </c>
      <c r="P179" s="1" t="s">
        <v>920</v>
      </c>
      <c r="Q179" s="1" t="s">
        <v>328</v>
      </c>
      <c r="R179" s="1" t="s">
        <v>950</v>
      </c>
      <c r="S179" s="1" t="s">
        <v>921</v>
      </c>
      <c r="T179" s="1"/>
      <c r="U179" s="1"/>
      <c r="V179" s="1"/>
      <c r="W179" s="1"/>
      <c r="X179" s="1"/>
      <c r="Y179" s="1"/>
    </row>
    <row r="180" spans="1:25" x14ac:dyDescent="0.25">
      <c r="A180" s="8" t="s">
        <v>8957</v>
      </c>
      <c r="C180" s="7" t="s">
        <v>6401</v>
      </c>
      <c r="D180">
        <f t="shared" si="2"/>
        <v>6</v>
      </c>
      <c r="I180" s="1" t="s">
        <v>25</v>
      </c>
      <c r="J180" s="1" t="s">
        <v>919</v>
      </c>
      <c r="K180" s="1" t="s">
        <v>920</v>
      </c>
      <c r="L180" s="1" t="s">
        <v>921</v>
      </c>
      <c r="M180" s="1" t="s">
        <v>918</v>
      </c>
      <c r="N180" s="1" t="s">
        <v>936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25">
      <c r="A181" s="8" t="s">
        <v>8957</v>
      </c>
      <c r="C181" s="7" t="s">
        <v>484</v>
      </c>
      <c r="D181">
        <f t="shared" si="2"/>
        <v>6</v>
      </c>
      <c r="I181" s="1" t="s">
        <v>25</v>
      </c>
      <c r="J181" s="1" t="s">
        <v>923</v>
      </c>
      <c r="K181" s="1" t="s">
        <v>916</v>
      </c>
      <c r="L181" s="1" t="s">
        <v>1078</v>
      </c>
      <c r="M181" s="1" t="s">
        <v>980</v>
      </c>
      <c r="N181" s="1" t="s">
        <v>919</v>
      </c>
      <c r="O181" s="1" t="s">
        <v>920</v>
      </c>
      <c r="P181" s="1" t="s">
        <v>921</v>
      </c>
      <c r="Q181" s="1" t="s">
        <v>918</v>
      </c>
      <c r="R181" s="1" t="s">
        <v>930</v>
      </c>
      <c r="S181" s="1" t="s">
        <v>945</v>
      </c>
      <c r="T181" s="1"/>
      <c r="U181" s="1"/>
      <c r="V181" s="1"/>
      <c r="W181" s="1"/>
      <c r="X181" s="1"/>
      <c r="Y181" s="1"/>
    </row>
    <row r="182" spans="1:25" x14ac:dyDescent="0.25">
      <c r="A182" s="8" t="s">
        <v>10549</v>
      </c>
      <c r="C182" s="7" t="s">
        <v>5175</v>
      </c>
      <c r="D182">
        <f t="shared" si="2"/>
        <v>6</v>
      </c>
      <c r="I182" s="1" t="s">
        <v>50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25">
      <c r="A183" s="8" t="s">
        <v>9972</v>
      </c>
      <c r="C183" s="8" t="s">
        <v>8931</v>
      </c>
      <c r="D183">
        <f t="shared" si="2"/>
        <v>6</v>
      </c>
      <c r="I183" s="1" t="s">
        <v>918</v>
      </c>
      <c r="J183" s="1" t="s">
        <v>25</v>
      </c>
      <c r="K183" s="1" t="s">
        <v>916</v>
      </c>
      <c r="L183" s="1" t="s">
        <v>919</v>
      </c>
      <c r="M183" s="1" t="s">
        <v>920</v>
      </c>
      <c r="N183" s="1" t="s">
        <v>921</v>
      </c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25">
      <c r="A184" s="8" t="s">
        <v>9972</v>
      </c>
      <c r="C184" s="7" t="s">
        <v>8871</v>
      </c>
      <c r="D184">
        <f t="shared" si="2"/>
        <v>6</v>
      </c>
      <c r="I184" s="1" t="s">
        <v>918</v>
      </c>
      <c r="J184" s="1" t="s">
        <v>25</v>
      </c>
      <c r="K184" s="1" t="s">
        <v>919</v>
      </c>
      <c r="L184" s="1" t="s">
        <v>920</v>
      </c>
      <c r="M184" s="1" t="s">
        <v>921</v>
      </c>
      <c r="N184" s="1" t="s">
        <v>922</v>
      </c>
      <c r="O184" s="1" t="s">
        <v>934</v>
      </c>
      <c r="P184" s="1" t="s">
        <v>924</v>
      </c>
      <c r="Q184" s="1" t="s">
        <v>1083</v>
      </c>
      <c r="R184" s="1" t="s">
        <v>930</v>
      </c>
      <c r="S184" s="1" t="s">
        <v>1014</v>
      </c>
      <c r="T184" s="1" t="s">
        <v>956</v>
      </c>
      <c r="U184" s="1"/>
      <c r="V184" s="1"/>
      <c r="W184" s="1"/>
      <c r="X184" s="1"/>
      <c r="Y184" s="1"/>
    </row>
    <row r="185" spans="1:25" x14ac:dyDescent="0.25">
      <c r="A185" s="8" t="s">
        <v>10220</v>
      </c>
      <c r="C185" s="7" t="s">
        <v>10291</v>
      </c>
      <c r="D185">
        <f t="shared" si="2"/>
        <v>6</v>
      </c>
      <c r="I185" s="1" t="s">
        <v>90</v>
      </c>
      <c r="J185" s="1" t="s">
        <v>952</v>
      </c>
      <c r="K185" s="1" t="s">
        <v>10753</v>
      </c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25">
      <c r="A186" s="7" t="s">
        <v>9768</v>
      </c>
      <c r="C186" s="7" t="s">
        <v>9943</v>
      </c>
      <c r="D186">
        <f t="shared" si="2"/>
        <v>6</v>
      </c>
      <c r="I186" s="1" t="s">
        <v>979</v>
      </c>
      <c r="J186" s="1" t="s">
        <v>980</v>
      </c>
      <c r="K186" s="1" t="s">
        <v>1106</v>
      </c>
      <c r="L186" s="1" t="s">
        <v>10754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25">
      <c r="A187" s="7" t="s">
        <v>9937</v>
      </c>
      <c r="C187" s="7" t="s">
        <v>6839</v>
      </c>
      <c r="D187">
        <f t="shared" si="2"/>
        <v>6</v>
      </c>
      <c r="I187" s="1" t="s">
        <v>951</v>
      </c>
      <c r="J187" s="1" t="s">
        <v>25</v>
      </c>
      <c r="K187" s="1" t="s">
        <v>919</v>
      </c>
      <c r="L187" s="1" t="s">
        <v>920</v>
      </c>
      <c r="M187" s="1" t="s">
        <v>921</v>
      </c>
      <c r="N187" s="1" t="s">
        <v>952</v>
      </c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25">
      <c r="A188" s="7" t="s">
        <v>10351</v>
      </c>
      <c r="C188" s="7" t="s">
        <v>2238</v>
      </c>
      <c r="D188">
        <f t="shared" si="2"/>
        <v>6</v>
      </c>
      <c r="I188" s="1" t="s">
        <v>918</v>
      </c>
      <c r="J188" s="1" t="s">
        <v>25</v>
      </c>
      <c r="K188" s="1" t="s">
        <v>923</v>
      </c>
      <c r="L188" s="1" t="s">
        <v>916</v>
      </c>
      <c r="M188" s="1" t="s">
        <v>919</v>
      </c>
      <c r="N188" s="1" t="s">
        <v>920</v>
      </c>
      <c r="O188" s="1" t="s">
        <v>924</v>
      </c>
      <c r="P188" s="1" t="s">
        <v>921</v>
      </c>
      <c r="Q188" s="1" t="s">
        <v>922</v>
      </c>
      <c r="R188" s="1" t="s">
        <v>1097</v>
      </c>
      <c r="S188" s="1"/>
      <c r="T188" s="1"/>
      <c r="U188" s="1"/>
      <c r="V188" s="1"/>
      <c r="W188" s="1"/>
      <c r="X188" s="1"/>
      <c r="Y188" s="1"/>
    </row>
    <row r="189" spans="1:25" x14ac:dyDescent="0.25">
      <c r="A189" s="8" t="s">
        <v>9096</v>
      </c>
      <c r="C189" s="7" t="s">
        <v>8914</v>
      </c>
      <c r="D189">
        <f t="shared" si="2"/>
        <v>6</v>
      </c>
      <c r="I189" s="1" t="s">
        <v>964</v>
      </c>
      <c r="J189" s="1" t="s">
        <v>10751</v>
      </c>
      <c r="K189" s="1" t="s">
        <v>10755</v>
      </c>
      <c r="L189" s="1" t="s">
        <v>10724</v>
      </c>
      <c r="M189" s="1" t="s">
        <v>25</v>
      </c>
      <c r="N189" s="1" t="s">
        <v>4258</v>
      </c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25">
      <c r="A190" s="8" t="s">
        <v>9550</v>
      </c>
      <c r="C190" s="7" t="s">
        <v>9705</v>
      </c>
      <c r="D190">
        <f t="shared" si="2"/>
        <v>6</v>
      </c>
      <c r="I190" s="1" t="s">
        <v>925</v>
      </c>
      <c r="J190" s="1" t="s">
        <v>926</v>
      </c>
      <c r="K190" s="1" t="s">
        <v>918</v>
      </c>
      <c r="L190" s="1" t="s">
        <v>927</v>
      </c>
      <c r="M190" s="1" t="s">
        <v>928</v>
      </c>
      <c r="N190" s="1" t="s">
        <v>919</v>
      </c>
      <c r="O190" s="1" t="s">
        <v>929</v>
      </c>
      <c r="P190" s="1" t="s">
        <v>953</v>
      </c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25">
      <c r="A191" s="8" t="s">
        <v>9170</v>
      </c>
      <c r="C191" s="7" t="s">
        <v>8891</v>
      </c>
      <c r="D191">
        <f t="shared" si="2"/>
        <v>6</v>
      </c>
      <c r="I191" s="1" t="s">
        <v>2214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25">
      <c r="A192" s="8" t="s">
        <v>9170</v>
      </c>
      <c r="C192" s="7" t="s">
        <v>2088</v>
      </c>
      <c r="D192">
        <f t="shared" si="2"/>
        <v>6</v>
      </c>
      <c r="I192" s="1" t="s">
        <v>2214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25">
      <c r="A193" s="8" t="s">
        <v>10312</v>
      </c>
      <c r="C193" s="7" t="s">
        <v>6074</v>
      </c>
      <c r="D193">
        <f t="shared" si="2"/>
        <v>6</v>
      </c>
      <c r="I193" s="1" t="s">
        <v>961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25">
      <c r="A194" s="7" t="s">
        <v>10673</v>
      </c>
      <c r="C194" s="7" t="s">
        <v>3637</v>
      </c>
      <c r="D194">
        <f t="shared" ref="D194:D257" si="3">COUNTIF(A:A,C194)</f>
        <v>6</v>
      </c>
      <c r="I194" s="1" t="s">
        <v>961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25">
      <c r="A195" s="7" t="s">
        <v>9380</v>
      </c>
      <c r="C195" s="7" t="s">
        <v>314</v>
      </c>
      <c r="D195">
        <f t="shared" si="3"/>
        <v>6</v>
      </c>
      <c r="I195" s="1" t="s">
        <v>25</v>
      </c>
      <c r="J195" s="1" t="s">
        <v>998</v>
      </c>
      <c r="K195" s="1" t="s">
        <v>1086</v>
      </c>
      <c r="L195" s="1" t="s">
        <v>920</v>
      </c>
      <c r="M195" s="1" t="s">
        <v>933</v>
      </c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25">
      <c r="A196" s="8" t="s">
        <v>9837</v>
      </c>
      <c r="C196" s="7" t="s">
        <v>5032</v>
      </c>
      <c r="D196">
        <f t="shared" si="3"/>
        <v>6</v>
      </c>
      <c r="I196" s="1" t="s">
        <v>1167</v>
      </c>
      <c r="J196" s="1" t="s">
        <v>998</v>
      </c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25">
      <c r="A197" s="8" t="s">
        <v>9366</v>
      </c>
      <c r="C197" s="7" t="s">
        <v>4998</v>
      </c>
      <c r="D197">
        <f t="shared" si="3"/>
        <v>6</v>
      </c>
      <c r="I197" s="1" t="s">
        <v>2927</v>
      </c>
      <c r="J197" s="1" t="s">
        <v>1069</v>
      </c>
      <c r="K197" s="1" t="s">
        <v>25</v>
      </c>
      <c r="L197" s="1" t="s">
        <v>923</v>
      </c>
      <c r="M197" s="1" t="s">
        <v>998</v>
      </c>
      <c r="N197" s="1" t="s">
        <v>1053</v>
      </c>
      <c r="O197" s="1" t="s">
        <v>1086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25">
      <c r="A198" s="8" t="s">
        <v>8906</v>
      </c>
      <c r="C198" s="8" t="s">
        <v>9387</v>
      </c>
      <c r="D198">
        <f t="shared" si="3"/>
        <v>6</v>
      </c>
      <c r="I198" s="1" t="s">
        <v>50</v>
      </c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25">
      <c r="A199" s="8" t="s">
        <v>9568</v>
      </c>
      <c r="C199" s="7" t="s">
        <v>3956</v>
      </c>
      <c r="D199">
        <f t="shared" si="3"/>
        <v>6</v>
      </c>
      <c r="I199" s="1" t="s">
        <v>1023</v>
      </c>
      <c r="J199" s="1" t="s">
        <v>10756</v>
      </c>
      <c r="K199" s="1" t="s">
        <v>10757</v>
      </c>
      <c r="L199" s="1" t="s">
        <v>10758</v>
      </c>
      <c r="M199" s="1" t="s">
        <v>983</v>
      </c>
      <c r="N199" s="1" t="s">
        <v>10759</v>
      </c>
      <c r="O199" s="1" t="s">
        <v>984</v>
      </c>
      <c r="P199" s="1" t="s">
        <v>10760</v>
      </c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25">
      <c r="A200" s="7" t="s">
        <v>5508</v>
      </c>
      <c r="C200" s="7" t="s">
        <v>4191</v>
      </c>
      <c r="D200">
        <f t="shared" si="3"/>
        <v>6</v>
      </c>
      <c r="I200" s="1" t="s">
        <v>50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25">
      <c r="A201" s="8" t="s">
        <v>10592</v>
      </c>
      <c r="C201" s="7" t="s">
        <v>9501</v>
      </c>
      <c r="D201">
        <f t="shared" si="3"/>
        <v>6</v>
      </c>
      <c r="I201" s="1" t="s">
        <v>1023</v>
      </c>
      <c r="J201" s="1" t="s">
        <v>10756</v>
      </c>
      <c r="K201" s="1" t="s">
        <v>10757</v>
      </c>
      <c r="L201" s="1" t="s">
        <v>10758</v>
      </c>
      <c r="M201" s="1" t="s">
        <v>983</v>
      </c>
      <c r="N201" s="1" t="s">
        <v>10759</v>
      </c>
      <c r="O201" s="1" t="s">
        <v>984</v>
      </c>
      <c r="P201" s="1" t="s">
        <v>10760</v>
      </c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25">
      <c r="A202" s="8" t="s">
        <v>10283</v>
      </c>
      <c r="C202" s="7" t="s">
        <v>7215</v>
      </c>
      <c r="D202">
        <f t="shared" si="3"/>
        <v>6</v>
      </c>
      <c r="I202" s="1" t="s">
        <v>975</v>
      </c>
      <c r="J202" s="1" t="s">
        <v>923</v>
      </c>
      <c r="K202" s="1" t="s">
        <v>1058</v>
      </c>
      <c r="L202" s="1" t="s">
        <v>976</v>
      </c>
      <c r="M202" s="1" t="s">
        <v>1060</v>
      </c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x14ac:dyDescent="0.25">
      <c r="A203" s="7" t="s">
        <v>10238</v>
      </c>
      <c r="C203" s="7" t="s">
        <v>8905</v>
      </c>
      <c r="D203">
        <f t="shared" si="3"/>
        <v>6</v>
      </c>
      <c r="I203" s="1" t="s">
        <v>975</v>
      </c>
      <c r="J203" s="1" t="s">
        <v>923</v>
      </c>
      <c r="K203" s="1" t="s">
        <v>1058</v>
      </c>
      <c r="L203" s="1" t="s">
        <v>976</v>
      </c>
      <c r="M203" s="1" t="s">
        <v>1060</v>
      </c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x14ac:dyDescent="0.25">
      <c r="A204" s="8" t="s">
        <v>9391</v>
      </c>
      <c r="C204" s="8" t="s">
        <v>10245</v>
      </c>
      <c r="D204">
        <f t="shared" si="3"/>
        <v>6</v>
      </c>
      <c r="I204" s="1" t="s">
        <v>975</v>
      </c>
      <c r="J204" s="1" t="s">
        <v>923</v>
      </c>
      <c r="K204" s="1" t="s">
        <v>1058</v>
      </c>
      <c r="L204" s="1" t="s">
        <v>976</v>
      </c>
      <c r="M204" s="1" t="s">
        <v>1060</v>
      </c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x14ac:dyDescent="0.25">
      <c r="A205" s="8" t="s">
        <v>8921</v>
      </c>
      <c r="C205" s="7" t="s">
        <v>1921</v>
      </c>
      <c r="D205">
        <f t="shared" si="3"/>
        <v>6</v>
      </c>
      <c r="I205" s="1" t="s">
        <v>975</v>
      </c>
      <c r="J205" s="1" t="s">
        <v>923</v>
      </c>
      <c r="K205" s="1" t="s">
        <v>1058</v>
      </c>
      <c r="L205" s="1" t="s">
        <v>976</v>
      </c>
      <c r="M205" s="1" t="s">
        <v>1060</v>
      </c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x14ac:dyDescent="0.25">
      <c r="A206" s="8" t="s">
        <v>8921</v>
      </c>
      <c r="C206" s="7" t="s">
        <v>8848</v>
      </c>
      <c r="D206">
        <f t="shared" si="3"/>
        <v>6</v>
      </c>
      <c r="I206" s="1" t="s">
        <v>975</v>
      </c>
      <c r="J206" s="1" t="s">
        <v>923</v>
      </c>
      <c r="K206" s="1" t="s">
        <v>1058</v>
      </c>
      <c r="L206" s="1" t="s">
        <v>976</v>
      </c>
      <c r="M206" s="1" t="s">
        <v>1060</v>
      </c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x14ac:dyDescent="0.25">
      <c r="A207" s="8" t="s">
        <v>8921</v>
      </c>
      <c r="C207" s="7" t="s">
        <v>9168</v>
      </c>
      <c r="D207">
        <f t="shared" si="3"/>
        <v>6</v>
      </c>
      <c r="I207" s="1" t="s">
        <v>975</v>
      </c>
      <c r="J207" s="1" t="s">
        <v>923</v>
      </c>
      <c r="K207" s="1" t="s">
        <v>1058</v>
      </c>
      <c r="L207" s="1" t="s">
        <v>976</v>
      </c>
      <c r="M207" s="1" t="s">
        <v>1060</v>
      </c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x14ac:dyDescent="0.25">
      <c r="A208" s="7" t="s">
        <v>8834</v>
      </c>
      <c r="C208" s="7" t="s">
        <v>5600</v>
      </c>
      <c r="D208">
        <f t="shared" si="3"/>
        <v>6</v>
      </c>
      <c r="I208" s="1" t="s">
        <v>1013</v>
      </c>
      <c r="J208" s="1" t="s">
        <v>918</v>
      </c>
      <c r="K208" s="1" t="s">
        <v>927</v>
      </c>
      <c r="L208" s="1" t="s">
        <v>919</v>
      </c>
      <c r="M208" s="1" t="s">
        <v>936</v>
      </c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x14ac:dyDescent="0.25">
      <c r="A209" s="7" t="s">
        <v>8834</v>
      </c>
      <c r="C209" s="7" t="s">
        <v>2825</v>
      </c>
      <c r="D209">
        <f t="shared" si="3"/>
        <v>6</v>
      </c>
      <c r="I209" s="1" t="s">
        <v>939</v>
      </c>
      <c r="J209" s="1" t="s">
        <v>983</v>
      </c>
      <c r="K209" s="1" t="s">
        <v>919</v>
      </c>
      <c r="L209" s="1" t="s">
        <v>1020</v>
      </c>
      <c r="M209" s="1" t="s">
        <v>1013</v>
      </c>
      <c r="N209" s="1" t="s">
        <v>918</v>
      </c>
      <c r="O209" s="1" t="s">
        <v>927</v>
      </c>
      <c r="P209" s="1" t="s">
        <v>936</v>
      </c>
      <c r="Q209" s="1"/>
      <c r="R209" s="1"/>
      <c r="S209" s="1"/>
      <c r="T209" s="1"/>
      <c r="U209" s="1"/>
      <c r="V209" s="1"/>
      <c r="W209" s="1"/>
      <c r="X209" s="1"/>
      <c r="Y209" s="1"/>
    </row>
    <row r="210" spans="1:25" x14ac:dyDescent="0.25">
      <c r="A210" s="7" t="s">
        <v>8834</v>
      </c>
      <c r="C210" s="7" t="s">
        <v>3232</v>
      </c>
      <c r="D210">
        <f t="shared" si="3"/>
        <v>6</v>
      </c>
      <c r="I210" s="1" t="s">
        <v>1013</v>
      </c>
      <c r="J210" s="1" t="s">
        <v>918</v>
      </c>
      <c r="K210" s="1" t="s">
        <v>927</v>
      </c>
      <c r="L210" s="1" t="s">
        <v>919</v>
      </c>
      <c r="M210" s="1" t="s">
        <v>936</v>
      </c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x14ac:dyDescent="0.25">
      <c r="A211" s="7" t="s">
        <v>8834</v>
      </c>
      <c r="C211" s="7" t="s">
        <v>8694</v>
      </c>
      <c r="D211">
        <f t="shared" si="3"/>
        <v>6</v>
      </c>
      <c r="I211" s="1" t="s">
        <v>963</v>
      </c>
      <c r="J211" s="1" t="s">
        <v>951</v>
      </c>
      <c r="K211" s="1" t="s">
        <v>934</v>
      </c>
      <c r="L211" s="1" t="s">
        <v>918</v>
      </c>
      <c r="M211" s="1" t="s">
        <v>25</v>
      </c>
      <c r="N211" s="1" t="s">
        <v>923</v>
      </c>
      <c r="O211" s="1" t="s">
        <v>920</v>
      </c>
      <c r="P211" s="1" t="s">
        <v>954</v>
      </c>
      <c r="Q211" s="1" t="s">
        <v>921</v>
      </c>
      <c r="R211" s="1" t="s">
        <v>10761</v>
      </c>
      <c r="S211" s="1" t="s">
        <v>916</v>
      </c>
      <c r="T211" s="1" t="s">
        <v>974</v>
      </c>
      <c r="U211" s="1"/>
      <c r="V211" s="1"/>
      <c r="W211" s="1"/>
      <c r="X211" s="1"/>
      <c r="Y211" s="1"/>
    </row>
    <row r="212" spans="1:25" x14ac:dyDescent="0.25">
      <c r="A212" s="7" t="s">
        <v>8834</v>
      </c>
      <c r="C212" s="8" t="s">
        <v>9319</v>
      </c>
      <c r="D212">
        <f t="shared" si="3"/>
        <v>6</v>
      </c>
      <c r="I212" s="1" t="s">
        <v>918</v>
      </c>
      <c r="J212" s="1" t="s">
        <v>919</v>
      </c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x14ac:dyDescent="0.25">
      <c r="A213" s="7" t="s">
        <v>8834</v>
      </c>
      <c r="C213" s="7" t="s">
        <v>8643</v>
      </c>
      <c r="D213">
        <f t="shared" si="3"/>
        <v>6</v>
      </c>
      <c r="I213" s="1" t="s">
        <v>918</v>
      </c>
      <c r="J213" s="1" t="s">
        <v>919</v>
      </c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x14ac:dyDescent="0.25">
      <c r="A214" s="8" t="s">
        <v>8834</v>
      </c>
      <c r="C214" s="7" t="s">
        <v>7281</v>
      </c>
      <c r="D214">
        <f t="shared" si="3"/>
        <v>6</v>
      </c>
      <c r="I214" s="1" t="s">
        <v>918</v>
      </c>
      <c r="J214" s="1" t="s">
        <v>919</v>
      </c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x14ac:dyDescent="0.25">
      <c r="A215" s="8" t="s">
        <v>8834</v>
      </c>
      <c r="C215" s="7" t="s">
        <v>202</v>
      </c>
      <c r="D215">
        <f t="shared" si="3"/>
        <v>6</v>
      </c>
      <c r="I215" s="1" t="s">
        <v>10762</v>
      </c>
      <c r="J215" s="1" t="s">
        <v>955</v>
      </c>
      <c r="K215" s="1" t="s">
        <v>1014</v>
      </c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x14ac:dyDescent="0.25">
      <c r="A216" s="8" t="s">
        <v>9959</v>
      </c>
      <c r="C216" s="7" t="s">
        <v>1951</v>
      </c>
      <c r="D216">
        <f t="shared" si="3"/>
        <v>6</v>
      </c>
      <c r="I216" s="1" t="s">
        <v>10762</v>
      </c>
      <c r="J216" s="1" t="s">
        <v>955</v>
      </c>
      <c r="K216" s="1" t="s">
        <v>1014</v>
      </c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x14ac:dyDescent="0.25">
      <c r="A217" s="7" t="s">
        <v>5061</v>
      </c>
      <c r="C217" s="7" t="s">
        <v>5209</v>
      </c>
      <c r="D217">
        <f t="shared" si="3"/>
        <v>6</v>
      </c>
      <c r="I217" s="1" t="s">
        <v>1111</v>
      </c>
      <c r="J217" s="1" t="s">
        <v>1112</v>
      </c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x14ac:dyDescent="0.25">
      <c r="A218" s="8" t="s">
        <v>9944</v>
      </c>
      <c r="C218" s="7" t="s">
        <v>8951</v>
      </c>
      <c r="D218">
        <f t="shared" si="3"/>
        <v>6</v>
      </c>
      <c r="I218" s="1" t="s">
        <v>1111</v>
      </c>
      <c r="J218" s="1" t="s">
        <v>1112</v>
      </c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x14ac:dyDescent="0.25">
      <c r="A219" s="8" t="s">
        <v>9945</v>
      </c>
      <c r="C219" s="7" t="s">
        <v>8831</v>
      </c>
      <c r="D219">
        <f t="shared" si="3"/>
        <v>6</v>
      </c>
      <c r="I219" s="1" t="s">
        <v>1111</v>
      </c>
      <c r="J219" s="1" t="s">
        <v>1112</v>
      </c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x14ac:dyDescent="0.25">
      <c r="A220" s="8" t="s">
        <v>9945</v>
      </c>
      <c r="C220" s="7" t="s">
        <v>9261</v>
      </c>
      <c r="D220">
        <f t="shared" si="3"/>
        <v>6</v>
      </c>
      <c r="I220" s="1" t="s">
        <v>1111</v>
      </c>
      <c r="J220" s="1" t="s">
        <v>1112</v>
      </c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x14ac:dyDescent="0.25">
      <c r="A221" s="8" t="s">
        <v>9945</v>
      </c>
      <c r="C221" s="7" t="s">
        <v>9185</v>
      </c>
      <c r="D221">
        <f t="shared" si="3"/>
        <v>6</v>
      </c>
      <c r="I221" s="1" t="s">
        <v>1111</v>
      </c>
      <c r="J221" s="1" t="s">
        <v>1112</v>
      </c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x14ac:dyDescent="0.25">
      <c r="A222" s="8" t="s">
        <v>10239</v>
      </c>
      <c r="C222" s="7" t="s">
        <v>2475</v>
      </c>
      <c r="D222">
        <f t="shared" si="3"/>
        <v>6</v>
      </c>
      <c r="I222" s="1" t="s">
        <v>10763</v>
      </c>
      <c r="J222" s="1" t="s">
        <v>10764</v>
      </c>
      <c r="K222" s="1" t="s">
        <v>10765</v>
      </c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x14ac:dyDescent="0.25">
      <c r="A223" s="8" t="s">
        <v>9408</v>
      </c>
      <c r="C223" s="7" t="s">
        <v>5252</v>
      </c>
      <c r="D223">
        <f t="shared" si="3"/>
        <v>5</v>
      </c>
      <c r="I223" s="1" t="s">
        <v>10763</v>
      </c>
      <c r="J223" s="1" t="s">
        <v>10764</v>
      </c>
      <c r="K223" s="1" t="s">
        <v>10765</v>
      </c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x14ac:dyDescent="0.25">
      <c r="A224" s="8" t="s">
        <v>10567</v>
      </c>
      <c r="C224" s="7" t="s">
        <v>2946</v>
      </c>
      <c r="D224">
        <f t="shared" si="3"/>
        <v>5</v>
      </c>
      <c r="I224" s="1" t="s">
        <v>1111</v>
      </c>
      <c r="J224" s="1" t="s">
        <v>1112</v>
      </c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x14ac:dyDescent="0.25">
      <c r="A225" s="8" t="s">
        <v>9199</v>
      </c>
      <c r="C225" s="8" t="s">
        <v>9315</v>
      </c>
      <c r="D225">
        <f t="shared" si="3"/>
        <v>5</v>
      </c>
      <c r="I225" s="1" t="s">
        <v>1069</v>
      </c>
      <c r="J225" s="1" t="s">
        <v>25</v>
      </c>
      <c r="K225" s="1" t="s">
        <v>923</v>
      </c>
      <c r="L225" s="1" t="s">
        <v>920</v>
      </c>
      <c r="M225" s="1" t="s">
        <v>933</v>
      </c>
      <c r="N225" s="1" t="s">
        <v>954</v>
      </c>
      <c r="O225" s="1" t="s">
        <v>974</v>
      </c>
      <c r="P225" s="1" t="s">
        <v>921</v>
      </c>
      <c r="Q225" s="1" t="s">
        <v>961</v>
      </c>
      <c r="R225" s="1"/>
      <c r="S225" s="1"/>
      <c r="T225" s="1"/>
      <c r="U225" s="1"/>
      <c r="V225" s="1"/>
      <c r="W225" s="1"/>
      <c r="X225" s="1"/>
      <c r="Y225" s="1"/>
    </row>
    <row r="226" spans="1:25" x14ac:dyDescent="0.25">
      <c r="A226" s="8" t="s">
        <v>9199</v>
      </c>
      <c r="C226" s="7" t="s">
        <v>404</v>
      </c>
      <c r="D226">
        <f t="shared" si="3"/>
        <v>5</v>
      </c>
      <c r="I226" s="1" t="s">
        <v>918</v>
      </c>
      <c r="J226" s="1" t="s">
        <v>25</v>
      </c>
      <c r="K226" s="1" t="s">
        <v>10766</v>
      </c>
      <c r="L226" s="1" t="s">
        <v>916</v>
      </c>
      <c r="M226" s="1" t="s">
        <v>920</v>
      </c>
      <c r="N226" s="1" t="s">
        <v>924</v>
      </c>
      <c r="O226" s="1" t="s">
        <v>921</v>
      </c>
      <c r="P226" s="1" t="s">
        <v>927</v>
      </c>
      <c r="Q226" s="1" t="s">
        <v>919</v>
      </c>
      <c r="R226" s="1" t="s">
        <v>936</v>
      </c>
      <c r="S226" s="1" t="s">
        <v>1108</v>
      </c>
      <c r="T226" s="1" t="s">
        <v>960</v>
      </c>
      <c r="U226" s="1" t="s">
        <v>961</v>
      </c>
      <c r="V226" s="1"/>
      <c r="W226" s="1"/>
      <c r="X226" s="1"/>
      <c r="Y226" s="1"/>
    </row>
    <row r="227" spans="1:25" x14ac:dyDescent="0.25">
      <c r="A227" s="8" t="s">
        <v>9199</v>
      </c>
      <c r="C227" s="7" t="s">
        <v>3069</v>
      </c>
      <c r="D227">
        <f t="shared" si="3"/>
        <v>5</v>
      </c>
      <c r="I227" s="1" t="s">
        <v>919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x14ac:dyDescent="0.25">
      <c r="A228" s="8" t="s">
        <v>10602</v>
      </c>
      <c r="C228" s="7" t="s">
        <v>5074</v>
      </c>
      <c r="D228">
        <f t="shared" si="3"/>
        <v>5</v>
      </c>
      <c r="I228" s="1" t="s">
        <v>1001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x14ac:dyDescent="0.25">
      <c r="A229" s="7" t="s">
        <v>2316</v>
      </c>
      <c r="C229" s="7" t="s">
        <v>8884</v>
      </c>
      <c r="D229">
        <f t="shared" si="3"/>
        <v>5</v>
      </c>
      <c r="I229" s="1" t="s">
        <v>979</v>
      </c>
      <c r="J229" s="1" t="s">
        <v>980</v>
      </c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x14ac:dyDescent="0.25">
      <c r="A230" s="7" t="s">
        <v>2316</v>
      </c>
      <c r="C230" s="7" t="s">
        <v>9244</v>
      </c>
      <c r="D230">
        <f t="shared" si="3"/>
        <v>5</v>
      </c>
      <c r="I230" s="1" t="s">
        <v>25</v>
      </c>
      <c r="J230" s="1" t="s">
        <v>919</v>
      </c>
      <c r="K230" s="1" t="s">
        <v>920</v>
      </c>
      <c r="L230" s="1" t="s">
        <v>954</v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x14ac:dyDescent="0.25">
      <c r="A231" s="7" t="s">
        <v>3198</v>
      </c>
      <c r="C231" s="7" t="s">
        <v>6874</v>
      </c>
      <c r="D231">
        <f t="shared" si="3"/>
        <v>5</v>
      </c>
      <c r="I231" s="1" t="s">
        <v>25</v>
      </c>
      <c r="J231" s="1" t="s">
        <v>919</v>
      </c>
      <c r="K231" s="1" t="s">
        <v>920</v>
      </c>
      <c r="L231" s="1" t="s">
        <v>954</v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x14ac:dyDescent="0.25">
      <c r="A232" s="8" t="s">
        <v>9364</v>
      </c>
      <c r="C232" s="7" t="s">
        <v>4786</v>
      </c>
      <c r="D232">
        <f t="shared" si="3"/>
        <v>5</v>
      </c>
      <c r="I232" s="1" t="s">
        <v>25</v>
      </c>
      <c r="J232" s="1" t="s">
        <v>919</v>
      </c>
      <c r="K232" s="1" t="s">
        <v>920</v>
      </c>
      <c r="L232" s="1" t="s">
        <v>954</v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x14ac:dyDescent="0.25">
      <c r="A233" s="7" t="s">
        <v>9301</v>
      </c>
      <c r="C233" s="7" t="s">
        <v>6513</v>
      </c>
      <c r="D233">
        <f t="shared" si="3"/>
        <v>5</v>
      </c>
      <c r="I233" s="1" t="s">
        <v>25</v>
      </c>
      <c r="J233" s="1" t="s">
        <v>919</v>
      </c>
      <c r="K233" s="1" t="s">
        <v>920</v>
      </c>
      <c r="L233" s="1" t="s">
        <v>954</v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x14ac:dyDescent="0.25">
      <c r="A234" s="8" t="s">
        <v>9301</v>
      </c>
      <c r="C234" s="7" t="s">
        <v>3565</v>
      </c>
      <c r="D234">
        <f t="shared" si="3"/>
        <v>5</v>
      </c>
      <c r="I234" s="1" t="s">
        <v>25</v>
      </c>
      <c r="J234" s="1" t="s">
        <v>919</v>
      </c>
      <c r="K234" s="1" t="s">
        <v>920</v>
      </c>
      <c r="L234" s="1" t="s">
        <v>954</v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x14ac:dyDescent="0.25">
      <c r="A235" s="8" t="s">
        <v>10196</v>
      </c>
      <c r="C235" s="7" t="s">
        <v>4835</v>
      </c>
      <c r="D235">
        <f t="shared" si="3"/>
        <v>5</v>
      </c>
      <c r="I235" s="1" t="s">
        <v>25</v>
      </c>
      <c r="J235" s="1" t="s">
        <v>919</v>
      </c>
      <c r="K235" s="1" t="s">
        <v>920</v>
      </c>
      <c r="L235" s="1" t="s">
        <v>954</v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x14ac:dyDescent="0.25">
      <c r="A236" s="8" t="s">
        <v>10196</v>
      </c>
      <c r="C236" s="7" t="s">
        <v>2096</v>
      </c>
      <c r="D236">
        <f t="shared" si="3"/>
        <v>5</v>
      </c>
      <c r="I236" s="1" t="s">
        <v>25</v>
      </c>
      <c r="J236" s="1" t="s">
        <v>919</v>
      </c>
      <c r="K236" s="1" t="s">
        <v>920</v>
      </c>
      <c r="L236" s="1" t="s">
        <v>954</v>
      </c>
      <c r="M236" s="1" t="s">
        <v>955</v>
      </c>
      <c r="N236" s="1" t="s">
        <v>924</v>
      </c>
      <c r="O236" s="1" t="s">
        <v>930</v>
      </c>
      <c r="P236" s="1" t="s">
        <v>944</v>
      </c>
      <c r="Q236" s="1" t="s">
        <v>956</v>
      </c>
      <c r="R236" s="1" t="s">
        <v>957</v>
      </c>
      <c r="S236" s="1" t="s">
        <v>958</v>
      </c>
      <c r="T236" s="1" t="s">
        <v>959</v>
      </c>
      <c r="U236" s="1"/>
      <c r="V236" s="1"/>
      <c r="W236" s="1"/>
      <c r="X236" s="1"/>
      <c r="Y236" s="1"/>
    </row>
    <row r="237" spans="1:25" x14ac:dyDescent="0.25">
      <c r="A237" s="8" t="s">
        <v>9928</v>
      </c>
      <c r="C237" s="7" t="s">
        <v>6044</v>
      </c>
      <c r="D237">
        <f t="shared" si="3"/>
        <v>5</v>
      </c>
      <c r="I237" s="1" t="s">
        <v>25</v>
      </c>
      <c r="J237" s="1" t="s">
        <v>919</v>
      </c>
      <c r="K237" s="1" t="s">
        <v>920</v>
      </c>
      <c r="L237" s="1" t="s">
        <v>954</v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x14ac:dyDescent="0.25">
      <c r="A238" s="8" t="s">
        <v>10531</v>
      </c>
      <c r="C238" s="7" t="s">
        <v>8766</v>
      </c>
      <c r="D238">
        <f t="shared" si="3"/>
        <v>5</v>
      </c>
      <c r="I238" s="1" t="s">
        <v>25</v>
      </c>
      <c r="J238" s="1" t="s">
        <v>919</v>
      </c>
      <c r="K238" s="1" t="s">
        <v>920</v>
      </c>
      <c r="L238" s="1" t="s">
        <v>954</v>
      </c>
      <c r="M238" s="1" t="s">
        <v>960</v>
      </c>
      <c r="N238" s="1" t="s">
        <v>961</v>
      </c>
      <c r="O238" s="1" t="s">
        <v>962</v>
      </c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x14ac:dyDescent="0.25">
      <c r="A239" s="8" t="s">
        <v>8870</v>
      </c>
      <c r="C239" s="7" t="s">
        <v>9211</v>
      </c>
      <c r="D239">
        <f t="shared" si="3"/>
        <v>5</v>
      </c>
      <c r="I239" s="1" t="s">
        <v>25</v>
      </c>
      <c r="J239" s="1" t="s">
        <v>919</v>
      </c>
      <c r="K239" s="1" t="s">
        <v>920</v>
      </c>
      <c r="L239" s="1" t="s">
        <v>954</v>
      </c>
      <c r="M239" s="1" t="s">
        <v>10734</v>
      </c>
      <c r="N239" s="1" t="s">
        <v>955</v>
      </c>
      <c r="O239" s="1" t="s">
        <v>1014</v>
      </c>
      <c r="P239" s="1" t="s">
        <v>956</v>
      </c>
      <c r="Q239" s="1"/>
      <c r="R239" s="1"/>
      <c r="S239" s="1"/>
      <c r="T239" s="1"/>
      <c r="U239" s="1"/>
      <c r="V239" s="1"/>
      <c r="W239" s="1"/>
      <c r="X239" s="1"/>
      <c r="Y239" s="1"/>
    </row>
    <row r="240" spans="1:25" x14ac:dyDescent="0.25">
      <c r="A240" s="8" t="s">
        <v>10294</v>
      </c>
      <c r="C240" s="7" t="s">
        <v>10268</v>
      </c>
      <c r="D240">
        <f t="shared" si="3"/>
        <v>5</v>
      </c>
      <c r="I240" s="1" t="s">
        <v>25</v>
      </c>
      <c r="J240" s="1" t="s">
        <v>919</v>
      </c>
      <c r="K240" s="1" t="s">
        <v>920</v>
      </c>
      <c r="L240" s="1" t="s">
        <v>954</v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x14ac:dyDescent="0.25">
      <c r="A241" s="7" t="s">
        <v>10173</v>
      </c>
      <c r="C241" s="7" t="s">
        <v>474</v>
      </c>
      <c r="D241">
        <f t="shared" si="3"/>
        <v>5</v>
      </c>
      <c r="I241" s="1" t="s">
        <v>25</v>
      </c>
      <c r="J241" s="1" t="s">
        <v>919</v>
      </c>
      <c r="K241" s="1" t="s">
        <v>920</v>
      </c>
      <c r="L241" s="1" t="s">
        <v>954</v>
      </c>
      <c r="M241" s="1" t="s">
        <v>962</v>
      </c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x14ac:dyDescent="0.25">
      <c r="A242" s="7" t="s">
        <v>9867</v>
      </c>
      <c r="C242" s="8" t="s">
        <v>9342</v>
      </c>
      <c r="D242">
        <f t="shared" si="3"/>
        <v>5</v>
      </c>
      <c r="I242" s="1" t="s">
        <v>25</v>
      </c>
      <c r="J242" s="1" t="s">
        <v>919</v>
      </c>
      <c r="K242" s="1" t="s">
        <v>920</v>
      </c>
      <c r="L242" s="1" t="s">
        <v>954</v>
      </c>
      <c r="M242" s="1" t="s">
        <v>1097</v>
      </c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x14ac:dyDescent="0.25">
      <c r="A243" s="8" t="s">
        <v>9107</v>
      </c>
      <c r="C243" s="7" t="s">
        <v>8744</v>
      </c>
      <c r="D243">
        <f t="shared" si="3"/>
        <v>5</v>
      </c>
      <c r="I243" s="1" t="s">
        <v>918</v>
      </c>
      <c r="J243" s="1" t="s">
        <v>25</v>
      </c>
      <c r="K243" s="1" t="s">
        <v>1148</v>
      </c>
      <c r="L243" s="1" t="s">
        <v>923</v>
      </c>
      <c r="M243" s="1" t="s">
        <v>927</v>
      </c>
      <c r="N243" s="1" t="s">
        <v>1086</v>
      </c>
      <c r="O243" s="1" t="s">
        <v>920</v>
      </c>
      <c r="P243" s="1" t="s">
        <v>933</v>
      </c>
      <c r="Q243" s="1" t="s">
        <v>997</v>
      </c>
      <c r="R243" s="1"/>
      <c r="S243" s="1"/>
      <c r="T243" s="1"/>
      <c r="U243" s="1"/>
      <c r="V243" s="1"/>
      <c r="W243" s="1"/>
      <c r="X243" s="1"/>
      <c r="Y243" s="1"/>
    </row>
    <row r="244" spans="1:25" x14ac:dyDescent="0.25">
      <c r="A244" s="7" t="s">
        <v>6699</v>
      </c>
      <c r="C244" s="7" t="s">
        <v>9152</v>
      </c>
      <c r="D244">
        <f t="shared" si="3"/>
        <v>5</v>
      </c>
      <c r="I244" s="1" t="s">
        <v>25</v>
      </c>
      <c r="J244" s="1" t="s">
        <v>997</v>
      </c>
      <c r="K244" s="1" t="s">
        <v>927</v>
      </c>
      <c r="L244" s="1" t="s">
        <v>998</v>
      </c>
      <c r="M244" s="1" t="s">
        <v>920</v>
      </c>
      <c r="N244" s="1" t="s">
        <v>933</v>
      </c>
      <c r="O244" s="1" t="s">
        <v>994</v>
      </c>
      <c r="P244" s="1" t="s">
        <v>987</v>
      </c>
      <c r="Q244" s="1" t="s">
        <v>1001</v>
      </c>
      <c r="R244" s="1" t="s">
        <v>992</v>
      </c>
      <c r="S244" s="1" t="s">
        <v>981</v>
      </c>
      <c r="T244" s="1" t="s">
        <v>939</v>
      </c>
      <c r="U244" s="1" t="s">
        <v>1066</v>
      </c>
      <c r="V244" s="1" t="s">
        <v>993</v>
      </c>
      <c r="W244" s="1"/>
      <c r="X244" s="1"/>
      <c r="Y244" s="1"/>
    </row>
    <row r="245" spans="1:25" x14ac:dyDescent="0.25">
      <c r="A245" s="7" t="s">
        <v>3953</v>
      </c>
      <c r="C245" s="7" t="s">
        <v>8963</v>
      </c>
      <c r="D245">
        <f t="shared" si="3"/>
        <v>5</v>
      </c>
      <c r="I245" s="1" t="s">
        <v>981</v>
      </c>
      <c r="J245" s="1" t="s">
        <v>1019</v>
      </c>
      <c r="K245" s="1" t="s">
        <v>983</v>
      </c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x14ac:dyDescent="0.25">
      <c r="A246" s="7" t="s">
        <v>3953</v>
      </c>
      <c r="C246" s="7" t="s">
        <v>9558</v>
      </c>
      <c r="D246">
        <f t="shared" si="3"/>
        <v>5</v>
      </c>
      <c r="I246" s="1" t="s">
        <v>1137</v>
      </c>
      <c r="J246" s="1" t="s">
        <v>10767</v>
      </c>
      <c r="K246" s="1" t="s">
        <v>990</v>
      </c>
      <c r="L246" s="1" t="s">
        <v>961</v>
      </c>
      <c r="M246" s="1" t="s">
        <v>918</v>
      </c>
      <c r="N246" s="1" t="s">
        <v>25</v>
      </c>
      <c r="O246" s="1" t="s">
        <v>923</v>
      </c>
      <c r="P246" s="1" t="s">
        <v>919</v>
      </c>
      <c r="Q246" s="1" t="s">
        <v>920</v>
      </c>
      <c r="R246" s="1" t="s">
        <v>921</v>
      </c>
      <c r="S246" s="1"/>
      <c r="T246" s="1"/>
      <c r="U246" s="1"/>
      <c r="V246" s="1"/>
      <c r="W246" s="1"/>
      <c r="X246" s="1"/>
      <c r="Y246" s="1"/>
    </row>
    <row r="247" spans="1:25" x14ac:dyDescent="0.25">
      <c r="A247" s="8" t="s">
        <v>3953</v>
      </c>
      <c r="C247" s="7" t="s">
        <v>8119</v>
      </c>
      <c r="D247">
        <f t="shared" si="3"/>
        <v>5</v>
      </c>
      <c r="I247" s="1" t="s">
        <v>25</v>
      </c>
      <c r="J247" s="1" t="s">
        <v>927</v>
      </c>
      <c r="K247" s="1" t="s">
        <v>998</v>
      </c>
      <c r="L247" s="1" t="s">
        <v>1086</v>
      </c>
      <c r="M247" s="1" t="s">
        <v>920</v>
      </c>
      <c r="N247" s="1" t="s">
        <v>933</v>
      </c>
      <c r="O247" s="1" t="s">
        <v>921</v>
      </c>
      <c r="P247" s="1" t="s">
        <v>919</v>
      </c>
      <c r="Q247" s="1" t="s">
        <v>1149</v>
      </c>
      <c r="R247" s="1" t="s">
        <v>923</v>
      </c>
      <c r="S247" s="1" t="s">
        <v>1001</v>
      </c>
      <c r="T247" s="1" t="s">
        <v>981</v>
      </c>
      <c r="U247" s="1"/>
      <c r="V247" s="1"/>
      <c r="W247" s="1"/>
      <c r="X247" s="1"/>
      <c r="Y247" s="1"/>
    </row>
    <row r="248" spans="1:25" x14ac:dyDescent="0.25">
      <c r="A248" s="8" t="s">
        <v>10236</v>
      </c>
      <c r="C248" s="7" t="s">
        <v>5610</v>
      </c>
      <c r="D248">
        <f t="shared" si="3"/>
        <v>5</v>
      </c>
      <c r="I248" s="1" t="s">
        <v>50</v>
      </c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x14ac:dyDescent="0.25">
      <c r="A249" s="8" t="s">
        <v>10236</v>
      </c>
      <c r="C249" s="7" t="s">
        <v>9556</v>
      </c>
      <c r="D249">
        <f t="shared" si="3"/>
        <v>5</v>
      </c>
      <c r="I249" s="1" t="s">
        <v>996</v>
      </c>
      <c r="J249" s="1" t="s">
        <v>999</v>
      </c>
      <c r="K249" s="1" t="s">
        <v>921</v>
      </c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x14ac:dyDescent="0.25">
      <c r="A250" s="8" t="s">
        <v>10557</v>
      </c>
      <c r="C250" s="7" t="s">
        <v>2173</v>
      </c>
      <c r="D250">
        <f t="shared" si="3"/>
        <v>5</v>
      </c>
      <c r="I250" s="1" t="s">
        <v>996</v>
      </c>
      <c r="J250" s="1" t="s">
        <v>999</v>
      </c>
      <c r="K250" s="1" t="s">
        <v>921</v>
      </c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x14ac:dyDescent="0.25">
      <c r="A251" s="7" t="s">
        <v>2946</v>
      </c>
      <c r="C251" s="7" t="s">
        <v>55</v>
      </c>
      <c r="D251">
        <f t="shared" si="3"/>
        <v>5</v>
      </c>
      <c r="I251" s="1" t="s">
        <v>918</v>
      </c>
      <c r="J251" s="1" t="s">
        <v>919</v>
      </c>
      <c r="K251" s="1" t="s">
        <v>25</v>
      </c>
      <c r="L251" s="1" t="s">
        <v>923</v>
      </c>
      <c r="M251" s="1" t="s">
        <v>927</v>
      </c>
      <c r="N251" s="1" t="s">
        <v>10768</v>
      </c>
      <c r="O251" s="1" t="s">
        <v>920</v>
      </c>
      <c r="P251" s="1" t="s">
        <v>933</v>
      </c>
      <c r="Q251" s="1" t="s">
        <v>921</v>
      </c>
      <c r="R251" s="1"/>
      <c r="S251" s="1"/>
      <c r="T251" s="1"/>
      <c r="U251" s="1"/>
      <c r="V251" s="1"/>
      <c r="W251" s="1"/>
      <c r="X251" s="1"/>
      <c r="Y251" s="1"/>
    </row>
    <row r="252" spans="1:25" x14ac:dyDescent="0.25">
      <c r="A252" s="7" t="s">
        <v>2946</v>
      </c>
      <c r="C252" s="7" t="s">
        <v>4452</v>
      </c>
      <c r="D252">
        <f t="shared" si="3"/>
        <v>5</v>
      </c>
      <c r="I252" s="1" t="s">
        <v>4058</v>
      </c>
      <c r="J252" s="1" t="s">
        <v>10769</v>
      </c>
      <c r="K252" s="1" t="s">
        <v>4037</v>
      </c>
      <c r="L252" s="1" t="s">
        <v>10770</v>
      </c>
      <c r="M252" s="1" t="s">
        <v>10771</v>
      </c>
      <c r="N252" s="1" t="s">
        <v>10772</v>
      </c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x14ac:dyDescent="0.25">
      <c r="A253" s="7" t="s">
        <v>2946</v>
      </c>
      <c r="C253" s="7" t="s">
        <v>6984</v>
      </c>
      <c r="D253">
        <f t="shared" si="3"/>
        <v>5</v>
      </c>
      <c r="I253" s="1" t="s">
        <v>4058</v>
      </c>
      <c r="J253" s="1" t="s">
        <v>10773</v>
      </c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x14ac:dyDescent="0.25">
      <c r="A254" s="7" t="s">
        <v>2946</v>
      </c>
      <c r="C254" s="7" t="s">
        <v>8888</v>
      </c>
      <c r="D254">
        <f t="shared" si="3"/>
        <v>5</v>
      </c>
      <c r="I254" s="1" t="s">
        <v>4058</v>
      </c>
      <c r="J254" s="1" t="s">
        <v>10773</v>
      </c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x14ac:dyDescent="0.25">
      <c r="A255" s="8" t="s">
        <v>2946</v>
      </c>
      <c r="C255" s="7" t="s">
        <v>10466</v>
      </c>
      <c r="D255">
        <f t="shared" si="3"/>
        <v>5</v>
      </c>
      <c r="I255" s="1" t="s">
        <v>84</v>
      </c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x14ac:dyDescent="0.25">
      <c r="A256" s="8" t="s">
        <v>10032</v>
      </c>
      <c r="C256" s="7" t="s">
        <v>1925</v>
      </c>
      <c r="D256">
        <f t="shared" si="3"/>
        <v>5</v>
      </c>
      <c r="I256" s="1" t="s">
        <v>1090</v>
      </c>
      <c r="J256" s="1" t="s">
        <v>25</v>
      </c>
      <c r="K256" s="1" t="s">
        <v>920</v>
      </c>
      <c r="L256" s="1" t="s">
        <v>974</v>
      </c>
      <c r="M256" s="1" t="s">
        <v>950</v>
      </c>
      <c r="N256" s="1" t="s">
        <v>1109</v>
      </c>
      <c r="O256" s="1" t="s">
        <v>10698</v>
      </c>
      <c r="P256" s="1" t="s">
        <v>929</v>
      </c>
      <c r="Q256" s="1"/>
      <c r="R256" s="1"/>
      <c r="S256" s="1"/>
      <c r="T256" s="1"/>
      <c r="U256" s="1"/>
      <c r="V256" s="1"/>
      <c r="W256" s="1"/>
      <c r="X256" s="1"/>
      <c r="Y256" s="1"/>
    </row>
    <row r="257" spans="1:25" x14ac:dyDescent="0.25">
      <c r="A257" s="7" t="s">
        <v>9864</v>
      </c>
      <c r="C257" s="7" t="s">
        <v>2740</v>
      </c>
      <c r="D257">
        <f t="shared" si="3"/>
        <v>5</v>
      </c>
      <c r="I257" s="1" t="s">
        <v>963</v>
      </c>
      <c r="J257" s="1" t="s">
        <v>951</v>
      </c>
      <c r="K257" s="1" t="s">
        <v>934</v>
      </c>
      <c r="L257" s="1" t="s">
        <v>918</v>
      </c>
      <c r="M257" s="1" t="s">
        <v>25</v>
      </c>
      <c r="N257" s="1" t="s">
        <v>923</v>
      </c>
      <c r="O257" s="1" t="s">
        <v>920</v>
      </c>
      <c r="P257" s="1" t="s">
        <v>954</v>
      </c>
      <c r="Q257" s="1" t="s">
        <v>921</v>
      </c>
      <c r="R257" s="1" t="s">
        <v>964</v>
      </c>
      <c r="S257" s="1" t="s">
        <v>965</v>
      </c>
      <c r="T257" s="1" t="s">
        <v>840</v>
      </c>
      <c r="U257" s="1" t="s">
        <v>966</v>
      </c>
      <c r="V257" s="1" t="s">
        <v>35</v>
      </c>
      <c r="W257" s="1"/>
      <c r="X257" s="1"/>
      <c r="Y257" s="1"/>
    </row>
    <row r="258" spans="1:25" x14ac:dyDescent="0.25">
      <c r="A258" s="8" t="s">
        <v>9864</v>
      </c>
      <c r="C258" s="7" t="s">
        <v>2447</v>
      </c>
      <c r="D258">
        <f t="shared" ref="D258:D321" si="4">COUNTIF(A:A,C258)</f>
        <v>5</v>
      </c>
      <c r="I258" s="1" t="s">
        <v>90</v>
      </c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x14ac:dyDescent="0.25">
      <c r="A259" s="7" t="s">
        <v>9353</v>
      </c>
      <c r="C259" s="7" t="s">
        <v>8917</v>
      </c>
      <c r="D259">
        <f t="shared" si="4"/>
        <v>5</v>
      </c>
      <c r="I259" s="1" t="s">
        <v>967</v>
      </c>
      <c r="J259" s="1" t="s">
        <v>968</v>
      </c>
      <c r="K259" s="1" t="s">
        <v>969</v>
      </c>
      <c r="L259" s="1" t="s">
        <v>970</v>
      </c>
      <c r="M259" s="1" t="s">
        <v>918</v>
      </c>
      <c r="N259" s="1" t="s">
        <v>971</v>
      </c>
      <c r="O259" s="1" t="s">
        <v>940</v>
      </c>
      <c r="P259" s="1" t="s">
        <v>25</v>
      </c>
      <c r="Q259" s="1" t="s">
        <v>947</v>
      </c>
      <c r="R259" s="1" t="s">
        <v>919</v>
      </c>
      <c r="S259" s="1" t="s">
        <v>920</v>
      </c>
      <c r="T259" s="1" t="s">
        <v>921</v>
      </c>
      <c r="U259" s="1"/>
      <c r="V259" s="1"/>
      <c r="W259" s="1"/>
      <c r="X259" s="1"/>
      <c r="Y259" s="1"/>
    </row>
    <row r="260" spans="1:25" x14ac:dyDescent="0.25">
      <c r="A260" s="8" t="s">
        <v>9353</v>
      </c>
      <c r="C260" s="7" t="s">
        <v>9080</v>
      </c>
      <c r="D260">
        <f t="shared" si="4"/>
        <v>5</v>
      </c>
      <c r="I260" s="1" t="s">
        <v>967</v>
      </c>
      <c r="J260" s="1" t="s">
        <v>968</v>
      </c>
      <c r="K260" s="1" t="s">
        <v>969</v>
      </c>
      <c r="L260" s="1" t="s">
        <v>970</v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x14ac:dyDescent="0.25">
      <c r="A261" s="8" t="s">
        <v>9353</v>
      </c>
      <c r="C261" s="7" t="s">
        <v>9471</v>
      </c>
      <c r="D261">
        <f t="shared" si="4"/>
        <v>5</v>
      </c>
      <c r="I261" s="1" t="s">
        <v>918</v>
      </c>
      <c r="J261" s="1" t="s">
        <v>25</v>
      </c>
      <c r="K261" s="1" t="s">
        <v>919</v>
      </c>
      <c r="L261" s="1" t="s">
        <v>920</v>
      </c>
      <c r="M261" s="1" t="s">
        <v>924</v>
      </c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x14ac:dyDescent="0.25">
      <c r="A262" s="8" t="s">
        <v>9353</v>
      </c>
      <c r="C262" s="7" t="s">
        <v>9048</v>
      </c>
      <c r="D262">
        <f t="shared" si="4"/>
        <v>5</v>
      </c>
      <c r="I262" s="1" t="s">
        <v>2331</v>
      </c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x14ac:dyDescent="0.25">
      <c r="A263" s="8" t="s">
        <v>9353</v>
      </c>
      <c r="C263" s="7" t="s">
        <v>4370</v>
      </c>
      <c r="D263">
        <f t="shared" si="4"/>
        <v>5</v>
      </c>
      <c r="I263" s="1" t="s">
        <v>2331</v>
      </c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x14ac:dyDescent="0.25">
      <c r="A264" s="8" t="s">
        <v>9353</v>
      </c>
      <c r="C264" s="7" t="s">
        <v>7781</v>
      </c>
      <c r="D264">
        <f t="shared" si="4"/>
        <v>5</v>
      </c>
      <c r="I264" s="1" t="s">
        <v>996</v>
      </c>
      <c r="J264" s="1" t="s">
        <v>997</v>
      </c>
      <c r="K264" s="1" t="s">
        <v>998</v>
      </c>
      <c r="L264" s="1" t="s">
        <v>994</v>
      </c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x14ac:dyDescent="0.25">
      <c r="A265" s="8" t="s">
        <v>9353</v>
      </c>
      <c r="C265" s="7" t="s">
        <v>9998</v>
      </c>
      <c r="D265">
        <f t="shared" si="4"/>
        <v>5</v>
      </c>
      <c r="I265" s="1" t="s">
        <v>996</v>
      </c>
      <c r="J265" s="1" t="s">
        <v>10727</v>
      </c>
      <c r="K265" s="1" t="s">
        <v>1066</v>
      </c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x14ac:dyDescent="0.25">
      <c r="A266" s="8" t="s">
        <v>9353</v>
      </c>
      <c r="C266" s="7" t="s">
        <v>6152</v>
      </c>
      <c r="D266">
        <f t="shared" si="4"/>
        <v>5</v>
      </c>
      <c r="I266" s="1" t="s">
        <v>25</v>
      </c>
      <c r="J266" s="1" t="s">
        <v>919</v>
      </c>
      <c r="K266" s="1" t="s">
        <v>920</v>
      </c>
      <c r="L266" s="1" t="s">
        <v>921</v>
      </c>
      <c r="M266" s="1" t="s">
        <v>1001</v>
      </c>
      <c r="N266" s="1" t="s">
        <v>918</v>
      </c>
      <c r="O266" s="1" t="s">
        <v>927</v>
      </c>
      <c r="P266" s="1" t="s">
        <v>936</v>
      </c>
      <c r="Q266" s="1"/>
      <c r="R266" s="1"/>
      <c r="S266" s="1"/>
      <c r="T266" s="1"/>
      <c r="U266" s="1"/>
      <c r="V266" s="1"/>
      <c r="W266" s="1"/>
      <c r="X266" s="1"/>
      <c r="Y266" s="1"/>
    </row>
    <row r="267" spans="1:25" x14ac:dyDescent="0.25">
      <c r="A267" s="8" t="s">
        <v>9353</v>
      </c>
      <c r="C267" s="7" t="s">
        <v>3028</v>
      </c>
      <c r="D267">
        <f t="shared" si="4"/>
        <v>5</v>
      </c>
      <c r="I267" s="1" t="s">
        <v>918</v>
      </c>
      <c r="J267" s="1" t="s">
        <v>25</v>
      </c>
      <c r="K267" s="1" t="s">
        <v>923</v>
      </c>
      <c r="L267" s="1" t="s">
        <v>973</v>
      </c>
      <c r="M267" s="1" t="s">
        <v>916</v>
      </c>
      <c r="N267" s="1" t="s">
        <v>920</v>
      </c>
      <c r="O267" s="1" t="s">
        <v>954</v>
      </c>
      <c r="P267" s="1" t="s">
        <v>974</v>
      </c>
      <c r="Q267" s="1" t="s">
        <v>921</v>
      </c>
      <c r="R267" s="1"/>
      <c r="S267" s="1"/>
      <c r="T267" s="1"/>
      <c r="U267" s="1"/>
      <c r="V267" s="1"/>
      <c r="W267" s="1"/>
      <c r="X267" s="1"/>
      <c r="Y267" s="1"/>
    </row>
    <row r="268" spans="1:25" x14ac:dyDescent="0.25">
      <c r="A268" s="8" t="s">
        <v>9353</v>
      </c>
      <c r="C268" s="7" t="s">
        <v>9520</v>
      </c>
      <c r="D268">
        <f t="shared" si="4"/>
        <v>5</v>
      </c>
      <c r="I268" s="1" t="s">
        <v>925</v>
      </c>
      <c r="J268" s="1" t="s">
        <v>1000</v>
      </c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x14ac:dyDescent="0.25">
      <c r="A269" s="8" t="s">
        <v>9353</v>
      </c>
      <c r="C269" s="7" t="s">
        <v>9179</v>
      </c>
      <c r="D269">
        <f t="shared" si="4"/>
        <v>5</v>
      </c>
      <c r="I269" s="1" t="s">
        <v>923</v>
      </c>
      <c r="J269" s="1" t="s">
        <v>1113</v>
      </c>
      <c r="K269" s="1" t="s">
        <v>328</v>
      </c>
      <c r="L269" s="1" t="s">
        <v>928</v>
      </c>
      <c r="M269" s="1" t="s">
        <v>983</v>
      </c>
      <c r="N269" s="1" t="s">
        <v>919</v>
      </c>
      <c r="O269" s="1" t="s">
        <v>1020</v>
      </c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x14ac:dyDescent="0.25">
      <c r="A270" s="8" t="s">
        <v>9353</v>
      </c>
      <c r="C270" s="7" t="s">
        <v>64</v>
      </c>
      <c r="D270">
        <f t="shared" si="4"/>
        <v>5</v>
      </c>
      <c r="I270" s="1" t="s">
        <v>964</v>
      </c>
      <c r="J270" s="1" t="s">
        <v>10751</v>
      </c>
      <c r="K270" s="1" t="s">
        <v>10755</v>
      </c>
      <c r="L270" s="1" t="s">
        <v>10724</v>
      </c>
      <c r="M270" s="1" t="s">
        <v>25</v>
      </c>
      <c r="N270" s="1" t="s">
        <v>925</v>
      </c>
      <c r="O270" s="1" t="s">
        <v>918</v>
      </c>
      <c r="P270" s="1" t="s">
        <v>927</v>
      </c>
      <c r="Q270" s="1" t="s">
        <v>953</v>
      </c>
      <c r="R270" s="1" t="s">
        <v>10774</v>
      </c>
      <c r="S270" s="1" t="s">
        <v>939</v>
      </c>
      <c r="T270" s="1" t="s">
        <v>919</v>
      </c>
      <c r="U270" s="1"/>
      <c r="V270" s="1"/>
      <c r="W270" s="1"/>
      <c r="X270" s="1"/>
      <c r="Y270" s="1"/>
    </row>
    <row r="271" spans="1:25" x14ac:dyDescent="0.25">
      <c r="A271" s="8" t="s">
        <v>9353</v>
      </c>
      <c r="C271" s="7" t="s">
        <v>2152</v>
      </c>
      <c r="D271">
        <f t="shared" si="4"/>
        <v>5</v>
      </c>
      <c r="I271" s="1" t="s">
        <v>1019</v>
      </c>
      <c r="J271" s="1" t="s">
        <v>983</v>
      </c>
      <c r="K271" s="1" t="s">
        <v>984</v>
      </c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x14ac:dyDescent="0.25">
      <c r="A272" s="7" t="s">
        <v>9825</v>
      </c>
      <c r="C272" s="7" t="s">
        <v>5907</v>
      </c>
      <c r="D272">
        <f t="shared" si="4"/>
        <v>5</v>
      </c>
      <c r="I272" s="1" t="s">
        <v>947</v>
      </c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x14ac:dyDescent="0.25">
      <c r="A273" s="8" t="s">
        <v>9825</v>
      </c>
      <c r="C273" s="7" t="s">
        <v>1993</v>
      </c>
      <c r="D273">
        <f t="shared" si="4"/>
        <v>5</v>
      </c>
      <c r="I273" s="1" t="s">
        <v>918</v>
      </c>
      <c r="J273" s="1" t="s">
        <v>927</v>
      </c>
      <c r="K273" s="1" t="s">
        <v>919</v>
      </c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x14ac:dyDescent="0.25">
      <c r="A274" s="8" t="s">
        <v>10440</v>
      </c>
      <c r="C274" s="7" t="s">
        <v>3346</v>
      </c>
      <c r="D274">
        <f t="shared" si="4"/>
        <v>5</v>
      </c>
      <c r="I274" s="1" t="s">
        <v>932</v>
      </c>
      <c r="J274" s="1" t="s">
        <v>916</v>
      </c>
      <c r="K274" s="1" t="s">
        <v>920</v>
      </c>
      <c r="L274" s="1" t="s">
        <v>921</v>
      </c>
      <c r="M274" s="1" t="s">
        <v>922</v>
      </c>
      <c r="N274" s="1" t="s">
        <v>918</v>
      </c>
      <c r="O274" s="1" t="s">
        <v>25</v>
      </c>
      <c r="P274" s="1" t="s">
        <v>923</v>
      </c>
      <c r="Q274" s="1" t="s">
        <v>919</v>
      </c>
      <c r="R274" s="1"/>
      <c r="S274" s="1"/>
      <c r="T274" s="1"/>
      <c r="U274" s="1"/>
      <c r="V274" s="1"/>
      <c r="W274" s="1"/>
      <c r="X274" s="1"/>
      <c r="Y274" s="1"/>
    </row>
    <row r="275" spans="1:25" x14ac:dyDescent="0.25">
      <c r="A275" s="8" t="s">
        <v>10398</v>
      </c>
      <c r="C275" s="7" t="s">
        <v>8918</v>
      </c>
      <c r="D275">
        <f t="shared" si="4"/>
        <v>5</v>
      </c>
      <c r="I275" s="1" t="s">
        <v>90</v>
      </c>
      <c r="J275" s="1" t="s">
        <v>996</v>
      </c>
      <c r="K275" s="1" t="s">
        <v>25</v>
      </c>
      <c r="L275" s="1" t="s">
        <v>923</v>
      </c>
      <c r="M275" s="1" t="s">
        <v>997</v>
      </c>
      <c r="N275" s="1" t="s">
        <v>927</v>
      </c>
      <c r="O275" s="1" t="s">
        <v>998</v>
      </c>
      <c r="P275" s="1" t="s">
        <v>1086</v>
      </c>
      <c r="Q275" s="1" t="s">
        <v>994</v>
      </c>
      <c r="R275" s="1"/>
      <c r="S275" s="1"/>
      <c r="T275" s="1"/>
      <c r="U275" s="1"/>
      <c r="V275" s="1"/>
      <c r="W275" s="1"/>
      <c r="X275" s="1"/>
      <c r="Y275" s="1"/>
    </row>
    <row r="276" spans="1:25" x14ac:dyDescent="0.25">
      <c r="A276" s="8" t="s">
        <v>10628</v>
      </c>
      <c r="C276" s="7" t="s">
        <v>7491</v>
      </c>
      <c r="D276">
        <f t="shared" si="4"/>
        <v>5</v>
      </c>
      <c r="I276" s="1" t="s">
        <v>25</v>
      </c>
      <c r="J276" s="1" t="s">
        <v>997</v>
      </c>
      <c r="K276" s="1" t="s">
        <v>927</v>
      </c>
      <c r="L276" s="1" t="s">
        <v>998</v>
      </c>
      <c r="M276" s="1" t="s">
        <v>920</v>
      </c>
      <c r="N276" s="1" t="s">
        <v>933</v>
      </c>
      <c r="O276" s="1" t="s">
        <v>994</v>
      </c>
      <c r="P276" s="1" t="s">
        <v>923</v>
      </c>
      <c r="Q276" s="1" t="s">
        <v>916</v>
      </c>
      <c r="R276" s="1"/>
      <c r="S276" s="1"/>
      <c r="T276" s="1"/>
      <c r="U276" s="1"/>
      <c r="V276" s="1"/>
      <c r="W276" s="1"/>
      <c r="X276" s="1"/>
      <c r="Y276" s="1"/>
    </row>
    <row r="277" spans="1:25" x14ac:dyDescent="0.25">
      <c r="A277" s="7" t="s">
        <v>5550</v>
      </c>
      <c r="C277" s="7" t="s">
        <v>7085</v>
      </c>
      <c r="D277">
        <f t="shared" si="4"/>
        <v>5</v>
      </c>
      <c r="I277" s="1" t="s">
        <v>1001</v>
      </c>
      <c r="J277" s="1" t="s">
        <v>927</v>
      </c>
      <c r="K277" s="1" t="s">
        <v>919</v>
      </c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x14ac:dyDescent="0.25">
      <c r="A278" s="8" t="s">
        <v>5550</v>
      </c>
      <c r="C278" s="7" t="s">
        <v>6502</v>
      </c>
      <c r="D278">
        <f t="shared" si="4"/>
        <v>5</v>
      </c>
      <c r="I278" s="1" t="s">
        <v>981</v>
      </c>
      <c r="J278" s="1" t="s">
        <v>983</v>
      </c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x14ac:dyDescent="0.25">
      <c r="A279" s="8" t="s">
        <v>5550</v>
      </c>
      <c r="C279" s="7" t="s">
        <v>6763</v>
      </c>
      <c r="D279">
        <f t="shared" si="4"/>
        <v>5</v>
      </c>
      <c r="I279" s="1" t="s">
        <v>981</v>
      </c>
      <c r="J279" s="1" t="s">
        <v>1019</v>
      </c>
      <c r="K279" s="1" t="s">
        <v>983</v>
      </c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x14ac:dyDescent="0.25">
      <c r="A280" s="8" t="s">
        <v>5550</v>
      </c>
      <c r="C280" s="7" t="s">
        <v>9058</v>
      </c>
      <c r="D280">
        <f t="shared" si="4"/>
        <v>5</v>
      </c>
      <c r="I280" s="1" t="s">
        <v>996</v>
      </c>
      <c r="J280" s="1" t="s">
        <v>25</v>
      </c>
      <c r="K280" s="1" t="s">
        <v>997</v>
      </c>
      <c r="L280" s="1" t="s">
        <v>927</v>
      </c>
      <c r="M280" s="1" t="s">
        <v>998</v>
      </c>
      <c r="N280" s="1" t="s">
        <v>933</v>
      </c>
      <c r="O280" s="1" t="s">
        <v>993</v>
      </c>
      <c r="P280" s="1" t="s">
        <v>994</v>
      </c>
      <c r="Q280" s="1"/>
      <c r="R280" s="1"/>
      <c r="S280" s="1"/>
      <c r="T280" s="1"/>
      <c r="U280" s="1"/>
      <c r="V280" s="1"/>
      <c r="W280" s="1"/>
      <c r="X280" s="1"/>
      <c r="Y280" s="1"/>
    </row>
    <row r="281" spans="1:25" x14ac:dyDescent="0.25">
      <c r="A281" s="8" t="s">
        <v>5550</v>
      </c>
      <c r="C281" s="7" t="s">
        <v>387</v>
      </c>
      <c r="D281">
        <f t="shared" si="4"/>
        <v>5</v>
      </c>
      <c r="I281" s="1" t="s">
        <v>934</v>
      </c>
      <c r="J281" s="1" t="s">
        <v>918</v>
      </c>
      <c r="K281" s="1" t="s">
        <v>25</v>
      </c>
      <c r="L281" s="1" t="s">
        <v>919</v>
      </c>
      <c r="M281" s="1" t="s">
        <v>920</v>
      </c>
      <c r="N281" s="1" t="s">
        <v>924</v>
      </c>
      <c r="O281" s="1" t="s">
        <v>946</v>
      </c>
      <c r="P281" s="1" t="s">
        <v>921</v>
      </c>
      <c r="Q281" s="1" t="s">
        <v>922</v>
      </c>
      <c r="R281" s="1" t="s">
        <v>972</v>
      </c>
      <c r="S281" s="1" t="s">
        <v>929</v>
      </c>
      <c r="T281" s="1"/>
      <c r="U281" s="1"/>
      <c r="V281" s="1"/>
      <c r="W281" s="1"/>
      <c r="X281" s="1"/>
      <c r="Y281" s="1"/>
    </row>
    <row r="282" spans="1:25" x14ac:dyDescent="0.25">
      <c r="A282" s="8" t="s">
        <v>5550</v>
      </c>
      <c r="C282" s="7" t="s">
        <v>9288</v>
      </c>
      <c r="D282">
        <f t="shared" si="4"/>
        <v>5</v>
      </c>
      <c r="I282" s="1" t="s">
        <v>933</v>
      </c>
      <c r="J282" s="1" t="s">
        <v>1141</v>
      </c>
      <c r="K282" s="1" t="s">
        <v>1066</v>
      </c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x14ac:dyDescent="0.25">
      <c r="A283" s="8" t="s">
        <v>5550</v>
      </c>
      <c r="C283" s="7" t="s">
        <v>9394</v>
      </c>
      <c r="D283">
        <f t="shared" si="4"/>
        <v>5</v>
      </c>
      <c r="I283" s="1" t="s">
        <v>996</v>
      </c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x14ac:dyDescent="0.25">
      <c r="A284" s="8" t="s">
        <v>10016</v>
      </c>
      <c r="C284" s="7" t="s">
        <v>6023</v>
      </c>
      <c r="D284">
        <f t="shared" si="4"/>
        <v>5</v>
      </c>
      <c r="I284" s="1" t="s">
        <v>50</v>
      </c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x14ac:dyDescent="0.25">
      <c r="A285" s="7" t="s">
        <v>3245</v>
      </c>
      <c r="C285" s="7" t="s">
        <v>9425</v>
      </c>
      <c r="D285">
        <f t="shared" si="4"/>
        <v>5</v>
      </c>
      <c r="I285" s="1" t="s">
        <v>998</v>
      </c>
      <c r="J285" s="1" t="s">
        <v>933</v>
      </c>
      <c r="K285" s="1" t="s">
        <v>994</v>
      </c>
      <c r="L285" s="1" t="s">
        <v>927</v>
      </c>
      <c r="M285" s="1" t="s">
        <v>992</v>
      </c>
      <c r="N285" s="1" t="s">
        <v>981</v>
      </c>
      <c r="O285" s="1" t="s">
        <v>993</v>
      </c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x14ac:dyDescent="0.25">
      <c r="A286" s="7" t="s">
        <v>3245</v>
      </c>
      <c r="C286" s="7" t="s">
        <v>4617</v>
      </c>
      <c r="D286">
        <f t="shared" si="4"/>
        <v>5</v>
      </c>
      <c r="I286" s="1" t="s">
        <v>50</v>
      </c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x14ac:dyDescent="0.25">
      <c r="A287" s="8" t="s">
        <v>9586</v>
      </c>
      <c r="C287" s="7" t="s">
        <v>7750</v>
      </c>
      <c r="D287">
        <f t="shared" si="4"/>
        <v>5</v>
      </c>
      <c r="I287" s="1" t="s">
        <v>933</v>
      </c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x14ac:dyDescent="0.25">
      <c r="A288" s="7" t="s">
        <v>5781</v>
      </c>
      <c r="C288" s="7" t="s">
        <v>10391</v>
      </c>
      <c r="D288">
        <f t="shared" si="4"/>
        <v>4</v>
      </c>
      <c r="I288" s="1" t="s">
        <v>997</v>
      </c>
      <c r="J288" s="1" t="s">
        <v>10775</v>
      </c>
      <c r="K288" s="1" t="s">
        <v>994</v>
      </c>
      <c r="L288" s="1" t="s">
        <v>1066</v>
      </c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x14ac:dyDescent="0.25">
      <c r="A289" s="7" t="s">
        <v>5781</v>
      </c>
      <c r="C289" s="7" t="s">
        <v>2847</v>
      </c>
      <c r="D289">
        <f t="shared" si="4"/>
        <v>4</v>
      </c>
      <c r="I289" s="1" t="s">
        <v>10776</v>
      </c>
      <c r="J289" s="1" t="s">
        <v>10777</v>
      </c>
      <c r="K289" s="1" t="s">
        <v>10778</v>
      </c>
      <c r="L289" s="1" t="s">
        <v>999</v>
      </c>
      <c r="M289" s="1" t="s">
        <v>921</v>
      </c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x14ac:dyDescent="0.25">
      <c r="A290" s="7" t="s">
        <v>5781</v>
      </c>
      <c r="C290" s="7" t="s">
        <v>5660</v>
      </c>
      <c r="D290">
        <f t="shared" si="4"/>
        <v>4</v>
      </c>
      <c r="I290" s="1" t="s">
        <v>50</v>
      </c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x14ac:dyDescent="0.25">
      <c r="A291" s="8" t="s">
        <v>5781</v>
      </c>
      <c r="C291" s="8" t="s">
        <v>9183</v>
      </c>
      <c r="D291">
        <f t="shared" si="4"/>
        <v>4</v>
      </c>
      <c r="I291" s="1" t="s">
        <v>50</v>
      </c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x14ac:dyDescent="0.25">
      <c r="A292" s="8" t="s">
        <v>5781</v>
      </c>
      <c r="C292" s="7" t="s">
        <v>2177</v>
      </c>
      <c r="D292">
        <f t="shared" si="4"/>
        <v>4</v>
      </c>
      <c r="I292" s="1" t="s">
        <v>999</v>
      </c>
      <c r="J292" s="1" t="s">
        <v>993</v>
      </c>
      <c r="K292" s="1" t="s">
        <v>994</v>
      </c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x14ac:dyDescent="0.25">
      <c r="A293" s="8" t="s">
        <v>5781</v>
      </c>
      <c r="C293" s="7" t="s">
        <v>9923</v>
      </c>
      <c r="D293">
        <f t="shared" si="4"/>
        <v>4</v>
      </c>
      <c r="I293" s="1" t="s">
        <v>2331</v>
      </c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x14ac:dyDescent="0.25">
      <c r="A294" s="8" t="s">
        <v>10622</v>
      </c>
      <c r="C294" s="7" t="s">
        <v>7744</v>
      </c>
      <c r="D294">
        <f t="shared" si="4"/>
        <v>4</v>
      </c>
      <c r="I294" s="1" t="s">
        <v>1001</v>
      </c>
      <c r="J294" s="1" t="s">
        <v>992</v>
      </c>
      <c r="K294" s="1" t="s">
        <v>981</v>
      </c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x14ac:dyDescent="0.25">
      <c r="A295" s="8" t="s">
        <v>9315</v>
      </c>
      <c r="C295" s="7" t="s">
        <v>6615</v>
      </c>
      <c r="D295">
        <f t="shared" si="4"/>
        <v>4</v>
      </c>
      <c r="I295" s="1" t="s">
        <v>994</v>
      </c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x14ac:dyDescent="0.25">
      <c r="A296" s="8" t="s">
        <v>9315</v>
      </c>
      <c r="C296" s="7" t="s">
        <v>6194</v>
      </c>
      <c r="D296">
        <f t="shared" si="4"/>
        <v>4</v>
      </c>
      <c r="I296" s="1" t="s">
        <v>50</v>
      </c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x14ac:dyDescent="0.25">
      <c r="A297" s="8" t="s">
        <v>9315</v>
      </c>
      <c r="C297" s="7" t="s">
        <v>8882</v>
      </c>
      <c r="D297">
        <f t="shared" si="4"/>
        <v>4</v>
      </c>
      <c r="I297" s="1" t="s">
        <v>50</v>
      </c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x14ac:dyDescent="0.25">
      <c r="A298" s="8" t="s">
        <v>9315</v>
      </c>
      <c r="C298" s="7" t="s">
        <v>6495</v>
      </c>
      <c r="D298">
        <f t="shared" si="4"/>
        <v>4</v>
      </c>
      <c r="I298" s="1" t="s">
        <v>934</v>
      </c>
      <c r="J298" s="1" t="s">
        <v>948</v>
      </c>
      <c r="K298" s="1" t="s">
        <v>918</v>
      </c>
      <c r="L298" s="1" t="s">
        <v>949</v>
      </c>
      <c r="M298" s="1" t="s">
        <v>25</v>
      </c>
      <c r="N298" s="1" t="s">
        <v>916</v>
      </c>
      <c r="O298" s="1" t="s">
        <v>919</v>
      </c>
      <c r="P298" s="1" t="s">
        <v>920</v>
      </c>
      <c r="Q298" s="1" t="s">
        <v>328</v>
      </c>
      <c r="R298" s="1" t="s">
        <v>950</v>
      </c>
      <c r="S298" s="1" t="s">
        <v>921</v>
      </c>
      <c r="T298" s="1" t="s">
        <v>923</v>
      </c>
      <c r="U298" s="1" t="s">
        <v>973</v>
      </c>
      <c r="V298" s="1" t="s">
        <v>954</v>
      </c>
      <c r="W298" s="1" t="s">
        <v>974</v>
      </c>
      <c r="X298" s="1"/>
      <c r="Y298" s="1"/>
    </row>
    <row r="299" spans="1:25" x14ac:dyDescent="0.25">
      <c r="A299" s="8" t="s">
        <v>9315</v>
      </c>
      <c r="C299" s="8" t="s">
        <v>9012</v>
      </c>
      <c r="D299">
        <f t="shared" si="4"/>
        <v>4</v>
      </c>
      <c r="I299" s="1" t="s">
        <v>1002</v>
      </c>
      <c r="J299" s="1" t="s">
        <v>1003</v>
      </c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x14ac:dyDescent="0.25">
      <c r="A300" s="8" t="s">
        <v>10594</v>
      </c>
      <c r="C300" s="8" t="s">
        <v>9270</v>
      </c>
      <c r="D300">
        <f t="shared" si="4"/>
        <v>4</v>
      </c>
      <c r="I300" s="1" t="s">
        <v>1002</v>
      </c>
      <c r="J300" s="1" t="s">
        <v>1003</v>
      </c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x14ac:dyDescent="0.25">
      <c r="A301" s="8" t="s">
        <v>9310</v>
      </c>
      <c r="C301" s="8" t="s">
        <v>9642</v>
      </c>
      <c r="D301">
        <f t="shared" si="4"/>
        <v>4</v>
      </c>
      <c r="I301" s="1" t="s">
        <v>1002</v>
      </c>
      <c r="J301" s="1" t="s">
        <v>1003</v>
      </c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x14ac:dyDescent="0.25">
      <c r="A302" s="8" t="s">
        <v>9310</v>
      </c>
      <c r="C302" s="7" t="s">
        <v>2255</v>
      </c>
      <c r="D302">
        <f t="shared" si="4"/>
        <v>4</v>
      </c>
      <c r="I302" s="1" t="s">
        <v>998</v>
      </c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x14ac:dyDescent="0.25">
      <c r="A303" s="8" t="s">
        <v>10025</v>
      </c>
      <c r="C303" s="7" t="s">
        <v>8964</v>
      </c>
      <c r="D303">
        <f t="shared" si="4"/>
        <v>4</v>
      </c>
      <c r="I303" s="1" t="s">
        <v>918</v>
      </c>
      <c r="J303" s="1" t="s">
        <v>10779</v>
      </c>
      <c r="K303" s="1" t="s">
        <v>919</v>
      </c>
      <c r="L303" s="1" t="s">
        <v>936</v>
      </c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x14ac:dyDescent="0.25">
      <c r="A304" s="8" t="s">
        <v>9412</v>
      </c>
      <c r="C304" s="7" t="s">
        <v>3821</v>
      </c>
      <c r="D304">
        <f t="shared" si="4"/>
        <v>4</v>
      </c>
      <c r="I304" s="1" t="s">
        <v>918</v>
      </c>
      <c r="J304" s="1" t="s">
        <v>952</v>
      </c>
      <c r="K304" s="1" t="s">
        <v>919</v>
      </c>
      <c r="L304" s="1" t="s">
        <v>1020</v>
      </c>
      <c r="M304" s="1" t="s">
        <v>936</v>
      </c>
      <c r="N304" s="1" t="s">
        <v>1037</v>
      </c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x14ac:dyDescent="0.25">
      <c r="A305" s="8" t="s">
        <v>9801</v>
      </c>
      <c r="C305" s="8" t="s">
        <v>10642</v>
      </c>
      <c r="D305">
        <f t="shared" si="4"/>
        <v>4</v>
      </c>
      <c r="I305" s="1" t="s">
        <v>975</v>
      </c>
      <c r="J305" s="1" t="s">
        <v>923</v>
      </c>
      <c r="K305" s="1" t="s">
        <v>976</v>
      </c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x14ac:dyDescent="0.25">
      <c r="A306" s="8" t="s">
        <v>10618</v>
      </c>
      <c r="C306" s="7" t="s">
        <v>4801</v>
      </c>
      <c r="D306">
        <f t="shared" si="4"/>
        <v>4</v>
      </c>
      <c r="I306" s="1" t="s">
        <v>975</v>
      </c>
      <c r="J306" s="1" t="s">
        <v>923</v>
      </c>
      <c r="K306" s="1" t="s">
        <v>976</v>
      </c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x14ac:dyDescent="0.25">
      <c r="A307" s="7" t="s">
        <v>9699</v>
      </c>
      <c r="C307" s="7" t="s">
        <v>6651</v>
      </c>
      <c r="D307">
        <f t="shared" si="4"/>
        <v>4</v>
      </c>
      <c r="I307" s="1" t="s">
        <v>975</v>
      </c>
      <c r="J307" s="1" t="s">
        <v>923</v>
      </c>
      <c r="K307" s="1" t="s">
        <v>976</v>
      </c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x14ac:dyDescent="0.25">
      <c r="A308" s="7" t="s">
        <v>3503</v>
      </c>
      <c r="C308" s="8" t="s">
        <v>9275</v>
      </c>
      <c r="D308">
        <f t="shared" si="4"/>
        <v>4</v>
      </c>
      <c r="I308" s="1" t="s">
        <v>975</v>
      </c>
      <c r="J308" s="1" t="s">
        <v>923</v>
      </c>
      <c r="K308" s="1" t="s">
        <v>976</v>
      </c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x14ac:dyDescent="0.25">
      <c r="A309" s="7" t="s">
        <v>3503</v>
      </c>
      <c r="C309" s="7" t="s">
        <v>6936</v>
      </c>
      <c r="D309">
        <f t="shared" si="4"/>
        <v>4</v>
      </c>
      <c r="I309" s="1" t="s">
        <v>975</v>
      </c>
      <c r="J309" s="1" t="s">
        <v>923</v>
      </c>
      <c r="K309" s="1" t="s">
        <v>976</v>
      </c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x14ac:dyDescent="0.25">
      <c r="A310" s="7" t="s">
        <v>3503</v>
      </c>
      <c r="C310" s="7" t="s">
        <v>9367</v>
      </c>
      <c r="D310">
        <f t="shared" si="4"/>
        <v>4</v>
      </c>
      <c r="I310" s="1" t="s">
        <v>975</v>
      </c>
      <c r="J310" s="1" t="s">
        <v>923</v>
      </c>
      <c r="K310" s="1" t="s">
        <v>976</v>
      </c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x14ac:dyDescent="0.25">
      <c r="A311" s="7" t="s">
        <v>3503</v>
      </c>
      <c r="C311" s="7" t="s">
        <v>9663</v>
      </c>
      <c r="D311">
        <f t="shared" si="4"/>
        <v>4</v>
      </c>
      <c r="I311" s="1" t="s">
        <v>975</v>
      </c>
      <c r="J311" s="1" t="s">
        <v>923</v>
      </c>
      <c r="K311" s="1" t="s">
        <v>976</v>
      </c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x14ac:dyDescent="0.25">
      <c r="A312" s="7" t="s">
        <v>3503</v>
      </c>
      <c r="C312" s="7" t="s">
        <v>9594</v>
      </c>
      <c r="D312">
        <f t="shared" si="4"/>
        <v>4</v>
      </c>
      <c r="I312" s="1" t="s">
        <v>975</v>
      </c>
      <c r="J312" s="1" t="s">
        <v>923</v>
      </c>
      <c r="K312" s="1" t="s">
        <v>976</v>
      </c>
      <c r="L312" s="1" t="s">
        <v>10724</v>
      </c>
      <c r="M312" s="1" t="s">
        <v>1058</v>
      </c>
      <c r="N312" s="1" t="s">
        <v>1041</v>
      </c>
      <c r="O312" s="1" t="s">
        <v>1087</v>
      </c>
      <c r="P312" s="1" t="s">
        <v>1091</v>
      </c>
      <c r="Q312" s="1" t="s">
        <v>1060</v>
      </c>
      <c r="R312" s="1"/>
      <c r="S312" s="1"/>
      <c r="T312" s="1"/>
      <c r="U312" s="1"/>
      <c r="V312" s="1"/>
      <c r="W312" s="1"/>
      <c r="X312" s="1"/>
      <c r="Y312" s="1"/>
    </row>
    <row r="313" spans="1:25" x14ac:dyDescent="0.25">
      <c r="A313" s="7" t="s">
        <v>3503</v>
      </c>
      <c r="C313" s="7" t="s">
        <v>3328</v>
      </c>
      <c r="D313">
        <f t="shared" si="4"/>
        <v>4</v>
      </c>
      <c r="I313" s="1" t="s">
        <v>975</v>
      </c>
      <c r="J313" s="1" t="s">
        <v>923</v>
      </c>
      <c r="K313" s="1" t="s">
        <v>976</v>
      </c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x14ac:dyDescent="0.25">
      <c r="A314" s="7" t="s">
        <v>3503</v>
      </c>
      <c r="C314" s="7" t="s">
        <v>7887</v>
      </c>
      <c r="D314">
        <f t="shared" si="4"/>
        <v>4</v>
      </c>
      <c r="I314" s="1" t="s">
        <v>975</v>
      </c>
      <c r="J314" s="1" t="s">
        <v>923</v>
      </c>
      <c r="K314" s="1" t="s">
        <v>976</v>
      </c>
      <c r="L314" s="1" t="s">
        <v>958</v>
      </c>
      <c r="M314" s="1" t="s">
        <v>977</v>
      </c>
      <c r="N314" s="1" t="s">
        <v>978</v>
      </c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x14ac:dyDescent="0.25">
      <c r="A315" s="7" t="s">
        <v>3503</v>
      </c>
      <c r="C315" s="7" t="s">
        <v>363</v>
      </c>
      <c r="D315">
        <f t="shared" si="4"/>
        <v>4</v>
      </c>
      <c r="I315" s="1" t="s">
        <v>975</v>
      </c>
      <c r="J315" s="1" t="s">
        <v>923</v>
      </c>
      <c r="K315" s="1" t="s">
        <v>976</v>
      </c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x14ac:dyDescent="0.25">
      <c r="A316" s="8" t="s">
        <v>3503</v>
      </c>
      <c r="C316" s="7" t="s">
        <v>8854</v>
      </c>
      <c r="D316">
        <f t="shared" si="4"/>
        <v>4</v>
      </c>
      <c r="I316" s="1" t="s">
        <v>975</v>
      </c>
      <c r="J316" s="1" t="s">
        <v>923</v>
      </c>
      <c r="K316" s="1" t="s">
        <v>976</v>
      </c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x14ac:dyDescent="0.25">
      <c r="A317" s="7" t="s">
        <v>9453</v>
      </c>
      <c r="C317" s="7" t="s">
        <v>9198</v>
      </c>
      <c r="D317">
        <f t="shared" si="4"/>
        <v>4</v>
      </c>
      <c r="I317" s="1" t="s">
        <v>918</v>
      </c>
      <c r="J317" s="1" t="s">
        <v>955</v>
      </c>
      <c r="K317" s="1" t="s">
        <v>943</v>
      </c>
      <c r="L317" s="1" t="s">
        <v>919</v>
      </c>
      <c r="M317" s="1" t="s">
        <v>924</v>
      </c>
      <c r="N317" s="1" t="s">
        <v>945</v>
      </c>
      <c r="O317" s="1" t="s">
        <v>10780</v>
      </c>
      <c r="P317" s="1" t="s">
        <v>1013</v>
      </c>
      <c r="Q317" s="1"/>
      <c r="R317" s="1"/>
      <c r="S317" s="1"/>
      <c r="T317" s="1"/>
      <c r="U317" s="1"/>
      <c r="V317" s="1"/>
      <c r="W317" s="1"/>
      <c r="X317" s="1"/>
      <c r="Y317" s="1"/>
    </row>
    <row r="318" spans="1:25" x14ac:dyDescent="0.25">
      <c r="A318" s="7" t="s">
        <v>9449</v>
      </c>
      <c r="C318" s="7" t="s">
        <v>3171</v>
      </c>
      <c r="D318">
        <f t="shared" si="4"/>
        <v>4</v>
      </c>
      <c r="I318" s="1" t="s">
        <v>918</v>
      </c>
      <c r="J318" s="1" t="s">
        <v>25</v>
      </c>
      <c r="K318" s="1" t="s">
        <v>916</v>
      </c>
      <c r="L318" s="1" t="s">
        <v>920</v>
      </c>
      <c r="M318" s="1" t="s">
        <v>921</v>
      </c>
      <c r="N318" s="1" t="s">
        <v>922</v>
      </c>
      <c r="O318" s="1" t="s">
        <v>923</v>
      </c>
      <c r="P318" s="1" t="s">
        <v>973</v>
      </c>
      <c r="Q318" s="1" t="s">
        <v>954</v>
      </c>
      <c r="R318" s="1" t="s">
        <v>974</v>
      </c>
      <c r="S318" s="1"/>
      <c r="T318" s="1"/>
      <c r="U318" s="1"/>
      <c r="V318" s="1"/>
      <c r="W318" s="1"/>
      <c r="X318" s="1"/>
      <c r="Y318" s="1"/>
    </row>
    <row r="319" spans="1:25" x14ac:dyDescent="0.25">
      <c r="A319" s="8" t="s">
        <v>9449</v>
      </c>
      <c r="C319" s="8" t="s">
        <v>9611</v>
      </c>
      <c r="D319">
        <f t="shared" si="4"/>
        <v>4</v>
      </c>
      <c r="I319" s="1" t="s">
        <v>918</v>
      </c>
      <c r="J319" s="1" t="s">
        <v>8695</v>
      </c>
      <c r="K319" s="1" t="s">
        <v>919</v>
      </c>
      <c r="L319" s="1" t="s">
        <v>1020</v>
      </c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x14ac:dyDescent="0.25">
      <c r="A320" s="8" t="s">
        <v>9183</v>
      </c>
      <c r="C320" s="8" t="s">
        <v>9202</v>
      </c>
      <c r="D320">
        <f t="shared" si="4"/>
        <v>4</v>
      </c>
      <c r="I320" s="1" t="s">
        <v>918</v>
      </c>
      <c r="J320" s="1" t="s">
        <v>955</v>
      </c>
      <c r="K320" s="1" t="s">
        <v>943</v>
      </c>
      <c r="L320" s="1" t="s">
        <v>919</v>
      </c>
      <c r="M320" s="1" t="s">
        <v>924</v>
      </c>
      <c r="N320" s="1" t="s">
        <v>945</v>
      </c>
      <c r="O320" s="1" t="s">
        <v>10780</v>
      </c>
      <c r="P320" s="1" t="s">
        <v>1013</v>
      </c>
      <c r="Q320" s="1"/>
      <c r="R320" s="1"/>
      <c r="S320" s="1"/>
      <c r="T320" s="1"/>
      <c r="U320" s="1"/>
      <c r="V320" s="1"/>
      <c r="W320" s="1"/>
      <c r="X320" s="1"/>
      <c r="Y320" s="1"/>
    </row>
    <row r="321" spans="1:25" x14ac:dyDescent="0.25">
      <c r="A321" s="8" t="s">
        <v>9183</v>
      </c>
      <c r="C321" s="7" t="s">
        <v>8944</v>
      </c>
      <c r="D321">
        <f t="shared" si="4"/>
        <v>4</v>
      </c>
      <c r="I321" s="1" t="s">
        <v>918</v>
      </c>
      <c r="J321" s="1" t="s">
        <v>955</v>
      </c>
      <c r="K321" s="1" t="s">
        <v>943</v>
      </c>
      <c r="L321" s="1" t="s">
        <v>919</v>
      </c>
      <c r="M321" s="1" t="s">
        <v>924</v>
      </c>
      <c r="N321" s="1" t="s">
        <v>945</v>
      </c>
      <c r="O321" s="1" t="s">
        <v>8695</v>
      </c>
      <c r="P321" s="1" t="s">
        <v>1020</v>
      </c>
      <c r="Q321" s="1"/>
      <c r="R321" s="1"/>
      <c r="S321" s="1"/>
      <c r="T321" s="1"/>
      <c r="U321" s="1"/>
      <c r="V321" s="1"/>
      <c r="W321" s="1"/>
      <c r="X321" s="1"/>
      <c r="Y321" s="1"/>
    </row>
    <row r="322" spans="1:25" x14ac:dyDescent="0.25">
      <c r="A322" s="8" t="s">
        <v>9183</v>
      </c>
      <c r="C322" s="7" t="s">
        <v>351</v>
      </c>
      <c r="D322">
        <f t="shared" ref="D322:D385" si="5">COUNTIF(A:A,C322)</f>
        <v>4</v>
      </c>
      <c r="I322" s="1" t="s">
        <v>10780</v>
      </c>
      <c r="J322" s="1" t="s">
        <v>1013</v>
      </c>
      <c r="K322" s="1" t="s">
        <v>918</v>
      </c>
      <c r="L322" s="1" t="s">
        <v>919</v>
      </c>
      <c r="M322" s="1" t="s">
        <v>924</v>
      </c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x14ac:dyDescent="0.25">
      <c r="A323" s="8" t="s">
        <v>9183</v>
      </c>
      <c r="C323" s="7" t="s">
        <v>661</v>
      </c>
      <c r="D323">
        <f t="shared" si="5"/>
        <v>4</v>
      </c>
      <c r="I323" s="1" t="s">
        <v>10780</v>
      </c>
      <c r="J323" s="1" t="s">
        <v>1013</v>
      </c>
      <c r="K323" s="1" t="s">
        <v>918</v>
      </c>
      <c r="L323" s="1" t="s">
        <v>919</v>
      </c>
      <c r="M323" s="1" t="s">
        <v>924</v>
      </c>
      <c r="N323" s="1" t="s">
        <v>955</v>
      </c>
      <c r="O323" s="1" t="s">
        <v>943</v>
      </c>
      <c r="P323" s="1" t="s">
        <v>945</v>
      </c>
      <c r="Q323" s="1"/>
      <c r="R323" s="1"/>
      <c r="S323" s="1"/>
      <c r="T323" s="1"/>
      <c r="U323" s="1"/>
      <c r="V323" s="1"/>
      <c r="W323" s="1"/>
      <c r="X323" s="1"/>
      <c r="Y323" s="1"/>
    </row>
    <row r="324" spans="1:25" x14ac:dyDescent="0.25">
      <c r="A324" s="7" t="s">
        <v>3119</v>
      </c>
      <c r="C324" s="7" t="s">
        <v>9126</v>
      </c>
      <c r="D324">
        <f t="shared" si="5"/>
        <v>4</v>
      </c>
      <c r="I324" s="1" t="s">
        <v>979</v>
      </c>
      <c r="J324" s="1" t="s">
        <v>980</v>
      </c>
      <c r="K324" s="1" t="s">
        <v>975</v>
      </c>
      <c r="L324" s="1" t="s">
        <v>25</v>
      </c>
      <c r="M324" s="1" t="s">
        <v>981</v>
      </c>
      <c r="N324" s="1" t="s">
        <v>982</v>
      </c>
      <c r="O324" s="1" t="s">
        <v>921</v>
      </c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x14ac:dyDescent="0.25">
      <c r="A325" s="7" t="s">
        <v>6116</v>
      </c>
      <c r="C325" s="7" t="s">
        <v>3396</v>
      </c>
      <c r="D325">
        <f t="shared" si="5"/>
        <v>4</v>
      </c>
      <c r="I325" s="1" t="s">
        <v>935</v>
      </c>
      <c r="J325" s="1" t="s">
        <v>920</v>
      </c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x14ac:dyDescent="0.25">
      <c r="A326" s="7" t="s">
        <v>434</v>
      </c>
      <c r="C326" s="8" t="s">
        <v>10076</v>
      </c>
      <c r="D326">
        <f t="shared" si="5"/>
        <v>4</v>
      </c>
      <c r="I326" s="1" t="s">
        <v>1001</v>
      </c>
      <c r="J326" s="1" t="s">
        <v>328</v>
      </c>
      <c r="K326" s="1" t="s">
        <v>2541</v>
      </c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x14ac:dyDescent="0.25">
      <c r="A327" s="7" t="s">
        <v>434</v>
      </c>
      <c r="C327" s="7" t="s">
        <v>3667</v>
      </c>
      <c r="D327">
        <f t="shared" si="5"/>
        <v>4</v>
      </c>
      <c r="I327" s="1" t="s">
        <v>964</v>
      </c>
      <c r="J327" s="1" t="s">
        <v>10751</v>
      </c>
      <c r="K327" s="1" t="s">
        <v>10755</v>
      </c>
      <c r="L327" s="1" t="s">
        <v>10724</v>
      </c>
      <c r="M327" s="1" t="s">
        <v>25</v>
      </c>
      <c r="N327" s="1" t="s">
        <v>4258</v>
      </c>
      <c r="O327" s="1" t="s">
        <v>931</v>
      </c>
      <c r="P327" s="1" t="s">
        <v>932</v>
      </c>
      <c r="Q327" s="1" t="s">
        <v>923</v>
      </c>
      <c r="R327" s="1" t="s">
        <v>973</v>
      </c>
      <c r="S327" s="1" t="s">
        <v>916</v>
      </c>
      <c r="T327" s="1" t="s">
        <v>920</v>
      </c>
      <c r="U327" s="1" t="s">
        <v>974</v>
      </c>
      <c r="V327" s="1"/>
      <c r="W327" s="1"/>
      <c r="X327" s="1"/>
      <c r="Y327" s="1"/>
    </row>
    <row r="328" spans="1:25" x14ac:dyDescent="0.25">
      <c r="A328" s="7" t="s">
        <v>434</v>
      </c>
      <c r="C328" s="7" t="s">
        <v>5056</v>
      </c>
      <c r="D328">
        <f t="shared" si="5"/>
        <v>4</v>
      </c>
      <c r="I328" s="1" t="s">
        <v>983</v>
      </c>
      <c r="J328" s="1" t="s">
        <v>984</v>
      </c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x14ac:dyDescent="0.25">
      <c r="A329" s="7" t="s">
        <v>8857</v>
      </c>
      <c r="C329" s="7" t="s">
        <v>6577</v>
      </c>
      <c r="D329">
        <f t="shared" si="5"/>
        <v>4</v>
      </c>
      <c r="I329" s="1" t="s">
        <v>1043</v>
      </c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x14ac:dyDescent="0.25">
      <c r="A330" s="7" t="s">
        <v>2177</v>
      </c>
      <c r="C330" s="8" t="s">
        <v>10081</v>
      </c>
      <c r="D330">
        <f t="shared" si="5"/>
        <v>4</v>
      </c>
      <c r="I330" s="1" t="s">
        <v>1043</v>
      </c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x14ac:dyDescent="0.25">
      <c r="A331" s="7" t="s">
        <v>2177</v>
      </c>
      <c r="C331" s="7" t="s">
        <v>9503</v>
      </c>
      <c r="D331">
        <f t="shared" si="5"/>
        <v>4</v>
      </c>
      <c r="I331" s="1" t="s">
        <v>1043</v>
      </c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x14ac:dyDescent="0.25">
      <c r="A332" s="7" t="s">
        <v>2177</v>
      </c>
      <c r="C332" s="7" t="s">
        <v>7650</v>
      </c>
      <c r="D332">
        <f t="shared" si="5"/>
        <v>4</v>
      </c>
      <c r="I332" s="1" t="s">
        <v>1043</v>
      </c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x14ac:dyDescent="0.25">
      <c r="A333" s="8" t="s">
        <v>2177</v>
      </c>
      <c r="C333" s="7" t="s">
        <v>6891</v>
      </c>
      <c r="D333">
        <f t="shared" si="5"/>
        <v>4</v>
      </c>
      <c r="I333" s="1" t="s">
        <v>1043</v>
      </c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x14ac:dyDescent="0.25">
      <c r="A334" s="7" t="s">
        <v>9588</v>
      </c>
      <c r="C334" s="7" t="s">
        <v>8941</v>
      </c>
      <c r="D334">
        <f t="shared" si="5"/>
        <v>4</v>
      </c>
      <c r="I334" s="1" t="s">
        <v>983</v>
      </c>
      <c r="J334" s="1" t="s">
        <v>919</v>
      </c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x14ac:dyDescent="0.25">
      <c r="A335" s="7" t="s">
        <v>9712</v>
      </c>
      <c r="C335" s="7" t="s">
        <v>7380</v>
      </c>
      <c r="D335">
        <f t="shared" si="5"/>
        <v>4</v>
      </c>
      <c r="I335" s="1" t="s">
        <v>985</v>
      </c>
      <c r="J335" s="1" t="s">
        <v>986</v>
      </c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x14ac:dyDescent="0.25">
      <c r="A336" s="7" t="s">
        <v>9365</v>
      </c>
      <c r="C336" s="8" t="s">
        <v>3191</v>
      </c>
      <c r="D336">
        <f t="shared" si="5"/>
        <v>4</v>
      </c>
      <c r="I336" s="1" t="s">
        <v>925</v>
      </c>
      <c r="J336" s="1" t="s">
        <v>927</v>
      </c>
      <c r="K336" s="1" t="s">
        <v>919</v>
      </c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x14ac:dyDescent="0.25">
      <c r="A337" s="8" t="s">
        <v>8858</v>
      </c>
      <c r="C337" s="7" t="s">
        <v>9479</v>
      </c>
      <c r="D337">
        <f t="shared" si="5"/>
        <v>4</v>
      </c>
      <c r="I337" s="1" t="s">
        <v>1001</v>
      </c>
      <c r="J337" s="1" t="s">
        <v>992</v>
      </c>
      <c r="K337" s="1" t="s">
        <v>981</v>
      </c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x14ac:dyDescent="0.25">
      <c r="A338" s="7" t="s">
        <v>7917</v>
      </c>
      <c r="C338" s="7" t="s">
        <v>3206</v>
      </c>
      <c r="D338">
        <f t="shared" si="5"/>
        <v>4</v>
      </c>
      <c r="I338" s="1" t="s">
        <v>1001</v>
      </c>
      <c r="J338" s="1" t="s">
        <v>992</v>
      </c>
      <c r="K338" s="1" t="s">
        <v>981</v>
      </c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x14ac:dyDescent="0.25">
      <c r="A339" s="7" t="s">
        <v>7917</v>
      </c>
      <c r="C339" s="7" t="s">
        <v>3377</v>
      </c>
      <c r="D339">
        <f t="shared" si="5"/>
        <v>4</v>
      </c>
      <c r="I339" s="1" t="s">
        <v>1001</v>
      </c>
      <c r="J339" s="1" t="s">
        <v>992</v>
      </c>
      <c r="K339" s="1" t="s">
        <v>981</v>
      </c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x14ac:dyDescent="0.25">
      <c r="A340" s="7" t="s">
        <v>7917</v>
      </c>
      <c r="C340" s="8" t="s">
        <v>9581</v>
      </c>
      <c r="D340">
        <f t="shared" si="5"/>
        <v>4</v>
      </c>
      <c r="I340" s="1" t="s">
        <v>1001</v>
      </c>
      <c r="J340" s="1" t="s">
        <v>992</v>
      </c>
      <c r="K340" s="1" t="s">
        <v>981</v>
      </c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x14ac:dyDescent="0.25">
      <c r="A341" s="7" t="s">
        <v>7917</v>
      </c>
      <c r="C341" s="7" t="s">
        <v>6274</v>
      </c>
      <c r="D341">
        <f t="shared" si="5"/>
        <v>4</v>
      </c>
      <c r="I341" s="1" t="s">
        <v>2476</v>
      </c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x14ac:dyDescent="0.25">
      <c r="A342" s="7" t="s">
        <v>7917</v>
      </c>
      <c r="C342" s="7" t="s">
        <v>366</v>
      </c>
      <c r="D342">
        <f t="shared" si="5"/>
        <v>4</v>
      </c>
      <c r="I342" s="1" t="s">
        <v>918</v>
      </c>
      <c r="J342" s="1" t="s">
        <v>25</v>
      </c>
      <c r="K342" s="1" t="s">
        <v>923</v>
      </c>
      <c r="L342" s="1" t="s">
        <v>973</v>
      </c>
      <c r="M342" s="1" t="s">
        <v>916</v>
      </c>
      <c r="N342" s="1" t="s">
        <v>920</v>
      </c>
      <c r="O342" s="1" t="s">
        <v>954</v>
      </c>
      <c r="P342" s="1" t="s">
        <v>974</v>
      </c>
      <c r="Q342" s="1" t="s">
        <v>921</v>
      </c>
      <c r="R342" s="1" t="s">
        <v>298</v>
      </c>
      <c r="S342" s="1" t="s">
        <v>933</v>
      </c>
      <c r="T342" s="1" t="s">
        <v>1001</v>
      </c>
      <c r="U342" s="1" t="s">
        <v>937</v>
      </c>
      <c r="V342" s="1"/>
      <c r="W342" s="1"/>
      <c r="X342" s="1"/>
      <c r="Y342" s="1"/>
    </row>
    <row r="343" spans="1:25" x14ac:dyDescent="0.25">
      <c r="A343" s="7" t="s">
        <v>7917</v>
      </c>
      <c r="C343" s="7" t="s">
        <v>10166</v>
      </c>
      <c r="D343">
        <f t="shared" si="5"/>
        <v>4</v>
      </c>
      <c r="I343" s="1" t="s">
        <v>985</v>
      </c>
      <c r="J343" s="1" t="s">
        <v>995</v>
      </c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x14ac:dyDescent="0.25">
      <c r="A344" s="7" t="s">
        <v>7917</v>
      </c>
      <c r="C344" s="7" t="s">
        <v>6902</v>
      </c>
      <c r="D344">
        <f t="shared" si="5"/>
        <v>4</v>
      </c>
      <c r="I344" s="1" t="s">
        <v>967</v>
      </c>
      <c r="J344" s="1" t="s">
        <v>968</v>
      </c>
      <c r="K344" s="1" t="s">
        <v>969</v>
      </c>
      <c r="L344" s="1" t="s">
        <v>970</v>
      </c>
      <c r="M344" s="1" t="s">
        <v>10706</v>
      </c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x14ac:dyDescent="0.25">
      <c r="A345" s="7" t="s">
        <v>7917</v>
      </c>
      <c r="C345" s="7" t="s">
        <v>8837</v>
      </c>
      <c r="D345">
        <f t="shared" si="5"/>
        <v>4</v>
      </c>
      <c r="I345" s="1" t="s">
        <v>918</v>
      </c>
      <c r="J345" s="1" t="s">
        <v>919</v>
      </c>
      <c r="K345" s="1" t="s">
        <v>936</v>
      </c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x14ac:dyDescent="0.25">
      <c r="A346" s="7" t="s">
        <v>7917</v>
      </c>
      <c r="C346" s="7" t="s">
        <v>9397</v>
      </c>
      <c r="D346">
        <f t="shared" si="5"/>
        <v>4</v>
      </c>
      <c r="I346" s="1" t="s">
        <v>918</v>
      </c>
      <c r="J346" s="1" t="s">
        <v>919</v>
      </c>
      <c r="K346" s="1" t="s">
        <v>936</v>
      </c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x14ac:dyDescent="0.25">
      <c r="A347" s="7" t="s">
        <v>7917</v>
      </c>
      <c r="C347" s="7" t="s">
        <v>5423</v>
      </c>
      <c r="D347">
        <f t="shared" si="5"/>
        <v>4</v>
      </c>
      <c r="I347" s="1" t="s">
        <v>918</v>
      </c>
      <c r="J347" s="1" t="s">
        <v>919</v>
      </c>
      <c r="K347" s="1" t="s">
        <v>936</v>
      </c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x14ac:dyDescent="0.25">
      <c r="A348" s="7" t="s">
        <v>7917</v>
      </c>
      <c r="C348" s="7" t="s">
        <v>9218</v>
      </c>
      <c r="D348">
        <f t="shared" si="5"/>
        <v>4</v>
      </c>
      <c r="I348" s="1" t="s">
        <v>918</v>
      </c>
      <c r="J348" s="1" t="s">
        <v>919</v>
      </c>
      <c r="K348" s="1" t="s">
        <v>936</v>
      </c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x14ac:dyDescent="0.25">
      <c r="A349" s="7" t="s">
        <v>7917</v>
      </c>
      <c r="C349" s="8" t="s">
        <v>8982</v>
      </c>
      <c r="D349">
        <f t="shared" si="5"/>
        <v>4</v>
      </c>
      <c r="I349" s="1" t="s">
        <v>918</v>
      </c>
      <c r="J349" s="1" t="s">
        <v>919</v>
      </c>
      <c r="K349" s="1" t="s">
        <v>936</v>
      </c>
      <c r="L349" s="1" t="s">
        <v>10781</v>
      </c>
      <c r="M349" s="1" t="s">
        <v>1085</v>
      </c>
      <c r="N349" s="1" t="s">
        <v>955</v>
      </c>
      <c r="O349" s="1" t="s">
        <v>1014</v>
      </c>
      <c r="P349" s="1" t="s">
        <v>10740</v>
      </c>
      <c r="Q349" s="1"/>
      <c r="R349" s="1"/>
      <c r="S349" s="1"/>
      <c r="T349" s="1"/>
      <c r="U349" s="1"/>
      <c r="V349" s="1"/>
      <c r="W349" s="1"/>
      <c r="X349" s="1"/>
      <c r="Y349" s="1"/>
    </row>
    <row r="350" spans="1:25" x14ac:dyDescent="0.25">
      <c r="A350" s="7" t="s">
        <v>7917</v>
      </c>
      <c r="C350" s="8" t="s">
        <v>10405</v>
      </c>
      <c r="D350">
        <f t="shared" si="5"/>
        <v>4</v>
      </c>
      <c r="I350" s="1" t="s">
        <v>918</v>
      </c>
      <c r="J350" s="1" t="s">
        <v>919</v>
      </c>
      <c r="K350" s="1" t="s">
        <v>936</v>
      </c>
      <c r="L350" s="1" t="s">
        <v>10741</v>
      </c>
      <c r="M350" s="1" t="s">
        <v>1014</v>
      </c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x14ac:dyDescent="0.25">
      <c r="A351" s="7" t="s">
        <v>7917</v>
      </c>
      <c r="C351" s="8" t="s">
        <v>9054</v>
      </c>
      <c r="D351">
        <f t="shared" si="5"/>
        <v>4</v>
      </c>
      <c r="I351" s="1" t="s">
        <v>958</v>
      </c>
      <c r="J351" s="1" t="s">
        <v>918</v>
      </c>
      <c r="K351" s="1" t="s">
        <v>919</v>
      </c>
      <c r="L351" s="1" t="s">
        <v>924</v>
      </c>
      <c r="M351" s="1" t="s">
        <v>930</v>
      </c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x14ac:dyDescent="0.25">
      <c r="A352" s="7" t="s">
        <v>7917</v>
      </c>
      <c r="C352" s="7" t="s">
        <v>10372</v>
      </c>
      <c r="D352">
        <f t="shared" si="5"/>
        <v>4</v>
      </c>
      <c r="I352" s="1" t="s">
        <v>918</v>
      </c>
      <c r="J352" s="1" t="s">
        <v>919</v>
      </c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x14ac:dyDescent="0.25">
      <c r="A353" s="7" t="s">
        <v>404</v>
      </c>
      <c r="C353" s="7" t="s">
        <v>7626</v>
      </c>
      <c r="D353">
        <f t="shared" si="5"/>
        <v>4</v>
      </c>
      <c r="I353" s="1" t="s">
        <v>918</v>
      </c>
      <c r="J353" s="1" t="s">
        <v>919</v>
      </c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x14ac:dyDescent="0.25">
      <c r="A354" s="7" t="s">
        <v>404</v>
      </c>
      <c r="C354" s="7" t="s">
        <v>10301</v>
      </c>
      <c r="D354">
        <f t="shared" si="5"/>
        <v>4</v>
      </c>
      <c r="I354" s="1" t="s">
        <v>1001</v>
      </c>
      <c r="J354" s="1" t="s">
        <v>328</v>
      </c>
      <c r="K354" s="1" t="s">
        <v>2541</v>
      </c>
      <c r="L354" s="1" t="s">
        <v>996</v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x14ac:dyDescent="0.25">
      <c r="A355" s="7" t="s">
        <v>404</v>
      </c>
      <c r="C355" s="7" t="s">
        <v>452</v>
      </c>
      <c r="D355">
        <f t="shared" si="5"/>
        <v>4</v>
      </c>
      <c r="I355" s="1" t="s">
        <v>981</v>
      </c>
      <c r="J355" s="1" t="s">
        <v>983</v>
      </c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x14ac:dyDescent="0.25">
      <c r="A356" s="7" t="s">
        <v>404</v>
      </c>
      <c r="C356" s="7" t="s">
        <v>4432</v>
      </c>
      <c r="D356">
        <f t="shared" si="5"/>
        <v>4</v>
      </c>
      <c r="I356" s="1" t="s">
        <v>981</v>
      </c>
      <c r="J356" s="1" t="s">
        <v>983</v>
      </c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x14ac:dyDescent="0.25">
      <c r="A357" s="8" t="s">
        <v>404</v>
      </c>
      <c r="C357" s="8" t="s">
        <v>9150</v>
      </c>
      <c r="D357">
        <f t="shared" si="5"/>
        <v>4</v>
      </c>
      <c r="I357" s="1" t="s">
        <v>981</v>
      </c>
      <c r="J357" s="1" t="s">
        <v>983</v>
      </c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x14ac:dyDescent="0.25">
      <c r="A358" s="7" t="s">
        <v>10436</v>
      </c>
      <c r="C358" s="8" t="s">
        <v>9172</v>
      </c>
      <c r="D358">
        <f t="shared" si="5"/>
        <v>4</v>
      </c>
      <c r="I358" s="1" t="s">
        <v>298</v>
      </c>
      <c r="J358" s="1" t="s">
        <v>1086</v>
      </c>
      <c r="K358" s="1" t="s">
        <v>933</v>
      </c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x14ac:dyDescent="0.25">
      <c r="A359" s="7" t="s">
        <v>10436</v>
      </c>
      <c r="C359" s="7" t="s">
        <v>7106</v>
      </c>
      <c r="D359">
        <f t="shared" si="5"/>
        <v>4</v>
      </c>
      <c r="I359" s="1" t="s">
        <v>1150</v>
      </c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x14ac:dyDescent="0.25">
      <c r="A360" s="8" t="s">
        <v>9141</v>
      </c>
      <c r="C360" s="7" t="s">
        <v>2928</v>
      </c>
      <c r="D360">
        <f t="shared" si="5"/>
        <v>4</v>
      </c>
      <c r="I360" s="1" t="s">
        <v>50</v>
      </c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x14ac:dyDescent="0.25">
      <c r="A361" s="7" t="s">
        <v>8992</v>
      </c>
      <c r="C361" s="8" t="s">
        <v>9999</v>
      </c>
      <c r="D361">
        <f t="shared" si="5"/>
        <v>4</v>
      </c>
      <c r="I361" s="1" t="s">
        <v>983</v>
      </c>
      <c r="J361" s="1" t="s">
        <v>984</v>
      </c>
      <c r="K361" s="1" t="s">
        <v>935</v>
      </c>
      <c r="L361" s="1" t="s">
        <v>1000</v>
      </c>
      <c r="M361" s="1" t="s">
        <v>921</v>
      </c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x14ac:dyDescent="0.25">
      <c r="A362" s="7" t="s">
        <v>8992</v>
      </c>
      <c r="C362" s="7" t="s">
        <v>5986</v>
      </c>
      <c r="D362">
        <f t="shared" si="5"/>
        <v>4</v>
      </c>
      <c r="I362" s="1" t="s">
        <v>987</v>
      </c>
      <c r="J362" s="1" t="s">
        <v>939</v>
      </c>
      <c r="K362" s="1" t="s">
        <v>988</v>
      </c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x14ac:dyDescent="0.25">
      <c r="A363" s="8" t="s">
        <v>8992</v>
      </c>
      <c r="C363" s="7" t="s">
        <v>9291</v>
      </c>
      <c r="D363">
        <f t="shared" si="5"/>
        <v>4</v>
      </c>
      <c r="I363" s="1" t="s">
        <v>918</v>
      </c>
      <c r="J363" s="1" t="s">
        <v>919</v>
      </c>
      <c r="K363" s="1" t="s">
        <v>930</v>
      </c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x14ac:dyDescent="0.25">
      <c r="A364" s="7" t="s">
        <v>5266</v>
      </c>
      <c r="C364" s="7" t="s">
        <v>10477</v>
      </c>
      <c r="D364">
        <f t="shared" si="5"/>
        <v>4</v>
      </c>
      <c r="I364" s="1" t="s">
        <v>25</v>
      </c>
      <c r="J364" s="1" t="s">
        <v>919</v>
      </c>
      <c r="K364" s="1" t="s">
        <v>920</v>
      </c>
      <c r="L364" s="1" t="s">
        <v>954</v>
      </c>
      <c r="M364" s="1" t="s">
        <v>989</v>
      </c>
      <c r="N364" s="1" t="s">
        <v>990</v>
      </c>
      <c r="O364" s="1" t="s">
        <v>991</v>
      </c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x14ac:dyDescent="0.25">
      <c r="A365" s="7" t="s">
        <v>5266</v>
      </c>
      <c r="C365" s="8" t="s">
        <v>9065</v>
      </c>
      <c r="D365">
        <f t="shared" si="5"/>
        <v>4</v>
      </c>
      <c r="I365" s="1" t="s">
        <v>2517</v>
      </c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x14ac:dyDescent="0.25">
      <c r="A366" s="7" t="s">
        <v>5266</v>
      </c>
      <c r="C366" s="7" t="s">
        <v>9753</v>
      </c>
      <c r="D366">
        <f t="shared" si="5"/>
        <v>4</v>
      </c>
      <c r="I366" s="1" t="s">
        <v>923</v>
      </c>
      <c r="J366" s="1" t="s">
        <v>1113</v>
      </c>
      <c r="K366" s="1" t="s">
        <v>328</v>
      </c>
      <c r="L366" s="1" t="s">
        <v>1108</v>
      </c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x14ac:dyDescent="0.25">
      <c r="A367" s="7" t="s">
        <v>8456</v>
      </c>
      <c r="C367" s="7" t="s">
        <v>10091</v>
      </c>
      <c r="D367">
        <f t="shared" si="5"/>
        <v>4</v>
      </c>
      <c r="I367" s="1" t="s">
        <v>996</v>
      </c>
      <c r="J367" s="1" t="s">
        <v>25</v>
      </c>
      <c r="K367" s="1" t="s">
        <v>997</v>
      </c>
      <c r="L367" s="1" t="s">
        <v>927</v>
      </c>
      <c r="M367" s="1" t="s">
        <v>998</v>
      </c>
      <c r="N367" s="1" t="s">
        <v>933</v>
      </c>
      <c r="O367" s="1" t="s">
        <v>993</v>
      </c>
      <c r="P367" s="1" t="s">
        <v>994</v>
      </c>
      <c r="Q367" s="1" t="s">
        <v>10782</v>
      </c>
      <c r="R367" s="1"/>
      <c r="S367" s="1"/>
      <c r="T367" s="1"/>
      <c r="U367" s="1"/>
      <c r="V367" s="1"/>
      <c r="W367" s="1"/>
      <c r="X367" s="1"/>
      <c r="Y367" s="1"/>
    </row>
    <row r="368" spans="1:25" x14ac:dyDescent="0.25">
      <c r="A368" s="7" t="s">
        <v>8456</v>
      </c>
      <c r="C368" s="8" t="s">
        <v>10194</v>
      </c>
      <c r="D368">
        <f t="shared" si="5"/>
        <v>4</v>
      </c>
      <c r="I368" s="1" t="s">
        <v>992</v>
      </c>
      <c r="J368" s="1" t="s">
        <v>993</v>
      </c>
      <c r="K368" s="1" t="s">
        <v>994</v>
      </c>
      <c r="L368" s="1" t="s">
        <v>927</v>
      </c>
      <c r="M368" s="1" t="s">
        <v>981</v>
      </c>
      <c r="N368" s="1" t="s">
        <v>933</v>
      </c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x14ac:dyDescent="0.25">
      <c r="A369" s="7" t="s">
        <v>8456</v>
      </c>
      <c r="C369" s="7" t="s">
        <v>10265</v>
      </c>
      <c r="D369">
        <f t="shared" si="5"/>
        <v>4</v>
      </c>
      <c r="I369" s="1" t="s">
        <v>927</v>
      </c>
      <c r="J369" s="1" t="s">
        <v>992</v>
      </c>
      <c r="K369" s="1" t="s">
        <v>981</v>
      </c>
      <c r="L369" s="1" t="s">
        <v>933</v>
      </c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x14ac:dyDescent="0.25">
      <c r="A370" s="7" t="s">
        <v>9688</v>
      </c>
      <c r="C370" s="7" t="s">
        <v>6714</v>
      </c>
      <c r="D370">
        <f t="shared" si="5"/>
        <v>4</v>
      </c>
      <c r="I370" s="1" t="s">
        <v>918</v>
      </c>
      <c r="J370" s="1" t="s">
        <v>919</v>
      </c>
      <c r="K370" s="1" t="s">
        <v>981</v>
      </c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x14ac:dyDescent="0.25">
      <c r="A371" s="7" t="s">
        <v>3325</v>
      </c>
      <c r="C371" s="7" t="s">
        <v>9072</v>
      </c>
      <c r="D371">
        <f t="shared" si="5"/>
        <v>4</v>
      </c>
      <c r="I371" s="1" t="s">
        <v>918</v>
      </c>
      <c r="J371" s="1" t="s">
        <v>919</v>
      </c>
      <c r="K371" s="1" t="s">
        <v>985</v>
      </c>
      <c r="L371" s="1" t="s">
        <v>995</v>
      </c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x14ac:dyDescent="0.25">
      <c r="A372" s="8" t="s">
        <v>10473</v>
      </c>
      <c r="C372" s="7" t="s">
        <v>3285</v>
      </c>
      <c r="D372">
        <f t="shared" si="5"/>
        <v>4</v>
      </c>
      <c r="I372" s="1" t="s">
        <v>10783</v>
      </c>
      <c r="J372" s="1" t="s">
        <v>989</v>
      </c>
      <c r="K372" s="1" t="s">
        <v>984</v>
      </c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x14ac:dyDescent="0.25">
      <c r="A373" s="8" t="s">
        <v>9968</v>
      </c>
      <c r="C373" s="7" t="s">
        <v>5189</v>
      </c>
      <c r="D373">
        <f t="shared" si="5"/>
        <v>4</v>
      </c>
      <c r="I373" s="1" t="s">
        <v>10781</v>
      </c>
      <c r="J373" s="1" t="s">
        <v>1085</v>
      </c>
      <c r="K373" s="1" t="s">
        <v>955</v>
      </c>
      <c r="L373" s="1" t="s">
        <v>1014</v>
      </c>
      <c r="M373" s="1" t="s">
        <v>10740</v>
      </c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x14ac:dyDescent="0.25">
      <c r="A374" s="8" t="s">
        <v>9968</v>
      </c>
      <c r="C374" s="8" t="s">
        <v>9021</v>
      </c>
      <c r="D374">
        <f t="shared" si="5"/>
        <v>4</v>
      </c>
      <c r="I374" s="1" t="s">
        <v>918</v>
      </c>
      <c r="J374" s="1" t="s">
        <v>1143</v>
      </c>
      <c r="K374" s="1" t="s">
        <v>955</v>
      </c>
      <c r="L374" s="1" t="s">
        <v>995</v>
      </c>
      <c r="M374" s="1" t="s">
        <v>919</v>
      </c>
      <c r="N374" s="1" t="s">
        <v>924</v>
      </c>
      <c r="O374" s="1" t="s">
        <v>1014</v>
      </c>
      <c r="P374" s="1" t="s">
        <v>944</v>
      </c>
      <c r="Q374" s="1" t="s">
        <v>956</v>
      </c>
      <c r="R374" s="1" t="s">
        <v>1107</v>
      </c>
      <c r="S374" s="1" t="s">
        <v>945</v>
      </c>
      <c r="T374" s="1" t="s">
        <v>1083</v>
      </c>
      <c r="U374" s="1" t="s">
        <v>930</v>
      </c>
      <c r="V374" s="1"/>
      <c r="W374" s="1"/>
      <c r="X374" s="1"/>
      <c r="Y374" s="1"/>
    </row>
    <row r="375" spans="1:25" x14ac:dyDescent="0.25">
      <c r="A375" s="8" t="s">
        <v>9968</v>
      </c>
      <c r="C375" s="7" t="s">
        <v>4438</v>
      </c>
      <c r="D375">
        <f t="shared" si="5"/>
        <v>4</v>
      </c>
      <c r="I375" s="1" t="s">
        <v>2541</v>
      </c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x14ac:dyDescent="0.25">
      <c r="A376" s="8" t="s">
        <v>9898</v>
      </c>
      <c r="C376" s="8" t="s">
        <v>9442</v>
      </c>
      <c r="D376">
        <f t="shared" si="5"/>
        <v>4</v>
      </c>
      <c r="I376" s="1" t="s">
        <v>10781</v>
      </c>
      <c r="J376" s="1" t="s">
        <v>1085</v>
      </c>
      <c r="K376" s="1" t="s">
        <v>955</v>
      </c>
      <c r="L376" s="1" t="s">
        <v>1014</v>
      </c>
      <c r="M376" s="1" t="s">
        <v>10740</v>
      </c>
      <c r="N376" s="1" t="s">
        <v>10762</v>
      </c>
      <c r="O376" s="1" t="s">
        <v>8695</v>
      </c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x14ac:dyDescent="0.25">
      <c r="A377" s="8" t="s">
        <v>10172</v>
      </c>
      <c r="C377" s="8" t="s">
        <v>9812</v>
      </c>
      <c r="D377">
        <f t="shared" si="5"/>
        <v>4</v>
      </c>
      <c r="I377" s="1" t="s">
        <v>1002</v>
      </c>
      <c r="J377" s="1" t="s">
        <v>1003</v>
      </c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x14ac:dyDescent="0.25">
      <c r="A378" s="8" t="s">
        <v>10172</v>
      </c>
      <c r="C378" s="8" t="s">
        <v>9655</v>
      </c>
      <c r="D378">
        <f t="shared" si="5"/>
        <v>4</v>
      </c>
      <c r="I378" s="1" t="s">
        <v>1002</v>
      </c>
      <c r="J378" s="1" t="s">
        <v>1003</v>
      </c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x14ac:dyDescent="0.25">
      <c r="A379" s="8" t="s">
        <v>10242</v>
      </c>
      <c r="C379" s="7" t="s">
        <v>9450</v>
      </c>
      <c r="D379">
        <f t="shared" si="5"/>
        <v>4</v>
      </c>
      <c r="I379" s="1" t="s">
        <v>1002</v>
      </c>
      <c r="J379" s="1" t="s">
        <v>1003</v>
      </c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x14ac:dyDescent="0.25">
      <c r="A380" s="8" t="s">
        <v>10437</v>
      </c>
      <c r="C380" s="7" t="s">
        <v>4057</v>
      </c>
      <c r="D380">
        <f t="shared" si="5"/>
        <v>4</v>
      </c>
      <c r="I380" s="1" t="s">
        <v>1001</v>
      </c>
      <c r="J380" s="1" t="s">
        <v>927</v>
      </c>
      <c r="K380" s="1" t="s">
        <v>919</v>
      </c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x14ac:dyDescent="0.25">
      <c r="A381" s="7" t="s">
        <v>3844</v>
      </c>
      <c r="C381" s="7" t="s">
        <v>9849</v>
      </c>
      <c r="D381">
        <f t="shared" si="5"/>
        <v>3</v>
      </c>
      <c r="I381" s="1" t="s">
        <v>50</v>
      </c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x14ac:dyDescent="0.25">
      <c r="A382" s="7" t="s">
        <v>3844</v>
      </c>
      <c r="C382" s="8" t="s">
        <v>9008</v>
      </c>
      <c r="D382">
        <f t="shared" si="5"/>
        <v>3</v>
      </c>
      <c r="I382" s="1" t="s">
        <v>138</v>
      </c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x14ac:dyDescent="0.25">
      <c r="A383" s="8" t="s">
        <v>3844</v>
      </c>
      <c r="C383" s="7" t="s">
        <v>5098</v>
      </c>
      <c r="D383">
        <f t="shared" si="5"/>
        <v>3</v>
      </c>
      <c r="I383" s="1" t="s">
        <v>50</v>
      </c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x14ac:dyDescent="0.25">
      <c r="A384" s="8" t="s">
        <v>3844</v>
      </c>
      <c r="C384" s="7" t="s">
        <v>9439</v>
      </c>
      <c r="D384">
        <f t="shared" si="5"/>
        <v>3</v>
      </c>
      <c r="I384" s="1" t="s">
        <v>50</v>
      </c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x14ac:dyDescent="0.25">
      <c r="A385" s="8" t="s">
        <v>3844</v>
      </c>
      <c r="C385" s="8" t="s">
        <v>9120</v>
      </c>
      <c r="D385">
        <f t="shared" si="5"/>
        <v>3</v>
      </c>
      <c r="I385" s="1" t="s">
        <v>50</v>
      </c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x14ac:dyDescent="0.25">
      <c r="A386" s="8" t="s">
        <v>3844</v>
      </c>
      <c r="C386" s="8" t="s">
        <v>9752</v>
      </c>
      <c r="D386">
        <f t="shared" ref="D386:D449" si="6">COUNTIF(A:A,C386)</f>
        <v>3</v>
      </c>
      <c r="I386" s="1" t="s">
        <v>50</v>
      </c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x14ac:dyDescent="0.25">
      <c r="A387" s="8" t="s">
        <v>9616</v>
      </c>
      <c r="C387" s="8" t="s">
        <v>8921</v>
      </c>
      <c r="D387">
        <f t="shared" si="6"/>
        <v>3</v>
      </c>
      <c r="I387" s="1" t="s">
        <v>50</v>
      </c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x14ac:dyDescent="0.25">
      <c r="A388" s="7" t="s">
        <v>9755</v>
      </c>
      <c r="C388" s="8" t="s">
        <v>9945</v>
      </c>
      <c r="D388">
        <f t="shared" si="6"/>
        <v>3</v>
      </c>
      <c r="I388" s="1" t="s">
        <v>2927</v>
      </c>
      <c r="J388" s="1" t="s">
        <v>1086</v>
      </c>
      <c r="K388" s="1" t="s">
        <v>10784</v>
      </c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x14ac:dyDescent="0.25">
      <c r="A389" s="7" t="s">
        <v>6020</v>
      </c>
      <c r="C389" s="8" t="s">
        <v>9199</v>
      </c>
      <c r="D389">
        <f t="shared" si="6"/>
        <v>3</v>
      </c>
      <c r="I389" s="1" t="s">
        <v>923</v>
      </c>
      <c r="J389" s="1" t="s">
        <v>1011</v>
      </c>
      <c r="K389" s="1" t="s">
        <v>965</v>
      </c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x14ac:dyDescent="0.25">
      <c r="A390" s="7" t="s">
        <v>6020</v>
      </c>
      <c r="C390" s="7" t="s">
        <v>3953</v>
      </c>
      <c r="D390">
        <f t="shared" si="6"/>
        <v>3</v>
      </c>
      <c r="I390" s="1" t="s">
        <v>2927</v>
      </c>
      <c r="J390" s="1" t="s">
        <v>1051</v>
      </c>
      <c r="K390" s="1" t="s">
        <v>25</v>
      </c>
      <c r="L390" s="1" t="s">
        <v>1053</v>
      </c>
      <c r="M390" s="1" t="s">
        <v>1086</v>
      </c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x14ac:dyDescent="0.25">
      <c r="A391" s="7" t="s">
        <v>6020</v>
      </c>
      <c r="C391" s="7" t="s">
        <v>434</v>
      </c>
      <c r="D391">
        <f t="shared" si="6"/>
        <v>3</v>
      </c>
      <c r="I391" s="1" t="s">
        <v>918</v>
      </c>
      <c r="J391" s="1" t="s">
        <v>25</v>
      </c>
      <c r="K391" s="1" t="s">
        <v>919</v>
      </c>
      <c r="L391" s="1" t="s">
        <v>920</v>
      </c>
      <c r="M391" s="1" t="s">
        <v>946</v>
      </c>
      <c r="N391" s="1" t="s">
        <v>921</v>
      </c>
      <c r="O391" s="1" t="s">
        <v>922</v>
      </c>
      <c r="P391" s="1" t="s">
        <v>923</v>
      </c>
      <c r="Q391" s="1"/>
      <c r="R391" s="1"/>
      <c r="S391" s="1"/>
      <c r="T391" s="1"/>
      <c r="U391" s="1"/>
      <c r="V391" s="1"/>
      <c r="W391" s="1"/>
      <c r="X391" s="1"/>
      <c r="Y391" s="1"/>
    </row>
    <row r="392" spans="1:25" x14ac:dyDescent="0.25">
      <c r="A392" s="7" t="s">
        <v>6020</v>
      </c>
      <c r="C392" s="7" t="s">
        <v>8992</v>
      </c>
      <c r="D392">
        <f t="shared" si="6"/>
        <v>3</v>
      </c>
      <c r="I392" s="1" t="s">
        <v>996</v>
      </c>
      <c r="J392" s="1" t="s">
        <v>25</v>
      </c>
      <c r="K392" s="1" t="s">
        <v>997</v>
      </c>
      <c r="L392" s="1" t="s">
        <v>927</v>
      </c>
      <c r="M392" s="1" t="s">
        <v>998</v>
      </c>
      <c r="N392" s="1" t="s">
        <v>933</v>
      </c>
      <c r="O392" s="1" t="s">
        <v>993</v>
      </c>
      <c r="P392" s="1" t="s">
        <v>994</v>
      </c>
      <c r="Q392" s="1" t="s">
        <v>992</v>
      </c>
      <c r="R392" s="1" t="s">
        <v>981</v>
      </c>
      <c r="S392" s="1"/>
      <c r="T392" s="1"/>
      <c r="U392" s="1"/>
      <c r="V392" s="1"/>
      <c r="W392" s="1"/>
      <c r="X392" s="1"/>
      <c r="Y392" s="1"/>
    </row>
    <row r="393" spans="1:25" x14ac:dyDescent="0.25">
      <c r="A393" s="7" t="s">
        <v>6020</v>
      </c>
      <c r="C393" s="7" t="s">
        <v>5266</v>
      </c>
      <c r="D393">
        <f t="shared" si="6"/>
        <v>3</v>
      </c>
      <c r="I393" s="1" t="s">
        <v>981</v>
      </c>
      <c r="J393" s="1" t="s">
        <v>1019</v>
      </c>
      <c r="K393" s="1" t="s">
        <v>983</v>
      </c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x14ac:dyDescent="0.25">
      <c r="A394" s="8" t="s">
        <v>6020</v>
      </c>
      <c r="C394" s="7" t="s">
        <v>8456</v>
      </c>
      <c r="D394">
        <f t="shared" si="6"/>
        <v>3</v>
      </c>
      <c r="I394" s="1" t="s">
        <v>996</v>
      </c>
      <c r="J394" s="1" t="s">
        <v>933</v>
      </c>
      <c r="K394" s="1" t="s">
        <v>994</v>
      </c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x14ac:dyDescent="0.25">
      <c r="A395" s="8" t="s">
        <v>6020</v>
      </c>
      <c r="C395" s="8" t="s">
        <v>9968</v>
      </c>
      <c r="D395">
        <f t="shared" si="6"/>
        <v>3</v>
      </c>
      <c r="I395" s="1" t="s">
        <v>1001</v>
      </c>
      <c r="J395" s="1" t="s">
        <v>10722</v>
      </c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x14ac:dyDescent="0.25">
      <c r="A396" s="7" t="s">
        <v>9634</v>
      </c>
      <c r="C396" s="7" t="s">
        <v>9807</v>
      </c>
      <c r="D396">
        <f t="shared" si="6"/>
        <v>3</v>
      </c>
      <c r="I396" s="1" t="s">
        <v>996</v>
      </c>
      <c r="J396" s="1" t="s">
        <v>25</v>
      </c>
      <c r="K396" s="1" t="s">
        <v>997</v>
      </c>
      <c r="L396" s="1" t="s">
        <v>927</v>
      </c>
      <c r="M396" s="1" t="s">
        <v>998</v>
      </c>
      <c r="N396" s="1" t="s">
        <v>992</v>
      </c>
      <c r="O396" s="1" t="s">
        <v>933</v>
      </c>
      <c r="P396" s="1" t="s">
        <v>994</v>
      </c>
      <c r="Q396" s="1"/>
      <c r="R396" s="1"/>
      <c r="S396" s="1"/>
      <c r="T396" s="1"/>
      <c r="U396" s="1"/>
      <c r="V396" s="1"/>
      <c r="W396" s="1"/>
      <c r="X396" s="1"/>
      <c r="Y396" s="1"/>
    </row>
    <row r="397" spans="1:25" x14ac:dyDescent="0.25">
      <c r="A397" s="8" t="s">
        <v>10559</v>
      </c>
      <c r="C397" s="7" t="s">
        <v>9913</v>
      </c>
      <c r="D397">
        <f t="shared" si="6"/>
        <v>3</v>
      </c>
      <c r="I397" s="1" t="s">
        <v>10770</v>
      </c>
      <c r="J397" s="1" t="s">
        <v>10785</v>
      </c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x14ac:dyDescent="0.25">
      <c r="A398" s="7" t="s">
        <v>9498</v>
      </c>
      <c r="C398" s="8" t="s">
        <v>9362</v>
      </c>
      <c r="D398">
        <f t="shared" si="6"/>
        <v>3</v>
      </c>
      <c r="I398" s="1" t="s">
        <v>934</v>
      </c>
      <c r="J398" s="1" t="s">
        <v>1090</v>
      </c>
      <c r="K398" s="1" t="s">
        <v>25</v>
      </c>
      <c r="L398" s="1" t="s">
        <v>923</v>
      </c>
      <c r="M398" s="1" t="s">
        <v>920</v>
      </c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x14ac:dyDescent="0.25">
      <c r="A399" s="8" t="s">
        <v>10140</v>
      </c>
      <c r="C399" s="7" t="s">
        <v>9784</v>
      </c>
      <c r="D399">
        <f t="shared" si="6"/>
        <v>3</v>
      </c>
      <c r="I399" s="1" t="s">
        <v>919</v>
      </c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x14ac:dyDescent="0.25">
      <c r="A400" s="7" t="s">
        <v>9923</v>
      </c>
      <c r="C400" s="7" t="s">
        <v>9786</v>
      </c>
      <c r="D400">
        <f t="shared" si="6"/>
        <v>3</v>
      </c>
      <c r="I400" s="1" t="s">
        <v>933</v>
      </c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x14ac:dyDescent="0.25">
      <c r="A401" s="7" t="s">
        <v>9923</v>
      </c>
      <c r="C401" s="7" t="s">
        <v>9084</v>
      </c>
      <c r="D401">
        <f t="shared" si="6"/>
        <v>3</v>
      </c>
      <c r="I401" s="1" t="s">
        <v>1086</v>
      </c>
      <c r="J401" s="1" t="s">
        <v>933</v>
      </c>
      <c r="K401" s="1" t="s">
        <v>2541</v>
      </c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x14ac:dyDescent="0.25">
      <c r="A402" s="8" t="s">
        <v>9923</v>
      </c>
      <c r="C402" s="8" t="s">
        <v>9209</v>
      </c>
      <c r="D402">
        <f t="shared" si="6"/>
        <v>3</v>
      </c>
      <c r="I402" s="1" t="s">
        <v>10786</v>
      </c>
      <c r="J402" s="1" t="s">
        <v>10787</v>
      </c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x14ac:dyDescent="0.25">
      <c r="A403" s="8" t="s">
        <v>9923</v>
      </c>
      <c r="C403" s="7" t="s">
        <v>9277</v>
      </c>
      <c r="D403">
        <f t="shared" si="6"/>
        <v>3</v>
      </c>
      <c r="I403" s="1" t="s">
        <v>1119</v>
      </c>
      <c r="J403" s="1" t="s">
        <v>1121</v>
      </c>
      <c r="K403" s="1" t="s">
        <v>837</v>
      </c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x14ac:dyDescent="0.25">
      <c r="A404" s="7" t="s">
        <v>9840</v>
      </c>
      <c r="C404" s="7" t="s">
        <v>6821</v>
      </c>
      <c r="D404">
        <f t="shared" si="6"/>
        <v>3</v>
      </c>
      <c r="I404" s="1" t="s">
        <v>1126</v>
      </c>
      <c r="J404" s="1" t="s">
        <v>917</v>
      </c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x14ac:dyDescent="0.25">
      <c r="A405" s="8" t="s">
        <v>9840</v>
      </c>
      <c r="C405" s="7" t="s">
        <v>9545</v>
      </c>
      <c r="D405">
        <f t="shared" si="6"/>
        <v>3</v>
      </c>
      <c r="I405" s="1" t="s">
        <v>1129</v>
      </c>
      <c r="J405" s="1" t="s">
        <v>1140</v>
      </c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x14ac:dyDescent="0.25">
      <c r="A406" s="7" t="s">
        <v>9807</v>
      </c>
      <c r="C406" s="8" t="s">
        <v>9278</v>
      </c>
      <c r="D406">
        <f t="shared" si="6"/>
        <v>3</v>
      </c>
      <c r="I406" s="1" t="s">
        <v>50</v>
      </c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x14ac:dyDescent="0.25">
      <c r="A407" s="7" t="s">
        <v>9807</v>
      </c>
      <c r="C407" s="7" t="s">
        <v>9292</v>
      </c>
      <c r="D407">
        <f t="shared" si="6"/>
        <v>3</v>
      </c>
      <c r="I407" s="1" t="s">
        <v>1000</v>
      </c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x14ac:dyDescent="0.25">
      <c r="A408" s="8" t="s">
        <v>9807</v>
      </c>
      <c r="C408" s="7" t="s">
        <v>9143</v>
      </c>
      <c r="D408">
        <f t="shared" si="6"/>
        <v>3</v>
      </c>
      <c r="I408" s="1" t="s">
        <v>1001</v>
      </c>
      <c r="J408" s="1" t="s">
        <v>10697</v>
      </c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x14ac:dyDescent="0.25">
      <c r="A409" s="7" t="s">
        <v>2346</v>
      </c>
      <c r="C409" s="7" t="s">
        <v>2159</v>
      </c>
      <c r="D409">
        <f t="shared" si="6"/>
        <v>3</v>
      </c>
      <c r="I409" s="1" t="s">
        <v>996</v>
      </c>
      <c r="J409" s="1" t="s">
        <v>948</v>
      </c>
      <c r="K409" s="1" t="s">
        <v>10788</v>
      </c>
      <c r="L409" s="1" t="s">
        <v>25</v>
      </c>
      <c r="M409" s="1" t="s">
        <v>923</v>
      </c>
      <c r="N409" s="1" t="s">
        <v>997</v>
      </c>
      <c r="O409" s="1" t="s">
        <v>1086</v>
      </c>
      <c r="P409" s="1" t="s">
        <v>920</v>
      </c>
      <c r="Q409" s="1" t="s">
        <v>1149</v>
      </c>
      <c r="R409" s="1" t="s">
        <v>1150</v>
      </c>
      <c r="S409" s="1"/>
      <c r="T409" s="1"/>
      <c r="U409" s="1"/>
      <c r="V409" s="1"/>
      <c r="W409" s="1"/>
      <c r="X409" s="1"/>
      <c r="Y409" s="1"/>
    </row>
    <row r="410" spans="1:25" x14ac:dyDescent="0.25">
      <c r="A410" s="8" t="s">
        <v>2346</v>
      </c>
      <c r="C410" s="7" t="s">
        <v>8994</v>
      </c>
      <c r="D410">
        <f t="shared" si="6"/>
        <v>3</v>
      </c>
      <c r="I410" s="1" t="s">
        <v>1109</v>
      </c>
      <c r="J410" s="1" t="s">
        <v>10789</v>
      </c>
      <c r="K410" s="1" t="s">
        <v>927</v>
      </c>
      <c r="L410" s="1" t="s">
        <v>8195</v>
      </c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x14ac:dyDescent="0.25">
      <c r="A411" s="7" t="s">
        <v>9117</v>
      </c>
      <c r="C411" s="7" t="s">
        <v>10224</v>
      </c>
      <c r="D411">
        <f t="shared" si="6"/>
        <v>3</v>
      </c>
      <c r="I411" s="1" t="s">
        <v>10762</v>
      </c>
      <c r="J411" s="1" t="s">
        <v>955</v>
      </c>
      <c r="K411" s="1" t="s">
        <v>1014</v>
      </c>
      <c r="L411" s="1" t="s">
        <v>1020</v>
      </c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x14ac:dyDescent="0.25">
      <c r="A412" s="7" t="s">
        <v>7744</v>
      </c>
      <c r="C412" s="7" t="s">
        <v>8933</v>
      </c>
      <c r="D412">
        <f t="shared" si="6"/>
        <v>3</v>
      </c>
      <c r="I412" s="1" t="s">
        <v>10734</v>
      </c>
      <c r="J412" s="1" t="s">
        <v>1085</v>
      </c>
      <c r="K412" s="1" t="s">
        <v>955</v>
      </c>
      <c r="L412" s="1" t="s">
        <v>924</v>
      </c>
      <c r="M412" s="1" t="s">
        <v>1079</v>
      </c>
      <c r="N412" s="1" t="s">
        <v>1014</v>
      </c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x14ac:dyDescent="0.25">
      <c r="A413" s="7" t="s">
        <v>7744</v>
      </c>
      <c r="C413" s="7" t="s">
        <v>7063</v>
      </c>
      <c r="D413">
        <f t="shared" si="6"/>
        <v>3</v>
      </c>
      <c r="I413" s="1" t="s">
        <v>919</v>
      </c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x14ac:dyDescent="0.25">
      <c r="A414" s="7" t="s">
        <v>7744</v>
      </c>
      <c r="C414" s="7" t="s">
        <v>6271</v>
      </c>
      <c r="D414">
        <f t="shared" si="6"/>
        <v>3</v>
      </c>
      <c r="I414" s="1" t="s">
        <v>918</v>
      </c>
      <c r="J414" s="1" t="s">
        <v>25</v>
      </c>
      <c r="K414" s="1" t="s">
        <v>923</v>
      </c>
      <c r="L414" s="1" t="s">
        <v>916</v>
      </c>
      <c r="M414" s="1" t="s">
        <v>919</v>
      </c>
      <c r="N414" s="1" t="s">
        <v>924</v>
      </c>
      <c r="O414" s="1" t="s">
        <v>974</v>
      </c>
      <c r="P414" s="1" t="s">
        <v>922</v>
      </c>
      <c r="Q414" s="1" t="s">
        <v>929</v>
      </c>
      <c r="R414" s="1"/>
      <c r="S414" s="1"/>
      <c r="T414" s="1"/>
      <c r="U414" s="1"/>
      <c r="V414" s="1"/>
      <c r="W414" s="1"/>
      <c r="X414" s="1"/>
      <c r="Y414" s="1"/>
    </row>
    <row r="415" spans="1:25" x14ac:dyDescent="0.25">
      <c r="A415" s="8" t="s">
        <v>7744</v>
      </c>
      <c r="C415" s="7" t="s">
        <v>4175</v>
      </c>
      <c r="D415">
        <f t="shared" si="6"/>
        <v>3</v>
      </c>
      <c r="I415" s="1" t="s">
        <v>918</v>
      </c>
      <c r="J415" s="1" t="s">
        <v>25</v>
      </c>
      <c r="K415" s="1" t="s">
        <v>923</v>
      </c>
      <c r="L415" s="1" t="s">
        <v>916</v>
      </c>
      <c r="M415" s="1" t="s">
        <v>919</v>
      </c>
      <c r="N415" s="1" t="s">
        <v>924</v>
      </c>
      <c r="O415" s="1" t="s">
        <v>974</v>
      </c>
      <c r="P415" s="1" t="s">
        <v>922</v>
      </c>
      <c r="Q415" s="1"/>
      <c r="R415" s="1"/>
      <c r="S415" s="1"/>
      <c r="T415" s="1"/>
      <c r="U415" s="1"/>
      <c r="V415" s="1"/>
      <c r="W415" s="1"/>
      <c r="X415" s="1"/>
      <c r="Y415" s="1"/>
    </row>
    <row r="416" spans="1:25" x14ac:dyDescent="0.25">
      <c r="A416" s="7" t="s">
        <v>9979</v>
      </c>
      <c r="C416" s="7" t="s">
        <v>10248</v>
      </c>
      <c r="D416">
        <f t="shared" si="6"/>
        <v>3</v>
      </c>
      <c r="I416" s="1" t="s">
        <v>919</v>
      </c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x14ac:dyDescent="0.25">
      <c r="A417" s="7" t="s">
        <v>2837</v>
      </c>
      <c r="C417" s="7" t="s">
        <v>8910</v>
      </c>
      <c r="D417">
        <f t="shared" si="6"/>
        <v>3</v>
      </c>
      <c r="I417" s="1" t="s">
        <v>152</v>
      </c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x14ac:dyDescent="0.25">
      <c r="A418" s="7" t="s">
        <v>2837</v>
      </c>
      <c r="C418" s="8" t="s">
        <v>9144</v>
      </c>
      <c r="D418">
        <f t="shared" si="6"/>
        <v>3</v>
      </c>
      <c r="I418" s="1" t="s">
        <v>152</v>
      </c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x14ac:dyDescent="0.25">
      <c r="A419" s="7" t="s">
        <v>2837</v>
      </c>
      <c r="C419" s="7" t="s">
        <v>6097</v>
      </c>
      <c r="D419">
        <f t="shared" si="6"/>
        <v>3</v>
      </c>
      <c r="I419" s="1" t="s">
        <v>981</v>
      </c>
      <c r="J419" s="1" t="s">
        <v>983</v>
      </c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x14ac:dyDescent="0.25">
      <c r="A420" s="7" t="s">
        <v>2837</v>
      </c>
      <c r="C420" s="7" t="s">
        <v>9267</v>
      </c>
      <c r="D420">
        <f t="shared" si="6"/>
        <v>3</v>
      </c>
      <c r="I420" s="1" t="s">
        <v>928</v>
      </c>
      <c r="J420" s="1" t="s">
        <v>983</v>
      </c>
      <c r="K420" s="1" t="s">
        <v>919</v>
      </c>
      <c r="L420" s="1" t="s">
        <v>1020</v>
      </c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x14ac:dyDescent="0.25">
      <c r="A421" s="7" t="s">
        <v>2837</v>
      </c>
      <c r="C421" s="8" t="s">
        <v>10186</v>
      </c>
      <c r="D421">
        <f t="shared" si="6"/>
        <v>3</v>
      </c>
      <c r="I421" s="1" t="s">
        <v>1001</v>
      </c>
      <c r="J421" s="1" t="s">
        <v>10722</v>
      </c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x14ac:dyDescent="0.25">
      <c r="A422" s="8" t="s">
        <v>2837</v>
      </c>
      <c r="C422" s="8" t="s">
        <v>8898</v>
      </c>
      <c r="D422">
        <f t="shared" si="6"/>
        <v>3</v>
      </c>
      <c r="I422" s="1" t="s">
        <v>1001</v>
      </c>
      <c r="J422" s="1" t="s">
        <v>328</v>
      </c>
      <c r="K422" s="1" t="s">
        <v>2541</v>
      </c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x14ac:dyDescent="0.25">
      <c r="A423" s="8" t="s">
        <v>2837</v>
      </c>
      <c r="C423" s="7" t="s">
        <v>10078</v>
      </c>
      <c r="D423">
        <f t="shared" si="6"/>
        <v>3</v>
      </c>
      <c r="I423" s="1" t="s">
        <v>25</v>
      </c>
      <c r="J423" s="1" t="s">
        <v>927</v>
      </c>
      <c r="K423" s="1" t="s">
        <v>998</v>
      </c>
      <c r="L423" s="1" t="s">
        <v>1086</v>
      </c>
      <c r="M423" s="1" t="s">
        <v>920</v>
      </c>
      <c r="N423" s="1" t="s">
        <v>933</v>
      </c>
      <c r="O423" s="1" t="s">
        <v>921</v>
      </c>
      <c r="P423" s="1" t="s">
        <v>919</v>
      </c>
      <c r="Q423" s="1" t="s">
        <v>1001</v>
      </c>
      <c r="R423" s="1" t="s">
        <v>981</v>
      </c>
      <c r="S423" s="1"/>
      <c r="T423" s="1"/>
      <c r="U423" s="1"/>
      <c r="V423" s="1"/>
      <c r="W423" s="1"/>
      <c r="X423" s="1"/>
      <c r="Y423" s="1"/>
    </row>
    <row r="424" spans="1:25" x14ac:dyDescent="0.25">
      <c r="A424" s="8" t="s">
        <v>10340</v>
      </c>
      <c r="C424" s="7" t="s">
        <v>2004</v>
      </c>
      <c r="D424">
        <f t="shared" si="6"/>
        <v>3</v>
      </c>
      <c r="I424" s="1" t="s">
        <v>1002</v>
      </c>
      <c r="J424" s="1" t="s">
        <v>1003</v>
      </c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x14ac:dyDescent="0.25">
      <c r="A425" s="7" t="s">
        <v>2398</v>
      </c>
      <c r="C425" s="7" t="s">
        <v>9100</v>
      </c>
      <c r="D425">
        <f t="shared" si="6"/>
        <v>3</v>
      </c>
      <c r="I425" s="1" t="s">
        <v>964</v>
      </c>
      <c r="J425" s="1" t="s">
        <v>10751</v>
      </c>
      <c r="K425" s="1" t="s">
        <v>10755</v>
      </c>
      <c r="L425" s="1" t="s">
        <v>10724</v>
      </c>
      <c r="M425" s="1" t="s">
        <v>25</v>
      </c>
      <c r="N425" s="1" t="s">
        <v>925</v>
      </c>
      <c r="O425" s="1" t="s">
        <v>939</v>
      </c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x14ac:dyDescent="0.25">
      <c r="A426" s="7" t="s">
        <v>2327</v>
      </c>
      <c r="C426" s="7" t="s">
        <v>4980</v>
      </c>
      <c r="D426">
        <f t="shared" si="6"/>
        <v>3</v>
      </c>
      <c r="I426" s="1" t="s">
        <v>964</v>
      </c>
      <c r="J426" s="1" t="s">
        <v>10751</v>
      </c>
      <c r="K426" s="1" t="s">
        <v>10755</v>
      </c>
      <c r="L426" s="1" t="s">
        <v>10724</v>
      </c>
      <c r="M426" s="1" t="s">
        <v>25</v>
      </c>
      <c r="N426" s="1" t="s">
        <v>978</v>
      </c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x14ac:dyDescent="0.25">
      <c r="A427" s="7" t="s">
        <v>2327</v>
      </c>
      <c r="C427" s="8" t="s">
        <v>10270</v>
      </c>
      <c r="D427">
        <f t="shared" si="6"/>
        <v>3</v>
      </c>
      <c r="I427" s="1" t="s">
        <v>25</v>
      </c>
      <c r="J427" s="1" t="s">
        <v>923</v>
      </c>
      <c r="K427" s="1" t="s">
        <v>920</v>
      </c>
      <c r="L427" s="1" t="s">
        <v>933</v>
      </c>
      <c r="M427" s="1" t="s">
        <v>954</v>
      </c>
      <c r="N427" s="1" t="s">
        <v>921</v>
      </c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x14ac:dyDescent="0.25">
      <c r="A428" s="7" t="s">
        <v>2327</v>
      </c>
      <c r="C428" s="7" t="s">
        <v>8937</v>
      </c>
      <c r="D428">
        <f t="shared" si="6"/>
        <v>3</v>
      </c>
      <c r="I428" s="1" t="s">
        <v>1030</v>
      </c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x14ac:dyDescent="0.25">
      <c r="A429" s="7" t="s">
        <v>2327</v>
      </c>
      <c r="C429" s="7" t="s">
        <v>401</v>
      </c>
      <c r="D429">
        <f t="shared" si="6"/>
        <v>3</v>
      </c>
      <c r="I429" s="1" t="s">
        <v>1053</v>
      </c>
      <c r="J429" s="1" t="s">
        <v>328</v>
      </c>
      <c r="K429" s="1" t="s">
        <v>933</v>
      </c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x14ac:dyDescent="0.25">
      <c r="A430" s="7" t="s">
        <v>2327</v>
      </c>
      <c r="C430" s="7" t="s">
        <v>3310</v>
      </c>
      <c r="D430">
        <f t="shared" si="6"/>
        <v>3</v>
      </c>
      <c r="I430" s="1" t="s">
        <v>25</v>
      </c>
      <c r="J430" s="1" t="s">
        <v>1053</v>
      </c>
      <c r="K430" s="1" t="s">
        <v>256</v>
      </c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x14ac:dyDescent="0.25">
      <c r="A431" s="7" t="s">
        <v>2327</v>
      </c>
      <c r="C431" s="7" t="s">
        <v>4457</v>
      </c>
      <c r="D431">
        <f t="shared" si="6"/>
        <v>3</v>
      </c>
      <c r="I431" s="1" t="s">
        <v>1004</v>
      </c>
      <c r="J431" s="1" t="s">
        <v>1006</v>
      </c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x14ac:dyDescent="0.25">
      <c r="A432" s="7" t="s">
        <v>2327</v>
      </c>
      <c r="C432" s="7" t="s">
        <v>6188</v>
      </c>
      <c r="D432">
        <f t="shared" si="6"/>
        <v>3</v>
      </c>
      <c r="I432" s="1" t="s">
        <v>1004</v>
      </c>
      <c r="J432" s="1" t="s">
        <v>1006</v>
      </c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x14ac:dyDescent="0.25">
      <c r="A433" s="7" t="s">
        <v>2327</v>
      </c>
      <c r="C433" s="7" t="s">
        <v>9590</v>
      </c>
      <c r="D433">
        <f t="shared" si="6"/>
        <v>3</v>
      </c>
      <c r="I433" s="1" t="s">
        <v>1004</v>
      </c>
      <c r="J433" s="1" t="s">
        <v>1006</v>
      </c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x14ac:dyDescent="0.25">
      <c r="A434" s="7" t="s">
        <v>2327</v>
      </c>
      <c r="C434" s="8" t="s">
        <v>9153</v>
      </c>
      <c r="D434">
        <f t="shared" si="6"/>
        <v>3</v>
      </c>
      <c r="I434" s="1" t="s">
        <v>1004</v>
      </c>
      <c r="J434" s="1" t="s">
        <v>1006</v>
      </c>
      <c r="K434" s="1" t="s">
        <v>1007</v>
      </c>
      <c r="L434" s="1" t="s">
        <v>1005</v>
      </c>
      <c r="M434" s="1" t="s">
        <v>1008</v>
      </c>
      <c r="N434" s="1" t="s">
        <v>1009</v>
      </c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x14ac:dyDescent="0.25">
      <c r="A435" s="7" t="s">
        <v>2327</v>
      </c>
      <c r="C435" s="8" t="s">
        <v>9580</v>
      </c>
      <c r="D435">
        <f t="shared" si="6"/>
        <v>3</v>
      </c>
      <c r="I435" s="1" t="s">
        <v>1004</v>
      </c>
      <c r="J435" s="1" t="s">
        <v>1006</v>
      </c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x14ac:dyDescent="0.25">
      <c r="A436" s="7" t="s">
        <v>2327</v>
      </c>
      <c r="C436" s="7" t="s">
        <v>9140</v>
      </c>
      <c r="D436">
        <f t="shared" si="6"/>
        <v>3</v>
      </c>
      <c r="I436" s="1" t="s">
        <v>1004</v>
      </c>
      <c r="J436" s="1" t="s">
        <v>1006</v>
      </c>
      <c r="K436" s="1" t="s">
        <v>1010</v>
      </c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x14ac:dyDescent="0.25">
      <c r="A437" s="7" t="s">
        <v>2327</v>
      </c>
      <c r="C437" s="7" t="s">
        <v>8900</v>
      </c>
      <c r="D437">
        <f t="shared" si="6"/>
        <v>3</v>
      </c>
      <c r="I437" s="1" t="s">
        <v>1004</v>
      </c>
      <c r="J437" s="1" t="s">
        <v>1006</v>
      </c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x14ac:dyDescent="0.25">
      <c r="A438" s="7" t="s">
        <v>2327</v>
      </c>
      <c r="C438" s="7" t="s">
        <v>6656</v>
      </c>
      <c r="D438">
        <f t="shared" si="6"/>
        <v>3</v>
      </c>
      <c r="I438" s="1" t="s">
        <v>1004</v>
      </c>
      <c r="J438" s="1" t="s">
        <v>1006</v>
      </c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x14ac:dyDescent="0.25">
      <c r="A439" s="7" t="s">
        <v>2327</v>
      </c>
      <c r="C439" s="7" t="s">
        <v>10082</v>
      </c>
      <c r="D439">
        <f t="shared" si="6"/>
        <v>3</v>
      </c>
      <c r="I439" s="1" t="s">
        <v>1004</v>
      </c>
      <c r="J439" s="1" t="s">
        <v>1006</v>
      </c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x14ac:dyDescent="0.25">
      <c r="A440" s="7" t="s">
        <v>2327</v>
      </c>
      <c r="C440" s="7" t="s">
        <v>3441</v>
      </c>
      <c r="D440">
        <f t="shared" si="6"/>
        <v>3</v>
      </c>
      <c r="I440" s="1" t="s">
        <v>1017</v>
      </c>
      <c r="J440" s="1" t="s">
        <v>952</v>
      </c>
      <c r="K440" s="1" t="s">
        <v>1037</v>
      </c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x14ac:dyDescent="0.25">
      <c r="A441" s="7" t="s">
        <v>2327</v>
      </c>
      <c r="C441" s="8" t="s">
        <v>8838</v>
      </c>
      <c r="D441">
        <f t="shared" si="6"/>
        <v>3</v>
      </c>
      <c r="I441" s="1" t="s">
        <v>50</v>
      </c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x14ac:dyDescent="0.25">
      <c r="A442" s="7" t="s">
        <v>2327</v>
      </c>
      <c r="C442" s="8" t="s">
        <v>10521</v>
      </c>
      <c r="D442">
        <f t="shared" si="6"/>
        <v>3</v>
      </c>
      <c r="I442" s="1" t="s">
        <v>918</v>
      </c>
      <c r="J442" s="1" t="s">
        <v>919</v>
      </c>
      <c r="K442" s="1" t="s">
        <v>924</v>
      </c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x14ac:dyDescent="0.25">
      <c r="A443" s="7" t="s">
        <v>2327</v>
      </c>
      <c r="C443" s="7" t="s">
        <v>9762</v>
      </c>
      <c r="D443">
        <f t="shared" si="6"/>
        <v>3</v>
      </c>
      <c r="I443" s="1" t="s">
        <v>918</v>
      </c>
      <c r="J443" s="1" t="s">
        <v>919</v>
      </c>
      <c r="K443" s="1" t="s">
        <v>924</v>
      </c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x14ac:dyDescent="0.25">
      <c r="A444" s="7" t="s">
        <v>2327</v>
      </c>
      <c r="C444" s="7" t="s">
        <v>9220</v>
      </c>
      <c r="D444">
        <f t="shared" si="6"/>
        <v>3</v>
      </c>
      <c r="I444" s="1" t="s">
        <v>918</v>
      </c>
      <c r="J444" s="1" t="s">
        <v>949</v>
      </c>
      <c r="K444" s="1" t="s">
        <v>25</v>
      </c>
      <c r="L444" s="1" t="s">
        <v>923</v>
      </c>
      <c r="M444" s="1" t="s">
        <v>919</v>
      </c>
      <c r="N444" s="1" t="s">
        <v>920</v>
      </c>
      <c r="O444" s="1" t="s">
        <v>974</v>
      </c>
      <c r="P444" s="1" t="s">
        <v>921</v>
      </c>
      <c r="Q444" s="1" t="s">
        <v>927</v>
      </c>
      <c r="R444" s="1" t="s">
        <v>936</v>
      </c>
      <c r="S444" s="1" t="s">
        <v>934</v>
      </c>
      <c r="T444" s="1" t="s">
        <v>940</v>
      </c>
      <c r="U444" s="1" t="s">
        <v>1011</v>
      </c>
      <c r="V444" s="1" t="s">
        <v>916</v>
      </c>
      <c r="W444" s="1" t="s">
        <v>933</v>
      </c>
      <c r="X444" s="1"/>
      <c r="Y444" s="1"/>
    </row>
    <row r="445" spans="1:25" x14ac:dyDescent="0.25">
      <c r="A445" s="7" t="s">
        <v>2327</v>
      </c>
      <c r="C445" s="7" t="s">
        <v>2641</v>
      </c>
      <c r="D445">
        <f t="shared" si="6"/>
        <v>3</v>
      </c>
      <c r="I445" s="1" t="s">
        <v>918</v>
      </c>
      <c r="J445" s="1" t="s">
        <v>919</v>
      </c>
      <c r="K445" s="1" t="s">
        <v>924</v>
      </c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x14ac:dyDescent="0.25">
      <c r="A446" s="7" t="s">
        <v>2327</v>
      </c>
      <c r="C446" s="7" t="s">
        <v>3783</v>
      </c>
      <c r="D446">
        <f t="shared" si="6"/>
        <v>3</v>
      </c>
      <c r="I446" s="1" t="s">
        <v>1001</v>
      </c>
      <c r="J446" s="1" t="s">
        <v>992</v>
      </c>
      <c r="K446" s="1" t="s">
        <v>981</v>
      </c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x14ac:dyDescent="0.25">
      <c r="A447" s="8" t="s">
        <v>2327</v>
      </c>
      <c r="C447" s="7" t="s">
        <v>8860</v>
      </c>
      <c r="D447">
        <f t="shared" si="6"/>
        <v>3</v>
      </c>
      <c r="I447" s="1" t="s">
        <v>1001</v>
      </c>
      <c r="J447" s="1" t="s">
        <v>927</v>
      </c>
      <c r="K447" s="1" t="s">
        <v>981</v>
      </c>
      <c r="L447" s="1" t="s">
        <v>919</v>
      </c>
      <c r="M447" s="1" t="s">
        <v>921</v>
      </c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x14ac:dyDescent="0.25">
      <c r="A448" s="8" t="s">
        <v>9624</v>
      </c>
      <c r="C448" s="7" t="s">
        <v>2823</v>
      </c>
      <c r="D448">
        <f t="shared" si="6"/>
        <v>3</v>
      </c>
      <c r="I448" s="1" t="s">
        <v>1012</v>
      </c>
      <c r="J448" s="1" t="s">
        <v>1013</v>
      </c>
      <c r="K448" s="1" t="s">
        <v>955</v>
      </c>
      <c r="L448" s="1" t="s">
        <v>1014</v>
      </c>
      <c r="M448" s="1" t="s">
        <v>1015</v>
      </c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x14ac:dyDescent="0.25">
      <c r="A449" s="8" t="s">
        <v>9624</v>
      </c>
      <c r="C449" s="7" t="s">
        <v>2783</v>
      </c>
      <c r="D449">
        <f t="shared" si="6"/>
        <v>3</v>
      </c>
      <c r="I449" s="1" t="s">
        <v>1012</v>
      </c>
      <c r="J449" s="1" t="s">
        <v>10726</v>
      </c>
      <c r="K449" s="1" t="s">
        <v>948</v>
      </c>
      <c r="L449" s="1" t="s">
        <v>298</v>
      </c>
      <c r="M449" s="1" t="s">
        <v>1149</v>
      </c>
      <c r="N449" s="1" t="s">
        <v>25</v>
      </c>
      <c r="O449" s="1" t="s">
        <v>923</v>
      </c>
      <c r="P449" s="1" t="s">
        <v>997</v>
      </c>
      <c r="Q449" s="1" t="s">
        <v>954</v>
      </c>
      <c r="R449" s="1" t="s">
        <v>994</v>
      </c>
      <c r="S449" s="1"/>
      <c r="T449" s="1"/>
      <c r="U449" s="1"/>
      <c r="V449" s="1"/>
      <c r="W449" s="1"/>
      <c r="X449" s="1"/>
      <c r="Y449" s="1"/>
    </row>
    <row r="450" spans="1:25" x14ac:dyDescent="0.25">
      <c r="A450" s="8" t="s">
        <v>9624</v>
      </c>
      <c r="C450" s="7" t="s">
        <v>10014</v>
      </c>
      <c r="D450">
        <f t="shared" ref="D450:D513" si="7">COUNTIF(A:A,C450)</f>
        <v>3</v>
      </c>
      <c r="I450" s="1" t="s">
        <v>50</v>
      </c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x14ac:dyDescent="0.25">
      <c r="A451" s="8" t="s">
        <v>9624</v>
      </c>
      <c r="C451" s="7" t="s">
        <v>472</v>
      </c>
      <c r="D451">
        <f t="shared" si="7"/>
        <v>3</v>
      </c>
      <c r="I451" s="1" t="s">
        <v>10711</v>
      </c>
      <c r="J451" s="1" t="s">
        <v>10790</v>
      </c>
      <c r="K451" s="1" t="s">
        <v>10791</v>
      </c>
      <c r="L451" s="1" t="s">
        <v>10792</v>
      </c>
      <c r="M451" s="1" t="s">
        <v>10793</v>
      </c>
      <c r="N451" s="1" t="s">
        <v>10794</v>
      </c>
      <c r="O451" s="1" t="s">
        <v>984</v>
      </c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x14ac:dyDescent="0.25">
      <c r="A452" s="8" t="s">
        <v>9624</v>
      </c>
      <c r="C452" s="7" t="s">
        <v>1312</v>
      </c>
      <c r="D452">
        <f t="shared" si="7"/>
        <v>3</v>
      </c>
      <c r="I452" s="1" t="s">
        <v>10711</v>
      </c>
      <c r="J452" s="1" t="s">
        <v>10790</v>
      </c>
      <c r="K452" s="1" t="s">
        <v>10791</v>
      </c>
      <c r="L452" s="1" t="s">
        <v>10792</v>
      </c>
      <c r="M452" s="1" t="s">
        <v>10793</v>
      </c>
      <c r="N452" s="1" t="s">
        <v>10794</v>
      </c>
      <c r="O452" s="1" t="s">
        <v>984</v>
      </c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x14ac:dyDescent="0.25">
      <c r="A453" s="8" t="s">
        <v>9624</v>
      </c>
      <c r="C453" s="7" t="s">
        <v>10512</v>
      </c>
      <c r="D453">
        <f t="shared" si="7"/>
        <v>3</v>
      </c>
      <c r="I453" s="1" t="s">
        <v>10711</v>
      </c>
      <c r="J453" s="1" t="s">
        <v>10790</v>
      </c>
      <c r="K453" s="1" t="s">
        <v>10791</v>
      </c>
      <c r="L453" s="1" t="s">
        <v>10792</v>
      </c>
      <c r="M453" s="1" t="s">
        <v>10793</v>
      </c>
      <c r="N453" s="1" t="s">
        <v>10794</v>
      </c>
      <c r="O453" s="1" t="s">
        <v>984</v>
      </c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x14ac:dyDescent="0.25">
      <c r="A454" s="7" t="s">
        <v>2579</v>
      </c>
      <c r="C454" s="7" t="s">
        <v>9770</v>
      </c>
      <c r="D454">
        <f t="shared" si="7"/>
        <v>3</v>
      </c>
      <c r="I454" s="1" t="s">
        <v>176</v>
      </c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x14ac:dyDescent="0.25">
      <c r="A455" s="7" t="s">
        <v>2579</v>
      </c>
      <c r="C455" s="8" t="s">
        <v>9955</v>
      </c>
      <c r="D455">
        <f t="shared" si="7"/>
        <v>3</v>
      </c>
      <c r="I455" s="1" t="s">
        <v>1016</v>
      </c>
      <c r="J455" s="1" t="s">
        <v>1017</v>
      </c>
      <c r="K455" s="1" t="s">
        <v>992</v>
      </c>
      <c r="L455" s="1" t="s">
        <v>981</v>
      </c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x14ac:dyDescent="0.25">
      <c r="A456" s="7" t="s">
        <v>2579</v>
      </c>
      <c r="C456" s="7" t="s">
        <v>8962</v>
      </c>
      <c r="D456">
        <f t="shared" si="7"/>
        <v>3</v>
      </c>
      <c r="I456" s="1" t="s">
        <v>50</v>
      </c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x14ac:dyDescent="0.25">
      <c r="A457" s="7" t="s">
        <v>2579</v>
      </c>
      <c r="C457" s="8" t="s">
        <v>8893</v>
      </c>
      <c r="D457">
        <f t="shared" si="7"/>
        <v>3</v>
      </c>
      <c r="I457" s="1" t="s">
        <v>50</v>
      </c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x14ac:dyDescent="0.25">
      <c r="A458" s="7" t="s">
        <v>2579</v>
      </c>
      <c r="C458" s="7" t="s">
        <v>6288</v>
      </c>
      <c r="D458">
        <f t="shared" si="7"/>
        <v>3</v>
      </c>
      <c r="I458" s="1" t="s">
        <v>50</v>
      </c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x14ac:dyDescent="0.25">
      <c r="A459" s="7" t="s">
        <v>2579</v>
      </c>
      <c r="C459" s="8" t="s">
        <v>9455</v>
      </c>
      <c r="D459">
        <f t="shared" si="7"/>
        <v>3</v>
      </c>
      <c r="I459" s="1" t="s">
        <v>50</v>
      </c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x14ac:dyDescent="0.25">
      <c r="A460" s="7" t="s">
        <v>2579</v>
      </c>
      <c r="C460" s="8" t="s">
        <v>10503</v>
      </c>
      <c r="D460">
        <f t="shared" si="7"/>
        <v>3</v>
      </c>
      <c r="I460" s="1" t="s">
        <v>933</v>
      </c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x14ac:dyDescent="0.25">
      <c r="A461" s="7" t="s">
        <v>2579</v>
      </c>
      <c r="C461" s="8" t="s">
        <v>9499</v>
      </c>
      <c r="D461">
        <f t="shared" si="7"/>
        <v>3</v>
      </c>
      <c r="I461" s="1" t="s">
        <v>2541</v>
      </c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x14ac:dyDescent="0.25">
      <c r="A462" s="7" t="s">
        <v>2579</v>
      </c>
      <c r="C462" s="8" t="s">
        <v>10426</v>
      </c>
      <c r="D462">
        <f t="shared" si="7"/>
        <v>3</v>
      </c>
      <c r="I462" s="1" t="s">
        <v>2696</v>
      </c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x14ac:dyDescent="0.25">
      <c r="A463" s="7" t="s">
        <v>2579</v>
      </c>
      <c r="C463" s="7" t="s">
        <v>6282</v>
      </c>
      <c r="D463">
        <f t="shared" si="7"/>
        <v>3</v>
      </c>
      <c r="I463" s="1" t="s">
        <v>1086</v>
      </c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x14ac:dyDescent="0.25">
      <c r="A464" s="8" t="s">
        <v>2579</v>
      </c>
      <c r="C464" s="7" t="s">
        <v>2971</v>
      </c>
      <c r="D464">
        <f t="shared" si="7"/>
        <v>3</v>
      </c>
      <c r="I464" s="1" t="s">
        <v>987</v>
      </c>
      <c r="J464" s="1" t="s">
        <v>994</v>
      </c>
      <c r="K464" s="1" t="s">
        <v>926</v>
      </c>
      <c r="L464" s="1" t="s">
        <v>918</v>
      </c>
      <c r="M464" s="1" t="s">
        <v>25</v>
      </c>
      <c r="N464" s="1" t="s">
        <v>927</v>
      </c>
      <c r="O464" s="1" t="s">
        <v>928</v>
      </c>
      <c r="P464" s="1" t="s">
        <v>919</v>
      </c>
      <c r="Q464" s="1" t="s">
        <v>920</v>
      </c>
      <c r="R464" s="1" t="s">
        <v>960</v>
      </c>
      <c r="S464" s="1" t="s">
        <v>1147</v>
      </c>
      <c r="T464" s="1" t="s">
        <v>934</v>
      </c>
      <c r="U464" s="1" t="s">
        <v>923</v>
      </c>
      <c r="V464" s="1" t="s">
        <v>1141</v>
      </c>
      <c r="W464" s="1"/>
      <c r="X464" s="1"/>
      <c r="Y464" s="1"/>
    </row>
    <row r="465" spans="1:25" x14ac:dyDescent="0.25">
      <c r="A465" s="8" t="s">
        <v>2579</v>
      </c>
      <c r="C465" s="8" t="s">
        <v>10190</v>
      </c>
      <c r="D465">
        <f t="shared" si="7"/>
        <v>3</v>
      </c>
      <c r="I465" s="1" t="s">
        <v>1016</v>
      </c>
      <c r="J465" s="1" t="s">
        <v>1017</v>
      </c>
      <c r="K465" s="1" t="s">
        <v>992</v>
      </c>
      <c r="L465" s="1" t="s">
        <v>981</v>
      </c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x14ac:dyDescent="0.25">
      <c r="A466" s="8" t="s">
        <v>10228</v>
      </c>
      <c r="C466" s="8" t="s">
        <v>9108</v>
      </c>
      <c r="D466">
        <f t="shared" si="7"/>
        <v>3</v>
      </c>
      <c r="I466" s="1" t="s">
        <v>996</v>
      </c>
      <c r="J466" s="1" t="s">
        <v>2541</v>
      </c>
      <c r="K466" s="1" t="s">
        <v>10795</v>
      </c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x14ac:dyDescent="0.25">
      <c r="A467" s="7" t="s">
        <v>9913</v>
      </c>
      <c r="C467" s="7" t="s">
        <v>449</v>
      </c>
      <c r="D467">
        <f t="shared" si="7"/>
        <v>3</v>
      </c>
      <c r="I467" s="1" t="s">
        <v>2541</v>
      </c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x14ac:dyDescent="0.25">
      <c r="A468" s="7" t="s">
        <v>9913</v>
      </c>
      <c r="C468" s="7" t="s">
        <v>8296</v>
      </c>
      <c r="D468">
        <f t="shared" si="7"/>
        <v>3</v>
      </c>
      <c r="I468" s="1" t="s">
        <v>10796</v>
      </c>
      <c r="J468" s="1" t="s">
        <v>952</v>
      </c>
      <c r="K468" s="1" t="s">
        <v>919</v>
      </c>
      <c r="L468" s="1" t="s">
        <v>1037</v>
      </c>
      <c r="M468" s="1" t="s">
        <v>10726</v>
      </c>
      <c r="N468" s="1" t="s">
        <v>924</v>
      </c>
      <c r="O468" s="1" t="s">
        <v>10797</v>
      </c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x14ac:dyDescent="0.25">
      <c r="A469" s="8" t="s">
        <v>9913</v>
      </c>
      <c r="C469" s="7" t="s">
        <v>9040</v>
      </c>
      <c r="D469">
        <f t="shared" si="7"/>
        <v>3</v>
      </c>
      <c r="I469" s="1" t="s">
        <v>998</v>
      </c>
      <c r="J469" s="1" t="s">
        <v>1086</v>
      </c>
      <c r="K469" s="1" t="s">
        <v>933</v>
      </c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x14ac:dyDescent="0.25">
      <c r="A470" s="7" t="s">
        <v>9358</v>
      </c>
      <c r="C470" s="7" t="s">
        <v>9041</v>
      </c>
      <c r="D470">
        <f t="shared" si="7"/>
        <v>3</v>
      </c>
      <c r="I470" s="1" t="s">
        <v>1018</v>
      </c>
      <c r="J470" s="1" t="s">
        <v>1019</v>
      </c>
      <c r="K470" s="1" t="s">
        <v>983</v>
      </c>
      <c r="L470" s="1" t="s">
        <v>1020</v>
      </c>
      <c r="M470" s="1" t="s">
        <v>984</v>
      </c>
      <c r="N470" s="1" t="s">
        <v>1021</v>
      </c>
      <c r="O470" s="1" t="s">
        <v>1022</v>
      </c>
      <c r="P470" s="1" t="s">
        <v>1023</v>
      </c>
      <c r="Q470" s="1" t="s">
        <v>1024</v>
      </c>
      <c r="R470" s="1" t="s">
        <v>1025</v>
      </c>
      <c r="S470" s="1" t="s">
        <v>1026</v>
      </c>
      <c r="T470" s="1" t="s">
        <v>1027</v>
      </c>
      <c r="U470" s="1" t="s">
        <v>1028</v>
      </c>
      <c r="V470" s="1"/>
      <c r="W470" s="1"/>
      <c r="X470" s="1"/>
      <c r="Y470" s="1"/>
    </row>
    <row r="471" spans="1:25" x14ac:dyDescent="0.25">
      <c r="A471" s="7" t="s">
        <v>9605</v>
      </c>
      <c r="C471" s="7" t="s">
        <v>9441</v>
      </c>
      <c r="D471">
        <f t="shared" si="7"/>
        <v>3</v>
      </c>
      <c r="I471" s="1" t="s">
        <v>934</v>
      </c>
      <c r="J471" s="1" t="s">
        <v>918</v>
      </c>
      <c r="K471" s="1" t="s">
        <v>1110</v>
      </c>
      <c r="L471" s="1" t="s">
        <v>25</v>
      </c>
      <c r="M471" s="1" t="s">
        <v>923</v>
      </c>
      <c r="N471" s="1" t="s">
        <v>920</v>
      </c>
      <c r="O471" s="1" t="s">
        <v>924</v>
      </c>
      <c r="P471" s="1" t="s">
        <v>974</v>
      </c>
      <c r="Q471" s="1" t="s">
        <v>921</v>
      </c>
      <c r="R471" s="1"/>
      <c r="S471" s="1"/>
      <c r="T471" s="1"/>
      <c r="U471" s="1"/>
      <c r="V471" s="1"/>
      <c r="W471" s="1"/>
      <c r="X471" s="1"/>
      <c r="Y471" s="1"/>
    </row>
    <row r="472" spans="1:25" x14ac:dyDescent="0.25">
      <c r="A472" s="8" t="s">
        <v>9605</v>
      </c>
      <c r="C472" s="7" t="s">
        <v>5712</v>
      </c>
      <c r="D472">
        <f t="shared" si="7"/>
        <v>3</v>
      </c>
      <c r="I472" s="1" t="s">
        <v>926</v>
      </c>
      <c r="J472" s="1" t="s">
        <v>10798</v>
      </c>
      <c r="K472" s="1" t="s">
        <v>10767</v>
      </c>
      <c r="L472" s="1" t="s">
        <v>989</v>
      </c>
      <c r="M472" s="1" t="s">
        <v>10799</v>
      </c>
      <c r="N472" s="1" t="s">
        <v>984</v>
      </c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x14ac:dyDescent="0.25">
      <c r="A473" s="7" t="s">
        <v>4003</v>
      </c>
      <c r="C473" s="7" t="s">
        <v>5840</v>
      </c>
      <c r="D473">
        <f t="shared" si="7"/>
        <v>3</v>
      </c>
      <c r="I473" s="1" t="s">
        <v>926</v>
      </c>
      <c r="J473" s="1" t="s">
        <v>10798</v>
      </c>
      <c r="K473" s="1" t="s">
        <v>10767</v>
      </c>
      <c r="L473" s="1" t="s">
        <v>989</v>
      </c>
      <c r="M473" s="1" t="s">
        <v>10799</v>
      </c>
      <c r="N473" s="1" t="s">
        <v>984</v>
      </c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x14ac:dyDescent="0.25">
      <c r="A474" s="7" t="s">
        <v>8902</v>
      </c>
      <c r="C474" s="7" t="s">
        <v>9830</v>
      </c>
      <c r="D474">
        <f t="shared" si="7"/>
        <v>3</v>
      </c>
      <c r="I474" s="1" t="s">
        <v>25</v>
      </c>
      <c r="J474" s="1" t="s">
        <v>1136</v>
      </c>
      <c r="K474" s="1" t="s">
        <v>10752</v>
      </c>
      <c r="L474" s="1" t="s">
        <v>920</v>
      </c>
      <c r="M474" s="1" t="s">
        <v>328</v>
      </c>
      <c r="N474" s="1" t="s">
        <v>918</v>
      </c>
      <c r="O474" s="1" t="s">
        <v>1110</v>
      </c>
      <c r="P474" s="1" t="s">
        <v>923</v>
      </c>
      <c r="Q474" s="1" t="s">
        <v>919</v>
      </c>
      <c r="R474" s="1" t="s">
        <v>954</v>
      </c>
      <c r="S474" s="1" t="s">
        <v>921</v>
      </c>
      <c r="T474" s="1" t="s">
        <v>964</v>
      </c>
      <c r="U474" s="1" t="s">
        <v>934</v>
      </c>
      <c r="V474" s="1" t="s">
        <v>965</v>
      </c>
      <c r="W474" s="1" t="s">
        <v>840</v>
      </c>
      <c r="X474" s="1"/>
      <c r="Y474" s="1"/>
    </row>
    <row r="475" spans="1:25" x14ac:dyDescent="0.25">
      <c r="A475" s="7" t="s">
        <v>6615</v>
      </c>
      <c r="C475" s="7" t="s">
        <v>9279</v>
      </c>
      <c r="D475">
        <f t="shared" si="7"/>
        <v>3</v>
      </c>
      <c r="I475" s="1" t="s">
        <v>25</v>
      </c>
      <c r="J475" s="1" t="s">
        <v>923</v>
      </c>
      <c r="K475" s="1" t="s">
        <v>920</v>
      </c>
      <c r="L475" s="1" t="s">
        <v>933</v>
      </c>
      <c r="M475" s="1" t="s">
        <v>921</v>
      </c>
      <c r="N475" s="1" t="s">
        <v>981</v>
      </c>
      <c r="O475" s="1" t="s">
        <v>983</v>
      </c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x14ac:dyDescent="0.25">
      <c r="A476" s="7" t="s">
        <v>6615</v>
      </c>
      <c r="C476" s="8" t="s">
        <v>10033</v>
      </c>
      <c r="D476">
        <f t="shared" si="7"/>
        <v>3</v>
      </c>
      <c r="I476" s="1" t="s">
        <v>90</v>
      </c>
      <c r="J476" s="1" t="s">
        <v>996</v>
      </c>
      <c r="K476" s="1" t="s">
        <v>25</v>
      </c>
      <c r="L476" s="1" t="s">
        <v>923</v>
      </c>
      <c r="M476" s="1" t="s">
        <v>997</v>
      </c>
      <c r="N476" s="1" t="s">
        <v>927</v>
      </c>
      <c r="O476" s="1" t="s">
        <v>998</v>
      </c>
      <c r="P476" s="1" t="s">
        <v>1086</v>
      </c>
      <c r="Q476" s="1" t="s">
        <v>994</v>
      </c>
      <c r="R476" s="1" t="s">
        <v>1081</v>
      </c>
      <c r="S476" s="1" t="s">
        <v>10800</v>
      </c>
      <c r="T476" s="1"/>
      <c r="U476" s="1"/>
      <c r="V476" s="1"/>
      <c r="W476" s="1"/>
      <c r="X476" s="1"/>
      <c r="Y476" s="1"/>
    </row>
    <row r="477" spans="1:25" x14ac:dyDescent="0.25">
      <c r="A477" s="7" t="s">
        <v>6615</v>
      </c>
      <c r="C477" s="7" t="s">
        <v>4282</v>
      </c>
      <c r="D477">
        <f t="shared" si="7"/>
        <v>3</v>
      </c>
      <c r="I477" s="1" t="s">
        <v>928</v>
      </c>
      <c r="J477" s="1" t="s">
        <v>983</v>
      </c>
      <c r="K477" s="1" t="s">
        <v>919</v>
      </c>
      <c r="L477" s="1" t="s">
        <v>1020</v>
      </c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x14ac:dyDescent="0.25">
      <c r="A478" s="7" t="s">
        <v>6615</v>
      </c>
      <c r="C478" s="7" t="s">
        <v>10101</v>
      </c>
      <c r="D478">
        <f t="shared" si="7"/>
        <v>3</v>
      </c>
      <c r="I478" s="1" t="s">
        <v>50</v>
      </c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x14ac:dyDescent="0.25">
      <c r="A479" s="7" t="s">
        <v>9428</v>
      </c>
      <c r="C479" s="7" t="s">
        <v>240</v>
      </c>
      <c r="D479">
        <f t="shared" si="7"/>
        <v>3</v>
      </c>
      <c r="I479" s="1" t="s">
        <v>4058</v>
      </c>
      <c r="J479" s="1" t="s">
        <v>10801</v>
      </c>
      <c r="K479" s="1" t="s">
        <v>4037</v>
      </c>
      <c r="L479" s="1" t="s">
        <v>10802</v>
      </c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x14ac:dyDescent="0.25">
      <c r="A480" s="7" t="s">
        <v>9678</v>
      </c>
      <c r="C480" s="7" t="s">
        <v>9355</v>
      </c>
      <c r="D480">
        <f t="shared" si="7"/>
        <v>3</v>
      </c>
      <c r="I480" s="1" t="s">
        <v>1070</v>
      </c>
      <c r="J480" s="1" t="s">
        <v>976</v>
      </c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x14ac:dyDescent="0.25">
      <c r="A481" s="7" t="s">
        <v>6331</v>
      </c>
      <c r="C481" s="7" t="s">
        <v>9094</v>
      </c>
      <c r="D481">
        <f t="shared" si="7"/>
        <v>3</v>
      </c>
      <c r="I481" s="1" t="s">
        <v>1070</v>
      </c>
      <c r="J481" s="1" t="s">
        <v>976</v>
      </c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x14ac:dyDescent="0.25">
      <c r="A482" s="8" t="s">
        <v>6331</v>
      </c>
      <c r="C482" s="7" t="s">
        <v>8987</v>
      </c>
      <c r="D482">
        <f t="shared" si="7"/>
        <v>3</v>
      </c>
      <c r="I482" s="1" t="s">
        <v>25</v>
      </c>
      <c r="J482" s="1" t="s">
        <v>923</v>
      </c>
      <c r="K482" s="1" t="s">
        <v>920</v>
      </c>
      <c r="L482" s="1" t="s">
        <v>933</v>
      </c>
      <c r="M482" s="1" t="s">
        <v>954</v>
      </c>
      <c r="N482" s="1" t="s">
        <v>921</v>
      </c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x14ac:dyDescent="0.25">
      <c r="A483" s="7" t="s">
        <v>5103</v>
      </c>
      <c r="C483" s="7" t="s">
        <v>2330</v>
      </c>
      <c r="D483">
        <f t="shared" si="7"/>
        <v>3</v>
      </c>
      <c r="I483" s="1" t="s">
        <v>918</v>
      </c>
      <c r="J483" s="1" t="s">
        <v>1137</v>
      </c>
      <c r="K483" s="1" t="s">
        <v>919</v>
      </c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x14ac:dyDescent="0.25">
      <c r="A484" s="8" t="s">
        <v>10651</v>
      </c>
      <c r="C484" s="8" t="s">
        <v>10137</v>
      </c>
      <c r="D484">
        <f t="shared" si="7"/>
        <v>3</v>
      </c>
      <c r="I484" s="1" t="s">
        <v>918</v>
      </c>
      <c r="J484" s="1" t="s">
        <v>1137</v>
      </c>
      <c r="K484" s="1" t="s">
        <v>919</v>
      </c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x14ac:dyDescent="0.25">
      <c r="A485" s="7" t="s">
        <v>9885</v>
      </c>
      <c r="C485" s="7" t="s">
        <v>8961</v>
      </c>
      <c r="D485">
        <f t="shared" si="7"/>
        <v>3</v>
      </c>
      <c r="I485" s="1" t="s">
        <v>918</v>
      </c>
      <c r="J485" s="1" t="s">
        <v>1137</v>
      </c>
      <c r="K485" s="1" t="s">
        <v>919</v>
      </c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x14ac:dyDescent="0.25">
      <c r="A486" s="7" t="s">
        <v>9702</v>
      </c>
      <c r="C486" s="8" t="s">
        <v>9073</v>
      </c>
      <c r="D486">
        <f t="shared" si="7"/>
        <v>3</v>
      </c>
      <c r="I486" s="1" t="s">
        <v>918</v>
      </c>
      <c r="J486" s="1" t="s">
        <v>1137</v>
      </c>
      <c r="K486" s="1" t="s">
        <v>919</v>
      </c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x14ac:dyDescent="0.25">
      <c r="A487" s="8" t="s">
        <v>10266</v>
      </c>
      <c r="C487" s="7" t="s">
        <v>6482</v>
      </c>
      <c r="D487">
        <f t="shared" si="7"/>
        <v>3</v>
      </c>
      <c r="I487" s="1" t="s">
        <v>934</v>
      </c>
      <c r="J487" s="1" t="s">
        <v>918</v>
      </c>
      <c r="K487" s="1" t="s">
        <v>1110</v>
      </c>
      <c r="L487" s="1" t="s">
        <v>25</v>
      </c>
      <c r="M487" s="1" t="s">
        <v>923</v>
      </c>
      <c r="N487" s="1" t="s">
        <v>920</v>
      </c>
      <c r="O487" s="1" t="s">
        <v>924</v>
      </c>
      <c r="P487" s="1" t="s">
        <v>974</v>
      </c>
      <c r="Q487" s="1" t="s">
        <v>921</v>
      </c>
      <c r="R487" s="1" t="s">
        <v>933</v>
      </c>
      <c r="S487" s="1" t="s">
        <v>328</v>
      </c>
      <c r="T487" s="1"/>
      <c r="U487" s="1"/>
      <c r="V487" s="1"/>
      <c r="W487" s="1"/>
      <c r="X487" s="1"/>
      <c r="Y487" s="1"/>
    </row>
    <row r="488" spans="1:25" x14ac:dyDescent="0.25">
      <c r="A488" s="8" t="s">
        <v>10266</v>
      </c>
      <c r="C488" s="7" t="s">
        <v>7601</v>
      </c>
      <c r="D488">
        <f t="shared" si="7"/>
        <v>3</v>
      </c>
      <c r="I488" s="1" t="s">
        <v>25</v>
      </c>
      <c r="J488" s="1" t="s">
        <v>919</v>
      </c>
      <c r="K488" s="1" t="s">
        <v>920</v>
      </c>
      <c r="L488" s="1" t="s">
        <v>954</v>
      </c>
      <c r="M488" s="1" t="s">
        <v>1030</v>
      </c>
      <c r="N488" s="1" t="s">
        <v>1013</v>
      </c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x14ac:dyDescent="0.25">
      <c r="A489" s="7" t="s">
        <v>6194</v>
      </c>
      <c r="C489" s="7" t="s">
        <v>6603</v>
      </c>
      <c r="D489">
        <f t="shared" si="7"/>
        <v>3</v>
      </c>
      <c r="I489" s="1" t="s">
        <v>934</v>
      </c>
      <c r="J489" s="1" t="s">
        <v>918</v>
      </c>
      <c r="K489" s="1" t="s">
        <v>1110</v>
      </c>
      <c r="L489" s="1" t="s">
        <v>25</v>
      </c>
      <c r="M489" s="1" t="s">
        <v>923</v>
      </c>
      <c r="N489" s="1" t="s">
        <v>920</v>
      </c>
      <c r="O489" s="1" t="s">
        <v>924</v>
      </c>
      <c r="P489" s="1" t="s">
        <v>974</v>
      </c>
      <c r="Q489" s="1" t="s">
        <v>921</v>
      </c>
      <c r="R489" s="1" t="s">
        <v>933</v>
      </c>
      <c r="S489" s="1" t="s">
        <v>328</v>
      </c>
      <c r="T489" s="1"/>
      <c r="U489" s="1"/>
      <c r="V489" s="1"/>
      <c r="W489" s="1"/>
      <c r="X489" s="1"/>
      <c r="Y489" s="1"/>
    </row>
    <row r="490" spans="1:25" x14ac:dyDescent="0.25">
      <c r="A490" s="7" t="s">
        <v>6194</v>
      </c>
      <c r="C490" s="7" t="s">
        <v>417</v>
      </c>
      <c r="D490">
        <f t="shared" si="7"/>
        <v>3</v>
      </c>
      <c r="I490" s="1" t="s">
        <v>948</v>
      </c>
      <c r="J490" s="1" t="s">
        <v>298</v>
      </c>
      <c r="K490" s="1" t="s">
        <v>25</v>
      </c>
      <c r="L490" s="1" t="s">
        <v>923</v>
      </c>
      <c r="M490" s="1" t="s">
        <v>1166</v>
      </c>
      <c r="N490" s="1" t="s">
        <v>1149</v>
      </c>
      <c r="O490" s="1" t="s">
        <v>997</v>
      </c>
      <c r="P490" s="1" t="s">
        <v>1150</v>
      </c>
      <c r="Q490" s="1" t="s">
        <v>1053</v>
      </c>
      <c r="R490" s="1" t="s">
        <v>1086</v>
      </c>
      <c r="S490" s="1"/>
      <c r="T490" s="1"/>
      <c r="U490" s="1"/>
      <c r="V490" s="1"/>
      <c r="W490" s="1"/>
      <c r="X490" s="1"/>
      <c r="Y490" s="1"/>
    </row>
    <row r="491" spans="1:25" x14ac:dyDescent="0.25">
      <c r="A491" s="7" t="s">
        <v>6194</v>
      </c>
      <c r="C491" s="7" t="s">
        <v>9242</v>
      </c>
      <c r="D491">
        <f t="shared" si="7"/>
        <v>3</v>
      </c>
      <c r="I491" s="1" t="s">
        <v>25</v>
      </c>
      <c r="J491" s="1" t="s">
        <v>919</v>
      </c>
      <c r="K491" s="1" t="s">
        <v>920</v>
      </c>
      <c r="L491" s="1" t="s">
        <v>954</v>
      </c>
      <c r="M491" s="1" t="s">
        <v>1030</v>
      </c>
      <c r="N491" s="1" t="s">
        <v>1013</v>
      </c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x14ac:dyDescent="0.25">
      <c r="A492" s="7" t="s">
        <v>6194</v>
      </c>
      <c r="C492" s="7" t="s">
        <v>1937</v>
      </c>
      <c r="D492">
        <f t="shared" si="7"/>
        <v>3</v>
      </c>
      <c r="I492" s="1" t="s">
        <v>1004</v>
      </c>
      <c r="J492" s="1" t="s">
        <v>1006</v>
      </c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x14ac:dyDescent="0.25">
      <c r="A493" s="8" t="s">
        <v>9488</v>
      </c>
      <c r="C493" s="7" t="s">
        <v>9508</v>
      </c>
      <c r="D493">
        <f t="shared" si="7"/>
        <v>3</v>
      </c>
      <c r="I493" s="1" t="s">
        <v>918</v>
      </c>
      <c r="J493" s="1" t="s">
        <v>25</v>
      </c>
      <c r="K493" s="1" t="s">
        <v>919</v>
      </c>
      <c r="L493" s="1" t="s">
        <v>920</v>
      </c>
      <c r="M493" s="1" t="s">
        <v>921</v>
      </c>
      <c r="N493" s="1" t="s">
        <v>922</v>
      </c>
      <c r="O493" s="1" t="s">
        <v>10803</v>
      </c>
      <c r="P493" s="1" t="s">
        <v>936</v>
      </c>
      <c r="Q493" s="1"/>
      <c r="R493" s="1"/>
      <c r="S493" s="1"/>
      <c r="T493" s="1"/>
      <c r="U493" s="1"/>
      <c r="V493" s="1"/>
      <c r="W493" s="1"/>
      <c r="X493" s="1"/>
      <c r="Y493" s="1"/>
    </row>
    <row r="494" spans="1:25" x14ac:dyDescent="0.25">
      <c r="A494" s="8" t="s">
        <v>9488</v>
      </c>
      <c r="C494" s="7" t="s">
        <v>3797</v>
      </c>
      <c r="D494">
        <f t="shared" si="7"/>
        <v>3</v>
      </c>
      <c r="I494" s="1" t="s">
        <v>25</v>
      </c>
      <c r="J494" s="1" t="s">
        <v>919</v>
      </c>
      <c r="K494" s="1" t="s">
        <v>920</v>
      </c>
      <c r="L494" s="1" t="s">
        <v>954</v>
      </c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x14ac:dyDescent="0.25">
      <c r="A495" s="8" t="s">
        <v>9362</v>
      </c>
      <c r="C495" s="8" t="s">
        <v>9350</v>
      </c>
      <c r="D495">
        <f t="shared" si="7"/>
        <v>3</v>
      </c>
      <c r="I495" s="1" t="s">
        <v>918</v>
      </c>
      <c r="J495" s="1" t="s">
        <v>25</v>
      </c>
      <c r="K495" s="1" t="s">
        <v>923</v>
      </c>
      <c r="L495" s="1" t="s">
        <v>973</v>
      </c>
      <c r="M495" s="1" t="s">
        <v>916</v>
      </c>
      <c r="N495" s="1" t="s">
        <v>920</v>
      </c>
      <c r="O495" s="1" t="s">
        <v>954</v>
      </c>
      <c r="P495" s="1" t="s">
        <v>974</v>
      </c>
      <c r="Q495" s="1" t="s">
        <v>921</v>
      </c>
      <c r="R495" s="1"/>
      <c r="S495" s="1"/>
      <c r="T495" s="1"/>
      <c r="U495" s="1"/>
      <c r="V495" s="1"/>
      <c r="W495" s="1"/>
      <c r="X495" s="1"/>
      <c r="Y495" s="1"/>
    </row>
    <row r="496" spans="1:25" x14ac:dyDescent="0.25">
      <c r="A496" s="8" t="s">
        <v>9362</v>
      </c>
      <c r="C496" s="7" t="s">
        <v>2548</v>
      </c>
      <c r="D496">
        <f t="shared" si="7"/>
        <v>3</v>
      </c>
      <c r="I496" s="1" t="s">
        <v>996</v>
      </c>
      <c r="J496" s="1" t="s">
        <v>10804</v>
      </c>
      <c r="K496" s="1" t="s">
        <v>961</v>
      </c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x14ac:dyDescent="0.25">
      <c r="A497" s="8" t="s">
        <v>9362</v>
      </c>
      <c r="C497" s="7" t="s">
        <v>6378</v>
      </c>
      <c r="D497">
        <f t="shared" si="7"/>
        <v>3</v>
      </c>
      <c r="I497" s="1" t="s">
        <v>948</v>
      </c>
      <c r="J497" s="1" t="s">
        <v>298</v>
      </c>
      <c r="K497" s="1" t="s">
        <v>1149</v>
      </c>
      <c r="L497" s="1" t="s">
        <v>25</v>
      </c>
      <c r="M497" s="1" t="s">
        <v>923</v>
      </c>
      <c r="N497" s="1" t="s">
        <v>997</v>
      </c>
      <c r="O497" s="1" t="s">
        <v>954</v>
      </c>
      <c r="P497" s="1" t="s">
        <v>994</v>
      </c>
      <c r="Q497" s="1" t="s">
        <v>10766</v>
      </c>
      <c r="R497" s="1"/>
      <c r="S497" s="1"/>
      <c r="T497" s="1"/>
      <c r="U497" s="1"/>
      <c r="V497" s="1"/>
      <c r="W497" s="1"/>
      <c r="X497" s="1"/>
      <c r="Y497" s="1"/>
    </row>
    <row r="498" spans="1:25" x14ac:dyDescent="0.25">
      <c r="A498" s="8" t="s">
        <v>10087</v>
      </c>
      <c r="C498" s="7" t="s">
        <v>7838</v>
      </c>
      <c r="D498">
        <f t="shared" si="7"/>
        <v>3</v>
      </c>
      <c r="I498" s="1" t="s">
        <v>1149</v>
      </c>
      <c r="J498" s="1" t="s">
        <v>25</v>
      </c>
      <c r="K498" s="1" t="s">
        <v>923</v>
      </c>
      <c r="L498" s="1" t="s">
        <v>998</v>
      </c>
      <c r="M498" s="1" t="s">
        <v>1086</v>
      </c>
      <c r="N498" s="1" t="s">
        <v>920</v>
      </c>
      <c r="O498" s="1" t="s">
        <v>933</v>
      </c>
      <c r="P498" s="1" t="s">
        <v>10719</v>
      </c>
      <c r="Q498" s="1" t="s">
        <v>974</v>
      </c>
      <c r="R498" s="1" t="s">
        <v>10805</v>
      </c>
      <c r="S498" s="1"/>
      <c r="T498" s="1"/>
      <c r="U498" s="1"/>
      <c r="V498" s="1"/>
      <c r="W498" s="1"/>
      <c r="X498" s="1"/>
      <c r="Y498" s="1"/>
    </row>
    <row r="499" spans="1:25" x14ac:dyDescent="0.25">
      <c r="A499" s="7" t="s">
        <v>10282</v>
      </c>
      <c r="C499" s="7" t="s">
        <v>9257</v>
      </c>
      <c r="D499">
        <f t="shared" si="7"/>
        <v>3</v>
      </c>
      <c r="I499" s="1" t="s">
        <v>50</v>
      </c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x14ac:dyDescent="0.25">
      <c r="A500" s="8" t="s">
        <v>10465</v>
      </c>
      <c r="C500" s="7" t="s">
        <v>9385</v>
      </c>
      <c r="D500">
        <f t="shared" si="7"/>
        <v>3</v>
      </c>
      <c r="I500" s="1" t="s">
        <v>2772</v>
      </c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x14ac:dyDescent="0.25">
      <c r="A501" s="8" t="s">
        <v>9920</v>
      </c>
      <c r="C501" s="7" t="s">
        <v>9547</v>
      </c>
      <c r="D501">
        <f t="shared" si="7"/>
        <v>3</v>
      </c>
      <c r="I501" s="1" t="s">
        <v>934</v>
      </c>
      <c r="J501" s="1" t="s">
        <v>25</v>
      </c>
      <c r="K501" s="1" t="s">
        <v>923</v>
      </c>
      <c r="L501" s="1" t="s">
        <v>920</v>
      </c>
      <c r="M501" s="1" t="s">
        <v>933</v>
      </c>
      <c r="N501" s="1" t="s">
        <v>954</v>
      </c>
      <c r="O501" s="1" t="s">
        <v>1141</v>
      </c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x14ac:dyDescent="0.25">
      <c r="A502" s="7" t="s">
        <v>1590</v>
      </c>
      <c r="C502" s="7" t="s">
        <v>9537</v>
      </c>
      <c r="D502">
        <f t="shared" si="7"/>
        <v>3</v>
      </c>
      <c r="I502" s="1" t="s">
        <v>1030</v>
      </c>
      <c r="J502" s="1" t="s">
        <v>10806</v>
      </c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x14ac:dyDescent="0.25">
      <c r="A503" s="7" t="s">
        <v>9378</v>
      </c>
      <c r="C503" s="7" t="s">
        <v>8881</v>
      </c>
      <c r="D503">
        <f t="shared" si="7"/>
        <v>3</v>
      </c>
      <c r="I503" s="1" t="s">
        <v>933</v>
      </c>
      <c r="J503" s="1" t="s">
        <v>954</v>
      </c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x14ac:dyDescent="0.25">
      <c r="A504" s="7" t="s">
        <v>9887</v>
      </c>
      <c r="C504" s="7" t="s">
        <v>3748</v>
      </c>
      <c r="D504">
        <f t="shared" si="7"/>
        <v>3</v>
      </c>
      <c r="I504" s="1" t="s">
        <v>10807</v>
      </c>
      <c r="J504" s="1" t="s">
        <v>996</v>
      </c>
      <c r="K504" s="1" t="s">
        <v>2541</v>
      </c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x14ac:dyDescent="0.25">
      <c r="A505" s="7" t="s">
        <v>6922</v>
      </c>
      <c r="C505" s="7" t="s">
        <v>2007</v>
      </c>
      <c r="D505">
        <f t="shared" si="7"/>
        <v>3</v>
      </c>
      <c r="I505" s="1" t="s">
        <v>2927</v>
      </c>
      <c r="J505" s="1" t="s">
        <v>1086</v>
      </c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x14ac:dyDescent="0.25">
      <c r="A506" s="7" t="s">
        <v>3764</v>
      </c>
      <c r="C506" s="8" t="s">
        <v>10159</v>
      </c>
      <c r="D506">
        <f t="shared" si="7"/>
        <v>3</v>
      </c>
      <c r="I506" s="1" t="s">
        <v>918</v>
      </c>
      <c r="J506" s="1" t="s">
        <v>952</v>
      </c>
      <c r="K506" s="1" t="s">
        <v>919</v>
      </c>
      <c r="L506" s="1" t="s">
        <v>936</v>
      </c>
      <c r="M506" s="1" t="s">
        <v>972</v>
      </c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x14ac:dyDescent="0.25">
      <c r="A507" s="7" t="s">
        <v>3764</v>
      </c>
      <c r="C507" s="7" t="s">
        <v>345</v>
      </c>
      <c r="D507">
        <f t="shared" si="7"/>
        <v>3</v>
      </c>
      <c r="I507" s="1" t="s">
        <v>918</v>
      </c>
      <c r="J507" s="1" t="s">
        <v>25</v>
      </c>
      <c r="K507" s="1" t="s">
        <v>916</v>
      </c>
      <c r="L507" s="1" t="s">
        <v>920</v>
      </c>
      <c r="M507" s="1" t="s">
        <v>921</v>
      </c>
      <c r="N507" s="1" t="s">
        <v>922</v>
      </c>
      <c r="O507" s="1" t="s">
        <v>1031</v>
      </c>
      <c r="P507" s="1" t="s">
        <v>1032</v>
      </c>
      <c r="Q507" s="1" t="s">
        <v>1033</v>
      </c>
      <c r="R507" s="1"/>
      <c r="S507" s="1"/>
      <c r="T507" s="1"/>
      <c r="U507" s="1"/>
      <c r="V507" s="1"/>
      <c r="W507" s="1"/>
      <c r="X507" s="1"/>
      <c r="Y507" s="1"/>
    </row>
    <row r="508" spans="1:25" x14ac:dyDescent="0.25">
      <c r="A508" s="7" t="s">
        <v>3764</v>
      </c>
      <c r="C508" s="8" t="s">
        <v>10285</v>
      </c>
      <c r="D508">
        <f t="shared" si="7"/>
        <v>3</v>
      </c>
      <c r="I508" s="1" t="s">
        <v>967</v>
      </c>
      <c r="J508" s="1" t="s">
        <v>969</v>
      </c>
      <c r="K508" s="1" t="s">
        <v>970</v>
      </c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x14ac:dyDescent="0.25">
      <c r="A509" s="8" t="s">
        <v>3764</v>
      </c>
      <c r="C509" s="8" t="s">
        <v>9210</v>
      </c>
      <c r="D509">
        <f t="shared" si="7"/>
        <v>3</v>
      </c>
      <c r="I509" s="1" t="s">
        <v>1030</v>
      </c>
      <c r="J509" s="1" t="s">
        <v>1013</v>
      </c>
      <c r="K509" s="1" t="s">
        <v>919</v>
      </c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x14ac:dyDescent="0.25">
      <c r="A510" s="8" t="s">
        <v>3764</v>
      </c>
      <c r="C510" s="7" t="s">
        <v>9334</v>
      </c>
      <c r="D510">
        <f t="shared" si="7"/>
        <v>3</v>
      </c>
      <c r="I510" s="1" t="s">
        <v>989</v>
      </c>
      <c r="J510" s="1" t="s">
        <v>919</v>
      </c>
      <c r="K510" s="1" t="s">
        <v>10808</v>
      </c>
      <c r="L510" s="1" t="s">
        <v>10809</v>
      </c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x14ac:dyDescent="0.25">
      <c r="A511" s="8" t="s">
        <v>3764</v>
      </c>
      <c r="C511" s="7" t="s">
        <v>1539</v>
      </c>
      <c r="D511">
        <f t="shared" si="7"/>
        <v>3</v>
      </c>
      <c r="I511" s="1" t="s">
        <v>256</v>
      </c>
      <c r="J511" s="1" t="s">
        <v>1049</v>
      </c>
      <c r="K511" s="1" t="s">
        <v>25</v>
      </c>
      <c r="L511" s="1" t="s">
        <v>927</v>
      </c>
      <c r="M511" s="1" t="s">
        <v>981</v>
      </c>
      <c r="N511" s="1" t="s">
        <v>920</v>
      </c>
      <c r="O511" s="1" t="s">
        <v>933</v>
      </c>
      <c r="P511" s="1" t="s">
        <v>921</v>
      </c>
      <c r="Q511" s="1"/>
      <c r="R511" s="1"/>
      <c r="S511" s="1"/>
      <c r="T511" s="1"/>
      <c r="U511" s="1"/>
      <c r="V511" s="1"/>
      <c r="W511" s="1"/>
      <c r="X511" s="1"/>
      <c r="Y511" s="1"/>
    </row>
    <row r="512" spans="1:25" x14ac:dyDescent="0.25">
      <c r="A512" s="8" t="s">
        <v>3764</v>
      </c>
      <c r="C512" s="7" t="s">
        <v>2585</v>
      </c>
      <c r="D512">
        <f t="shared" si="7"/>
        <v>3</v>
      </c>
      <c r="I512" s="1" t="s">
        <v>992</v>
      </c>
      <c r="J512" s="1" t="s">
        <v>993</v>
      </c>
      <c r="K512" s="1" t="s">
        <v>994</v>
      </c>
      <c r="L512" s="1" t="s">
        <v>927</v>
      </c>
      <c r="M512" s="1" t="s">
        <v>981</v>
      </c>
      <c r="N512" s="1" t="s">
        <v>999</v>
      </c>
      <c r="O512" s="1" t="s">
        <v>921</v>
      </c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x14ac:dyDescent="0.25">
      <c r="A513" s="7" t="s">
        <v>3069</v>
      </c>
      <c r="C513" s="8" t="s">
        <v>9405</v>
      </c>
      <c r="D513">
        <f t="shared" si="7"/>
        <v>3</v>
      </c>
      <c r="I513" s="1" t="s">
        <v>10724</v>
      </c>
      <c r="J513" s="1" t="s">
        <v>10810</v>
      </c>
      <c r="K513" s="1" t="s">
        <v>939</v>
      </c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x14ac:dyDescent="0.25">
      <c r="A514" s="7" t="s">
        <v>3069</v>
      </c>
      <c r="C514" s="7" t="s">
        <v>6980</v>
      </c>
      <c r="D514">
        <f t="shared" ref="D514:D577" si="8">COUNTIF(A:A,C514)</f>
        <v>3</v>
      </c>
      <c r="I514" s="1" t="s">
        <v>50</v>
      </c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x14ac:dyDescent="0.25">
      <c r="A515" s="7" t="s">
        <v>3069</v>
      </c>
      <c r="C515" s="7" t="s">
        <v>6806</v>
      </c>
      <c r="D515">
        <f t="shared" si="8"/>
        <v>3</v>
      </c>
      <c r="I515" s="1" t="s">
        <v>10770</v>
      </c>
      <c r="J515" s="1" t="s">
        <v>10771</v>
      </c>
      <c r="K515" s="1" t="s">
        <v>10785</v>
      </c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x14ac:dyDescent="0.25">
      <c r="A516" s="7" t="s">
        <v>3069</v>
      </c>
      <c r="C516" s="7" t="s">
        <v>9884</v>
      </c>
      <c r="D516">
        <f t="shared" si="8"/>
        <v>3</v>
      </c>
      <c r="I516" s="1" t="s">
        <v>2809</v>
      </c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x14ac:dyDescent="0.25">
      <c r="A517" s="7" t="s">
        <v>3069</v>
      </c>
      <c r="C517" s="7" t="s">
        <v>4620</v>
      </c>
      <c r="D517">
        <f t="shared" si="8"/>
        <v>3</v>
      </c>
      <c r="I517" s="1" t="s">
        <v>934</v>
      </c>
      <c r="J517" s="1" t="s">
        <v>25</v>
      </c>
      <c r="K517" s="1" t="s">
        <v>923</v>
      </c>
      <c r="L517" s="1" t="s">
        <v>920</v>
      </c>
      <c r="M517" s="1" t="s">
        <v>933</v>
      </c>
      <c r="N517" s="1" t="s">
        <v>954</v>
      </c>
      <c r="O517" s="1" t="s">
        <v>974</v>
      </c>
      <c r="P517" s="1" t="s">
        <v>1141</v>
      </c>
      <c r="Q517" s="1" t="s">
        <v>960</v>
      </c>
      <c r="R517" s="1" t="s">
        <v>298</v>
      </c>
      <c r="S517" s="1"/>
      <c r="T517" s="1"/>
      <c r="U517" s="1"/>
      <c r="V517" s="1"/>
      <c r="W517" s="1"/>
      <c r="X517" s="1"/>
      <c r="Y517" s="1"/>
    </row>
    <row r="518" spans="1:25" x14ac:dyDescent="0.25">
      <c r="A518" s="8" t="s">
        <v>9644</v>
      </c>
      <c r="C518" s="7" t="s">
        <v>3829</v>
      </c>
      <c r="D518">
        <f t="shared" si="8"/>
        <v>3</v>
      </c>
      <c r="I518" s="1" t="s">
        <v>996</v>
      </c>
      <c r="J518" s="1" t="s">
        <v>1167</v>
      </c>
      <c r="K518" s="1" t="s">
        <v>998</v>
      </c>
      <c r="L518" s="1" t="s">
        <v>1086</v>
      </c>
      <c r="M518" s="1" t="s">
        <v>2541</v>
      </c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x14ac:dyDescent="0.25">
      <c r="A519" s="7" t="s">
        <v>9392</v>
      </c>
      <c r="C519" s="7" t="s">
        <v>5974</v>
      </c>
      <c r="D519">
        <f t="shared" si="8"/>
        <v>3</v>
      </c>
      <c r="I519" s="1" t="s">
        <v>1069</v>
      </c>
      <c r="J519" s="1" t="s">
        <v>923</v>
      </c>
      <c r="K519" s="1" t="s">
        <v>998</v>
      </c>
      <c r="L519" s="1" t="s">
        <v>1053</v>
      </c>
      <c r="M519" s="1" t="s">
        <v>1086</v>
      </c>
      <c r="N519" s="1" t="s">
        <v>10731</v>
      </c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x14ac:dyDescent="0.25">
      <c r="A520" s="8" t="s">
        <v>9392</v>
      </c>
      <c r="C520" s="8" t="s">
        <v>9192</v>
      </c>
      <c r="D520">
        <f t="shared" si="8"/>
        <v>3</v>
      </c>
      <c r="I520" s="1" t="s">
        <v>1149</v>
      </c>
      <c r="J520" s="1" t="s">
        <v>25</v>
      </c>
      <c r="K520" s="1" t="s">
        <v>923</v>
      </c>
      <c r="L520" s="1" t="s">
        <v>997</v>
      </c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x14ac:dyDescent="0.25">
      <c r="A521" s="8" t="s">
        <v>10232</v>
      </c>
      <c r="C521" s="7" t="s">
        <v>7102</v>
      </c>
      <c r="D521">
        <f t="shared" si="8"/>
        <v>3</v>
      </c>
      <c r="I521" s="1" t="s">
        <v>732</v>
      </c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x14ac:dyDescent="0.25">
      <c r="A522" s="7" t="s">
        <v>4406</v>
      </c>
      <c r="C522" s="8" t="s">
        <v>9863</v>
      </c>
      <c r="D522">
        <f t="shared" si="8"/>
        <v>3</v>
      </c>
      <c r="I522" s="1" t="s">
        <v>996</v>
      </c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x14ac:dyDescent="0.25">
      <c r="A523" s="7" t="s">
        <v>4678</v>
      </c>
      <c r="C523" s="7" t="s">
        <v>8939</v>
      </c>
      <c r="D523">
        <f t="shared" si="8"/>
        <v>3</v>
      </c>
      <c r="I523" s="1" t="s">
        <v>10811</v>
      </c>
      <c r="J523" s="1" t="s">
        <v>1001</v>
      </c>
      <c r="K523" s="1" t="s">
        <v>918</v>
      </c>
      <c r="L523" s="1" t="s">
        <v>927</v>
      </c>
      <c r="M523" s="1" t="s">
        <v>919</v>
      </c>
      <c r="N523" s="1" t="s">
        <v>936</v>
      </c>
      <c r="O523" s="1" t="s">
        <v>10808</v>
      </c>
      <c r="P523" s="1" t="s">
        <v>981</v>
      </c>
      <c r="Q523" s="1" t="s">
        <v>256</v>
      </c>
      <c r="R523" s="1" t="s">
        <v>1049</v>
      </c>
      <c r="S523" s="1"/>
      <c r="T523" s="1"/>
      <c r="U523" s="1"/>
      <c r="V523" s="1"/>
      <c r="W523" s="1"/>
      <c r="X523" s="1"/>
      <c r="Y523" s="1"/>
    </row>
    <row r="524" spans="1:25" x14ac:dyDescent="0.25">
      <c r="A524" s="8" t="s">
        <v>4678</v>
      </c>
      <c r="C524" s="7" t="s">
        <v>9949</v>
      </c>
      <c r="D524">
        <f t="shared" si="8"/>
        <v>3</v>
      </c>
      <c r="I524" s="1" t="s">
        <v>933</v>
      </c>
      <c r="J524" s="1" t="s">
        <v>1016</v>
      </c>
      <c r="K524" s="1" t="s">
        <v>10812</v>
      </c>
      <c r="L524" s="1" t="s">
        <v>996</v>
      </c>
      <c r="M524" s="1" t="s">
        <v>1053</v>
      </c>
      <c r="N524" s="1" t="s">
        <v>1086</v>
      </c>
      <c r="O524" s="1" t="s">
        <v>2541</v>
      </c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x14ac:dyDescent="0.25">
      <c r="A525" s="7" t="s">
        <v>10495</v>
      </c>
      <c r="C525" s="7" t="s">
        <v>5816</v>
      </c>
      <c r="D525">
        <f t="shared" si="8"/>
        <v>3</v>
      </c>
      <c r="I525" s="1" t="s">
        <v>10731</v>
      </c>
      <c r="J525" s="1" t="s">
        <v>992</v>
      </c>
      <c r="K525" s="1" t="s">
        <v>256</v>
      </c>
      <c r="L525" s="1" t="s">
        <v>1049</v>
      </c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x14ac:dyDescent="0.25">
      <c r="A526" s="7" t="s">
        <v>5759</v>
      </c>
      <c r="C526" s="8" t="s">
        <v>9233</v>
      </c>
      <c r="D526">
        <f t="shared" si="8"/>
        <v>3</v>
      </c>
      <c r="I526" s="1" t="s">
        <v>1034</v>
      </c>
      <c r="J526" s="1" t="s">
        <v>924</v>
      </c>
      <c r="K526" s="1" t="s">
        <v>1014</v>
      </c>
      <c r="L526" s="1" t="s">
        <v>328</v>
      </c>
      <c r="M526" s="1" t="s">
        <v>918</v>
      </c>
      <c r="N526" s="1" t="s">
        <v>25</v>
      </c>
      <c r="O526" s="1" t="s">
        <v>923</v>
      </c>
      <c r="P526" s="1" t="s">
        <v>920</v>
      </c>
      <c r="Q526" s="1" t="s">
        <v>921</v>
      </c>
      <c r="R526" s="1"/>
      <c r="S526" s="1"/>
      <c r="T526" s="1"/>
      <c r="U526" s="1"/>
      <c r="V526" s="1"/>
      <c r="W526" s="1"/>
      <c r="X526" s="1"/>
      <c r="Y526" s="1"/>
    </row>
    <row r="527" spans="1:25" x14ac:dyDescent="0.25">
      <c r="A527" s="7" t="s">
        <v>5759</v>
      </c>
      <c r="C527" s="8" t="s">
        <v>8946</v>
      </c>
      <c r="D527">
        <f t="shared" si="8"/>
        <v>3</v>
      </c>
      <c r="I527" s="1" t="s">
        <v>918</v>
      </c>
      <c r="J527" s="1" t="s">
        <v>919</v>
      </c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x14ac:dyDescent="0.25">
      <c r="A528" s="8" t="s">
        <v>9320</v>
      </c>
      <c r="C528" s="7" t="s">
        <v>9157</v>
      </c>
      <c r="D528">
        <f t="shared" si="8"/>
        <v>3</v>
      </c>
      <c r="I528" s="1" t="s">
        <v>1035</v>
      </c>
      <c r="J528" s="1" t="s">
        <v>1034</v>
      </c>
      <c r="K528" s="1" t="s">
        <v>1014</v>
      </c>
      <c r="L528" s="1" t="s">
        <v>955</v>
      </c>
      <c r="M528" s="1" t="s">
        <v>919</v>
      </c>
      <c r="N528" s="1" t="s">
        <v>924</v>
      </c>
      <c r="O528" s="1" t="s">
        <v>930</v>
      </c>
      <c r="P528" s="1" t="s">
        <v>944</v>
      </c>
      <c r="Q528" s="1" t="s">
        <v>956</v>
      </c>
      <c r="R528" s="1" t="s">
        <v>957</v>
      </c>
      <c r="S528" s="1"/>
      <c r="T528" s="1"/>
      <c r="U528" s="1"/>
      <c r="V528" s="1"/>
      <c r="W528" s="1"/>
      <c r="X528" s="1"/>
      <c r="Y528" s="1"/>
    </row>
    <row r="529" spans="1:25" x14ac:dyDescent="0.25">
      <c r="A529" s="7" t="s">
        <v>1969</v>
      </c>
      <c r="C529" s="8" t="s">
        <v>10048</v>
      </c>
      <c r="D529">
        <f t="shared" si="8"/>
        <v>3</v>
      </c>
      <c r="I529" s="1" t="s">
        <v>10813</v>
      </c>
      <c r="J529" s="1" t="s">
        <v>919</v>
      </c>
      <c r="K529" s="1" t="s">
        <v>1108</v>
      </c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x14ac:dyDescent="0.25">
      <c r="A530" s="7" t="s">
        <v>1969</v>
      </c>
      <c r="C530" s="7" t="s">
        <v>4290</v>
      </c>
      <c r="D530">
        <f t="shared" si="8"/>
        <v>3</v>
      </c>
      <c r="I530" s="1" t="s">
        <v>918</v>
      </c>
      <c r="J530" s="1" t="s">
        <v>955</v>
      </c>
      <c r="K530" s="1" t="s">
        <v>1036</v>
      </c>
      <c r="L530" s="1" t="s">
        <v>924</v>
      </c>
      <c r="M530" s="1" t="s">
        <v>1014</v>
      </c>
      <c r="N530" s="1" t="s">
        <v>944</v>
      </c>
      <c r="O530" s="1" t="s">
        <v>956</v>
      </c>
      <c r="P530" s="1" t="s">
        <v>919</v>
      </c>
      <c r="Q530" s="1" t="s">
        <v>1037</v>
      </c>
      <c r="R530" s="1"/>
      <c r="S530" s="1"/>
      <c r="T530" s="1"/>
      <c r="U530" s="1"/>
      <c r="V530" s="1"/>
      <c r="W530" s="1"/>
      <c r="X530" s="1"/>
      <c r="Y530" s="1"/>
    </row>
    <row r="531" spans="1:25" x14ac:dyDescent="0.25">
      <c r="A531" s="7" t="s">
        <v>1969</v>
      </c>
      <c r="C531" s="7" t="s">
        <v>9154</v>
      </c>
      <c r="D531">
        <f t="shared" si="8"/>
        <v>3</v>
      </c>
      <c r="I531" s="1" t="s">
        <v>1038</v>
      </c>
      <c r="J531" s="1" t="s">
        <v>928</v>
      </c>
      <c r="K531" s="1" t="s">
        <v>983</v>
      </c>
      <c r="L531" s="1" t="s">
        <v>1020</v>
      </c>
      <c r="M531" s="1" t="s">
        <v>1039</v>
      </c>
      <c r="N531" s="1" t="s">
        <v>958</v>
      </c>
      <c r="O531" s="1" t="s">
        <v>925</v>
      </c>
      <c r="P531" s="1" t="s">
        <v>941</v>
      </c>
      <c r="Q531" s="1" t="s">
        <v>918</v>
      </c>
      <c r="R531" s="1" t="s">
        <v>927</v>
      </c>
      <c r="S531" s="1" t="s">
        <v>953</v>
      </c>
      <c r="T531" s="1" t="s">
        <v>1040</v>
      </c>
      <c r="U531" s="1" t="s">
        <v>919</v>
      </c>
      <c r="V531" s="1" t="s">
        <v>930</v>
      </c>
      <c r="W531" s="1" t="s">
        <v>945</v>
      </c>
      <c r="X531" s="1"/>
      <c r="Y531" s="1"/>
    </row>
    <row r="532" spans="1:25" x14ac:dyDescent="0.25">
      <c r="A532" s="7" t="s">
        <v>1969</v>
      </c>
      <c r="C532" s="8" t="s">
        <v>10221</v>
      </c>
      <c r="D532">
        <f t="shared" si="8"/>
        <v>3</v>
      </c>
      <c r="I532" s="1" t="s">
        <v>919</v>
      </c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x14ac:dyDescent="0.25">
      <c r="A533" s="7" t="s">
        <v>1969</v>
      </c>
      <c r="C533" s="7" t="s">
        <v>8996</v>
      </c>
      <c r="D533">
        <f t="shared" si="8"/>
        <v>3</v>
      </c>
      <c r="I533" s="1" t="s">
        <v>1109</v>
      </c>
      <c r="J533" s="1" t="s">
        <v>919</v>
      </c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x14ac:dyDescent="0.25">
      <c r="A534" s="7" t="s">
        <v>1969</v>
      </c>
      <c r="C534" s="7" t="s">
        <v>2675</v>
      </c>
      <c r="D534">
        <f t="shared" si="8"/>
        <v>3</v>
      </c>
      <c r="I534" s="1" t="s">
        <v>2848</v>
      </c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x14ac:dyDescent="0.25">
      <c r="A535" s="7" t="s">
        <v>1969</v>
      </c>
      <c r="C535" s="7" t="s">
        <v>6757</v>
      </c>
      <c r="D535">
        <f t="shared" si="8"/>
        <v>3</v>
      </c>
      <c r="I535" s="1" t="s">
        <v>2848</v>
      </c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x14ac:dyDescent="0.25">
      <c r="A536" s="7" t="s">
        <v>1969</v>
      </c>
      <c r="C536" s="8" t="s">
        <v>9857</v>
      </c>
      <c r="D536">
        <f t="shared" si="8"/>
        <v>3</v>
      </c>
      <c r="I536" s="1" t="s">
        <v>2848</v>
      </c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x14ac:dyDescent="0.25">
      <c r="A537" s="7" t="s">
        <v>1969</v>
      </c>
      <c r="C537" s="7" t="s">
        <v>9068</v>
      </c>
      <c r="D537">
        <f t="shared" si="8"/>
        <v>3</v>
      </c>
      <c r="I537" s="1" t="s">
        <v>1001</v>
      </c>
      <c r="J537" s="1" t="s">
        <v>328</v>
      </c>
      <c r="K537" s="1" t="s">
        <v>2541</v>
      </c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x14ac:dyDescent="0.25">
      <c r="A538" s="8" t="s">
        <v>1969</v>
      </c>
      <c r="C538" s="7" t="s">
        <v>658</v>
      </c>
      <c r="D538">
        <f t="shared" si="8"/>
        <v>3</v>
      </c>
      <c r="I538" s="1" t="s">
        <v>920</v>
      </c>
      <c r="J538" s="1" t="s">
        <v>933</v>
      </c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x14ac:dyDescent="0.25">
      <c r="A539" s="8" t="s">
        <v>1969</v>
      </c>
      <c r="C539" s="8" t="s">
        <v>10355</v>
      </c>
      <c r="D539">
        <f t="shared" si="8"/>
        <v>3</v>
      </c>
      <c r="I539" s="1" t="s">
        <v>923</v>
      </c>
      <c r="J539" s="1" t="s">
        <v>1053</v>
      </c>
      <c r="K539" s="1" t="s">
        <v>1086</v>
      </c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x14ac:dyDescent="0.25">
      <c r="A540" s="8" t="s">
        <v>1969</v>
      </c>
      <c r="C540" s="7" t="s">
        <v>9430</v>
      </c>
      <c r="D540">
        <f t="shared" si="8"/>
        <v>3</v>
      </c>
      <c r="I540" s="1" t="s">
        <v>996</v>
      </c>
      <c r="J540" s="1" t="s">
        <v>2541</v>
      </c>
      <c r="K540" s="1" t="s">
        <v>1019</v>
      </c>
      <c r="L540" s="1" t="s">
        <v>1097</v>
      </c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x14ac:dyDescent="0.25">
      <c r="A541" s="7" t="s">
        <v>7700</v>
      </c>
      <c r="C541" s="7" t="s">
        <v>10435</v>
      </c>
      <c r="D541">
        <f t="shared" si="8"/>
        <v>3</v>
      </c>
      <c r="I541" s="1" t="s">
        <v>1053</v>
      </c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x14ac:dyDescent="0.25">
      <c r="A542" s="7" t="s">
        <v>8588</v>
      </c>
      <c r="C542" s="7" t="s">
        <v>1479</v>
      </c>
      <c r="D542">
        <f t="shared" si="8"/>
        <v>3</v>
      </c>
      <c r="I542" s="1" t="s">
        <v>1017</v>
      </c>
      <c r="J542" s="1" t="s">
        <v>1037</v>
      </c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x14ac:dyDescent="0.25">
      <c r="A543" s="8" t="s">
        <v>8588</v>
      </c>
      <c r="C543" s="7" t="s">
        <v>4604</v>
      </c>
      <c r="D543">
        <f t="shared" si="8"/>
        <v>3</v>
      </c>
      <c r="I543" s="1" t="s">
        <v>50</v>
      </c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x14ac:dyDescent="0.25">
      <c r="A544" s="8" t="s">
        <v>10404</v>
      </c>
      <c r="C544" s="7" t="s">
        <v>9679</v>
      </c>
      <c r="D544">
        <f t="shared" si="8"/>
        <v>3</v>
      </c>
      <c r="I544" s="1" t="s">
        <v>996</v>
      </c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x14ac:dyDescent="0.25">
      <c r="A545" s="7" t="s">
        <v>9784</v>
      </c>
      <c r="C545" s="7" t="s">
        <v>9137</v>
      </c>
      <c r="D545">
        <f t="shared" si="8"/>
        <v>3</v>
      </c>
      <c r="I545" s="1" t="s">
        <v>918</v>
      </c>
      <c r="J545" s="1" t="s">
        <v>25</v>
      </c>
      <c r="K545" s="1" t="s">
        <v>927</v>
      </c>
      <c r="L545" s="1" t="s">
        <v>919</v>
      </c>
      <c r="M545" s="1" t="s">
        <v>920</v>
      </c>
      <c r="N545" s="1" t="s">
        <v>921</v>
      </c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x14ac:dyDescent="0.25">
      <c r="A546" s="7" t="s">
        <v>9784</v>
      </c>
      <c r="C546" s="7" t="s">
        <v>9618</v>
      </c>
      <c r="D546">
        <f t="shared" si="8"/>
        <v>3</v>
      </c>
      <c r="I546" s="1" t="s">
        <v>974</v>
      </c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x14ac:dyDescent="0.25">
      <c r="A547" s="7" t="s">
        <v>9784</v>
      </c>
      <c r="C547" s="7" t="s">
        <v>5233</v>
      </c>
      <c r="D547">
        <f t="shared" si="8"/>
        <v>3</v>
      </c>
      <c r="I547" s="1" t="s">
        <v>918</v>
      </c>
      <c r="J547" s="1" t="s">
        <v>25</v>
      </c>
      <c r="K547" s="1" t="s">
        <v>927</v>
      </c>
      <c r="L547" s="1" t="s">
        <v>919</v>
      </c>
      <c r="M547" s="1" t="s">
        <v>920</v>
      </c>
      <c r="N547" s="1" t="s">
        <v>921</v>
      </c>
      <c r="O547" s="1" t="s">
        <v>922</v>
      </c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x14ac:dyDescent="0.25">
      <c r="A548" s="7" t="s">
        <v>9786</v>
      </c>
      <c r="C548" s="7" t="s">
        <v>8231</v>
      </c>
      <c r="D548">
        <f t="shared" si="8"/>
        <v>3</v>
      </c>
      <c r="I548" s="1" t="s">
        <v>933</v>
      </c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x14ac:dyDescent="0.25">
      <c r="A549" s="7" t="s">
        <v>9786</v>
      </c>
      <c r="C549" s="7" t="s">
        <v>10396</v>
      </c>
      <c r="D549">
        <f t="shared" si="8"/>
        <v>3</v>
      </c>
      <c r="I549" s="1" t="s">
        <v>2927</v>
      </c>
      <c r="J549" s="1" t="s">
        <v>1069</v>
      </c>
      <c r="K549" s="1" t="s">
        <v>25</v>
      </c>
      <c r="L549" s="1" t="s">
        <v>923</v>
      </c>
      <c r="M549" s="1" t="s">
        <v>998</v>
      </c>
      <c r="N549" s="1" t="s">
        <v>1053</v>
      </c>
      <c r="O549" s="1" t="s">
        <v>1086</v>
      </c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x14ac:dyDescent="0.25">
      <c r="A550" s="8" t="s">
        <v>9786</v>
      </c>
      <c r="C550" s="7" t="s">
        <v>3390</v>
      </c>
      <c r="D550">
        <f t="shared" si="8"/>
        <v>3</v>
      </c>
      <c r="I550" s="1" t="s">
        <v>996</v>
      </c>
      <c r="J550" s="1" t="s">
        <v>997</v>
      </c>
      <c r="K550" s="1" t="s">
        <v>2541</v>
      </c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x14ac:dyDescent="0.25">
      <c r="A551" s="7" t="s">
        <v>10120</v>
      </c>
      <c r="C551" s="7" t="s">
        <v>9063</v>
      </c>
      <c r="D551">
        <f t="shared" si="8"/>
        <v>3</v>
      </c>
      <c r="I551" s="1" t="s">
        <v>933</v>
      </c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x14ac:dyDescent="0.25">
      <c r="A552" s="7" t="s">
        <v>8882</v>
      </c>
      <c r="C552" s="7" t="s">
        <v>9004</v>
      </c>
      <c r="D552">
        <f t="shared" si="8"/>
        <v>3</v>
      </c>
      <c r="I552" s="1" t="s">
        <v>997</v>
      </c>
      <c r="J552" s="1" t="s">
        <v>927</v>
      </c>
      <c r="K552" s="1" t="s">
        <v>998</v>
      </c>
      <c r="L552" s="1" t="s">
        <v>1086</v>
      </c>
      <c r="M552" s="1" t="s">
        <v>933</v>
      </c>
      <c r="N552" s="1" t="s">
        <v>994</v>
      </c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x14ac:dyDescent="0.25">
      <c r="A553" s="7" t="s">
        <v>8882</v>
      </c>
      <c r="C553" s="7" t="s">
        <v>9181</v>
      </c>
      <c r="D553">
        <f t="shared" si="8"/>
        <v>3</v>
      </c>
      <c r="I553" s="1" t="s">
        <v>918</v>
      </c>
      <c r="J553" s="1" t="s">
        <v>927</v>
      </c>
      <c r="K553" s="1" t="s">
        <v>1056</v>
      </c>
      <c r="L553" s="1" t="s">
        <v>981</v>
      </c>
      <c r="M553" s="1" t="s">
        <v>919</v>
      </c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x14ac:dyDescent="0.25">
      <c r="A554" s="8" t="s">
        <v>8882</v>
      </c>
      <c r="C554" s="7" t="s">
        <v>4284</v>
      </c>
      <c r="D554">
        <f t="shared" si="8"/>
        <v>3</v>
      </c>
      <c r="I554" s="1" t="s">
        <v>964</v>
      </c>
      <c r="J554" s="1" t="s">
        <v>1109</v>
      </c>
      <c r="K554" s="1" t="s">
        <v>918</v>
      </c>
      <c r="L554" s="1" t="s">
        <v>927</v>
      </c>
      <c r="M554" s="1" t="s">
        <v>1136</v>
      </c>
      <c r="N554" s="1" t="s">
        <v>1137</v>
      </c>
      <c r="O554" s="1" t="s">
        <v>10767</v>
      </c>
      <c r="P554" s="1" t="s">
        <v>919</v>
      </c>
      <c r="Q554" s="1"/>
      <c r="R554" s="1"/>
      <c r="S554" s="1"/>
      <c r="T554" s="1"/>
      <c r="U554" s="1"/>
      <c r="V554" s="1"/>
      <c r="W554" s="1"/>
      <c r="X554" s="1"/>
      <c r="Y554" s="1"/>
    </row>
    <row r="555" spans="1:25" x14ac:dyDescent="0.25">
      <c r="A555" s="8" t="s">
        <v>8882</v>
      </c>
      <c r="C555" s="7" t="s">
        <v>9715</v>
      </c>
      <c r="D555">
        <f t="shared" si="8"/>
        <v>3</v>
      </c>
      <c r="I555" s="1" t="s">
        <v>1031</v>
      </c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x14ac:dyDescent="0.25">
      <c r="A556" s="7" t="s">
        <v>4741</v>
      </c>
      <c r="C556" s="8" t="s">
        <v>9835</v>
      </c>
      <c r="D556">
        <f t="shared" si="8"/>
        <v>3</v>
      </c>
      <c r="I556" s="1" t="s">
        <v>25</v>
      </c>
      <c r="J556" s="1" t="s">
        <v>923</v>
      </c>
      <c r="K556" s="1" t="s">
        <v>920</v>
      </c>
      <c r="L556" s="1" t="s">
        <v>954</v>
      </c>
      <c r="M556" s="1" t="s">
        <v>921</v>
      </c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x14ac:dyDescent="0.25">
      <c r="A557" s="8" t="s">
        <v>4741</v>
      </c>
      <c r="C557" s="7" t="s">
        <v>5807</v>
      </c>
      <c r="D557">
        <f t="shared" si="8"/>
        <v>3</v>
      </c>
      <c r="I557" s="1" t="s">
        <v>1041</v>
      </c>
      <c r="J557" s="1" t="s">
        <v>1042</v>
      </c>
      <c r="K557" s="1" t="s">
        <v>999</v>
      </c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x14ac:dyDescent="0.25">
      <c r="A558" s="8" t="s">
        <v>4741</v>
      </c>
      <c r="C558" s="7" t="s">
        <v>4165</v>
      </c>
      <c r="D558">
        <f t="shared" si="8"/>
        <v>3</v>
      </c>
      <c r="I558" s="1" t="s">
        <v>1041</v>
      </c>
      <c r="J558" s="1" t="s">
        <v>1042</v>
      </c>
      <c r="K558" s="1" t="s">
        <v>999</v>
      </c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x14ac:dyDescent="0.25">
      <c r="A559" s="8" t="s">
        <v>4741</v>
      </c>
      <c r="C559" s="7" t="s">
        <v>5969</v>
      </c>
      <c r="D559">
        <f t="shared" si="8"/>
        <v>3</v>
      </c>
      <c r="I559" s="1" t="s">
        <v>1001</v>
      </c>
      <c r="J559" s="1" t="s">
        <v>996</v>
      </c>
      <c r="K559" s="1" t="s">
        <v>933</v>
      </c>
      <c r="L559" s="1" t="s">
        <v>2541</v>
      </c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x14ac:dyDescent="0.25">
      <c r="A560" s="8" t="s">
        <v>4741</v>
      </c>
      <c r="C560" s="7" t="s">
        <v>5259</v>
      </c>
      <c r="D560">
        <f t="shared" si="8"/>
        <v>3</v>
      </c>
      <c r="I560" s="1" t="s">
        <v>1001</v>
      </c>
      <c r="J560" s="1" t="s">
        <v>996</v>
      </c>
      <c r="K560" s="1" t="s">
        <v>933</v>
      </c>
      <c r="L560" s="1" t="s">
        <v>2541</v>
      </c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x14ac:dyDescent="0.25">
      <c r="A561" s="8" t="s">
        <v>4741</v>
      </c>
      <c r="C561" s="8" t="s">
        <v>9978</v>
      </c>
      <c r="D561">
        <f t="shared" si="8"/>
        <v>3</v>
      </c>
      <c r="I561" s="1" t="s">
        <v>1001</v>
      </c>
      <c r="J561" s="1" t="s">
        <v>996</v>
      </c>
      <c r="K561" s="1" t="s">
        <v>933</v>
      </c>
      <c r="L561" s="1" t="s">
        <v>2541</v>
      </c>
      <c r="M561" s="1" t="s">
        <v>999</v>
      </c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x14ac:dyDescent="0.25">
      <c r="A562" s="8" t="s">
        <v>4741</v>
      </c>
      <c r="C562" s="8" t="s">
        <v>10258</v>
      </c>
      <c r="D562">
        <f t="shared" si="8"/>
        <v>3</v>
      </c>
      <c r="I562" s="1" t="s">
        <v>1001</v>
      </c>
      <c r="J562" s="1" t="s">
        <v>918</v>
      </c>
      <c r="K562" s="1" t="s">
        <v>927</v>
      </c>
      <c r="L562" s="1" t="s">
        <v>1000</v>
      </c>
      <c r="M562" s="1" t="s">
        <v>919</v>
      </c>
      <c r="N562" s="1" t="s">
        <v>936</v>
      </c>
      <c r="O562" s="1" t="s">
        <v>921</v>
      </c>
      <c r="P562" s="1" t="s">
        <v>981</v>
      </c>
      <c r="Q562" s="1"/>
      <c r="R562" s="1"/>
      <c r="S562" s="1"/>
      <c r="T562" s="1"/>
      <c r="U562" s="1"/>
      <c r="V562" s="1"/>
      <c r="W562" s="1"/>
      <c r="X562" s="1"/>
      <c r="Y562" s="1"/>
    </row>
    <row r="563" spans="1:25" x14ac:dyDescent="0.25">
      <c r="A563" s="8" t="s">
        <v>4741</v>
      </c>
      <c r="C563" s="7" t="s">
        <v>2888</v>
      </c>
      <c r="D563">
        <f t="shared" si="8"/>
        <v>3</v>
      </c>
      <c r="I563" s="1" t="s">
        <v>918</v>
      </c>
      <c r="J563" s="1" t="s">
        <v>25</v>
      </c>
      <c r="K563" s="1" t="s">
        <v>923</v>
      </c>
      <c r="L563" s="1" t="s">
        <v>919</v>
      </c>
      <c r="M563" s="1" t="s">
        <v>920</v>
      </c>
      <c r="N563" s="1" t="s">
        <v>921</v>
      </c>
      <c r="O563" s="1" t="s">
        <v>933</v>
      </c>
      <c r="P563" s="1" t="s">
        <v>10764</v>
      </c>
      <c r="Q563" s="1"/>
      <c r="R563" s="1"/>
      <c r="S563" s="1"/>
      <c r="T563" s="1"/>
      <c r="U563" s="1"/>
      <c r="V563" s="1"/>
      <c r="W563" s="1"/>
      <c r="X563" s="1"/>
      <c r="Y563" s="1"/>
    </row>
    <row r="564" spans="1:25" x14ac:dyDescent="0.25">
      <c r="A564" s="8" t="s">
        <v>4741</v>
      </c>
      <c r="C564" s="7" t="s">
        <v>3850</v>
      </c>
      <c r="D564">
        <f t="shared" si="8"/>
        <v>3</v>
      </c>
      <c r="I564" s="1" t="s">
        <v>948</v>
      </c>
      <c r="J564" s="1" t="s">
        <v>25</v>
      </c>
      <c r="K564" s="1" t="s">
        <v>923</v>
      </c>
      <c r="L564" s="1" t="s">
        <v>1053</v>
      </c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x14ac:dyDescent="0.25">
      <c r="A565" s="8" t="s">
        <v>4741</v>
      </c>
      <c r="C565" s="7" t="s">
        <v>4914</v>
      </c>
      <c r="D565">
        <f t="shared" si="8"/>
        <v>3</v>
      </c>
      <c r="I565" s="1" t="s">
        <v>2927</v>
      </c>
      <c r="J565" s="1" t="s">
        <v>1086</v>
      </c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x14ac:dyDescent="0.25">
      <c r="A566" s="8" t="s">
        <v>9960</v>
      </c>
      <c r="C566" s="7" t="s">
        <v>10050</v>
      </c>
      <c r="D566">
        <f t="shared" si="8"/>
        <v>3</v>
      </c>
      <c r="I566" s="1" t="s">
        <v>1045</v>
      </c>
      <c r="J566" s="1" t="s">
        <v>1004</v>
      </c>
      <c r="K566" s="1" t="s">
        <v>1005</v>
      </c>
      <c r="L566" s="1" t="s">
        <v>1009</v>
      </c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x14ac:dyDescent="0.25">
      <c r="A567" s="7" t="s">
        <v>8978</v>
      </c>
      <c r="C567" s="7" t="s">
        <v>1482</v>
      </c>
      <c r="D567">
        <f t="shared" si="8"/>
        <v>3</v>
      </c>
      <c r="I567" s="1" t="s">
        <v>1045</v>
      </c>
      <c r="J567" s="1" t="s">
        <v>1004</v>
      </c>
      <c r="K567" s="1" t="s">
        <v>1005</v>
      </c>
      <c r="L567" s="1" t="s">
        <v>1047</v>
      </c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x14ac:dyDescent="0.25">
      <c r="A568" s="7" t="s">
        <v>8978</v>
      </c>
      <c r="C568" s="8" t="s">
        <v>9339</v>
      </c>
      <c r="D568">
        <f t="shared" si="8"/>
        <v>3</v>
      </c>
      <c r="I568" s="1" t="s">
        <v>1004</v>
      </c>
      <c r="J568" s="1" t="s">
        <v>1043</v>
      </c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x14ac:dyDescent="0.25">
      <c r="A569" s="8" t="s">
        <v>8978</v>
      </c>
      <c r="C569" s="7" t="s">
        <v>3818</v>
      </c>
      <c r="D569">
        <f t="shared" si="8"/>
        <v>3</v>
      </c>
      <c r="I569" s="1" t="s">
        <v>1004</v>
      </c>
      <c r="J569" s="1" t="s">
        <v>1043</v>
      </c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x14ac:dyDescent="0.25">
      <c r="A570" s="8" t="s">
        <v>8978</v>
      </c>
      <c r="C570" s="7" t="s">
        <v>6214</v>
      </c>
      <c r="D570">
        <f t="shared" si="8"/>
        <v>3</v>
      </c>
      <c r="I570" s="1" t="s">
        <v>750</v>
      </c>
      <c r="J570" s="1" t="s">
        <v>761</v>
      </c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x14ac:dyDescent="0.25">
      <c r="A571" s="8" t="s">
        <v>8978</v>
      </c>
      <c r="C571" s="7" t="s">
        <v>5191</v>
      </c>
      <c r="D571">
        <f t="shared" si="8"/>
        <v>3</v>
      </c>
      <c r="I571" s="1" t="s">
        <v>2927</v>
      </c>
      <c r="J571" s="1" t="s">
        <v>1069</v>
      </c>
      <c r="K571" s="1" t="s">
        <v>25</v>
      </c>
      <c r="L571" s="1" t="s">
        <v>923</v>
      </c>
      <c r="M571" s="1" t="s">
        <v>1053</v>
      </c>
      <c r="N571" s="1" t="s">
        <v>10814</v>
      </c>
      <c r="O571" s="1" t="s">
        <v>1086</v>
      </c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x14ac:dyDescent="0.25">
      <c r="A572" s="8" t="s">
        <v>8978</v>
      </c>
      <c r="C572" s="7" t="s">
        <v>8627</v>
      </c>
      <c r="D572">
        <f t="shared" si="8"/>
        <v>3</v>
      </c>
      <c r="I572" s="1" t="s">
        <v>2927</v>
      </c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x14ac:dyDescent="0.25">
      <c r="A573" s="8" t="s">
        <v>8978</v>
      </c>
      <c r="C573" s="7" t="s">
        <v>4054</v>
      </c>
      <c r="D573">
        <f t="shared" si="8"/>
        <v>3</v>
      </c>
      <c r="I573" s="1" t="s">
        <v>298</v>
      </c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x14ac:dyDescent="0.25">
      <c r="A574" s="8" t="s">
        <v>9395</v>
      </c>
      <c r="C574" s="7" t="s">
        <v>9456</v>
      </c>
      <c r="D574">
        <f t="shared" si="8"/>
        <v>2</v>
      </c>
      <c r="I574" s="1" t="s">
        <v>933</v>
      </c>
      <c r="J574" s="1" t="s">
        <v>10815</v>
      </c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x14ac:dyDescent="0.25">
      <c r="A575" s="8" t="s">
        <v>10125</v>
      </c>
      <c r="C575" s="7" t="s">
        <v>3615</v>
      </c>
      <c r="D575">
        <f t="shared" si="8"/>
        <v>2</v>
      </c>
      <c r="I575" s="1" t="s">
        <v>998</v>
      </c>
      <c r="J575" s="1" t="s">
        <v>1086</v>
      </c>
      <c r="K575" s="1" t="s">
        <v>933</v>
      </c>
      <c r="L575" s="1" t="s">
        <v>1001</v>
      </c>
      <c r="M575" s="1" t="s">
        <v>927</v>
      </c>
      <c r="N575" s="1" t="s">
        <v>992</v>
      </c>
      <c r="O575" s="1" t="s">
        <v>978</v>
      </c>
      <c r="P575" s="1" t="s">
        <v>25</v>
      </c>
      <c r="Q575" s="1" t="s">
        <v>920</v>
      </c>
      <c r="R575" s="1"/>
      <c r="S575" s="1"/>
      <c r="T575" s="1"/>
      <c r="U575" s="1"/>
      <c r="V575" s="1"/>
      <c r="W575" s="1"/>
      <c r="X575" s="1"/>
      <c r="Y575" s="1"/>
    </row>
    <row r="576" spans="1:25" x14ac:dyDescent="0.25">
      <c r="A576" s="8" t="s">
        <v>10125</v>
      </c>
      <c r="C576" s="8" t="s">
        <v>9480</v>
      </c>
      <c r="D576">
        <f t="shared" si="8"/>
        <v>2</v>
      </c>
      <c r="I576" s="1" t="s">
        <v>50</v>
      </c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x14ac:dyDescent="0.25">
      <c r="A577" s="8" t="s">
        <v>10491</v>
      </c>
      <c r="C577" s="8" t="s">
        <v>9268</v>
      </c>
      <c r="D577">
        <f t="shared" si="8"/>
        <v>2</v>
      </c>
      <c r="I577" s="1" t="s">
        <v>996</v>
      </c>
      <c r="J577" s="1" t="s">
        <v>2541</v>
      </c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x14ac:dyDescent="0.25">
      <c r="A578" s="7" t="s">
        <v>8976</v>
      </c>
      <c r="C578" s="7" t="s">
        <v>2416</v>
      </c>
      <c r="D578">
        <f t="shared" ref="D578:D641" si="9">COUNTIF(A:A,C578)</f>
        <v>2</v>
      </c>
      <c r="I578" s="1" t="s">
        <v>25</v>
      </c>
      <c r="J578" s="1" t="s">
        <v>923</v>
      </c>
      <c r="K578" s="1" t="s">
        <v>920</v>
      </c>
      <c r="L578" s="1" t="s">
        <v>933</v>
      </c>
      <c r="M578" s="1" t="s">
        <v>954</v>
      </c>
      <c r="N578" s="1" t="s">
        <v>921</v>
      </c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x14ac:dyDescent="0.25">
      <c r="A579" s="8" t="s">
        <v>9272</v>
      </c>
      <c r="C579" s="7" t="s">
        <v>4263</v>
      </c>
      <c r="D579">
        <f t="shared" si="9"/>
        <v>2</v>
      </c>
      <c r="I579" s="1" t="s">
        <v>1004</v>
      </c>
      <c r="J579" s="1" t="s">
        <v>1005</v>
      </c>
      <c r="K579" s="1" t="s">
        <v>1009</v>
      </c>
      <c r="L579" s="1" t="s">
        <v>2809</v>
      </c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x14ac:dyDescent="0.25">
      <c r="A580" s="7" t="s">
        <v>8997</v>
      </c>
      <c r="C580" s="8" t="s">
        <v>9359</v>
      </c>
      <c r="D580">
        <f t="shared" si="9"/>
        <v>2</v>
      </c>
      <c r="I580" s="1" t="s">
        <v>1002</v>
      </c>
      <c r="J580" s="1" t="s">
        <v>1048</v>
      </c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x14ac:dyDescent="0.25">
      <c r="A581" s="8" t="s">
        <v>8997</v>
      </c>
      <c r="C581" s="7" t="s">
        <v>5927</v>
      </c>
      <c r="D581">
        <f t="shared" si="9"/>
        <v>2</v>
      </c>
      <c r="I581" s="1" t="s">
        <v>1002</v>
      </c>
      <c r="J581" s="1" t="s">
        <v>1048</v>
      </c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x14ac:dyDescent="0.25">
      <c r="A582" s="8" t="s">
        <v>9274</v>
      </c>
      <c r="C582" s="7" t="s">
        <v>10110</v>
      </c>
      <c r="D582">
        <f t="shared" si="9"/>
        <v>2</v>
      </c>
      <c r="I582" s="1" t="s">
        <v>1002</v>
      </c>
      <c r="J582" s="1" t="s">
        <v>1048</v>
      </c>
      <c r="K582" s="1" t="s">
        <v>1007</v>
      </c>
      <c r="L582" s="1" t="s">
        <v>1004</v>
      </c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x14ac:dyDescent="0.25">
      <c r="A583" s="8" t="s">
        <v>8980</v>
      </c>
      <c r="C583" s="8" t="s">
        <v>10151</v>
      </c>
      <c r="D583">
        <f t="shared" si="9"/>
        <v>2</v>
      </c>
      <c r="I583" s="1" t="s">
        <v>1045</v>
      </c>
      <c r="J583" s="1" t="s">
        <v>1004</v>
      </c>
      <c r="K583" s="1" t="s">
        <v>1005</v>
      </c>
      <c r="L583" s="1" t="s">
        <v>1009</v>
      </c>
      <c r="M583" s="1" t="s">
        <v>1042</v>
      </c>
      <c r="N583" s="1" t="s">
        <v>1006</v>
      </c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x14ac:dyDescent="0.25">
      <c r="A584" s="7" t="s">
        <v>10353</v>
      </c>
      <c r="C584" s="8" t="s">
        <v>9972</v>
      </c>
      <c r="D584">
        <f t="shared" si="9"/>
        <v>2</v>
      </c>
      <c r="I584" s="1" t="s">
        <v>1045</v>
      </c>
      <c r="J584" s="1" t="s">
        <v>1004</v>
      </c>
      <c r="K584" s="1" t="s">
        <v>1005</v>
      </c>
      <c r="L584" s="1" t="s">
        <v>1009</v>
      </c>
      <c r="M584" s="1" t="s">
        <v>1047</v>
      </c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x14ac:dyDescent="0.25">
      <c r="A585" s="7" t="s">
        <v>10653</v>
      </c>
      <c r="C585" s="8" t="s">
        <v>9170</v>
      </c>
      <c r="D585">
        <f t="shared" si="9"/>
        <v>2</v>
      </c>
      <c r="I585" s="1" t="s">
        <v>1045</v>
      </c>
      <c r="J585" s="1" t="s">
        <v>1004</v>
      </c>
      <c r="K585" s="1" t="s">
        <v>1005</v>
      </c>
      <c r="L585" s="1" t="s">
        <v>1009</v>
      </c>
      <c r="M585" s="1" t="s">
        <v>1047</v>
      </c>
      <c r="N585" s="1" t="s">
        <v>1006</v>
      </c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x14ac:dyDescent="0.25">
      <c r="A586" s="7" t="s">
        <v>10653</v>
      </c>
      <c r="C586" s="7" t="s">
        <v>2316</v>
      </c>
      <c r="D586">
        <f t="shared" si="9"/>
        <v>2</v>
      </c>
      <c r="I586" s="1" t="s">
        <v>1007</v>
      </c>
      <c r="J586" s="1" t="s">
        <v>1004</v>
      </c>
      <c r="K586" s="1" t="s">
        <v>1005</v>
      </c>
      <c r="L586" s="1" t="s">
        <v>1008</v>
      </c>
      <c r="M586" s="1" t="s">
        <v>1006</v>
      </c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x14ac:dyDescent="0.25">
      <c r="A587" s="7" t="s">
        <v>10617</v>
      </c>
      <c r="C587" s="7" t="s">
        <v>9301</v>
      </c>
      <c r="D587">
        <f t="shared" si="9"/>
        <v>2</v>
      </c>
      <c r="I587" s="1" t="s">
        <v>1007</v>
      </c>
      <c r="J587" s="1" t="s">
        <v>1004</v>
      </c>
      <c r="K587" s="1" t="s">
        <v>1005</v>
      </c>
      <c r="L587" s="1" t="s">
        <v>1008</v>
      </c>
      <c r="M587" s="1" t="s">
        <v>1006</v>
      </c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x14ac:dyDescent="0.25">
      <c r="A588" s="8" t="s">
        <v>10625</v>
      </c>
      <c r="C588" s="8" t="s">
        <v>10196</v>
      </c>
      <c r="D588">
        <f t="shared" si="9"/>
        <v>2</v>
      </c>
      <c r="I588" s="1" t="s">
        <v>1004</v>
      </c>
      <c r="J588" s="1" t="s">
        <v>1005</v>
      </c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x14ac:dyDescent="0.25">
      <c r="A589" s="7" t="s">
        <v>9084</v>
      </c>
      <c r="C589" s="8" t="s">
        <v>10236</v>
      </c>
      <c r="D589">
        <f t="shared" si="9"/>
        <v>2</v>
      </c>
      <c r="I589" s="1" t="s">
        <v>1004</v>
      </c>
      <c r="J589" s="1" t="s">
        <v>1010</v>
      </c>
      <c r="K589" s="1" t="s">
        <v>1006</v>
      </c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x14ac:dyDescent="0.25">
      <c r="A590" s="7" t="s">
        <v>9084</v>
      </c>
      <c r="C590" s="7" t="s">
        <v>9864</v>
      </c>
      <c r="D590">
        <f t="shared" si="9"/>
        <v>2</v>
      </c>
      <c r="I590" s="1" t="s">
        <v>1004</v>
      </c>
      <c r="J590" s="1" t="s">
        <v>1010</v>
      </c>
      <c r="K590" s="1" t="s">
        <v>1006</v>
      </c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x14ac:dyDescent="0.25">
      <c r="A591" s="8" t="s">
        <v>9084</v>
      </c>
      <c r="C591" s="7" t="s">
        <v>9825</v>
      </c>
      <c r="D591">
        <f t="shared" si="9"/>
        <v>2</v>
      </c>
      <c r="I591" s="1" t="s">
        <v>1004</v>
      </c>
      <c r="J591" s="1" t="s">
        <v>1010</v>
      </c>
      <c r="K591" s="1" t="s">
        <v>1006</v>
      </c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x14ac:dyDescent="0.25">
      <c r="A592" s="7" t="s">
        <v>3423</v>
      </c>
      <c r="C592" s="7" t="s">
        <v>3245</v>
      </c>
      <c r="D592">
        <f t="shared" si="9"/>
        <v>2</v>
      </c>
      <c r="I592" s="1" t="s">
        <v>1004</v>
      </c>
      <c r="J592" s="1" t="s">
        <v>1010</v>
      </c>
      <c r="K592" s="1" t="s">
        <v>1006</v>
      </c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x14ac:dyDescent="0.25">
      <c r="A593" s="7" t="s">
        <v>3423</v>
      </c>
      <c r="C593" s="8" t="s">
        <v>9310</v>
      </c>
      <c r="D593">
        <f t="shared" si="9"/>
        <v>2</v>
      </c>
      <c r="I593" s="1" t="s">
        <v>1004</v>
      </c>
      <c r="J593" s="1" t="s">
        <v>1010</v>
      </c>
      <c r="K593" s="1" t="s">
        <v>1006</v>
      </c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x14ac:dyDescent="0.25">
      <c r="A594" s="7" t="s">
        <v>3423</v>
      </c>
      <c r="C594" s="7" t="s">
        <v>9449</v>
      </c>
      <c r="D594">
        <f t="shared" si="9"/>
        <v>2</v>
      </c>
      <c r="I594" s="1" t="s">
        <v>1004</v>
      </c>
      <c r="J594" s="1" t="s">
        <v>1010</v>
      </c>
      <c r="K594" s="1" t="s">
        <v>1006</v>
      </c>
      <c r="L594" s="1" t="s">
        <v>1002</v>
      </c>
      <c r="M594" s="1" t="s">
        <v>1003</v>
      </c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x14ac:dyDescent="0.25">
      <c r="A595" s="7" t="s">
        <v>3423</v>
      </c>
      <c r="C595" s="7" t="s">
        <v>10436</v>
      </c>
      <c r="D595">
        <f t="shared" si="9"/>
        <v>2</v>
      </c>
      <c r="I595" s="1" t="s">
        <v>1004</v>
      </c>
      <c r="J595" s="1" t="s">
        <v>1010</v>
      </c>
      <c r="K595" s="1" t="s">
        <v>1006</v>
      </c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x14ac:dyDescent="0.25">
      <c r="A596" s="7" t="s">
        <v>3423</v>
      </c>
      <c r="C596" s="8" t="s">
        <v>10172</v>
      </c>
      <c r="D596">
        <f t="shared" si="9"/>
        <v>2</v>
      </c>
      <c r="I596" s="1" t="s">
        <v>1045</v>
      </c>
      <c r="J596" s="1" t="s">
        <v>1047</v>
      </c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x14ac:dyDescent="0.25">
      <c r="A597" s="7" t="s">
        <v>3423</v>
      </c>
      <c r="C597" s="7" t="s">
        <v>9840</v>
      </c>
      <c r="D597">
        <f t="shared" si="9"/>
        <v>2</v>
      </c>
      <c r="I597" s="1" t="s">
        <v>1045</v>
      </c>
      <c r="J597" s="1" t="s">
        <v>1004</v>
      </c>
      <c r="K597" s="1" t="s">
        <v>1005</v>
      </c>
      <c r="L597" s="1" t="s">
        <v>1009</v>
      </c>
      <c r="M597" s="1" t="s">
        <v>1047</v>
      </c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x14ac:dyDescent="0.25">
      <c r="A598" s="7" t="s">
        <v>3423</v>
      </c>
      <c r="C598" s="7" t="s">
        <v>2346</v>
      </c>
      <c r="D598">
        <f t="shared" si="9"/>
        <v>2</v>
      </c>
      <c r="I598" s="1" t="s">
        <v>1045</v>
      </c>
      <c r="J598" s="1" t="s">
        <v>1047</v>
      </c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x14ac:dyDescent="0.25">
      <c r="A599" s="7" t="s">
        <v>3423</v>
      </c>
      <c r="C599" s="7" t="s">
        <v>9605</v>
      </c>
      <c r="D599">
        <f t="shared" si="9"/>
        <v>2</v>
      </c>
      <c r="I599" s="1" t="s">
        <v>1044</v>
      </c>
      <c r="J599" s="1" t="s">
        <v>1045</v>
      </c>
      <c r="K599" s="1" t="s">
        <v>1042</v>
      </c>
      <c r="L599" s="1" t="s">
        <v>1046</v>
      </c>
      <c r="M599" s="1" t="s">
        <v>1004</v>
      </c>
      <c r="N599" s="1" t="s">
        <v>1047</v>
      </c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x14ac:dyDescent="0.25">
      <c r="A600" s="7" t="s">
        <v>3423</v>
      </c>
      <c r="C600" s="7" t="s">
        <v>6331</v>
      </c>
      <c r="D600">
        <f t="shared" si="9"/>
        <v>2</v>
      </c>
      <c r="I600" s="1" t="s">
        <v>1044</v>
      </c>
      <c r="J600" s="1" t="s">
        <v>1045</v>
      </c>
      <c r="K600" s="1" t="s">
        <v>1042</v>
      </c>
      <c r="L600" s="1" t="s">
        <v>1046</v>
      </c>
      <c r="M600" s="1" t="s">
        <v>918</v>
      </c>
      <c r="N600" s="1" t="s">
        <v>1031</v>
      </c>
      <c r="O600" s="1" t="s">
        <v>25</v>
      </c>
      <c r="P600" s="1" t="s">
        <v>923</v>
      </c>
      <c r="Q600" s="1" t="s">
        <v>976</v>
      </c>
      <c r="R600" s="1" t="s">
        <v>920</v>
      </c>
      <c r="S600" s="1" t="s">
        <v>921</v>
      </c>
      <c r="T600" s="1" t="s">
        <v>1033</v>
      </c>
      <c r="U600" s="1"/>
      <c r="V600" s="1"/>
      <c r="W600" s="1"/>
      <c r="X600" s="1"/>
      <c r="Y600" s="1"/>
    </row>
    <row r="601" spans="1:25" x14ac:dyDescent="0.25">
      <c r="A601" s="7" t="s">
        <v>3423</v>
      </c>
      <c r="C601" s="8" t="s">
        <v>10266</v>
      </c>
      <c r="D601">
        <f t="shared" si="9"/>
        <v>2</v>
      </c>
      <c r="I601" s="1" t="s">
        <v>1044</v>
      </c>
      <c r="J601" s="1" t="s">
        <v>1045</v>
      </c>
      <c r="K601" s="1" t="s">
        <v>1042</v>
      </c>
      <c r="L601" s="1" t="s">
        <v>1046</v>
      </c>
      <c r="M601" s="1" t="s">
        <v>10816</v>
      </c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x14ac:dyDescent="0.25">
      <c r="A602" s="7" t="s">
        <v>3423</v>
      </c>
      <c r="C602" s="8" t="s">
        <v>9488</v>
      </c>
      <c r="D602">
        <f t="shared" si="9"/>
        <v>2</v>
      </c>
      <c r="I602" s="1" t="s">
        <v>918</v>
      </c>
      <c r="J602" s="1" t="s">
        <v>1031</v>
      </c>
      <c r="K602" s="1" t="s">
        <v>25</v>
      </c>
      <c r="L602" s="1" t="s">
        <v>923</v>
      </c>
      <c r="M602" s="1" t="s">
        <v>976</v>
      </c>
      <c r="N602" s="1" t="s">
        <v>920</v>
      </c>
      <c r="O602" s="1" t="s">
        <v>921</v>
      </c>
      <c r="P602" s="1" t="s">
        <v>1033</v>
      </c>
      <c r="Q602" s="1"/>
      <c r="R602" s="1"/>
      <c r="S602" s="1"/>
      <c r="T602" s="1"/>
      <c r="U602" s="1"/>
      <c r="V602" s="1"/>
      <c r="W602" s="1"/>
      <c r="X602" s="1"/>
      <c r="Y602" s="1"/>
    </row>
    <row r="603" spans="1:25" x14ac:dyDescent="0.25">
      <c r="A603" s="7" t="s">
        <v>3423</v>
      </c>
      <c r="C603" s="7" t="s">
        <v>9392</v>
      </c>
      <c r="D603">
        <f t="shared" si="9"/>
        <v>2</v>
      </c>
      <c r="I603" s="1" t="s">
        <v>918</v>
      </c>
      <c r="J603" s="1" t="s">
        <v>1031</v>
      </c>
      <c r="K603" s="1" t="s">
        <v>25</v>
      </c>
      <c r="L603" s="1" t="s">
        <v>923</v>
      </c>
      <c r="M603" s="1" t="s">
        <v>976</v>
      </c>
      <c r="N603" s="1" t="s">
        <v>920</v>
      </c>
      <c r="O603" s="1" t="s">
        <v>921</v>
      </c>
      <c r="P603" s="1" t="s">
        <v>1033</v>
      </c>
      <c r="Q603" s="1"/>
      <c r="R603" s="1"/>
      <c r="S603" s="1"/>
      <c r="T603" s="1"/>
      <c r="U603" s="1"/>
      <c r="V603" s="1"/>
      <c r="W603" s="1"/>
      <c r="X603" s="1"/>
      <c r="Y603" s="1"/>
    </row>
    <row r="604" spans="1:25" x14ac:dyDescent="0.25">
      <c r="A604" s="7" t="s">
        <v>3423</v>
      </c>
      <c r="C604" s="7" t="s">
        <v>4678</v>
      </c>
      <c r="D604">
        <f t="shared" si="9"/>
        <v>2</v>
      </c>
      <c r="I604" s="1" t="s">
        <v>10743</v>
      </c>
      <c r="J604" s="1" t="s">
        <v>84</v>
      </c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x14ac:dyDescent="0.25">
      <c r="A605" s="7" t="s">
        <v>3423</v>
      </c>
      <c r="C605" s="7" t="s">
        <v>5759</v>
      </c>
      <c r="D605">
        <f t="shared" si="9"/>
        <v>2</v>
      </c>
      <c r="I605" s="1" t="s">
        <v>10743</v>
      </c>
      <c r="J605" s="1" t="s">
        <v>84</v>
      </c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x14ac:dyDescent="0.25">
      <c r="A606" s="7" t="s">
        <v>3423</v>
      </c>
      <c r="C606" s="7" t="s">
        <v>8588</v>
      </c>
      <c r="D606">
        <f t="shared" si="9"/>
        <v>2</v>
      </c>
      <c r="I606" s="1" t="s">
        <v>10743</v>
      </c>
      <c r="J606" s="1" t="s">
        <v>84</v>
      </c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x14ac:dyDescent="0.25">
      <c r="A607" s="7" t="s">
        <v>3423</v>
      </c>
      <c r="C607" s="8" t="s">
        <v>10125</v>
      </c>
      <c r="D607">
        <f t="shared" si="9"/>
        <v>2</v>
      </c>
      <c r="I607" s="1" t="s">
        <v>918</v>
      </c>
      <c r="J607" s="1" t="s">
        <v>1031</v>
      </c>
      <c r="K607" s="1" t="s">
        <v>25</v>
      </c>
      <c r="L607" s="1" t="s">
        <v>923</v>
      </c>
      <c r="M607" s="1" t="s">
        <v>976</v>
      </c>
      <c r="N607" s="1" t="s">
        <v>920</v>
      </c>
      <c r="O607" s="1" t="s">
        <v>921</v>
      </c>
      <c r="P607" s="1" t="s">
        <v>1033</v>
      </c>
      <c r="Q607" s="1" t="s">
        <v>84</v>
      </c>
      <c r="R607" s="1" t="s">
        <v>10743</v>
      </c>
      <c r="S607" s="1"/>
      <c r="T607" s="1"/>
      <c r="U607" s="1"/>
      <c r="V607" s="1"/>
      <c r="W607" s="1"/>
      <c r="X607" s="1"/>
      <c r="Y607" s="1"/>
    </row>
    <row r="608" spans="1:25" x14ac:dyDescent="0.25">
      <c r="A608" s="8" t="s">
        <v>9161</v>
      </c>
      <c r="C608" s="7" t="s">
        <v>8997</v>
      </c>
      <c r="D608">
        <f t="shared" si="9"/>
        <v>2</v>
      </c>
      <c r="I608" s="1" t="s">
        <v>1002</v>
      </c>
      <c r="J608" s="1" t="s">
        <v>1048</v>
      </c>
      <c r="K608" s="1" t="s">
        <v>1007</v>
      </c>
      <c r="L608" s="1" t="s">
        <v>1004</v>
      </c>
      <c r="M608" s="1" t="s">
        <v>1005</v>
      </c>
      <c r="N608" s="1" t="s">
        <v>1008</v>
      </c>
      <c r="O608" s="1" t="s">
        <v>1006</v>
      </c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x14ac:dyDescent="0.25">
      <c r="A609" s="8" t="s">
        <v>10374</v>
      </c>
      <c r="C609" s="7" t="s">
        <v>10653</v>
      </c>
      <c r="D609">
        <f t="shared" si="9"/>
        <v>2</v>
      </c>
      <c r="I609" s="1" t="s">
        <v>25</v>
      </c>
      <c r="J609" s="1" t="s">
        <v>919</v>
      </c>
      <c r="K609" s="1" t="s">
        <v>920</v>
      </c>
      <c r="L609" s="1" t="s">
        <v>921</v>
      </c>
      <c r="M609" s="1" t="s">
        <v>918</v>
      </c>
      <c r="N609" s="1" t="s">
        <v>945</v>
      </c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x14ac:dyDescent="0.25">
      <c r="A610" s="8" t="s">
        <v>10021</v>
      </c>
      <c r="C610" s="7" t="s">
        <v>10244</v>
      </c>
      <c r="D610">
        <f t="shared" si="9"/>
        <v>2</v>
      </c>
      <c r="I610" s="1" t="s">
        <v>918</v>
      </c>
      <c r="J610" s="1" t="s">
        <v>919</v>
      </c>
      <c r="K610" s="1" t="s">
        <v>996</v>
      </c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x14ac:dyDescent="0.25">
      <c r="A611" s="8" t="s">
        <v>8986</v>
      </c>
      <c r="C611" s="7" t="s">
        <v>9942</v>
      </c>
      <c r="D611">
        <f t="shared" si="9"/>
        <v>2</v>
      </c>
      <c r="I611" s="1" t="s">
        <v>983</v>
      </c>
      <c r="J611" s="1" t="s">
        <v>984</v>
      </c>
      <c r="K611" s="1" t="s">
        <v>256</v>
      </c>
      <c r="L611" s="1" t="s">
        <v>1049</v>
      </c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x14ac:dyDescent="0.25">
      <c r="A612" s="8" t="s">
        <v>9843</v>
      </c>
      <c r="C612" s="7" t="s">
        <v>8938</v>
      </c>
      <c r="D612">
        <f t="shared" si="9"/>
        <v>2</v>
      </c>
      <c r="I612" s="1" t="s">
        <v>981</v>
      </c>
      <c r="J612" s="1" t="s">
        <v>1019</v>
      </c>
      <c r="K612" s="1" t="s">
        <v>983</v>
      </c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x14ac:dyDescent="0.25">
      <c r="A613" s="8" t="s">
        <v>10165</v>
      </c>
      <c r="C613" s="8" t="s">
        <v>9379</v>
      </c>
      <c r="D613">
        <f t="shared" si="9"/>
        <v>2</v>
      </c>
      <c r="I613" s="1" t="s">
        <v>1149</v>
      </c>
      <c r="J613" s="1" t="s">
        <v>923</v>
      </c>
      <c r="K613" s="1" t="s">
        <v>996</v>
      </c>
      <c r="L613" s="1" t="s">
        <v>1053</v>
      </c>
      <c r="M613" s="1" t="s">
        <v>1086</v>
      </c>
      <c r="N613" s="1" t="s">
        <v>933</v>
      </c>
      <c r="O613" s="1" t="s">
        <v>2541</v>
      </c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x14ac:dyDescent="0.25">
      <c r="A614" s="8" t="s">
        <v>9209</v>
      </c>
      <c r="C614" s="7" t="s">
        <v>731</v>
      </c>
      <c r="D614">
        <f t="shared" si="9"/>
        <v>2</v>
      </c>
      <c r="I614" s="1" t="s">
        <v>1001</v>
      </c>
      <c r="J614" s="1" t="s">
        <v>10722</v>
      </c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x14ac:dyDescent="0.25">
      <c r="A615" s="8" t="s">
        <v>9209</v>
      </c>
      <c r="C615" s="7" t="s">
        <v>8936</v>
      </c>
      <c r="D615">
        <f t="shared" si="9"/>
        <v>2</v>
      </c>
      <c r="I615" s="1" t="s">
        <v>964</v>
      </c>
      <c r="J615" s="1" t="s">
        <v>1109</v>
      </c>
      <c r="K615" s="1" t="s">
        <v>919</v>
      </c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x14ac:dyDescent="0.25">
      <c r="A616" s="8" t="s">
        <v>9209</v>
      </c>
      <c r="C616" s="7" t="s">
        <v>2720</v>
      </c>
      <c r="D616">
        <f t="shared" si="9"/>
        <v>2</v>
      </c>
      <c r="I616" s="1" t="s">
        <v>1001</v>
      </c>
      <c r="J616" s="1" t="s">
        <v>328</v>
      </c>
      <c r="K616" s="1" t="s">
        <v>2541</v>
      </c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x14ac:dyDescent="0.25">
      <c r="A617" s="8" t="s">
        <v>9674</v>
      </c>
      <c r="C617" s="7" t="s">
        <v>3537</v>
      </c>
      <c r="D617">
        <f t="shared" si="9"/>
        <v>2</v>
      </c>
      <c r="I617" s="1" t="s">
        <v>50</v>
      </c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x14ac:dyDescent="0.25">
      <c r="A618" s="8" t="s">
        <v>9116</v>
      </c>
      <c r="C618" s="7" t="s">
        <v>10026</v>
      </c>
      <c r="D618">
        <f t="shared" si="9"/>
        <v>2</v>
      </c>
      <c r="I618" s="1" t="s">
        <v>25</v>
      </c>
      <c r="J618" s="1" t="s">
        <v>1086</v>
      </c>
      <c r="K618" s="1" t="s">
        <v>919</v>
      </c>
      <c r="L618" s="1" t="s">
        <v>920</v>
      </c>
      <c r="M618" s="1" t="s">
        <v>921</v>
      </c>
      <c r="N618" s="1" t="s">
        <v>10746</v>
      </c>
      <c r="O618" s="1" t="s">
        <v>924</v>
      </c>
      <c r="P618" s="1" t="s">
        <v>1034</v>
      </c>
      <c r="Q618" s="1" t="s">
        <v>1014</v>
      </c>
      <c r="R618" s="1" t="s">
        <v>956</v>
      </c>
      <c r="S618" s="1"/>
      <c r="T618" s="1"/>
      <c r="U618" s="1"/>
      <c r="V618" s="1"/>
      <c r="W618" s="1"/>
      <c r="X618" s="1"/>
      <c r="Y618" s="1"/>
    </row>
    <row r="619" spans="1:25" x14ac:dyDescent="0.25">
      <c r="A619" s="7" t="s">
        <v>10244</v>
      </c>
      <c r="C619" s="7" t="s">
        <v>5170</v>
      </c>
      <c r="D619">
        <f t="shared" si="9"/>
        <v>2</v>
      </c>
      <c r="I619" s="1" t="s">
        <v>981</v>
      </c>
      <c r="J619" s="1" t="s">
        <v>1019</v>
      </c>
      <c r="K619" s="1" t="s">
        <v>983</v>
      </c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x14ac:dyDescent="0.25">
      <c r="A620" s="7" t="s">
        <v>10244</v>
      </c>
      <c r="C620" s="7" t="s">
        <v>9877</v>
      </c>
      <c r="D620">
        <f t="shared" si="9"/>
        <v>2</v>
      </c>
      <c r="I620" s="1" t="s">
        <v>2927</v>
      </c>
      <c r="J620" s="1" t="s">
        <v>25</v>
      </c>
      <c r="K620" s="1" t="s">
        <v>1167</v>
      </c>
      <c r="L620" s="1" t="s">
        <v>998</v>
      </c>
      <c r="M620" s="1" t="s">
        <v>1086</v>
      </c>
      <c r="N620" s="1" t="s">
        <v>920</v>
      </c>
      <c r="O620" s="1" t="s">
        <v>933</v>
      </c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x14ac:dyDescent="0.25">
      <c r="A621" s="8" t="s">
        <v>10610</v>
      </c>
      <c r="C621" s="7" t="s">
        <v>4521</v>
      </c>
      <c r="D621">
        <f t="shared" si="9"/>
        <v>2</v>
      </c>
      <c r="I621" s="1" t="s">
        <v>996</v>
      </c>
      <c r="J621" s="1" t="s">
        <v>1053</v>
      </c>
      <c r="K621" s="1" t="s">
        <v>1086</v>
      </c>
      <c r="L621" s="1" t="s">
        <v>933</v>
      </c>
      <c r="M621" s="1" t="s">
        <v>2541</v>
      </c>
      <c r="N621" s="1" t="s">
        <v>25</v>
      </c>
      <c r="O621" s="1" t="s">
        <v>923</v>
      </c>
      <c r="P621" s="1" t="s">
        <v>1066</v>
      </c>
      <c r="Q621" s="1"/>
      <c r="R621" s="1"/>
      <c r="S621" s="1"/>
      <c r="T621" s="1"/>
      <c r="U621" s="1"/>
      <c r="V621" s="1"/>
      <c r="W621" s="1"/>
      <c r="X621" s="1"/>
      <c r="Y621" s="1"/>
    </row>
    <row r="622" spans="1:25" x14ac:dyDescent="0.25">
      <c r="A622" s="7" t="s">
        <v>9942</v>
      </c>
      <c r="C622" s="8" t="s">
        <v>8836</v>
      </c>
      <c r="D622">
        <f t="shared" si="9"/>
        <v>2</v>
      </c>
      <c r="I622" s="1" t="s">
        <v>996</v>
      </c>
      <c r="J622" s="1" t="s">
        <v>2541</v>
      </c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x14ac:dyDescent="0.25">
      <c r="A623" s="7" t="s">
        <v>9942</v>
      </c>
      <c r="C623" s="8" t="s">
        <v>8983</v>
      </c>
      <c r="D623">
        <f t="shared" si="9"/>
        <v>2</v>
      </c>
      <c r="I623" s="1" t="s">
        <v>1001</v>
      </c>
      <c r="J623" s="1" t="s">
        <v>996</v>
      </c>
      <c r="K623" s="1" t="s">
        <v>933</v>
      </c>
      <c r="L623" s="1" t="s">
        <v>2541</v>
      </c>
      <c r="M623" s="1" t="s">
        <v>1149</v>
      </c>
      <c r="N623" s="1" t="s">
        <v>1053</v>
      </c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x14ac:dyDescent="0.25">
      <c r="A624" s="7" t="s">
        <v>9115</v>
      </c>
      <c r="C624" s="7" t="s">
        <v>9011</v>
      </c>
      <c r="D624">
        <f t="shared" si="9"/>
        <v>2</v>
      </c>
      <c r="I624" s="1" t="s">
        <v>996</v>
      </c>
      <c r="J624" s="1" t="s">
        <v>2541</v>
      </c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x14ac:dyDescent="0.25">
      <c r="A625" s="7" t="s">
        <v>9277</v>
      </c>
      <c r="C625" s="8" t="s">
        <v>10168</v>
      </c>
      <c r="D625">
        <f t="shared" si="9"/>
        <v>2</v>
      </c>
      <c r="I625" s="1" t="s">
        <v>996</v>
      </c>
      <c r="J625" s="1" t="s">
        <v>25</v>
      </c>
      <c r="K625" s="1" t="s">
        <v>997</v>
      </c>
      <c r="L625" s="1" t="s">
        <v>927</v>
      </c>
      <c r="M625" s="1" t="s">
        <v>998</v>
      </c>
      <c r="N625" s="1" t="s">
        <v>992</v>
      </c>
      <c r="O625" s="1" t="s">
        <v>933</v>
      </c>
      <c r="P625" s="1" t="s">
        <v>994</v>
      </c>
      <c r="Q625" s="1"/>
      <c r="R625" s="1"/>
      <c r="S625" s="1"/>
      <c r="T625" s="1"/>
      <c r="U625" s="1"/>
      <c r="V625" s="1"/>
      <c r="W625" s="1"/>
      <c r="X625" s="1"/>
      <c r="Y625" s="1"/>
    </row>
    <row r="626" spans="1:25" x14ac:dyDescent="0.25">
      <c r="A626" s="7" t="s">
        <v>9277</v>
      </c>
      <c r="C626" s="8" t="s">
        <v>10192</v>
      </c>
      <c r="D626">
        <f t="shared" si="9"/>
        <v>2</v>
      </c>
      <c r="I626" s="1" t="s">
        <v>1053</v>
      </c>
      <c r="J626" s="1" t="s">
        <v>328</v>
      </c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x14ac:dyDescent="0.25">
      <c r="A627" s="7" t="s">
        <v>9277</v>
      </c>
      <c r="C627" s="7" t="s">
        <v>9735</v>
      </c>
      <c r="D627">
        <f t="shared" si="9"/>
        <v>2</v>
      </c>
      <c r="I627" s="1" t="s">
        <v>50</v>
      </c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x14ac:dyDescent="0.25">
      <c r="A628" s="7" t="s">
        <v>6495</v>
      </c>
      <c r="C628" s="8" t="s">
        <v>10254</v>
      </c>
      <c r="D628">
        <f t="shared" si="9"/>
        <v>2</v>
      </c>
      <c r="I628" s="1" t="s">
        <v>996</v>
      </c>
      <c r="J628" s="1" t="s">
        <v>2541</v>
      </c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x14ac:dyDescent="0.25">
      <c r="A629" s="7" t="s">
        <v>6495</v>
      </c>
      <c r="C629" s="7" t="s">
        <v>7093</v>
      </c>
      <c r="D629">
        <f t="shared" si="9"/>
        <v>2</v>
      </c>
      <c r="I629" s="1" t="s">
        <v>927</v>
      </c>
      <c r="J629" s="1" t="s">
        <v>919</v>
      </c>
      <c r="K629" s="1" t="s">
        <v>924</v>
      </c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x14ac:dyDescent="0.25">
      <c r="A630" s="7" t="s">
        <v>6495</v>
      </c>
      <c r="C630" s="8" t="s">
        <v>9296</v>
      </c>
      <c r="D630">
        <f t="shared" si="9"/>
        <v>2</v>
      </c>
      <c r="I630" s="1" t="s">
        <v>918</v>
      </c>
      <c r="J630" s="1" t="s">
        <v>1110</v>
      </c>
      <c r="K630" s="1" t="s">
        <v>25</v>
      </c>
      <c r="L630" s="1" t="s">
        <v>923</v>
      </c>
      <c r="M630" s="1" t="s">
        <v>919</v>
      </c>
      <c r="N630" s="1" t="s">
        <v>920</v>
      </c>
      <c r="O630" s="1" t="s">
        <v>954</v>
      </c>
      <c r="P630" s="1" t="s">
        <v>328</v>
      </c>
      <c r="Q630" s="1" t="s">
        <v>921</v>
      </c>
      <c r="R630" s="1" t="s">
        <v>934</v>
      </c>
      <c r="S630" s="1"/>
      <c r="T630" s="1"/>
      <c r="U630" s="1"/>
      <c r="V630" s="1"/>
      <c r="W630" s="1"/>
      <c r="X630" s="1"/>
      <c r="Y630" s="1"/>
    </row>
    <row r="631" spans="1:25" x14ac:dyDescent="0.25">
      <c r="A631" s="7" t="s">
        <v>6495</v>
      </c>
      <c r="C631" s="8" t="s">
        <v>10147</v>
      </c>
      <c r="D631">
        <f t="shared" si="9"/>
        <v>2</v>
      </c>
      <c r="I631" s="1" t="s">
        <v>1053</v>
      </c>
      <c r="J631" s="1" t="s">
        <v>1086</v>
      </c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x14ac:dyDescent="0.25">
      <c r="A632" s="7" t="s">
        <v>2407</v>
      </c>
      <c r="C632" s="7" t="s">
        <v>9002</v>
      </c>
      <c r="D632">
        <f t="shared" si="9"/>
        <v>2</v>
      </c>
      <c r="I632" s="1" t="s">
        <v>996</v>
      </c>
      <c r="J632" s="1" t="s">
        <v>997</v>
      </c>
      <c r="K632" s="1" t="s">
        <v>998</v>
      </c>
      <c r="L632" s="1" t="s">
        <v>992</v>
      </c>
      <c r="M632" s="1" t="s">
        <v>933</v>
      </c>
      <c r="N632" s="1" t="s">
        <v>994</v>
      </c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x14ac:dyDescent="0.25">
      <c r="A633" s="8" t="s">
        <v>9019</v>
      </c>
      <c r="C633" s="7" t="s">
        <v>9186</v>
      </c>
      <c r="D633">
        <f t="shared" si="9"/>
        <v>2</v>
      </c>
      <c r="I633" s="1" t="s">
        <v>50</v>
      </c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x14ac:dyDescent="0.25">
      <c r="A634" s="7" t="s">
        <v>2468</v>
      </c>
      <c r="C634" s="8" t="s">
        <v>10677</v>
      </c>
      <c r="D634">
        <f t="shared" si="9"/>
        <v>2</v>
      </c>
      <c r="I634" s="1" t="s">
        <v>50</v>
      </c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x14ac:dyDescent="0.25">
      <c r="A635" s="7" t="s">
        <v>2468</v>
      </c>
      <c r="C635" s="8" t="s">
        <v>9106</v>
      </c>
      <c r="D635">
        <f t="shared" si="9"/>
        <v>2</v>
      </c>
      <c r="I635" s="1" t="s">
        <v>948</v>
      </c>
      <c r="J635" s="1" t="s">
        <v>25</v>
      </c>
      <c r="K635" s="1" t="s">
        <v>923</v>
      </c>
      <c r="L635" s="1" t="s">
        <v>1053</v>
      </c>
      <c r="M635" s="1" t="s">
        <v>1086</v>
      </c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x14ac:dyDescent="0.25">
      <c r="A636" s="7" t="s">
        <v>2468</v>
      </c>
      <c r="C636" s="7" t="s">
        <v>2550</v>
      </c>
      <c r="D636">
        <f t="shared" si="9"/>
        <v>2</v>
      </c>
      <c r="I636" s="1" t="s">
        <v>989</v>
      </c>
      <c r="J636" s="1" t="s">
        <v>990</v>
      </c>
      <c r="K636" s="1" t="s">
        <v>991</v>
      </c>
      <c r="L636" s="1" t="s">
        <v>10817</v>
      </c>
      <c r="M636" s="1" t="s">
        <v>10818</v>
      </c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x14ac:dyDescent="0.25">
      <c r="A637" s="7" t="s">
        <v>2468</v>
      </c>
      <c r="C637" s="8" t="s">
        <v>9431</v>
      </c>
      <c r="D637">
        <f t="shared" si="9"/>
        <v>2</v>
      </c>
      <c r="I637" s="1" t="s">
        <v>4058</v>
      </c>
      <c r="J637" s="1" t="s">
        <v>10769</v>
      </c>
      <c r="K637" s="1" t="s">
        <v>4037</v>
      </c>
      <c r="L637" s="1" t="s">
        <v>10770</v>
      </c>
      <c r="M637" s="1" t="s">
        <v>10771</v>
      </c>
      <c r="N637" s="1" t="s">
        <v>10772</v>
      </c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x14ac:dyDescent="0.25">
      <c r="A638" s="7" t="s">
        <v>2468</v>
      </c>
      <c r="C638" s="8" t="s">
        <v>10269</v>
      </c>
      <c r="D638">
        <f t="shared" si="9"/>
        <v>2</v>
      </c>
      <c r="I638" s="1" t="s">
        <v>1045</v>
      </c>
      <c r="J638" s="1" t="s">
        <v>1042</v>
      </c>
      <c r="K638" s="1" t="s">
        <v>1006</v>
      </c>
      <c r="L638" s="1" t="s">
        <v>921</v>
      </c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x14ac:dyDescent="0.25">
      <c r="A639" s="7" t="s">
        <v>2468</v>
      </c>
      <c r="C639" s="8" t="s">
        <v>9789</v>
      </c>
      <c r="D639">
        <f t="shared" si="9"/>
        <v>2</v>
      </c>
      <c r="I639" s="1" t="s">
        <v>90</v>
      </c>
      <c r="J639" s="1" t="s">
        <v>25</v>
      </c>
      <c r="K639" s="1" t="s">
        <v>987</v>
      </c>
      <c r="L639" s="1" t="s">
        <v>916</v>
      </c>
      <c r="M639" s="1" t="s">
        <v>920</v>
      </c>
      <c r="N639" s="1" t="s">
        <v>921</v>
      </c>
      <c r="O639" s="1" t="s">
        <v>922</v>
      </c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x14ac:dyDescent="0.25">
      <c r="A640" s="7" t="s">
        <v>2468</v>
      </c>
      <c r="C640" s="7" t="s">
        <v>9649</v>
      </c>
      <c r="D640">
        <f t="shared" si="9"/>
        <v>2</v>
      </c>
      <c r="I640" s="1" t="s">
        <v>992</v>
      </c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x14ac:dyDescent="0.25">
      <c r="A641" s="7" t="s">
        <v>2468</v>
      </c>
      <c r="C641" s="7" t="s">
        <v>2693</v>
      </c>
      <c r="D641">
        <f t="shared" si="9"/>
        <v>2</v>
      </c>
      <c r="I641" s="1" t="s">
        <v>971</v>
      </c>
      <c r="J641" s="1" t="s">
        <v>1011</v>
      </c>
      <c r="K641" s="1" t="s">
        <v>10819</v>
      </c>
      <c r="L641" s="1" t="s">
        <v>920</v>
      </c>
      <c r="M641" s="1" t="s">
        <v>921</v>
      </c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x14ac:dyDescent="0.25">
      <c r="A642" s="7" t="s">
        <v>2468</v>
      </c>
      <c r="C642" s="7" t="s">
        <v>8879</v>
      </c>
      <c r="D642">
        <f t="shared" ref="D642:D705" si="10">COUNTIF(A:A,C642)</f>
        <v>2</v>
      </c>
      <c r="I642" s="1" t="s">
        <v>928</v>
      </c>
      <c r="J642" s="1" t="s">
        <v>983</v>
      </c>
      <c r="K642" s="1" t="s">
        <v>919</v>
      </c>
      <c r="L642" s="1" t="s">
        <v>1020</v>
      </c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x14ac:dyDescent="0.25">
      <c r="A643" s="7" t="s">
        <v>2468</v>
      </c>
      <c r="C643" s="8" t="s">
        <v>10424</v>
      </c>
      <c r="D643">
        <f t="shared" si="10"/>
        <v>2</v>
      </c>
      <c r="I643" s="1" t="s">
        <v>1043</v>
      </c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x14ac:dyDescent="0.25">
      <c r="A644" s="7" t="s">
        <v>2468</v>
      </c>
      <c r="C644" s="7" t="s">
        <v>4227</v>
      </c>
      <c r="D644">
        <f t="shared" si="10"/>
        <v>2</v>
      </c>
      <c r="I644" s="1" t="s">
        <v>998</v>
      </c>
      <c r="J644" s="1" t="s">
        <v>993</v>
      </c>
      <c r="K644" s="1" t="s">
        <v>994</v>
      </c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x14ac:dyDescent="0.25">
      <c r="A645" s="7" t="s">
        <v>2468</v>
      </c>
      <c r="C645" s="8" t="s">
        <v>9716</v>
      </c>
      <c r="D645">
        <f t="shared" si="10"/>
        <v>2</v>
      </c>
      <c r="I645" s="1" t="s">
        <v>918</v>
      </c>
      <c r="J645" s="1" t="s">
        <v>25</v>
      </c>
      <c r="K645" s="1" t="s">
        <v>987</v>
      </c>
      <c r="L645" s="1" t="s">
        <v>919</v>
      </c>
      <c r="M645" s="1" t="s">
        <v>920</v>
      </c>
      <c r="N645" s="1" t="s">
        <v>921</v>
      </c>
      <c r="O645" s="1" t="s">
        <v>923</v>
      </c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x14ac:dyDescent="0.25">
      <c r="A646" s="7" t="s">
        <v>2468</v>
      </c>
      <c r="C646" s="8" t="s">
        <v>10281</v>
      </c>
      <c r="D646">
        <f t="shared" si="10"/>
        <v>2</v>
      </c>
      <c r="I646" s="1" t="s">
        <v>1001</v>
      </c>
      <c r="J646" s="1" t="s">
        <v>996</v>
      </c>
      <c r="K646" s="1" t="s">
        <v>933</v>
      </c>
      <c r="L646" s="1" t="s">
        <v>2541</v>
      </c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x14ac:dyDescent="0.25">
      <c r="A647" s="7" t="s">
        <v>2468</v>
      </c>
      <c r="C647" s="8" t="s">
        <v>10669</v>
      </c>
      <c r="D647">
        <f t="shared" si="10"/>
        <v>2</v>
      </c>
      <c r="I647" s="1" t="s">
        <v>1085</v>
      </c>
      <c r="J647" s="1" t="s">
        <v>955</v>
      </c>
      <c r="K647" s="1" t="s">
        <v>1014</v>
      </c>
      <c r="L647" s="1" t="s">
        <v>944</v>
      </c>
      <c r="M647" s="1" t="s">
        <v>956</v>
      </c>
      <c r="N647" s="1" t="s">
        <v>10820</v>
      </c>
      <c r="O647" s="1" t="s">
        <v>25</v>
      </c>
      <c r="P647" s="1" t="s">
        <v>927</v>
      </c>
      <c r="Q647" s="1" t="s">
        <v>981</v>
      </c>
      <c r="R647" s="1" t="s">
        <v>920</v>
      </c>
      <c r="S647" s="1" t="s">
        <v>933</v>
      </c>
      <c r="T647" s="1" t="s">
        <v>921</v>
      </c>
      <c r="U647" s="1" t="s">
        <v>256</v>
      </c>
      <c r="V647" s="1" t="s">
        <v>1049</v>
      </c>
      <c r="W647" s="1"/>
      <c r="X647" s="1"/>
      <c r="Y647" s="1"/>
    </row>
    <row r="648" spans="1:25" x14ac:dyDescent="0.25">
      <c r="A648" s="7" t="s">
        <v>2468</v>
      </c>
      <c r="C648" s="8" t="s">
        <v>10064</v>
      </c>
      <c r="D648">
        <f t="shared" si="10"/>
        <v>2</v>
      </c>
      <c r="I648" s="1" t="s">
        <v>996</v>
      </c>
      <c r="J648" s="1" t="s">
        <v>948</v>
      </c>
      <c r="K648" s="1" t="s">
        <v>25</v>
      </c>
      <c r="L648" s="1" t="s">
        <v>923</v>
      </c>
      <c r="M648" s="1" t="s">
        <v>997</v>
      </c>
      <c r="N648" s="1" t="s">
        <v>920</v>
      </c>
      <c r="O648" s="1" t="s">
        <v>298</v>
      </c>
      <c r="P648" s="1" t="s">
        <v>1149</v>
      </c>
      <c r="Q648" s="1" t="s">
        <v>954</v>
      </c>
      <c r="R648" s="1" t="s">
        <v>994</v>
      </c>
      <c r="S648" s="1"/>
      <c r="T648" s="1"/>
      <c r="U648" s="1"/>
      <c r="V648" s="1"/>
      <c r="W648" s="1"/>
      <c r="X648" s="1"/>
      <c r="Y648" s="1"/>
    </row>
    <row r="649" spans="1:25" x14ac:dyDescent="0.25">
      <c r="A649" s="7" t="s">
        <v>2468</v>
      </c>
      <c r="C649" s="7" t="s">
        <v>9661</v>
      </c>
      <c r="D649">
        <f t="shared" si="10"/>
        <v>2</v>
      </c>
      <c r="I649" s="1" t="s">
        <v>50</v>
      </c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x14ac:dyDescent="0.25">
      <c r="A650" s="7" t="s">
        <v>2468</v>
      </c>
      <c r="C650" s="7" t="s">
        <v>5352</v>
      </c>
      <c r="D650">
        <f t="shared" si="10"/>
        <v>2</v>
      </c>
      <c r="I650" s="1" t="s">
        <v>1001</v>
      </c>
      <c r="J650" s="1" t="s">
        <v>927</v>
      </c>
      <c r="K650" s="1" t="s">
        <v>987</v>
      </c>
      <c r="L650" s="1" t="s">
        <v>981</v>
      </c>
      <c r="M650" s="1" t="s">
        <v>919</v>
      </c>
      <c r="N650" s="1" t="s">
        <v>975</v>
      </c>
      <c r="O650" s="1" t="s">
        <v>925</v>
      </c>
      <c r="P650" s="1" t="s">
        <v>979</v>
      </c>
      <c r="Q650" s="1" t="s">
        <v>10810</v>
      </c>
      <c r="R650" s="1" t="s">
        <v>939</v>
      </c>
      <c r="S650" s="1" t="s">
        <v>928</v>
      </c>
      <c r="T650" s="1" t="s">
        <v>10821</v>
      </c>
      <c r="U650" s="1"/>
      <c r="V650" s="1"/>
      <c r="W650" s="1"/>
      <c r="X650" s="1"/>
      <c r="Y650" s="1"/>
    </row>
    <row r="651" spans="1:25" x14ac:dyDescent="0.25">
      <c r="A651" s="7" t="s">
        <v>2468</v>
      </c>
      <c r="C651" s="7" t="s">
        <v>9575</v>
      </c>
      <c r="D651">
        <f t="shared" si="10"/>
        <v>2</v>
      </c>
      <c r="I651" s="1" t="s">
        <v>934</v>
      </c>
      <c r="J651" s="1" t="s">
        <v>918</v>
      </c>
      <c r="K651" s="1" t="s">
        <v>25</v>
      </c>
      <c r="L651" s="1" t="s">
        <v>919</v>
      </c>
      <c r="M651" s="1" t="s">
        <v>920</v>
      </c>
      <c r="N651" s="1" t="s">
        <v>924</v>
      </c>
      <c r="O651" s="1" t="s">
        <v>923</v>
      </c>
      <c r="P651" s="1" t="s">
        <v>954</v>
      </c>
      <c r="Q651" s="1" t="s">
        <v>10743</v>
      </c>
      <c r="R651" s="1" t="s">
        <v>10822</v>
      </c>
      <c r="S651" s="1" t="s">
        <v>10823</v>
      </c>
      <c r="T651" s="1"/>
      <c r="U651" s="1"/>
      <c r="V651" s="1"/>
      <c r="W651" s="1"/>
      <c r="X651" s="1"/>
      <c r="Y651" s="1"/>
    </row>
    <row r="652" spans="1:25" x14ac:dyDescent="0.25">
      <c r="A652" s="7" t="s">
        <v>2468</v>
      </c>
      <c r="C652" s="7" t="s">
        <v>9961</v>
      </c>
      <c r="D652">
        <f t="shared" si="10"/>
        <v>2</v>
      </c>
      <c r="I652" s="1" t="s">
        <v>1001</v>
      </c>
      <c r="J652" s="1" t="s">
        <v>25</v>
      </c>
      <c r="K652" s="1" t="s">
        <v>927</v>
      </c>
      <c r="L652" s="1" t="s">
        <v>998</v>
      </c>
      <c r="M652" s="1" t="s">
        <v>992</v>
      </c>
      <c r="N652" s="1" t="s">
        <v>981</v>
      </c>
      <c r="O652" s="1" t="s">
        <v>939</v>
      </c>
      <c r="P652" s="1" t="s">
        <v>1066</v>
      </c>
      <c r="Q652" s="1" t="s">
        <v>993</v>
      </c>
      <c r="R652" s="1" t="s">
        <v>994</v>
      </c>
      <c r="S652" s="1"/>
      <c r="T652" s="1"/>
      <c r="U652" s="1"/>
      <c r="V652" s="1"/>
      <c r="W652" s="1"/>
      <c r="X652" s="1"/>
      <c r="Y652" s="1"/>
    </row>
    <row r="653" spans="1:25" x14ac:dyDescent="0.25">
      <c r="A653" s="7" t="s">
        <v>2468</v>
      </c>
      <c r="C653" s="7" t="s">
        <v>6568</v>
      </c>
      <c r="D653">
        <f t="shared" si="10"/>
        <v>2</v>
      </c>
      <c r="I653" s="1" t="s">
        <v>50</v>
      </c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x14ac:dyDescent="0.25">
      <c r="A654" s="7" t="s">
        <v>2468</v>
      </c>
      <c r="C654" s="8" t="s">
        <v>10417</v>
      </c>
      <c r="D654">
        <f t="shared" si="10"/>
        <v>2</v>
      </c>
      <c r="I654" s="1" t="s">
        <v>918</v>
      </c>
      <c r="J654" s="1" t="s">
        <v>25</v>
      </c>
      <c r="K654" s="1" t="s">
        <v>923</v>
      </c>
      <c r="L654" s="1" t="s">
        <v>840</v>
      </c>
      <c r="M654" s="1" t="s">
        <v>920</v>
      </c>
      <c r="N654" s="1" t="s">
        <v>328</v>
      </c>
      <c r="O654" s="1" t="s">
        <v>921</v>
      </c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x14ac:dyDescent="0.25">
      <c r="A655" s="7" t="s">
        <v>2468</v>
      </c>
      <c r="C655" s="7" t="s">
        <v>9307</v>
      </c>
      <c r="D655">
        <f t="shared" si="10"/>
        <v>2</v>
      </c>
      <c r="I655" s="1" t="s">
        <v>981</v>
      </c>
      <c r="J655" s="1" t="s">
        <v>983</v>
      </c>
      <c r="K655" s="1" t="s">
        <v>1019</v>
      </c>
      <c r="L655" s="1" t="s">
        <v>984</v>
      </c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x14ac:dyDescent="0.25">
      <c r="A656" s="7" t="s">
        <v>2468</v>
      </c>
      <c r="C656" s="8" t="s">
        <v>8995</v>
      </c>
      <c r="D656">
        <f t="shared" si="10"/>
        <v>2</v>
      </c>
      <c r="I656" s="1" t="s">
        <v>1001</v>
      </c>
      <c r="J656" s="1" t="s">
        <v>927</v>
      </c>
      <c r="K656" s="1" t="s">
        <v>919</v>
      </c>
      <c r="L656" s="1" t="s">
        <v>936</v>
      </c>
      <c r="M656" s="1" t="s">
        <v>961</v>
      </c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x14ac:dyDescent="0.25">
      <c r="A657" s="7" t="s">
        <v>2468</v>
      </c>
      <c r="C657" s="8" t="s">
        <v>10146</v>
      </c>
      <c r="D657">
        <f t="shared" si="10"/>
        <v>2</v>
      </c>
      <c r="I657" s="1" t="s">
        <v>10698</v>
      </c>
      <c r="J657" s="1" t="s">
        <v>983</v>
      </c>
      <c r="K657" s="1" t="s">
        <v>919</v>
      </c>
      <c r="L657" s="1" t="s">
        <v>1020</v>
      </c>
      <c r="M657" s="1" t="s">
        <v>929</v>
      </c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x14ac:dyDescent="0.25">
      <c r="A658" s="8" t="s">
        <v>10035</v>
      </c>
      <c r="C658" s="7" t="s">
        <v>7077</v>
      </c>
      <c r="D658">
        <f t="shared" si="10"/>
        <v>2</v>
      </c>
      <c r="I658" s="1" t="s">
        <v>1053</v>
      </c>
      <c r="J658" s="1" t="s">
        <v>328</v>
      </c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x14ac:dyDescent="0.25">
      <c r="A659" s="8" t="s">
        <v>10274</v>
      </c>
      <c r="C659" s="7" t="s">
        <v>10187</v>
      </c>
      <c r="D659">
        <f t="shared" si="10"/>
        <v>2</v>
      </c>
      <c r="I659" s="1" t="s">
        <v>934</v>
      </c>
      <c r="J659" s="1" t="s">
        <v>25</v>
      </c>
      <c r="K659" s="1" t="s">
        <v>923</v>
      </c>
      <c r="L659" s="1" t="s">
        <v>6421</v>
      </c>
      <c r="M659" s="1" t="s">
        <v>920</v>
      </c>
      <c r="N659" s="1" t="s">
        <v>328</v>
      </c>
      <c r="O659" s="1" t="s">
        <v>921</v>
      </c>
      <c r="P659" s="1" t="s">
        <v>918</v>
      </c>
      <c r="Q659" s="1" t="s">
        <v>935</v>
      </c>
      <c r="R659" s="1"/>
      <c r="S659" s="1"/>
      <c r="T659" s="1"/>
      <c r="U659" s="1"/>
      <c r="V659" s="1"/>
      <c r="W659" s="1"/>
      <c r="X659" s="1"/>
      <c r="Y659" s="1"/>
    </row>
    <row r="660" spans="1:25" x14ac:dyDescent="0.25">
      <c r="A660" s="8" t="s">
        <v>9105</v>
      </c>
      <c r="C660" s="7" t="s">
        <v>9398</v>
      </c>
      <c r="D660">
        <f t="shared" si="10"/>
        <v>2</v>
      </c>
      <c r="I660" s="1" t="s">
        <v>928</v>
      </c>
      <c r="J660" s="1" t="s">
        <v>983</v>
      </c>
      <c r="K660" s="1" t="s">
        <v>919</v>
      </c>
      <c r="L660" s="1" t="s">
        <v>1020</v>
      </c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x14ac:dyDescent="0.25">
      <c r="A661" s="7" t="s">
        <v>10267</v>
      </c>
      <c r="C661" s="7" t="s">
        <v>9083</v>
      </c>
      <c r="D661">
        <f t="shared" si="10"/>
        <v>2</v>
      </c>
      <c r="I661" s="1" t="s">
        <v>2476</v>
      </c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x14ac:dyDescent="0.25">
      <c r="A662" s="7" t="s">
        <v>5074</v>
      </c>
      <c r="C662" s="8" t="s">
        <v>9817</v>
      </c>
      <c r="D662">
        <f t="shared" si="10"/>
        <v>2</v>
      </c>
      <c r="I662" s="1" t="s">
        <v>50</v>
      </c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x14ac:dyDescent="0.25">
      <c r="A663" s="7" t="s">
        <v>5074</v>
      </c>
      <c r="C663" s="7" t="s">
        <v>482</v>
      </c>
      <c r="D663">
        <f t="shared" si="10"/>
        <v>2</v>
      </c>
      <c r="I663" s="1" t="s">
        <v>50</v>
      </c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x14ac:dyDescent="0.25">
      <c r="A664" s="8" t="s">
        <v>5074</v>
      </c>
      <c r="C664" s="7" t="s">
        <v>8908</v>
      </c>
      <c r="D664">
        <f t="shared" si="10"/>
        <v>2</v>
      </c>
      <c r="I664" s="1" t="s">
        <v>50</v>
      </c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x14ac:dyDescent="0.25">
      <c r="A665" s="8" t="s">
        <v>5074</v>
      </c>
      <c r="C665" s="7" t="s">
        <v>9082</v>
      </c>
      <c r="D665">
        <f t="shared" si="10"/>
        <v>2</v>
      </c>
      <c r="I665" s="1" t="s">
        <v>50</v>
      </c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x14ac:dyDescent="0.25">
      <c r="A666" s="8" t="s">
        <v>5074</v>
      </c>
      <c r="C666" s="7" t="s">
        <v>9921</v>
      </c>
      <c r="D666">
        <f t="shared" si="10"/>
        <v>2</v>
      </c>
      <c r="I666" s="1" t="s">
        <v>1066</v>
      </c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x14ac:dyDescent="0.25">
      <c r="A667" s="8" t="s">
        <v>9012</v>
      </c>
      <c r="C667" s="7" t="s">
        <v>8152</v>
      </c>
      <c r="D667">
        <f t="shared" si="10"/>
        <v>2</v>
      </c>
      <c r="I667" s="1" t="s">
        <v>10824</v>
      </c>
      <c r="J667" s="1" t="s">
        <v>2927</v>
      </c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x14ac:dyDescent="0.25">
      <c r="A668" s="8" t="s">
        <v>9012</v>
      </c>
      <c r="C668" s="7" t="s">
        <v>9803</v>
      </c>
      <c r="D668">
        <f t="shared" si="10"/>
        <v>2</v>
      </c>
      <c r="I668" s="1" t="s">
        <v>50</v>
      </c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x14ac:dyDescent="0.25">
      <c r="A669" s="8" t="s">
        <v>9012</v>
      </c>
      <c r="C669" s="7" t="s">
        <v>10223</v>
      </c>
      <c r="D669">
        <f t="shared" si="10"/>
        <v>2</v>
      </c>
      <c r="I669" s="1" t="s">
        <v>25</v>
      </c>
      <c r="J669" s="1" t="s">
        <v>1148</v>
      </c>
      <c r="K669" s="1" t="s">
        <v>997</v>
      </c>
      <c r="L669" s="1" t="s">
        <v>998</v>
      </c>
      <c r="M669" s="1" t="s">
        <v>920</v>
      </c>
      <c r="N669" s="1" t="s">
        <v>933</v>
      </c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x14ac:dyDescent="0.25">
      <c r="A670" s="8" t="s">
        <v>9012</v>
      </c>
      <c r="C670" s="7" t="s">
        <v>9680</v>
      </c>
      <c r="D670">
        <f t="shared" si="10"/>
        <v>2</v>
      </c>
      <c r="I670" s="1" t="s">
        <v>25</v>
      </c>
      <c r="J670" s="1" t="s">
        <v>923</v>
      </c>
      <c r="K670" s="1" t="s">
        <v>954</v>
      </c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x14ac:dyDescent="0.25">
      <c r="A671" s="8" t="s">
        <v>9535</v>
      </c>
      <c r="C671" s="8" t="s">
        <v>9324</v>
      </c>
      <c r="D671">
        <f t="shared" si="10"/>
        <v>2</v>
      </c>
      <c r="I671" s="1" t="s">
        <v>2927</v>
      </c>
      <c r="J671" s="1" t="s">
        <v>1052</v>
      </c>
      <c r="K671" s="1" t="s">
        <v>923</v>
      </c>
      <c r="L671" s="1" t="s">
        <v>1086</v>
      </c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x14ac:dyDescent="0.25">
      <c r="A672" s="7" t="s">
        <v>6773</v>
      </c>
      <c r="C672" s="8" t="s">
        <v>8842</v>
      </c>
      <c r="D672">
        <f t="shared" si="10"/>
        <v>2</v>
      </c>
      <c r="I672" s="1" t="s">
        <v>996</v>
      </c>
      <c r="J672" s="1" t="s">
        <v>997</v>
      </c>
      <c r="K672" s="1" t="s">
        <v>918</v>
      </c>
      <c r="L672" s="1" t="s">
        <v>927</v>
      </c>
      <c r="M672" s="1" t="s">
        <v>919</v>
      </c>
      <c r="N672" s="1" t="s">
        <v>936</v>
      </c>
      <c r="O672" s="1" t="s">
        <v>1037</v>
      </c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x14ac:dyDescent="0.25">
      <c r="A673" s="7" t="s">
        <v>6773</v>
      </c>
      <c r="C673" s="7" t="s">
        <v>9271</v>
      </c>
      <c r="D673">
        <f t="shared" si="10"/>
        <v>2</v>
      </c>
      <c r="I673" s="1" t="s">
        <v>50</v>
      </c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x14ac:dyDescent="0.25">
      <c r="A674" s="7" t="s">
        <v>6773</v>
      </c>
      <c r="C674" s="8" t="s">
        <v>9876</v>
      </c>
      <c r="D674">
        <f t="shared" si="10"/>
        <v>2</v>
      </c>
      <c r="I674" s="1" t="s">
        <v>2541</v>
      </c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x14ac:dyDescent="0.25">
      <c r="A675" s="7" t="s">
        <v>6773</v>
      </c>
      <c r="C675" s="7" t="s">
        <v>9684</v>
      </c>
      <c r="D675">
        <f t="shared" si="10"/>
        <v>2</v>
      </c>
      <c r="I675" s="1" t="s">
        <v>918</v>
      </c>
      <c r="J675" s="1" t="s">
        <v>919</v>
      </c>
      <c r="K675" s="1" t="s">
        <v>924</v>
      </c>
      <c r="L675" s="1" t="s">
        <v>967</v>
      </c>
      <c r="M675" s="1" t="s">
        <v>1050</v>
      </c>
      <c r="N675" s="1" t="s">
        <v>969</v>
      </c>
      <c r="O675" s="1" t="s">
        <v>970</v>
      </c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x14ac:dyDescent="0.25">
      <c r="A676" s="7" t="s">
        <v>6773</v>
      </c>
      <c r="C676" s="8" t="s">
        <v>10532</v>
      </c>
      <c r="D676">
        <f t="shared" si="10"/>
        <v>2</v>
      </c>
      <c r="I676" s="1" t="s">
        <v>1053</v>
      </c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x14ac:dyDescent="0.25">
      <c r="A677" s="7" t="s">
        <v>6773</v>
      </c>
      <c r="C677" s="7" t="s">
        <v>8658</v>
      </c>
      <c r="D677">
        <f t="shared" si="10"/>
        <v>2</v>
      </c>
      <c r="I677" s="1" t="s">
        <v>2927</v>
      </c>
      <c r="J677" s="1" t="s">
        <v>25</v>
      </c>
      <c r="K677" s="1" t="s">
        <v>923</v>
      </c>
      <c r="L677" s="1" t="s">
        <v>1053</v>
      </c>
      <c r="M677" s="1" t="s">
        <v>1086</v>
      </c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x14ac:dyDescent="0.25">
      <c r="A678" s="7" t="s">
        <v>6773</v>
      </c>
      <c r="C678" s="7" t="s">
        <v>9191</v>
      </c>
      <c r="D678">
        <f t="shared" si="10"/>
        <v>2</v>
      </c>
      <c r="I678" s="1" t="s">
        <v>10825</v>
      </c>
      <c r="J678" s="1" t="s">
        <v>10826</v>
      </c>
      <c r="K678" s="1" t="s">
        <v>955</v>
      </c>
      <c r="L678" s="1" t="s">
        <v>995</v>
      </c>
      <c r="M678" s="1" t="s">
        <v>1014</v>
      </c>
      <c r="N678" s="1" t="s">
        <v>10797</v>
      </c>
      <c r="O678" s="1" t="s">
        <v>958</v>
      </c>
      <c r="P678" s="1" t="s">
        <v>10738</v>
      </c>
      <c r="Q678" s="1" t="s">
        <v>977</v>
      </c>
      <c r="R678" s="1" t="s">
        <v>256</v>
      </c>
      <c r="S678" s="1" t="s">
        <v>1049</v>
      </c>
      <c r="T678" s="1"/>
      <c r="U678" s="1"/>
      <c r="V678" s="1"/>
      <c r="W678" s="1"/>
      <c r="X678" s="1"/>
      <c r="Y678" s="1"/>
    </row>
    <row r="679" spans="1:25" x14ac:dyDescent="0.25">
      <c r="A679" s="7" t="s">
        <v>6773</v>
      </c>
      <c r="C679" s="8" t="s">
        <v>10004</v>
      </c>
      <c r="D679">
        <f t="shared" si="10"/>
        <v>2</v>
      </c>
      <c r="I679" s="1" t="s">
        <v>964</v>
      </c>
      <c r="J679" s="1" t="s">
        <v>1109</v>
      </c>
      <c r="K679" s="1" t="s">
        <v>919</v>
      </c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x14ac:dyDescent="0.25">
      <c r="A680" s="7" t="s">
        <v>6773</v>
      </c>
      <c r="C680" s="7" t="s">
        <v>2270</v>
      </c>
      <c r="D680">
        <f t="shared" si="10"/>
        <v>2</v>
      </c>
      <c r="I680" s="1" t="s">
        <v>1001</v>
      </c>
      <c r="J680" s="1" t="s">
        <v>328</v>
      </c>
      <c r="K680" s="1" t="s">
        <v>2541</v>
      </c>
      <c r="L680" s="1" t="s">
        <v>10827</v>
      </c>
      <c r="M680" s="1" t="s">
        <v>84</v>
      </c>
      <c r="N680" s="1" t="s">
        <v>25</v>
      </c>
      <c r="O680" s="1" t="s">
        <v>920</v>
      </c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x14ac:dyDescent="0.25">
      <c r="A681" s="7" t="s">
        <v>6773</v>
      </c>
      <c r="C681" s="8" t="s">
        <v>9931</v>
      </c>
      <c r="D681">
        <f t="shared" si="10"/>
        <v>2</v>
      </c>
      <c r="I681" s="1" t="s">
        <v>996</v>
      </c>
      <c r="J681" s="1" t="s">
        <v>2541</v>
      </c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x14ac:dyDescent="0.25">
      <c r="A682" s="7" t="s">
        <v>6773</v>
      </c>
      <c r="C682" s="7" t="s">
        <v>9352</v>
      </c>
      <c r="D682">
        <f t="shared" si="10"/>
        <v>2</v>
      </c>
      <c r="I682" s="1" t="s">
        <v>927</v>
      </c>
      <c r="J682" s="1" t="s">
        <v>998</v>
      </c>
      <c r="K682" s="1" t="s">
        <v>992</v>
      </c>
      <c r="L682" s="1" t="s">
        <v>1086</v>
      </c>
      <c r="M682" s="1" t="s">
        <v>933</v>
      </c>
      <c r="N682" s="1" t="s">
        <v>993</v>
      </c>
      <c r="O682" s="1" t="s">
        <v>994</v>
      </c>
      <c r="P682" s="1" t="s">
        <v>25</v>
      </c>
      <c r="Q682" s="1" t="s">
        <v>997</v>
      </c>
      <c r="R682" s="1" t="s">
        <v>920</v>
      </c>
      <c r="S682" s="1"/>
      <c r="T682" s="1"/>
      <c r="U682" s="1"/>
      <c r="V682" s="1"/>
      <c r="W682" s="1"/>
      <c r="X682" s="1"/>
      <c r="Y682" s="1"/>
    </row>
    <row r="683" spans="1:25" x14ac:dyDescent="0.25">
      <c r="A683" s="7" t="s">
        <v>6773</v>
      </c>
      <c r="C683" s="8" t="s">
        <v>8903</v>
      </c>
      <c r="D683">
        <f t="shared" si="10"/>
        <v>2</v>
      </c>
      <c r="I683" s="1" t="s">
        <v>1001</v>
      </c>
      <c r="J683" s="1" t="s">
        <v>10697</v>
      </c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x14ac:dyDescent="0.25">
      <c r="A684" s="8" t="s">
        <v>9270</v>
      </c>
      <c r="C684" s="8" t="s">
        <v>9260</v>
      </c>
      <c r="D684">
        <f t="shared" si="10"/>
        <v>2</v>
      </c>
      <c r="I684" s="1" t="s">
        <v>996</v>
      </c>
      <c r="J684" s="1" t="s">
        <v>25</v>
      </c>
      <c r="K684" s="1" t="s">
        <v>997</v>
      </c>
      <c r="L684" s="1" t="s">
        <v>927</v>
      </c>
      <c r="M684" s="1" t="s">
        <v>998</v>
      </c>
      <c r="N684" s="1" t="s">
        <v>992</v>
      </c>
      <c r="O684" s="1" t="s">
        <v>933</v>
      </c>
      <c r="P684" s="1" t="s">
        <v>994</v>
      </c>
      <c r="Q684" s="1" t="s">
        <v>1001</v>
      </c>
      <c r="R684" s="1"/>
      <c r="S684" s="1"/>
      <c r="T684" s="1"/>
      <c r="U684" s="1"/>
      <c r="V684" s="1"/>
      <c r="W684" s="1"/>
      <c r="X684" s="1"/>
      <c r="Y684" s="1"/>
    </row>
    <row r="685" spans="1:25" x14ac:dyDescent="0.25">
      <c r="A685" s="8" t="s">
        <v>9270</v>
      </c>
      <c r="C685" s="8" t="s">
        <v>9001</v>
      </c>
      <c r="D685">
        <f t="shared" si="10"/>
        <v>2</v>
      </c>
      <c r="I685" s="1" t="s">
        <v>985</v>
      </c>
      <c r="J685" s="1" t="s">
        <v>924</v>
      </c>
      <c r="K685" s="1" t="s">
        <v>1099</v>
      </c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x14ac:dyDescent="0.25">
      <c r="A686" s="8" t="s">
        <v>9270</v>
      </c>
      <c r="C686" s="7" t="s">
        <v>10156</v>
      </c>
      <c r="D686">
        <f t="shared" si="10"/>
        <v>2</v>
      </c>
      <c r="I686" s="1" t="s">
        <v>25</v>
      </c>
      <c r="J686" s="1" t="s">
        <v>1086</v>
      </c>
      <c r="K686" s="1" t="s">
        <v>919</v>
      </c>
      <c r="L686" s="1" t="s">
        <v>920</v>
      </c>
      <c r="M686" s="1" t="s">
        <v>921</v>
      </c>
      <c r="N686" s="1" t="s">
        <v>1066</v>
      </c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x14ac:dyDescent="0.25">
      <c r="A687" s="8" t="s">
        <v>9270</v>
      </c>
      <c r="C687" s="8" t="s">
        <v>9836</v>
      </c>
      <c r="D687">
        <f t="shared" si="10"/>
        <v>2</v>
      </c>
      <c r="I687" s="1" t="s">
        <v>992</v>
      </c>
      <c r="J687" s="1" t="s">
        <v>933</v>
      </c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x14ac:dyDescent="0.25">
      <c r="A688" s="8" t="s">
        <v>9461</v>
      </c>
      <c r="C688" s="8" t="s">
        <v>10304</v>
      </c>
      <c r="D688">
        <f t="shared" si="10"/>
        <v>2</v>
      </c>
      <c r="I688" s="1" t="s">
        <v>2927</v>
      </c>
      <c r="J688" s="1" t="s">
        <v>1086</v>
      </c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x14ac:dyDescent="0.25">
      <c r="A689" s="7" t="s">
        <v>8938</v>
      </c>
      <c r="C689" s="7" t="s">
        <v>9645</v>
      </c>
      <c r="D689">
        <f t="shared" si="10"/>
        <v>2</v>
      </c>
      <c r="I689" s="1" t="s">
        <v>918</v>
      </c>
      <c r="J689" s="1" t="s">
        <v>932</v>
      </c>
      <c r="K689" s="1" t="s">
        <v>25</v>
      </c>
      <c r="L689" s="1" t="s">
        <v>923</v>
      </c>
      <c r="M689" s="1" t="s">
        <v>916</v>
      </c>
      <c r="N689" s="1" t="s">
        <v>920</v>
      </c>
      <c r="O689" s="1" t="s">
        <v>933</v>
      </c>
      <c r="P689" s="1" t="s">
        <v>921</v>
      </c>
      <c r="Q689" s="1" t="s">
        <v>1001</v>
      </c>
      <c r="R689" s="1" t="s">
        <v>927</v>
      </c>
      <c r="S689" s="1" t="s">
        <v>919</v>
      </c>
      <c r="T689" s="1" t="s">
        <v>936</v>
      </c>
      <c r="U689" s="1" t="s">
        <v>961</v>
      </c>
      <c r="V689" s="1"/>
      <c r="W689" s="1"/>
      <c r="X689" s="1"/>
      <c r="Y689" s="1"/>
    </row>
    <row r="690" spans="1:25" x14ac:dyDescent="0.25">
      <c r="A690" s="7" t="s">
        <v>8938</v>
      </c>
      <c r="C690" s="7" t="s">
        <v>5880</v>
      </c>
      <c r="D690">
        <f t="shared" si="10"/>
        <v>2</v>
      </c>
      <c r="I690" s="1" t="s">
        <v>983</v>
      </c>
      <c r="J690" s="1" t="s">
        <v>984</v>
      </c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x14ac:dyDescent="0.25">
      <c r="A691" s="7" t="s">
        <v>170</v>
      </c>
      <c r="C691" s="8" t="s">
        <v>9989</v>
      </c>
      <c r="D691">
        <f t="shared" si="10"/>
        <v>2</v>
      </c>
      <c r="I691" s="1" t="s">
        <v>983</v>
      </c>
      <c r="J691" s="1" t="s">
        <v>984</v>
      </c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x14ac:dyDescent="0.25">
      <c r="A692" s="7" t="s">
        <v>170</v>
      </c>
      <c r="C692" s="7" t="s">
        <v>9171</v>
      </c>
      <c r="D692">
        <f t="shared" si="10"/>
        <v>2</v>
      </c>
      <c r="I692" s="1" t="s">
        <v>983</v>
      </c>
      <c r="J692" s="1" t="s">
        <v>984</v>
      </c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x14ac:dyDescent="0.25">
      <c r="A693" s="7" t="s">
        <v>170</v>
      </c>
      <c r="C693" s="7" t="s">
        <v>8974</v>
      </c>
      <c r="D693">
        <f t="shared" si="10"/>
        <v>2</v>
      </c>
      <c r="I693" s="1" t="s">
        <v>983</v>
      </c>
      <c r="J693" s="1" t="s">
        <v>984</v>
      </c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x14ac:dyDescent="0.25">
      <c r="A694" s="7" t="s">
        <v>170</v>
      </c>
      <c r="C694" s="8" t="s">
        <v>9598</v>
      </c>
      <c r="D694">
        <f t="shared" si="10"/>
        <v>2</v>
      </c>
      <c r="I694" s="1" t="s">
        <v>983</v>
      </c>
      <c r="J694" s="1" t="s">
        <v>984</v>
      </c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x14ac:dyDescent="0.25">
      <c r="A695" s="7" t="s">
        <v>170</v>
      </c>
      <c r="C695" s="7" t="s">
        <v>10324</v>
      </c>
      <c r="D695">
        <f t="shared" si="10"/>
        <v>2</v>
      </c>
      <c r="I695" s="1" t="s">
        <v>983</v>
      </c>
      <c r="J695" s="1" t="s">
        <v>984</v>
      </c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x14ac:dyDescent="0.25">
      <c r="A696" s="7" t="s">
        <v>170</v>
      </c>
      <c r="C696" s="7" t="s">
        <v>10126</v>
      </c>
      <c r="D696">
        <f t="shared" si="10"/>
        <v>2</v>
      </c>
      <c r="I696" s="1" t="s">
        <v>918</v>
      </c>
      <c r="J696" s="1" t="s">
        <v>25</v>
      </c>
      <c r="K696" s="1" t="s">
        <v>927</v>
      </c>
      <c r="L696" s="1" t="s">
        <v>939</v>
      </c>
      <c r="M696" s="1" t="s">
        <v>928</v>
      </c>
      <c r="N696" s="1" t="s">
        <v>919</v>
      </c>
      <c r="O696" s="1" t="s">
        <v>929</v>
      </c>
      <c r="P696" s="1" t="s">
        <v>923</v>
      </c>
      <c r="Q696" s="1" t="s">
        <v>916</v>
      </c>
      <c r="R696" s="1" t="s">
        <v>1078</v>
      </c>
      <c r="S696" s="1" t="s">
        <v>980</v>
      </c>
      <c r="T696" s="1" t="s">
        <v>920</v>
      </c>
      <c r="U696" s="1" t="s">
        <v>921</v>
      </c>
      <c r="V696" s="1" t="s">
        <v>1034</v>
      </c>
      <c r="W696" s="1" t="s">
        <v>956</v>
      </c>
      <c r="X696" s="1"/>
      <c r="Y696" s="1"/>
    </row>
    <row r="697" spans="1:25" x14ac:dyDescent="0.25">
      <c r="A697" s="7" t="s">
        <v>170</v>
      </c>
      <c r="C697" s="7" t="s">
        <v>151</v>
      </c>
      <c r="D697">
        <f t="shared" si="10"/>
        <v>2</v>
      </c>
      <c r="I697" s="1" t="s">
        <v>918</v>
      </c>
      <c r="J697" s="1" t="s">
        <v>25</v>
      </c>
      <c r="K697" s="1" t="s">
        <v>923</v>
      </c>
      <c r="L697" s="1" t="s">
        <v>916</v>
      </c>
      <c r="M697" s="1" t="s">
        <v>919</v>
      </c>
      <c r="N697" s="1" t="s">
        <v>924</v>
      </c>
      <c r="O697" s="1" t="s">
        <v>974</v>
      </c>
      <c r="P697" s="1" t="s">
        <v>922</v>
      </c>
      <c r="Q697" s="1" t="s">
        <v>927</v>
      </c>
      <c r="R697" s="1" t="s">
        <v>939</v>
      </c>
      <c r="S697" s="1" t="s">
        <v>928</v>
      </c>
      <c r="T697" s="1" t="s">
        <v>929</v>
      </c>
      <c r="U697" s="1"/>
      <c r="V697" s="1"/>
      <c r="W697" s="1"/>
      <c r="X697" s="1"/>
      <c r="Y697" s="1"/>
    </row>
    <row r="698" spans="1:25" x14ac:dyDescent="0.25">
      <c r="A698" s="7" t="s">
        <v>170</v>
      </c>
      <c r="C698" s="7" t="s">
        <v>205</v>
      </c>
      <c r="D698">
        <f t="shared" si="10"/>
        <v>2</v>
      </c>
      <c r="I698" s="1" t="s">
        <v>918</v>
      </c>
      <c r="J698" s="1" t="s">
        <v>25</v>
      </c>
      <c r="K698" s="1" t="s">
        <v>923</v>
      </c>
      <c r="L698" s="1" t="s">
        <v>916</v>
      </c>
      <c r="M698" s="1" t="s">
        <v>919</v>
      </c>
      <c r="N698" s="1" t="s">
        <v>924</v>
      </c>
      <c r="O698" s="1" t="s">
        <v>974</v>
      </c>
      <c r="P698" s="1" t="s">
        <v>922</v>
      </c>
      <c r="Q698" s="1" t="s">
        <v>927</v>
      </c>
      <c r="R698" s="1" t="s">
        <v>939</v>
      </c>
      <c r="S698" s="1" t="s">
        <v>928</v>
      </c>
      <c r="T698" s="1" t="s">
        <v>929</v>
      </c>
      <c r="U698" s="1"/>
      <c r="V698" s="1"/>
      <c r="W698" s="1"/>
      <c r="X698" s="1"/>
      <c r="Y698" s="1"/>
    </row>
    <row r="699" spans="1:25" x14ac:dyDescent="0.25">
      <c r="A699" s="7" t="s">
        <v>170</v>
      </c>
      <c r="C699" s="7" t="s">
        <v>6381</v>
      </c>
      <c r="D699">
        <f t="shared" si="10"/>
        <v>2</v>
      </c>
      <c r="I699" s="1" t="s">
        <v>918</v>
      </c>
      <c r="J699" s="1" t="s">
        <v>25</v>
      </c>
      <c r="K699" s="1" t="s">
        <v>927</v>
      </c>
      <c r="L699" s="1" t="s">
        <v>939</v>
      </c>
      <c r="M699" s="1" t="s">
        <v>928</v>
      </c>
      <c r="N699" s="1" t="s">
        <v>919</v>
      </c>
      <c r="O699" s="1" t="s">
        <v>929</v>
      </c>
      <c r="P699" s="1" t="s">
        <v>10828</v>
      </c>
      <c r="Q699" s="1" t="s">
        <v>10733</v>
      </c>
      <c r="R699" s="1" t="s">
        <v>948</v>
      </c>
      <c r="S699" s="1" t="s">
        <v>923</v>
      </c>
      <c r="T699" s="1" t="s">
        <v>997</v>
      </c>
      <c r="U699" s="1" t="s">
        <v>10775</v>
      </c>
      <c r="V699" s="1"/>
      <c r="W699" s="1"/>
      <c r="X699" s="1"/>
      <c r="Y699" s="1"/>
    </row>
    <row r="700" spans="1:25" x14ac:dyDescent="0.25">
      <c r="A700" s="7" t="s">
        <v>170</v>
      </c>
      <c r="C700" s="8" t="s">
        <v>8889</v>
      </c>
      <c r="D700">
        <f t="shared" si="10"/>
        <v>2</v>
      </c>
      <c r="I700" s="1" t="s">
        <v>918</v>
      </c>
      <c r="J700" s="1" t="s">
        <v>25</v>
      </c>
      <c r="K700" s="1" t="s">
        <v>927</v>
      </c>
      <c r="L700" s="1" t="s">
        <v>939</v>
      </c>
      <c r="M700" s="1" t="s">
        <v>928</v>
      </c>
      <c r="N700" s="1" t="s">
        <v>919</v>
      </c>
      <c r="O700" s="1" t="s">
        <v>929</v>
      </c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x14ac:dyDescent="0.25">
      <c r="A701" s="7" t="s">
        <v>6817</v>
      </c>
      <c r="C701" s="8" t="s">
        <v>8998</v>
      </c>
      <c r="D701">
        <f t="shared" si="10"/>
        <v>2</v>
      </c>
      <c r="I701" s="1" t="s">
        <v>10829</v>
      </c>
      <c r="J701" s="1" t="s">
        <v>976</v>
      </c>
      <c r="K701" s="1" t="s">
        <v>1041</v>
      </c>
      <c r="L701" s="1" t="s">
        <v>1087</v>
      </c>
      <c r="M701" s="1" t="s">
        <v>10830</v>
      </c>
      <c r="N701" s="1" t="s">
        <v>999</v>
      </c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x14ac:dyDescent="0.25">
      <c r="A702" s="7" t="s">
        <v>6817</v>
      </c>
      <c r="C702" s="7" t="s">
        <v>5406</v>
      </c>
      <c r="D702">
        <f t="shared" si="10"/>
        <v>2</v>
      </c>
      <c r="I702" s="1" t="s">
        <v>50</v>
      </c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x14ac:dyDescent="0.25">
      <c r="A703" s="7" t="s">
        <v>6817</v>
      </c>
      <c r="C703" s="7" t="s">
        <v>9299</v>
      </c>
      <c r="D703">
        <f t="shared" si="10"/>
        <v>2</v>
      </c>
      <c r="I703" s="1" t="s">
        <v>948</v>
      </c>
      <c r="J703" s="1" t="s">
        <v>3439</v>
      </c>
      <c r="K703" s="1" t="s">
        <v>25</v>
      </c>
      <c r="L703" s="1" t="s">
        <v>923</v>
      </c>
      <c r="M703" s="1" t="s">
        <v>1053</v>
      </c>
      <c r="N703" s="1" t="s">
        <v>10814</v>
      </c>
      <c r="O703" s="1" t="s">
        <v>256</v>
      </c>
      <c r="P703" s="1" t="s">
        <v>10831</v>
      </c>
      <c r="Q703" s="1"/>
      <c r="R703" s="1"/>
      <c r="S703" s="1"/>
      <c r="T703" s="1"/>
      <c r="U703" s="1"/>
      <c r="V703" s="1"/>
      <c r="W703" s="1"/>
      <c r="X703" s="1"/>
      <c r="Y703" s="1"/>
    </row>
    <row r="704" spans="1:25" x14ac:dyDescent="0.25">
      <c r="A704" s="7" t="s">
        <v>6817</v>
      </c>
      <c r="C704" s="7" t="s">
        <v>9467</v>
      </c>
      <c r="D704">
        <f t="shared" si="10"/>
        <v>2</v>
      </c>
      <c r="I704" s="1" t="s">
        <v>2927</v>
      </c>
      <c r="J704" s="1" t="s">
        <v>998</v>
      </c>
      <c r="K704" s="1" t="s">
        <v>1086</v>
      </c>
      <c r="L704" s="1" t="s">
        <v>933</v>
      </c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x14ac:dyDescent="0.25">
      <c r="A705" s="7" t="s">
        <v>6817</v>
      </c>
      <c r="C705" s="7" t="s">
        <v>9023</v>
      </c>
      <c r="D705">
        <f t="shared" si="10"/>
        <v>2</v>
      </c>
      <c r="I705" s="1" t="s">
        <v>983</v>
      </c>
      <c r="J705" s="1" t="s">
        <v>984</v>
      </c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x14ac:dyDescent="0.25">
      <c r="A706" s="7" t="s">
        <v>6817</v>
      </c>
      <c r="C706" s="7" t="s">
        <v>5053</v>
      </c>
      <c r="D706">
        <f t="shared" ref="D706:D769" si="11">COUNTIF(A:A,C706)</f>
        <v>2</v>
      </c>
      <c r="I706" s="1" t="s">
        <v>4058</v>
      </c>
      <c r="J706" s="1" t="s">
        <v>10769</v>
      </c>
      <c r="K706" s="1" t="s">
        <v>10773</v>
      </c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x14ac:dyDescent="0.25">
      <c r="A707" s="7" t="s">
        <v>6817</v>
      </c>
      <c r="C707" s="7" t="s">
        <v>10246</v>
      </c>
      <c r="D707">
        <f t="shared" si="11"/>
        <v>2</v>
      </c>
      <c r="I707" s="1" t="s">
        <v>732</v>
      </c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x14ac:dyDescent="0.25">
      <c r="A708" s="7" t="s">
        <v>6817</v>
      </c>
      <c r="C708" s="7" t="s">
        <v>9046</v>
      </c>
      <c r="D708">
        <f t="shared" si="11"/>
        <v>2</v>
      </c>
      <c r="I708" s="1" t="s">
        <v>948</v>
      </c>
      <c r="J708" s="1" t="s">
        <v>3439</v>
      </c>
      <c r="K708" s="1" t="s">
        <v>25</v>
      </c>
      <c r="L708" s="1" t="s">
        <v>923</v>
      </c>
      <c r="M708" s="1" t="s">
        <v>1053</v>
      </c>
      <c r="N708" s="1" t="s">
        <v>10814</v>
      </c>
      <c r="O708" s="1" t="s">
        <v>256</v>
      </c>
      <c r="P708" s="1" t="s">
        <v>10831</v>
      </c>
      <c r="Q708" s="1" t="s">
        <v>732</v>
      </c>
      <c r="R708" s="1"/>
      <c r="S708" s="1"/>
      <c r="T708" s="1"/>
      <c r="U708" s="1"/>
      <c r="V708" s="1"/>
      <c r="W708" s="1"/>
      <c r="X708" s="1"/>
      <c r="Y708" s="1"/>
    </row>
    <row r="709" spans="1:25" x14ac:dyDescent="0.25">
      <c r="A709" s="7" t="s">
        <v>6817</v>
      </c>
      <c r="C709" s="8" t="s">
        <v>10116</v>
      </c>
      <c r="D709">
        <f t="shared" si="11"/>
        <v>2</v>
      </c>
      <c r="I709" s="1" t="s">
        <v>948</v>
      </c>
      <c r="J709" s="1" t="s">
        <v>3439</v>
      </c>
      <c r="K709" s="1" t="s">
        <v>25</v>
      </c>
      <c r="L709" s="1" t="s">
        <v>923</v>
      </c>
      <c r="M709" s="1" t="s">
        <v>1053</v>
      </c>
      <c r="N709" s="1" t="s">
        <v>10814</v>
      </c>
      <c r="O709" s="1" t="s">
        <v>256</v>
      </c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x14ac:dyDescent="0.25">
      <c r="A710" s="7" t="s">
        <v>6817</v>
      </c>
      <c r="C710" s="8" t="s">
        <v>9225</v>
      </c>
      <c r="D710">
        <f t="shared" si="11"/>
        <v>2</v>
      </c>
      <c r="I710" s="1" t="s">
        <v>948</v>
      </c>
      <c r="J710" s="1" t="s">
        <v>3439</v>
      </c>
      <c r="K710" s="1" t="s">
        <v>25</v>
      </c>
      <c r="L710" s="1" t="s">
        <v>923</v>
      </c>
      <c r="M710" s="1" t="s">
        <v>1053</v>
      </c>
      <c r="N710" s="1" t="s">
        <v>10814</v>
      </c>
      <c r="O710" s="1" t="s">
        <v>256</v>
      </c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x14ac:dyDescent="0.25">
      <c r="A711" s="7" t="s">
        <v>6817</v>
      </c>
      <c r="C711" s="7" t="s">
        <v>10059</v>
      </c>
      <c r="D711">
        <f t="shared" si="11"/>
        <v>2</v>
      </c>
      <c r="I711" s="1" t="s">
        <v>1140</v>
      </c>
      <c r="J711" s="1" t="s">
        <v>761</v>
      </c>
      <c r="K711" s="1" t="s">
        <v>837</v>
      </c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x14ac:dyDescent="0.25">
      <c r="A712" s="7" t="s">
        <v>6817</v>
      </c>
      <c r="C712" s="7" t="s">
        <v>9742</v>
      </c>
      <c r="D712">
        <f t="shared" si="11"/>
        <v>2</v>
      </c>
      <c r="I712" s="1" t="s">
        <v>931</v>
      </c>
      <c r="J712" s="1" t="s">
        <v>10832</v>
      </c>
      <c r="K712" s="1" t="s">
        <v>25</v>
      </c>
      <c r="L712" s="1" t="s">
        <v>923</v>
      </c>
      <c r="M712" s="1" t="s">
        <v>916</v>
      </c>
      <c r="N712" s="1" t="s">
        <v>998</v>
      </c>
      <c r="O712" s="1" t="s">
        <v>933</v>
      </c>
      <c r="P712" s="1" t="s">
        <v>994</v>
      </c>
      <c r="Q712" s="1"/>
      <c r="R712" s="1"/>
      <c r="S712" s="1"/>
      <c r="T712" s="1"/>
      <c r="U712" s="1"/>
      <c r="V712" s="1"/>
      <c r="W712" s="1"/>
      <c r="X712" s="1"/>
      <c r="Y712" s="1"/>
    </row>
    <row r="713" spans="1:25" x14ac:dyDescent="0.25">
      <c r="A713" s="8" t="s">
        <v>6817</v>
      </c>
      <c r="C713" s="8" t="s">
        <v>8916</v>
      </c>
      <c r="D713">
        <f t="shared" si="11"/>
        <v>2</v>
      </c>
      <c r="I713" s="1" t="s">
        <v>25</v>
      </c>
      <c r="J713" s="1" t="s">
        <v>927</v>
      </c>
      <c r="K713" s="1" t="s">
        <v>998</v>
      </c>
      <c r="L713" s="1" t="s">
        <v>1086</v>
      </c>
      <c r="M713" s="1" t="s">
        <v>920</v>
      </c>
      <c r="N713" s="1" t="s">
        <v>933</v>
      </c>
      <c r="O713" s="1" t="s">
        <v>921</v>
      </c>
      <c r="P713" s="1" t="s">
        <v>1019</v>
      </c>
      <c r="Q713" s="1" t="s">
        <v>983</v>
      </c>
      <c r="R713" s="1" t="s">
        <v>10833</v>
      </c>
      <c r="S713" s="1" t="s">
        <v>10834</v>
      </c>
      <c r="T713" s="1" t="s">
        <v>10835</v>
      </c>
      <c r="U713" s="1" t="s">
        <v>1020</v>
      </c>
      <c r="V713" s="1" t="s">
        <v>984</v>
      </c>
      <c r="W713" s="1" t="s">
        <v>10836</v>
      </c>
      <c r="X713" s="1"/>
      <c r="Y713" s="1"/>
    </row>
    <row r="714" spans="1:25" x14ac:dyDescent="0.25">
      <c r="A714" s="8" t="s">
        <v>6817</v>
      </c>
      <c r="C714" s="7" t="s">
        <v>9381</v>
      </c>
      <c r="D714">
        <f t="shared" si="11"/>
        <v>2</v>
      </c>
      <c r="I714" s="1" t="s">
        <v>996</v>
      </c>
      <c r="J714" s="1" t="s">
        <v>2541</v>
      </c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x14ac:dyDescent="0.25">
      <c r="A715" s="8" t="s">
        <v>6817</v>
      </c>
      <c r="C715" s="8" t="s">
        <v>10402</v>
      </c>
      <c r="D715">
        <f t="shared" si="11"/>
        <v>2</v>
      </c>
      <c r="I715" s="1" t="s">
        <v>25</v>
      </c>
      <c r="J715" s="1" t="s">
        <v>927</v>
      </c>
      <c r="K715" s="1" t="s">
        <v>10837</v>
      </c>
      <c r="L715" s="1" t="s">
        <v>981</v>
      </c>
      <c r="M715" s="1" t="s">
        <v>994</v>
      </c>
      <c r="N715" s="1" t="s">
        <v>10825</v>
      </c>
      <c r="O715" s="1" t="s">
        <v>1071</v>
      </c>
      <c r="P715" s="1" t="s">
        <v>10797</v>
      </c>
      <c r="Q715" s="1" t="s">
        <v>1075</v>
      </c>
      <c r="R715" s="1" t="s">
        <v>10838</v>
      </c>
      <c r="S715" s="1" t="s">
        <v>10839</v>
      </c>
      <c r="T715" s="1" t="s">
        <v>10840</v>
      </c>
      <c r="U715" s="1"/>
      <c r="V715" s="1"/>
      <c r="W715" s="1"/>
      <c r="X715" s="1"/>
      <c r="Y715" s="1"/>
    </row>
    <row r="716" spans="1:25" x14ac:dyDescent="0.25">
      <c r="A716" s="8" t="s">
        <v>6817</v>
      </c>
      <c r="C716" s="7" t="s">
        <v>9095</v>
      </c>
      <c r="D716">
        <f t="shared" si="11"/>
        <v>2</v>
      </c>
      <c r="I716" s="1" t="s">
        <v>25</v>
      </c>
      <c r="J716" s="1" t="s">
        <v>1053</v>
      </c>
      <c r="K716" s="1" t="s">
        <v>256</v>
      </c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x14ac:dyDescent="0.25">
      <c r="A717" s="8" t="s">
        <v>6817</v>
      </c>
      <c r="C717" s="7" t="s">
        <v>4286</v>
      </c>
      <c r="D717">
        <f t="shared" si="11"/>
        <v>2</v>
      </c>
      <c r="I717" s="1" t="s">
        <v>1001</v>
      </c>
      <c r="J717" s="1" t="s">
        <v>918</v>
      </c>
      <c r="K717" s="1" t="s">
        <v>25</v>
      </c>
      <c r="L717" s="1" t="s">
        <v>923</v>
      </c>
      <c r="M717" s="1" t="s">
        <v>927</v>
      </c>
      <c r="N717" s="1" t="s">
        <v>919</v>
      </c>
      <c r="O717" s="1" t="s">
        <v>920</v>
      </c>
      <c r="P717" s="1" t="s">
        <v>921</v>
      </c>
      <c r="Q717" s="1" t="s">
        <v>10815</v>
      </c>
      <c r="R717" s="1" t="s">
        <v>981</v>
      </c>
      <c r="S717" s="1" t="s">
        <v>1019</v>
      </c>
      <c r="T717" s="1" t="s">
        <v>983</v>
      </c>
      <c r="U717" s="1" t="s">
        <v>1020</v>
      </c>
      <c r="V717" s="1"/>
      <c r="W717" s="1"/>
      <c r="X717" s="1"/>
      <c r="Y717" s="1"/>
    </row>
    <row r="718" spans="1:25" x14ac:dyDescent="0.25">
      <c r="A718" s="8" t="s">
        <v>6817</v>
      </c>
      <c r="C718" s="7" t="s">
        <v>327</v>
      </c>
      <c r="D718">
        <f t="shared" si="11"/>
        <v>2</v>
      </c>
      <c r="I718" s="1" t="s">
        <v>1001</v>
      </c>
      <c r="J718" s="1" t="s">
        <v>927</v>
      </c>
      <c r="K718" s="1" t="s">
        <v>992</v>
      </c>
      <c r="L718" s="1" t="s">
        <v>981</v>
      </c>
      <c r="M718" s="1" t="s">
        <v>993</v>
      </c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x14ac:dyDescent="0.25">
      <c r="A719" s="8" t="s">
        <v>9806</v>
      </c>
      <c r="C719" s="7" t="s">
        <v>6720</v>
      </c>
      <c r="D719">
        <f t="shared" si="11"/>
        <v>2</v>
      </c>
      <c r="I719" s="1" t="s">
        <v>1001</v>
      </c>
      <c r="J719" s="1" t="s">
        <v>328</v>
      </c>
      <c r="K719" s="1" t="s">
        <v>2541</v>
      </c>
      <c r="L719" s="1" t="s">
        <v>920</v>
      </c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x14ac:dyDescent="0.25">
      <c r="A720" s="8" t="s">
        <v>9658</v>
      </c>
      <c r="C720" s="8" t="s">
        <v>9457</v>
      </c>
      <c r="D720">
        <f t="shared" si="11"/>
        <v>2</v>
      </c>
      <c r="I720" s="1" t="s">
        <v>996</v>
      </c>
      <c r="J720" s="1" t="s">
        <v>25</v>
      </c>
      <c r="K720" s="1" t="s">
        <v>997</v>
      </c>
      <c r="L720" s="1" t="s">
        <v>927</v>
      </c>
      <c r="M720" s="1" t="s">
        <v>998</v>
      </c>
      <c r="N720" s="1" t="s">
        <v>933</v>
      </c>
      <c r="O720" s="1" t="s">
        <v>993</v>
      </c>
      <c r="P720" s="1" t="s">
        <v>994</v>
      </c>
      <c r="Q720" s="1" t="s">
        <v>10782</v>
      </c>
      <c r="R720" s="1"/>
      <c r="S720" s="1"/>
      <c r="T720" s="1"/>
      <c r="U720" s="1"/>
      <c r="V720" s="1"/>
      <c r="W720" s="1"/>
      <c r="X720" s="1"/>
      <c r="Y720" s="1"/>
    </row>
    <row r="721" spans="1:25" x14ac:dyDescent="0.25">
      <c r="A721" s="8" t="s">
        <v>9379</v>
      </c>
      <c r="C721" s="7" t="s">
        <v>8878</v>
      </c>
      <c r="D721">
        <f t="shared" si="11"/>
        <v>2</v>
      </c>
      <c r="I721" s="1" t="s">
        <v>1001</v>
      </c>
      <c r="J721" s="1" t="s">
        <v>927</v>
      </c>
      <c r="K721" s="1" t="s">
        <v>919</v>
      </c>
      <c r="L721" s="1" t="s">
        <v>10841</v>
      </c>
      <c r="M721" s="1" t="s">
        <v>948</v>
      </c>
      <c r="N721" s="1" t="s">
        <v>298</v>
      </c>
      <c r="O721" s="1" t="s">
        <v>1149</v>
      </c>
      <c r="P721" s="1" t="s">
        <v>25</v>
      </c>
      <c r="Q721" s="1" t="s">
        <v>923</v>
      </c>
      <c r="R721" s="1" t="s">
        <v>997</v>
      </c>
      <c r="S721" s="1" t="s">
        <v>954</v>
      </c>
      <c r="T721" s="1" t="s">
        <v>994</v>
      </c>
      <c r="U721" s="1"/>
      <c r="V721" s="1"/>
      <c r="W721" s="1"/>
      <c r="X721" s="1"/>
      <c r="Y721" s="1"/>
    </row>
    <row r="722" spans="1:25" x14ac:dyDescent="0.25">
      <c r="A722" s="8" t="s">
        <v>9379</v>
      </c>
      <c r="C722" s="7" t="s">
        <v>10203</v>
      </c>
      <c r="D722">
        <f t="shared" si="11"/>
        <v>2</v>
      </c>
      <c r="I722" s="1" t="s">
        <v>923</v>
      </c>
      <c r="J722" s="1" t="s">
        <v>1001</v>
      </c>
      <c r="K722" s="1" t="s">
        <v>927</v>
      </c>
      <c r="L722" s="1" t="s">
        <v>919</v>
      </c>
      <c r="M722" s="1" t="s">
        <v>961</v>
      </c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x14ac:dyDescent="0.25">
      <c r="A723" s="7" t="s">
        <v>8884</v>
      </c>
      <c r="C723" s="7" t="s">
        <v>3530</v>
      </c>
      <c r="D723">
        <f t="shared" si="11"/>
        <v>2</v>
      </c>
      <c r="I723" s="1" t="s">
        <v>50</v>
      </c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x14ac:dyDescent="0.25">
      <c r="A724" s="8" t="s">
        <v>8884</v>
      </c>
      <c r="C724" s="8" t="s">
        <v>9834</v>
      </c>
      <c r="D724">
        <f t="shared" si="11"/>
        <v>2</v>
      </c>
      <c r="I724" s="1" t="s">
        <v>50</v>
      </c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x14ac:dyDescent="0.25">
      <c r="A725" s="8" t="s">
        <v>8884</v>
      </c>
      <c r="C725" s="7" t="s">
        <v>9195</v>
      </c>
      <c r="D725">
        <f t="shared" si="11"/>
        <v>2</v>
      </c>
      <c r="I725" s="1" t="s">
        <v>3248</v>
      </c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x14ac:dyDescent="0.25">
      <c r="A726" s="8" t="s">
        <v>8884</v>
      </c>
      <c r="C726" s="7" t="s">
        <v>9373</v>
      </c>
      <c r="D726">
        <f t="shared" si="11"/>
        <v>2</v>
      </c>
      <c r="I726" s="1" t="s">
        <v>918</v>
      </c>
      <c r="J726" s="1" t="s">
        <v>919</v>
      </c>
      <c r="K726" s="1" t="s">
        <v>936</v>
      </c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x14ac:dyDescent="0.25">
      <c r="A727" s="8" t="s">
        <v>8884</v>
      </c>
      <c r="C727" s="8" t="s">
        <v>9078</v>
      </c>
      <c r="D727">
        <f t="shared" si="11"/>
        <v>2</v>
      </c>
      <c r="I727" s="1" t="s">
        <v>979</v>
      </c>
      <c r="J727" s="1" t="s">
        <v>980</v>
      </c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x14ac:dyDescent="0.25">
      <c r="A728" s="7" t="s">
        <v>731</v>
      </c>
      <c r="C728" s="8" t="s">
        <v>10079</v>
      </c>
      <c r="D728">
        <f t="shared" si="11"/>
        <v>2</v>
      </c>
      <c r="I728" s="1" t="s">
        <v>979</v>
      </c>
      <c r="J728" s="1" t="s">
        <v>980</v>
      </c>
      <c r="K728" s="1" t="s">
        <v>1066</v>
      </c>
      <c r="L728" s="1" t="s">
        <v>90</v>
      </c>
      <c r="M728" s="1" t="s">
        <v>927</v>
      </c>
      <c r="N728" s="1" t="s">
        <v>939</v>
      </c>
      <c r="O728" s="1" t="s">
        <v>983</v>
      </c>
      <c r="P728" s="1" t="s">
        <v>993</v>
      </c>
      <c r="Q728" s="1"/>
      <c r="R728" s="1"/>
      <c r="S728" s="1"/>
      <c r="T728" s="1"/>
      <c r="U728" s="1"/>
      <c r="V728" s="1"/>
      <c r="W728" s="1"/>
      <c r="X728" s="1"/>
      <c r="Y728" s="1"/>
    </row>
    <row r="729" spans="1:25" x14ac:dyDescent="0.25">
      <c r="A729" s="8" t="s">
        <v>731</v>
      </c>
      <c r="C729" s="8" t="s">
        <v>8926</v>
      </c>
      <c r="D729">
        <f t="shared" si="11"/>
        <v>2</v>
      </c>
      <c r="I729" s="1" t="s">
        <v>979</v>
      </c>
      <c r="J729" s="1" t="s">
        <v>980</v>
      </c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x14ac:dyDescent="0.25">
      <c r="A730" s="7" t="s">
        <v>8936</v>
      </c>
      <c r="C730" s="7" t="s">
        <v>9527</v>
      </c>
      <c r="D730">
        <f t="shared" si="11"/>
        <v>2</v>
      </c>
      <c r="I730" s="1" t="s">
        <v>2927</v>
      </c>
      <c r="J730" s="1" t="s">
        <v>1051</v>
      </c>
      <c r="K730" s="1" t="s">
        <v>25</v>
      </c>
      <c r="L730" s="1" t="s">
        <v>1053</v>
      </c>
      <c r="M730" s="1" t="s">
        <v>1086</v>
      </c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x14ac:dyDescent="0.25">
      <c r="A731" s="8" t="s">
        <v>8936</v>
      </c>
      <c r="C731" s="7" t="s">
        <v>5646</v>
      </c>
      <c r="D731">
        <f t="shared" si="11"/>
        <v>2</v>
      </c>
      <c r="I731" s="1" t="s">
        <v>918</v>
      </c>
      <c r="J731" s="1" t="s">
        <v>25</v>
      </c>
      <c r="K731" s="1" t="s">
        <v>919</v>
      </c>
      <c r="L731" s="1" t="s">
        <v>920</v>
      </c>
      <c r="M731" s="1" t="s">
        <v>924</v>
      </c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x14ac:dyDescent="0.25">
      <c r="A732" s="7" t="s">
        <v>2720</v>
      </c>
      <c r="C732" s="7" t="s">
        <v>5561</v>
      </c>
      <c r="D732">
        <f t="shared" si="11"/>
        <v>2</v>
      </c>
      <c r="I732" s="1" t="s">
        <v>918</v>
      </c>
      <c r="J732" s="1" t="s">
        <v>25</v>
      </c>
      <c r="K732" s="1" t="s">
        <v>919</v>
      </c>
      <c r="L732" s="1" t="s">
        <v>920</v>
      </c>
      <c r="M732" s="1" t="s">
        <v>924</v>
      </c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x14ac:dyDescent="0.25">
      <c r="A733" s="7" t="s">
        <v>2720</v>
      </c>
      <c r="C733" s="8" t="s">
        <v>10092</v>
      </c>
      <c r="D733">
        <f t="shared" si="11"/>
        <v>2</v>
      </c>
      <c r="I733" s="1" t="s">
        <v>918</v>
      </c>
      <c r="J733" s="1" t="s">
        <v>25</v>
      </c>
      <c r="K733" s="1" t="s">
        <v>919</v>
      </c>
      <c r="L733" s="1" t="s">
        <v>920</v>
      </c>
      <c r="M733" s="1" t="s">
        <v>924</v>
      </c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x14ac:dyDescent="0.25">
      <c r="A734" s="7" t="s">
        <v>825</v>
      </c>
      <c r="C734" s="8" t="s">
        <v>9629</v>
      </c>
      <c r="D734">
        <f t="shared" si="11"/>
        <v>2</v>
      </c>
      <c r="I734" s="1" t="s">
        <v>2927</v>
      </c>
      <c r="J734" s="1" t="s">
        <v>933</v>
      </c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x14ac:dyDescent="0.25">
      <c r="A735" s="8" t="s">
        <v>10443</v>
      </c>
      <c r="C735" s="8" t="s">
        <v>10188</v>
      </c>
      <c r="D735">
        <f t="shared" si="11"/>
        <v>2</v>
      </c>
      <c r="I735" s="1" t="s">
        <v>1053</v>
      </c>
      <c r="J735" s="1" t="s">
        <v>1066</v>
      </c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x14ac:dyDescent="0.25">
      <c r="A736" s="8" t="s">
        <v>10295</v>
      </c>
      <c r="C736" s="8" t="s">
        <v>10551</v>
      </c>
      <c r="D736">
        <f t="shared" si="11"/>
        <v>2</v>
      </c>
      <c r="I736" s="1" t="s">
        <v>50</v>
      </c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x14ac:dyDescent="0.25">
      <c r="A737" s="7" t="s">
        <v>3537</v>
      </c>
      <c r="C737" s="8" t="s">
        <v>10461</v>
      </c>
      <c r="D737">
        <f t="shared" si="11"/>
        <v>2</v>
      </c>
      <c r="I737" s="1" t="s">
        <v>996</v>
      </c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x14ac:dyDescent="0.25">
      <c r="A738" s="7" t="s">
        <v>3537</v>
      </c>
      <c r="C738" s="7" t="s">
        <v>8830</v>
      </c>
      <c r="D738">
        <f t="shared" si="11"/>
        <v>2</v>
      </c>
      <c r="I738" s="1" t="s">
        <v>2927</v>
      </c>
      <c r="J738" s="1" t="s">
        <v>1069</v>
      </c>
      <c r="K738" s="1" t="s">
        <v>25</v>
      </c>
      <c r="L738" s="1" t="s">
        <v>923</v>
      </c>
      <c r="M738" s="1" t="s">
        <v>998</v>
      </c>
      <c r="N738" s="1" t="s">
        <v>1053</v>
      </c>
      <c r="O738" s="1" t="s">
        <v>1086</v>
      </c>
      <c r="P738" s="1" t="s">
        <v>933</v>
      </c>
      <c r="Q738" s="1" t="s">
        <v>929</v>
      </c>
      <c r="R738" s="1"/>
      <c r="S738" s="1"/>
      <c r="T738" s="1"/>
      <c r="U738" s="1"/>
      <c r="V738" s="1"/>
      <c r="W738" s="1"/>
      <c r="X738" s="1"/>
      <c r="Y738" s="1"/>
    </row>
    <row r="739" spans="1:25" x14ac:dyDescent="0.25">
      <c r="A739" s="7" t="s">
        <v>6821</v>
      </c>
      <c r="C739" s="7" t="s">
        <v>9963</v>
      </c>
      <c r="D739">
        <f t="shared" si="11"/>
        <v>2</v>
      </c>
      <c r="I739" s="1" t="s">
        <v>998</v>
      </c>
      <c r="J739" s="1" t="s">
        <v>1086</v>
      </c>
      <c r="K739" s="1" t="s">
        <v>933</v>
      </c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x14ac:dyDescent="0.25">
      <c r="A740" s="7" t="s">
        <v>6821</v>
      </c>
      <c r="C740" s="7" t="s">
        <v>115</v>
      </c>
      <c r="D740">
        <f t="shared" si="11"/>
        <v>2</v>
      </c>
      <c r="I740" s="1" t="s">
        <v>954</v>
      </c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x14ac:dyDescent="0.25">
      <c r="A741" s="7" t="s">
        <v>6821</v>
      </c>
      <c r="C741" s="7" t="s">
        <v>8948</v>
      </c>
      <c r="D741">
        <f t="shared" si="11"/>
        <v>2</v>
      </c>
      <c r="I741" s="1" t="s">
        <v>994</v>
      </c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x14ac:dyDescent="0.25">
      <c r="A742" s="7" t="s">
        <v>9200</v>
      </c>
      <c r="C742" s="7" t="s">
        <v>10131</v>
      </c>
      <c r="D742">
        <f t="shared" si="11"/>
        <v>2</v>
      </c>
      <c r="I742" s="1" t="s">
        <v>750</v>
      </c>
      <c r="J742" s="1" t="s">
        <v>1129</v>
      </c>
      <c r="K742" s="1" t="s">
        <v>761</v>
      </c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x14ac:dyDescent="0.25">
      <c r="A743" s="8" t="s">
        <v>10073</v>
      </c>
      <c r="C743" s="7" t="s">
        <v>9953</v>
      </c>
      <c r="D743">
        <f t="shared" si="11"/>
        <v>2</v>
      </c>
      <c r="I743" s="1" t="s">
        <v>998</v>
      </c>
      <c r="J743" s="1" t="s">
        <v>1086</v>
      </c>
      <c r="K743" s="1" t="s">
        <v>933</v>
      </c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x14ac:dyDescent="0.25">
      <c r="A744" s="7" t="s">
        <v>280</v>
      </c>
      <c r="C744" s="8" t="s">
        <v>9693</v>
      </c>
      <c r="D744">
        <f t="shared" si="11"/>
        <v>2</v>
      </c>
      <c r="I744" s="1" t="s">
        <v>998</v>
      </c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x14ac:dyDescent="0.25">
      <c r="A745" s="7" t="s">
        <v>9244</v>
      </c>
      <c r="C745" s="8" t="s">
        <v>9377</v>
      </c>
      <c r="D745">
        <f t="shared" si="11"/>
        <v>2</v>
      </c>
      <c r="I745" s="1" t="s">
        <v>256</v>
      </c>
      <c r="J745" s="1" t="s">
        <v>1013</v>
      </c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x14ac:dyDescent="0.25">
      <c r="A746" s="7" t="s">
        <v>9244</v>
      </c>
      <c r="C746" s="7" t="s">
        <v>5172</v>
      </c>
      <c r="D746">
        <f t="shared" si="11"/>
        <v>2</v>
      </c>
      <c r="I746" s="1" t="s">
        <v>256</v>
      </c>
      <c r="J746" s="1" t="s">
        <v>1013</v>
      </c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x14ac:dyDescent="0.25">
      <c r="A747" s="7" t="s">
        <v>9244</v>
      </c>
      <c r="C747" s="8" t="s">
        <v>9654</v>
      </c>
      <c r="D747">
        <f t="shared" si="11"/>
        <v>2</v>
      </c>
      <c r="I747" s="1" t="s">
        <v>256</v>
      </c>
      <c r="J747" s="1" t="s">
        <v>10842</v>
      </c>
      <c r="K747" s="1" t="s">
        <v>10843</v>
      </c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x14ac:dyDescent="0.25">
      <c r="A748" s="7" t="s">
        <v>9244</v>
      </c>
      <c r="C748" s="7" t="s">
        <v>1648</v>
      </c>
      <c r="D748">
        <f t="shared" si="11"/>
        <v>2</v>
      </c>
      <c r="I748" s="1" t="s">
        <v>256</v>
      </c>
      <c r="J748" s="1" t="s">
        <v>10837</v>
      </c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x14ac:dyDescent="0.25">
      <c r="A749" s="8" t="s">
        <v>9244</v>
      </c>
      <c r="C749" s="7" t="s">
        <v>8228</v>
      </c>
      <c r="D749">
        <f t="shared" si="11"/>
        <v>2</v>
      </c>
      <c r="I749" s="1" t="s">
        <v>256</v>
      </c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x14ac:dyDescent="0.25">
      <c r="A750" s="7" t="s">
        <v>9476</v>
      </c>
      <c r="C750" s="7" t="s">
        <v>4964</v>
      </c>
      <c r="D750">
        <f t="shared" si="11"/>
        <v>2</v>
      </c>
      <c r="I750" s="1" t="s">
        <v>986</v>
      </c>
      <c r="J750" s="1" t="s">
        <v>919</v>
      </c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x14ac:dyDescent="0.25">
      <c r="A751" s="8" t="s">
        <v>10206</v>
      </c>
      <c r="C751" s="8" t="s">
        <v>10174</v>
      </c>
      <c r="D751">
        <f t="shared" si="11"/>
        <v>2</v>
      </c>
      <c r="I751" s="1" t="s">
        <v>986</v>
      </c>
      <c r="J751" s="1" t="s">
        <v>919</v>
      </c>
      <c r="K751" s="1" t="s">
        <v>1082</v>
      </c>
      <c r="L751" s="1" t="s">
        <v>1083</v>
      </c>
      <c r="M751" s="1" t="s">
        <v>1014</v>
      </c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x14ac:dyDescent="0.25">
      <c r="A752" s="8" t="s">
        <v>10406</v>
      </c>
      <c r="C752" s="7" t="s">
        <v>3913</v>
      </c>
      <c r="D752">
        <f t="shared" si="11"/>
        <v>2</v>
      </c>
      <c r="I752" s="1" t="s">
        <v>10844</v>
      </c>
      <c r="J752" s="1" t="s">
        <v>25</v>
      </c>
      <c r="K752" s="1" t="s">
        <v>997</v>
      </c>
      <c r="L752" s="1" t="s">
        <v>927</v>
      </c>
      <c r="M752" s="1" t="s">
        <v>998</v>
      </c>
      <c r="N752" s="1" t="s">
        <v>920</v>
      </c>
      <c r="O752" s="1" t="s">
        <v>933</v>
      </c>
      <c r="P752" s="1" t="s">
        <v>994</v>
      </c>
      <c r="Q752" s="1"/>
      <c r="R752" s="1"/>
      <c r="S752" s="1"/>
      <c r="T752" s="1"/>
      <c r="U752" s="1"/>
      <c r="V752" s="1"/>
      <c r="W752" s="1"/>
      <c r="X752" s="1"/>
      <c r="Y752" s="1"/>
    </row>
    <row r="753" spans="1:25" x14ac:dyDescent="0.25">
      <c r="A753" s="7" t="s">
        <v>9919</v>
      </c>
      <c r="C753" s="7" t="s">
        <v>9778</v>
      </c>
      <c r="D753">
        <f t="shared" si="11"/>
        <v>2</v>
      </c>
      <c r="I753" s="1" t="s">
        <v>256</v>
      </c>
      <c r="J753" s="1" t="s">
        <v>1049</v>
      </c>
      <c r="K753" s="1" t="s">
        <v>10833</v>
      </c>
      <c r="L753" s="1" t="s">
        <v>10845</v>
      </c>
      <c r="M753" s="1" t="s">
        <v>10835</v>
      </c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x14ac:dyDescent="0.25">
      <c r="A754" s="8" t="s">
        <v>8960</v>
      </c>
      <c r="C754" s="7" t="s">
        <v>8638</v>
      </c>
      <c r="D754">
        <f t="shared" si="11"/>
        <v>2</v>
      </c>
      <c r="I754" s="1" t="s">
        <v>983</v>
      </c>
      <c r="J754" s="1" t="s">
        <v>984</v>
      </c>
      <c r="K754" s="1" t="s">
        <v>955</v>
      </c>
      <c r="L754" s="1" t="s">
        <v>1014</v>
      </c>
      <c r="M754" s="1" t="s">
        <v>10797</v>
      </c>
      <c r="N754" s="1" t="s">
        <v>256</v>
      </c>
      <c r="O754" s="1" t="s">
        <v>1049</v>
      </c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x14ac:dyDescent="0.25">
      <c r="A755" s="7" t="s">
        <v>9571</v>
      </c>
      <c r="C755" s="7" t="s">
        <v>9207</v>
      </c>
      <c r="D755">
        <f t="shared" si="11"/>
        <v>2</v>
      </c>
      <c r="I755" s="1" t="s">
        <v>50</v>
      </c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x14ac:dyDescent="0.25">
      <c r="A756" s="7" t="s">
        <v>3128</v>
      </c>
      <c r="C756" s="8" t="s">
        <v>10439</v>
      </c>
      <c r="D756">
        <f t="shared" si="11"/>
        <v>2</v>
      </c>
      <c r="I756" s="1" t="s">
        <v>10723</v>
      </c>
      <c r="J756" s="1" t="s">
        <v>10724</v>
      </c>
      <c r="K756" s="1" t="s">
        <v>1058</v>
      </c>
      <c r="L756" s="1" t="s">
        <v>10725</v>
      </c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x14ac:dyDescent="0.25">
      <c r="A757" s="8" t="s">
        <v>8919</v>
      </c>
      <c r="C757" s="7" t="s">
        <v>4595</v>
      </c>
      <c r="D757">
        <f t="shared" si="11"/>
        <v>2</v>
      </c>
      <c r="I757" s="1" t="s">
        <v>2927</v>
      </c>
      <c r="J757" s="1" t="s">
        <v>958</v>
      </c>
      <c r="K757" s="1" t="s">
        <v>10738</v>
      </c>
      <c r="L757" s="1" t="s">
        <v>992</v>
      </c>
      <c r="M757" s="1" t="s">
        <v>993</v>
      </c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x14ac:dyDescent="0.25">
      <c r="A758" s="7" t="s">
        <v>9983</v>
      </c>
      <c r="C758" s="7" t="s">
        <v>10350</v>
      </c>
      <c r="D758">
        <f t="shared" si="11"/>
        <v>2</v>
      </c>
      <c r="I758" s="1" t="s">
        <v>933</v>
      </c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x14ac:dyDescent="0.25">
      <c r="A759" s="7" t="s">
        <v>6874</v>
      </c>
      <c r="C759" s="8" t="s">
        <v>9269</v>
      </c>
      <c r="D759">
        <f t="shared" si="11"/>
        <v>2</v>
      </c>
      <c r="I759" s="1" t="s">
        <v>1053</v>
      </c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x14ac:dyDescent="0.25">
      <c r="A760" s="7" t="s">
        <v>6874</v>
      </c>
      <c r="C760" s="7" t="s">
        <v>121</v>
      </c>
      <c r="D760">
        <f t="shared" si="11"/>
        <v>2</v>
      </c>
      <c r="I760" s="1" t="s">
        <v>922</v>
      </c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x14ac:dyDescent="0.25">
      <c r="A761" s="7" t="s">
        <v>6874</v>
      </c>
      <c r="C761" s="7" t="s">
        <v>2789</v>
      </c>
      <c r="D761">
        <f t="shared" si="11"/>
        <v>2</v>
      </c>
      <c r="I761" s="1" t="s">
        <v>1053</v>
      </c>
      <c r="J761" s="1" t="s">
        <v>933</v>
      </c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x14ac:dyDescent="0.25">
      <c r="A762" s="7" t="s">
        <v>6874</v>
      </c>
      <c r="C762" s="7" t="s">
        <v>9829</v>
      </c>
      <c r="D762">
        <f t="shared" si="11"/>
        <v>2</v>
      </c>
      <c r="I762" s="1" t="s">
        <v>1051</v>
      </c>
      <c r="J762" s="1" t="s">
        <v>923</v>
      </c>
      <c r="K762" s="1" t="s">
        <v>998</v>
      </c>
      <c r="L762" s="1" t="s">
        <v>1053</v>
      </c>
      <c r="M762" s="1" t="s">
        <v>1086</v>
      </c>
      <c r="N762" s="1" t="s">
        <v>933</v>
      </c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x14ac:dyDescent="0.25">
      <c r="A763" s="8" t="s">
        <v>6874</v>
      </c>
      <c r="C763" s="7" t="s">
        <v>2146</v>
      </c>
      <c r="D763">
        <f t="shared" si="11"/>
        <v>2</v>
      </c>
      <c r="I763" s="1" t="s">
        <v>1053</v>
      </c>
      <c r="J763" s="1" t="s">
        <v>2541</v>
      </c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x14ac:dyDescent="0.25">
      <c r="A764" s="7" t="s">
        <v>10026</v>
      </c>
      <c r="C764" s="8" t="s">
        <v>8954</v>
      </c>
      <c r="D764">
        <f t="shared" si="11"/>
        <v>2</v>
      </c>
      <c r="I764" s="1" t="s">
        <v>1001</v>
      </c>
      <c r="J764" s="1" t="s">
        <v>927</v>
      </c>
      <c r="K764" s="1" t="s">
        <v>992</v>
      </c>
      <c r="L764" s="1" t="s">
        <v>981</v>
      </c>
      <c r="M764" s="1" t="s">
        <v>993</v>
      </c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x14ac:dyDescent="0.25">
      <c r="A765" s="7" t="s">
        <v>10026</v>
      </c>
      <c r="C765" s="7" t="s">
        <v>5371</v>
      </c>
      <c r="D765">
        <f t="shared" si="11"/>
        <v>2</v>
      </c>
      <c r="I765" s="1" t="s">
        <v>50</v>
      </c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x14ac:dyDescent="0.25">
      <c r="A766" s="7" t="s">
        <v>9545</v>
      </c>
      <c r="C766" s="8" t="s">
        <v>9486</v>
      </c>
      <c r="D766">
        <f t="shared" si="11"/>
        <v>2</v>
      </c>
      <c r="I766" s="1" t="s">
        <v>921</v>
      </c>
      <c r="J766" s="1" t="s">
        <v>922</v>
      </c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x14ac:dyDescent="0.25">
      <c r="A767" s="7" t="s">
        <v>9545</v>
      </c>
      <c r="C767" s="8" t="s">
        <v>9862</v>
      </c>
      <c r="D767">
        <f t="shared" si="11"/>
        <v>2</v>
      </c>
      <c r="I767" s="1" t="s">
        <v>998</v>
      </c>
      <c r="J767" s="1" t="s">
        <v>994</v>
      </c>
      <c r="K767" s="1" t="s">
        <v>1053</v>
      </c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x14ac:dyDescent="0.25">
      <c r="A768" s="7" t="s">
        <v>9545</v>
      </c>
      <c r="C768" s="7" t="s">
        <v>9070</v>
      </c>
      <c r="D768">
        <f t="shared" si="11"/>
        <v>2</v>
      </c>
      <c r="I768" s="1" t="s">
        <v>998</v>
      </c>
      <c r="J768" s="1" t="s">
        <v>992</v>
      </c>
      <c r="K768" s="1" t="s">
        <v>933</v>
      </c>
      <c r="L768" s="1" t="s">
        <v>994</v>
      </c>
      <c r="M768" s="1" t="s">
        <v>1053</v>
      </c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x14ac:dyDescent="0.25">
      <c r="A769" s="7" t="s">
        <v>10098</v>
      </c>
      <c r="C769" s="7" t="s">
        <v>4930</v>
      </c>
      <c r="D769">
        <f t="shared" si="11"/>
        <v>2</v>
      </c>
      <c r="I769" s="1" t="s">
        <v>996</v>
      </c>
      <c r="J769" s="1" t="s">
        <v>997</v>
      </c>
      <c r="K769" s="1" t="s">
        <v>998</v>
      </c>
      <c r="L769" s="1" t="s">
        <v>994</v>
      </c>
      <c r="M769" s="1" t="s">
        <v>1053</v>
      </c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x14ac:dyDescent="0.25">
      <c r="A770" s="8" t="s">
        <v>9423</v>
      </c>
      <c r="C770" s="7" t="s">
        <v>9318</v>
      </c>
      <c r="D770">
        <f t="shared" ref="D770:D833" si="12">COUNTIF(A:A,C770)</f>
        <v>2</v>
      </c>
      <c r="I770" s="1" t="s">
        <v>958</v>
      </c>
      <c r="J770" s="1" t="s">
        <v>927</v>
      </c>
      <c r="K770" s="1" t="s">
        <v>992</v>
      </c>
      <c r="L770" s="1" t="s">
        <v>981</v>
      </c>
      <c r="M770" s="1" t="s">
        <v>10830</v>
      </c>
      <c r="N770" s="1" t="s">
        <v>993</v>
      </c>
      <c r="O770" s="1" t="s">
        <v>994</v>
      </c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x14ac:dyDescent="0.25">
      <c r="A771" s="8" t="s">
        <v>9278</v>
      </c>
      <c r="C771" s="8" t="s">
        <v>9180</v>
      </c>
      <c r="D771">
        <f t="shared" si="12"/>
        <v>2</v>
      </c>
      <c r="I771" s="1" t="s">
        <v>923</v>
      </c>
      <c r="J771" s="1" t="s">
        <v>998</v>
      </c>
      <c r="K771" s="1" t="s">
        <v>1053</v>
      </c>
      <c r="L771" s="1" t="s">
        <v>1086</v>
      </c>
      <c r="M771" s="1" t="s">
        <v>933</v>
      </c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x14ac:dyDescent="0.25">
      <c r="A772" s="8" t="s">
        <v>9278</v>
      </c>
      <c r="C772" s="7" t="s">
        <v>5334</v>
      </c>
      <c r="D772">
        <f t="shared" si="12"/>
        <v>2</v>
      </c>
      <c r="I772" s="1" t="s">
        <v>1001</v>
      </c>
      <c r="J772" s="1" t="s">
        <v>10751</v>
      </c>
      <c r="K772" s="1" t="s">
        <v>927</v>
      </c>
      <c r="L772" s="1" t="s">
        <v>919</v>
      </c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x14ac:dyDescent="0.25">
      <c r="A773" s="8" t="s">
        <v>9278</v>
      </c>
      <c r="C773" s="7" t="s">
        <v>9814</v>
      </c>
      <c r="D773">
        <f t="shared" si="12"/>
        <v>2</v>
      </c>
      <c r="I773" s="1" t="s">
        <v>90</v>
      </c>
      <c r="J773" s="1" t="s">
        <v>25</v>
      </c>
      <c r="K773" s="1" t="s">
        <v>1148</v>
      </c>
      <c r="L773" s="1" t="s">
        <v>923</v>
      </c>
      <c r="M773" s="1" t="s">
        <v>997</v>
      </c>
      <c r="N773" s="1" t="s">
        <v>927</v>
      </c>
      <c r="O773" s="1" t="s">
        <v>953</v>
      </c>
      <c r="P773" s="1" t="s">
        <v>939</v>
      </c>
      <c r="Q773" s="1" t="s">
        <v>994</v>
      </c>
      <c r="R773" s="1" t="s">
        <v>998</v>
      </c>
      <c r="S773" s="1" t="s">
        <v>1066</v>
      </c>
      <c r="T773" s="1" t="s">
        <v>1086</v>
      </c>
      <c r="U773" s="1" t="s">
        <v>2541</v>
      </c>
      <c r="V773" s="1"/>
      <c r="W773" s="1"/>
      <c r="X773" s="1"/>
      <c r="Y773" s="1"/>
    </row>
    <row r="774" spans="1:25" x14ac:dyDescent="0.25">
      <c r="A774" s="7" t="s">
        <v>9343</v>
      </c>
      <c r="C774" s="8" t="s">
        <v>9212</v>
      </c>
      <c r="D774">
        <f t="shared" si="12"/>
        <v>2</v>
      </c>
      <c r="I774" s="1" t="s">
        <v>998</v>
      </c>
      <c r="J774" s="1" t="s">
        <v>1086</v>
      </c>
      <c r="K774" s="1" t="s">
        <v>933</v>
      </c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x14ac:dyDescent="0.25">
      <c r="A775" s="7" t="s">
        <v>4786</v>
      </c>
      <c r="C775" s="7" t="s">
        <v>6883</v>
      </c>
      <c r="D775">
        <f t="shared" si="12"/>
        <v>2</v>
      </c>
      <c r="I775" s="1" t="s">
        <v>998</v>
      </c>
      <c r="J775" s="1" t="s">
        <v>1066</v>
      </c>
      <c r="K775" s="1" t="s">
        <v>1086</v>
      </c>
      <c r="L775" s="1" t="s">
        <v>2541</v>
      </c>
      <c r="M775" s="1" t="s">
        <v>994</v>
      </c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x14ac:dyDescent="0.25">
      <c r="A776" s="8" t="s">
        <v>4786</v>
      </c>
      <c r="C776" s="8" t="s">
        <v>10299</v>
      </c>
      <c r="D776">
        <f t="shared" si="12"/>
        <v>2</v>
      </c>
      <c r="I776" s="1" t="s">
        <v>25</v>
      </c>
      <c r="J776" s="1" t="s">
        <v>920</v>
      </c>
      <c r="K776" s="1" t="s">
        <v>933</v>
      </c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x14ac:dyDescent="0.25">
      <c r="A777" s="8" t="s">
        <v>4786</v>
      </c>
      <c r="C777" s="7" t="s">
        <v>9119</v>
      </c>
      <c r="D777">
        <f t="shared" si="12"/>
        <v>2</v>
      </c>
      <c r="I777" s="1" t="s">
        <v>25</v>
      </c>
      <c r="J777" s="1" t="s">
        <v>998</v>
      </c>
      <c r="K777" s="1" t="s">
        <v>1086</v>
      </c>
      <c r="L777" s="1" t="s">
        <v>920</v>
      </c>
      <c r="M777" s="1" t="s">
        <v>933</v>
      </c>
      <c r="N777" s="1" t="s">
        <v>1066</v>
      </c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x14ac:dyDescent="0.25">
      <c r="A778" s="8" t="s">
        <v>4786</v>
      </c>
      <c r="C778" s="8" t="s">
        <v>10096</v>
      </c>
      <c r="D778">
        <f t="shared" si="12"/>
        <v>2</v>
      </c>
      <c r="I778" s="1" t="s">
        <v>10846</v>
      </c>
      <c r="J778" s="1" t="s">
        <v>2927</v>
      </c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x14ac:dyDescent="0.25">
      <c r="A779" s="8" t="s">
        <v>4786</v>
      </c>
      <c r="C779" s="8" t="s">
        <v>10619</v>
      </c>
      <c r="D779">
        <f t="shared" si="12"/>
        <v>2</v>
      </c>
      <c r="I779" s="1" t="s">
        <v>989</v>
      </c>
      <c r="J779" s="1" t="s">
        <v>919</v>
      </c>
      <c r="K779" s="1" t="s">
        <v>25</v>
      </c>
      <c r="L779" s="1" t="s">
        <v>920</v>
      </c>
      <c r="M779" s="1" t="s">
        <v>954</v>
      </c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x14ac:dyDescent="0.25">
      <c r="A780" s="8" t="s">
        <v>9085</v>
      </c>
      <c r="C780" s="8" t="s">
        <v>10450</v>
      </c>
      <c r="D780">
        <f t="shared" si="12"/>
        <v>2</v>
      </c>
      <c r="I780" s="1" t="s">
        <v>25</v>
      </c>
      <c r="J780" s="1" t="s">
        <v>919</v>
      </c>
      <c r="K780" s="1" t="s">
        <v>920</v>
      </c>
      <c r="L780" s="1" t="s">
        <v>954</v>
      </c>
      <c r="M780" s="1" t="s">
        <v>955</v>
      </c>
      <c r="N780" s="1" t="s">
        <v>924</v>
      </c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x14ac:dyDescent="0.25">
      <c r="A781" s="8" t="s">
        <v>10213</v>
      </c>
      <c r="C781" s="7" t="s">
        <v>3417</v>
      </c>
      <c r="D781">
        <f t="shared" si="12"/>
        <v>2</v>
      </c>
      <c r="I781" s="1" t="s">
        <v>918</v>
      </c>
      <c r="J781" s="1" t="s">
        <v>919</v>
      </c>
      <c r="K781" s="1" t="s">
        <v>924</v>
      </c>
      <c r="L781" s="1" t="s">
        <v>926</v>
      </c>
      <c r="M781" s="1" t="s">
        <v>10731</v>
      </c>
      <c r="N781" s="1" t="s">
        <v>927</v>
      </c>
      <c r="O781" s="1" t="s">
        <v>953</v>
      </c>
      <c r="P781" s="1" t="s">
        <v>936</v>
      </c>
      <c r="Q781" s="1"/>
      <c r="R781" s="1"/>
      <c r="S781" s="1"/>
      <c r="T781" s="1"/>
      <c r="U781" s="1"/>
      <c r="V781" s="1"/>
      <c r="W781" s="1"/>
      <c r="X781" s="1"/>
      <c r="Y781" s="1"/>
    </row>
    <row r="782" spans="1:25" x14ac:dyDescent="0.25">
      <c r="A782" s="8" t="s">
        <v>9660</v>
      </c>
      <c r="C782" s="8" t="s">
        <v>10109</v>
      </c>
      <c r="D782">
        <f t="shared" si="12"/>
        <v>2</v>
      </c>
      <c r="I782" s="1" t="s">
        <v>918</v>
      </c>
      <c r="J782" s="1" t="s">
        <v>919</v>
      </c>
      <c r="K782" s="1" t="s">
        <v>924</v>
      </c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x14ac:dyDescent="0.25">
      <c r="A783" s="7" t="s">
        <v>10431</v>
      </c>
      <c r="C783" s="8" t="s">
        <v>10099</v>
      </c>
      <c r="D783">
        <f t="shared" si="12"/>
        <v>2</v>
      </c>
      <c r="I783" s="1" t="s">
        <v>918</v>
      </c>
      <c r="J783" s="1" t="s">
        <v>919</v>
      </c>
      <c r="K783" s="1" t="s">
        <v>924</v>
      </c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x14ac:dyDescent="0.25">
      <c r="A784" s="8" t="s">
        <v>10302</v>
      </c>
      <c r="C784" s="8" t="s">
        <v>8993</v>
      </c>
      <c r="D784">
        <f t="shared" si="12"/>
        <v>2</v>
      </c>
      <c r="I784" s="1" t="s">
        <v>918</v>
      </c>
      <c r="J784" s="1" t="s">
        <v>919</v>
      </c>
      <c r="K784" s="1" t="s">
        <v>924</v>
      </c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x14ac:dyDescent="0.25">
      <c r="A785" s="7" t="s">
        <v>9526</v>
      </c>
      <c r="C785" s="8" t="s">
        <v>9466</v>
      </c>
      <c r="D785">
        <f t="shared" si="12"/>
        <v>2</v>
      </c>
      <c r="I785" s="1" t="s">
        <v>918</v>
      </c>
      <c r="J785" s="1" t="s">
        <v>919</v>
      </c>
      <c r="K785" s="1" t="s">
        <v>924</v>
      </c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x14ac:dyDescent="0.25">
      <c r="A786" s="8" t="s">
        <v>9309</v>
      </c>
      <c r="C786" s="8" t="s">
        <v>9444</v>
      </c>
      <c r="D786">
        <f t="shared" si="12"/>
        <v>2</v>
      </c>
      <c r="I786" s="1" t="s">
        <v>918</v>
      </c>
      <c r="J786" s="1" t="s">
        <v>919</v>
      </c>
      <c r="K786" s="1" t="s">
        <v>924</v>
      </c>
      <c r="L786" s="1" t="s">
        <v>967</v>
      </c>
      <c r="M786" s="1" t="s">
        <v>969</v>
      </c>
      <c r="N786" s="1" t="s">
        <v>10706</v>
      </c>
      <c r="O786" s="1" t="s">
        <v>970</v>
      </c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x14ac:dyDescent="0.25">
      <c r="A787" s="8" t="s">
        <v>721</v>
      </c>
      <c r="C787" s="7" t="s">
        <v>334</v>
      </c>
      <c r="D787">
        <f t="shared" si="12"/>
        <v>2</v>
      </c>
      <c r="I787" s="1" t="s">
        <v>918</v>
      </c>
      <c r="J787" s="1" t="s">
        <v>919</v>
      </c>
      <c r="K787" s="1" t="s">
        <v>924</v>
      </c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x14ac:dyDescent="0.25">
      <c r="A788" s="8" t="s">
        <v>9646</v>
      </c>
      <c r="C788" s="7" t="s">
        <v>8855</v>
      </c>
      <c r="D788">
        <f t="shared" si="12"/>
        <v>2</v>
      </c>
      <c r="I788" s="1" t="s">
        <v>918</v>
      </c>
      <c r="J788" s="1" t="s">
        <v>919</v>
      </c>
      <c r="K788" s="1" t="s">
        <v>924</v>
      </c>
      <c r="L788" s="1" t="s">
        <v>995</v>
      </c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x14ac:dyDescent="0.25">
      <c r="A789" s="8" t="s">
        <v>9642</v>
      </c>
      <c r="C789" s="8" t="s">
        <v>9396</v>
      </c>
      <c r="D789">
        <f t="shared" si="12"/>
        <v>2</v>
      </c>
      <c r="I789" s="1" t="s">
        <v>918</v>
      </c>
      <c r="J789" s="1" t="s">
        <v>919</v>
      </c>
      <c r="K789" s="1" t="s">
        <v>924</v>
      </c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x14ac:dyDescent="0.25">
      <c r="A790" s="8" t="s">
        <v>9642</v>
      </c>
      <c r="C790" s="7" t="s">
        <v>8984</v>
      </c>
      <c r="D790">
        <f t="shared" si="12"/>
        <v>2</v>
      </c>
      <c r="I790" s="1" t="s">
        <v>918</v>
      </c>
      <c r="J790" s="1" t="s">
        <v>919</v>
      </c>
      <c r="K790" s="1" t="s">
        <v>924</v>
      </c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x14ac:dyDescent="0.25">
      <c r="A791" s="8" t="s">
        <v>9642</v>
      </c>
      <c r="C791" s="8" t="s">
        <v>8866</v>
      </c>
      <c r="D791">
        <f t="shared" si="12"/>
        <v>2</v>
      </c>
      <c r="I791" s="1" t="s">
        <v>983</v>
      </c>
      <c r="J791" s="1" t="s">
        <v>10833</v>
      </c>
      <c r="K791" s="1" t="s">
        <v>10835</v>
      </c>
      <c r="L791" s="1" t="s">
        <v>1020</v>
      </c>
      <c r="M791" s="1" t="s">
        <v>936</v>
      </c>
      <c r="N791" s="1" t="s">
        <v>10847</v>
      </c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x14ac:dyDescent="0.25">
      <c r="A792" s="8" t="s">
        <v>9642</v>
      </c>
      <c r="C792" s="7" t="s">
        <v>8319</v>
      </c>
      <c r="D792">
        <f t="shared" si="12"/>
        <v>2</v>
      </c>
      <c r="I792" s="1" t="s">
        <v>918</v>
      </c>
      <c r="J792" s="1" t="s">
        <v>1136</v>
      </c>
      <c r="K792" s="1" t="s">
        <v>1157</v>
      </c>
      <c r="L792" s="1" t="s">
        <v>10752</v>
      </c>
      <c r="M792" s="1" t="s">
        <v>920</v>
      </c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x14ac:dyDescent="0.25">
      <c r="A793" s="7" t="s">
        <v>5170</v>
      </c>
      <c r="C793" s="7" t="s">
        <v>7795</v>
      </c>
      <c r="D793">
        <f t="shared" si="12"/>
        <v>2</v>
      </c>
      <c r="I793" s="1" t="s">
        <v>10848</v>
      </c>
      <c r="J793" s="1" t="s">
        <v>4146</v>
      </c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x14ac:dyDescent="0.25">
      <c r="A794" s="8" t="s">
        <v>5170</v>
      </c>
      <c r="C794" s="8" t="s">
        <v>9759</v>
      </c>
      <c r="D794">
        <f t="shared" si="12"/>
        <v>2</v>
      </c>
      <c r="I794" s="1" t="s">
        <v>1107</v>
      </c>
      <c r="J794" s="1" t="s">
        <v>918</v>
      </c>
      <c r="K794" s="1" t="s">
        <v>936</v>
      </c>
      <c r="L794" s="1" t="s">
        <v>945</v>
      </c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x14ac:dyDescent="0.25">
      <c r="A795" s="7" t="s">
        <v>10334</v>
      </c>
      <c r="C795" s="8" t="s">
        <v>9177</v>
      </c>
      <c r="D795">
        <f t="shared" si="12"/>
        <v>2</v>
      </c>
      <c r="I795" s="1" t="s">
        <v>918</v>
      </c>
      <c r="J795" s="1" t="s">
        <v>10849</v>
      </c>
      <c r="K795" s="1" t="s">
        <v>919</v>
      </c>
      <c r="L795" s="1" t="s">
        <v>924</v>
      </c>
      <c r="M795" s="1" t="s">
        <v>964</v>
      </c>
      <c r="N795" s="1" t="s">
        <v>1109</v>
      </c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x14ac:dyDescent="0.25">
      <c r="A796" s="8" t="s">
        <v>10113</v>
      </c>
      <c r="C796" s="7" t="s">
        <v>2196</v>
      </c>
      <c r="D796">
        <f t="shared" si="12"/>
        <v>2</v>
      </c>
      <c r="I796" s="1" t="s">
        <v>25</v>
      </c>
      <c r="J796" s="1" t="s">
        <v>1086</v>
      </c>
      <c r="K796" s="1" t="s">
        <v>919</v>
      </c>
      <c r="L796" s="1" t="s">
        <v>920</v>
      </c>
      <c r="M796" s="1" t="s">
        <v>921</v>
      </c>
      <c r="N796" s="1" t="s">
        <v>927</v>
      </c>
      <c r="O796" s="1" t="s">
        <v>998</v>
      </c>
      <c r="P796" s="1" t="s">
        <v>933</v>
      </c>
      <c r="Q796" s="1"/>
      <c r="R796" s="1"/>
      <c r="S796" s="1"/>
      <c r="T796" s="1"/>
      <c r="U796" s="1"/>
      <c r="V796" s="1"/>
      <c r="W796" s="1"/>
      <c r="X796" s="1"/>
      <c r="Y796" s="1"/>
    </row>
    <row r="797" spans="1:25" x14ac:dyDescent="0.25">
      <c r="A797" s="8" t="s">
        <v>9076</v>
      </c>
      <c r="C797" s="7" t="s">
        <v>8652</v>
      </c>
      <c r="D797">
        <f t="shared" si="12"/>
        <v>2</v>
      </c>
      <c r="I797" s="1" t="s">
        <v>25</v>
      </c>
      <c r="J797" s="1" t="s">
        <v>1086</v>
      </c>
      <c r="K797" s="1" t="s">
        <v>919</v>
      </c>
      <c r="L797" s="1" t="s">
        <v>920</v>
      </c>
      <c r="M797" s="1" t="s">
        <v>921</v>
      </c>
      <c r="N797" s="1" t="s">
        <v>933</v>
      </c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x14ac:dyDescent="0.25">
      <c r="A798" s="7" t="s">
        <v>6513</v>
      </c>
      <c r="C798" s="7" t="s">
        <v>9494</v>
      </c>
      <c r="D798">
        <f t="shared" si="12"/>
        <v>2</v>
      </c>
      <c r="I798" s="1" t="s">
        <v>25</v>
      </c>
      <c r="J798" s="1" t="s">
        <v>1086</v>
      </c>
      <c r="K798" s="1" t="s">
        <v>919</v>
      </c>
      <c r="L798" s="1" t="s">
        <v>920</v>
      </c>
      <c r="M798" s="1" t="s">
        <v>921</v>
      </c>
      <c r="N798" s="1" t="s">
        <v>981</v>
      </c>
      <c r="O798" s="1" t="s">
        <v>983</v>
      </c>
      <c r="P798" s="1" t="s">
        <v>1020</v>
      </c>
      <c r="Q798" s="1"/>
      <c r="R798" s="1"/>
      <c r="S798" s="1"/>
      <c r="T798" s="1"/>
      <c r="U798" s="1"/>
      <c r="V798" s="1"/>
      <c r="W798" s="1"/>
      <c r="X798" s="1"/>
      <c r="Y798" s="1"/>
    </row>
    <row r="799" spans="1:25" x14ac:dyDescent="0.25">
      <c r="A799" s="7" t="s">
        <v>6513</v>
      </c>
      <c r="C799" s="8" t="s">
        <v>9886</v>
      </c>
      <c r="D799">
        <f t="shared" si="12"/>
        <v>2</v>
      </c>
      <c r="I799" s="1" t="s">
        <v>25</v>
      </c>
      <c r="J799" s="1" t="s">
        <v>1086</v>
      </c>
      <c r="K799" s="1" t="s">
        <v>919</v>
      </c>
      <c r="L799" s="1" t="s">
        <v>920</v>
      </c>
      <c r="M799" s="1" t="s">
        <v>921</v>
      </c>
      <c r="N799" s="1" t="s">
        <v>918</v>
      </c>
      <c r="O799" s="1" t="s">
        <v>948</v>
      </c>
      <c r="P799" s="1" t="s">
        <v>1069</v>
      </c>
      <c r="Q799" s="1" t="s">
        <v>1149</v>
      </c>
      <c r="R799" s="1" t="s">
        <v>923</v>
      </c>
      <c r="S799" s="1" t="s">
        <v>998</v>
      </c>
      <c r="T799" s="1" t="s">
        <v>1150</v>
      </c>
      <c r="U799" s="1"/>
      <c r="V799" s="1"/>
      <c r="W799" s="1"/>
      <c r="X799" s="1"/>
      <c r="Y799" s="1"/>
    </row>
    <row r="800" spans="1:25" x14ac:dyDescent="0.25">
      <c r="A800" s="7" t="s">
        <v>6513</v>
      </c>
      <c r="C800" s="7" t="s">
        <v>9169</v>
      </c>
      <c r="D800">
        <f t="shared" si="12"/>
        <v>2</v>
      </c>
      <c r="I800" s="1" t="s">
        <v>1022</v>
      </c>
      <c r="J800" s="1" t="s">
        <v>1026</v>
      </c>
      <c r="K800" s="1" t="s">
        <v>1027</v>
      </c>
      <c r="L800" s="1" t="s">
        <v>10850</v>
      </c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x14ac:dyDescent="0.25">
      <c r="A801" s="8" t="s">
        <v>6513</v>
      </c>
      <c r="C801" s="7" t="s">
        <v>2025</v>
      </c>
      <c r="D801">
        <f t="shared" si="12"/>
        <v>2</v>
      </c>
      <c r="I801" s="1" t="s">
        <v>1022</v>
      </c>
      <c r="J801" s="1" t="s">
        <v>1026</v>
      </c>
      <c r="K801" s="1" t="s">
        <v>1027</v>
      </c>
      <c r="L801" s="1" t="s">
        <v>10850</v>
      </c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x14ac:dyDescent="0.25">
      <c r="A802" s="8" t="s">
        <v>6513</v>
      </c>
      <c r="C802" s="8" t="s">
        <v>10195</v>
      </c>
      <c r="D802">
        <f t="shared" si="12"/>
        <v>2</v>
      </c>
      <c r="I802" s="1" t="s">
        <v>1001</v>
      </c>
      <c r="J802" s="1" t="s">
        <v>328</v>
      </c>
      <c r="K802" s="1" t="s">
        <v>2541</v>
      </c>
      <c r="L802" s="1" t="s">
        <v>840</v>
      </c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x14ac:dyDescent="0.25">
      <c r="A803" s="8" t="s">
        <v>10020</v>
      </c>
      <c r="C803" s="8" t="s">
        <v>8887</v>
      </c>
      <c r="D803">
        <f t="shared" si="12"/>
        <v>2</v>
      </c>
      <c r="I803" s="1" t="s">
        <v>1001</v>
      </c>
      <c r="J803" s="1" t="s">
        <v>328</v>
      </c>
      <c r="K803" s="1" t="s">
        <v>2541</v>
      </c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x14ac:dyDescent="0.25">
      <c r="A804" s="8" t="s">
        <v>10675</v>
      </c>
      <c r="C804" s="8" t="s">
        <v>8990</v>
      </c>
      <c r="D804">
        <f t="shared" si="12"/>
        <v>2</v>
      </c>
      <c r="I804" s="1" t="s">
        <v>1001</v>
      </c>
      <c r="J804" s="1" t="s">
        <v>328</v>
      </c>
      <c r="K804" s="1" t="s">
        <v>2541</v>
      </c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x14ac:dyDescent="0.25">
      <c r="A805" s="7" t="s">
        <v>9877</v>
      </c>
      <c r="C805" s="7" t="s">
        <v>9460</v>
      </c>
      <c r="D805">
        <f t="shared" si="12"/>
        <v>2</v>
      </c>
      <c r="I805" s="1" t="s">
        <v>1001</v>
      </c>
      <c r="J805" s="1" t="s">
        <v>328</v>
      </c>
      <c r="K805" s="1" t="s">
        <v>2541</v>
      </c>
      <c r="L805" s="1" t="s">
        <v>10827</v>
      </c>
      <c r="M805" s="1" t="s">
        <v>84</v>
      </c>
      <c r="N805" s="1" t="s">
        <v>25</v>
      </c>
      <c r="O805" s="1" t="s">
        <v>920</v>
      </c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x14ac:dyDescent="0.25">
      <c r="A806" s="8" t="s">
        <v>9877</v>
      </c>
      <c r="C806" s="7" t="s">
        <v>9995</v>
      </c>
      <c r="D806">
        <f t="shared" si="12"/>
        <v>2</v>
      </c>
      <c r="I806" s="1" t="s">
        <v>50</v>
      </c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x14ac:dyDescent="0.25">
      <c r="A807" s="7" t="s">
        <v>4521</v>
      </c>
      <c r="C807" s="7" t="s">
        <v>9798</v>
      </c>
      <c r="D807">
        <f t="shared" si="12"/>
        <v>2</v>
      </c>
      <c r="I807" s="1" t="s">
        <v>298</v>
      </c>
      <c r="J807" s="1" t="s">
        <v>1053</v>
      </c>
      <c r="K807" s="1" t="s">
        <v>10851</v>
      </c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x14ac:dyDescent="0.25">
      <c r="A808" s="8" t="s">
        <v>4521</v>
      </c>
      <c r="C808" s="7" t="s">
        <v>10008</v>
      </c>
      <c r="D808">
        <f t="shared" si="12"/>
        <v>2</v>
      </c>
      <c r="I808" s="1" t="s">
        <v>923</v>
      </c>
      <c r="J808" s="1" t="s">
        <v>1053</v>
      </c>
      <c r="K808" s="1" t="s">
        <v>4037</v>
      </c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x14ac:dyDescent="0.25">
      <c r="A809" s="7" t="s">
        <v>2255</v>
      </c>
      <c r="C809" s="8" t="s">
        <v>10305</v>
      </c>
      <c r="D809">
        <f t="shared" si="12"/>
        <v>2</v>
      </c>
      <c r="I809" s="1" t="s">
        <v>2927</v>
      </c>
      <c r="J809" s="1" t="s">
        <v>923</v>
      </c>
      <c r="K809" s="1" t="s">
        <v>998</v>
      </c>
      <c r="L809" s="1" t="s">
        <v>1053</v>
      </c>
      <c r="M809" s="1" t="s">
        <v>1086</v>
      </c>
      <c r="N809" s="1" t="s">
        <v>10731</v>
      </c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x14ac:dyDescent="0.25">
      <c r="A810" s="7" t="s">
        <v>2255</v>
      </c>
      <c r="C810" s="7" t="s">
        <v>10513</v>
      </c>
      <c r="D810">
        <f t="shared" si="12"/>
        <v>2</v>
      </c>
      <c r="I810" s="1" t="s">
        <v>954</v>
      </c>
      <c r="J810" s="1" t="s">
        <v>1054</v>
      </c>
      <c r="K810" s="1" t="s">
        <v>1055</v>
      </c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x14ac:dyDescent="0.25">
      <c r="A811" s="7" t="s">
        <v>2255</v>
      </c>
      <c r="C811" s="7" t="s">
        <v>9668</v>
      </c>
      <c r="D811">
        <f t="shared" si="12"/>
        <v>2</v>
      </c>
      <c r="I811" s="1" t="s">
        <v>3439</v>
      </c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x14ac:dyDescent="0.25">
      <c r="A812" s="8" t="s">
        <v>2255</v>
      </c>
      <c r="C812" s="7" t="s">
        <v>6267</v>
      </c>
      <c r="D812">
        <f t="shared" si="12"/>
        <v>2</v>
      </c>
      <c r="I812" s="1" t="s">
        <v>1149</v>
      </c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x14ac:dyDescent="0.25">
      <c r="A813" s="8" t="s">
        <v>8836</v>
      </c>
      <c r="C813" s="8" t="s">
        <v>8989</v>
      </c>
      <c r="D813">
        <f t="shared" si="12"/>
        <v>2</v>
      </c>
      <c r="I813" s="1" t="s">
        <v>996</v>
      </c>
      <c r="J813" s="1" t="s">
        <v>998</v>
      </c>
      <c r="K813" s="1" t="s">
        <v>933</v>
      </c>
      <c r="L813" s="1" t="s">
        <v>2541</v>
      </c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x14ac:dyDescent="0.25">
      <c r="A814" s="8" t="s">
        <v>8836</v>
      </c>
      <c r="C814" s="7" t="s">
        <v>8002</v>
      </c>
      <c r="D814">
        <f t="shared" si="12"/>
        <v>2</v>
      </c>
      <c r="I814" s="1" t="s">
        <v>2927</v>
      </c>
      <c r="J814" s="1" t="s">
        <v>1051</v>
      </c>
      <c r="K814" s="1" t="s">
        <v>1052</v>
      </c>
      <c r="L814" s="1" t="s">
        <v>10852</v>
      </c>
      <c r="M814" s="1" t="s">
        <v>1100</v>
      </c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x14ac:dyDescent="0.25">
      <c r="A815" s="8" t="s">
        <v>9204</v>
      </c>
      <c r="C815" s="7" t="s">
        <v>8940</v>
      </c>
      <c r="D815">
        <f t="shared" si="12"/>
        <v>2</v>
      </c>
      <c r="I815" s="1" t="s">
        <v>2927</v>
      </c>
      <c r="J815" s="1" t="s">
        <v>1051</v>
      </c>
      <c r="K815" s="1" t="s">
        <v>1052</v>
      </c>
      <c r="L815" s="1" t="s">
        <v>10852</v>
      </c>
      <c r="M815" s="1" t="s">
        <v>1100</v>
      </c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x14ac:dyDescent="0.25">
      <c r="A816" s="7" t="s">
        <v>3565</v>
      </c>
      <c r="C816" s="7" t="s">
        <v>10040</v>
      </c>
      <c r="D816">
        <f t="shared" si="12"/>
        <v>2</v>
      </c>
      <c r="I816" s="1" t="s">
        <v>2927</v>
      </c>
      <c r="J816" s="1" t="s">
        <v>1051</v>
      </c>
      <c r="K816" s="1" t="s">
        <v>1052</v>
      </c>
      <c r="L816" s="1" t="s">
        <v>10852</v>
      </c>
      <c r="M816" s="1" t="s">
        <v>1100</v>
      </c>
      <c r="N816" s="1" t="s">
        <v>10853</v>
      </c>
      <c r="O816" s="1" t="s">
        <v>10854</v>
      </c>
      <c r="P816" s="1" t="s">
        <v>10855</v>
      </c>
      <c r="Q816" s="1"/>
      <c r="R816" s="1"/>
      <c r="S816" s="1"/>
      <c r="T816" s="1"/>
      <c r="U816" s="1"/>
      <c r="V816" s="1"/>
      <c r="W816" s="1"/>
      <c r="X816" s="1"/>
      <c r="Y816" s="1"/>
    </row>
    <row r="817" spans="1:25" x14ac:dyDescent="0.25">
      <c r="A817" s="7" t="s">
        <v>3565</v>
      </c>
      <c r="C817" s="8" t="s">
        <v>10446</v>
      </c>
      <c r="D817">
        <f t="shared" si="12"/>
        <v>2</v>
      </c>
      <c r="I817" s="1" t="s">
        <v>2927</v>
      </c>
      <c r="J817" s="1" t="s">
        <v>1051</v>
      </c>
      <c r="K817" s="1" t="s">
        <v>1052</v>
      </c>
      <c r="L817" s="1" t="s">
        <v>10852</v>
      </c>
      <c r="M817" s="1" t="s">
        <v>1100</v>
      </c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x14ac:dyDescent="0.25">
      <c r="A818" s="7" t="s">
        <v>3565</v>
      </c>
      <c r="C818" s="8" t="s">
        <v>10105</v>
      </c>
      <c r="D818">
        <f t="shared" si="12"/>
        <v>2</v>
      </c>
      <c r="I818" s="1" t="s">
        <v>2927</v>
      </c>
      <c r="J818" s="1" t="s">
        <v>1051</v>
      </c>
      <c r="K818" s="1" t="s">
        <v>1052</v>
      </c>
      <c r="L818" s="1" t="s">
        <v>10852</v>
      </c>
      <c r="M818" s="1" t="s">
        <v>1100</v>
      </c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x14ac:dyDescent="0.25">
      <c r="A819" s="7" t="s">
        <v>3565</v>
      </c>
      <c r="C819" s="8" t="s">
        <v>9669</v>
      </c>
      <c r="D819">
        <f t="shared" si="12"/>
        <v>2</v>
      </c>
      <c r="I819" s="1" t="s">
        <v>2927</v>
      </c>
      <c r="J819" s="1" t="s">
        <v>1051</v>
      </c>
      <c r="K819" s="1" t="s">
        <v>1052</v>
      </c>
      <c r="L819" s="1" t="s">
        <v>10852</v>
      </c>
      <c r="M819" s="1" t="s">
        <v>1100</v>
      </c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x14ac:dyDescent="0.25">
      <c r="A820" s="8" t="s">
        <v>3565</v>
      </c>
      <c r="C820" s="7" t="s">
        <v>4762</v>
      </c>
      <c r="D820">
        <f t="shared" si="12"/>
        <v>2</v>
      </c>
      <c r="I820" s="1" t="s">
        <v>2927</v>
      </c>
      <c r="J820" s="1" t="s">
        <v>1051</v>
      </c>
      <c r="K820" s="1" t="s">
        <v>1052</v>
      </c>
      <c r="L820" s="1" t="s">
        <v>10852</v>
      </c>
      <c r="M820" s="1" t="s">
        <v>1100</v>
      </c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x14ac:dyDescent="0.25">
      <c r="A821" s="8" t="s">
        <v>10463</v>
      </c>
      <c r="C821" s="7" t="s">
        <v>10000</v>
      </c>
      <c r="D821">
        <f t="shared" si="12"/>
        <v>2</v>
      </c>
      <c r="I821" s="1" t="s">
        <v>2927</v>
      </c>
      <c r="J821" s="1" t="s">
        <v>1051</v>
      </c>
      <c r="K821" s="1" t="s">
        <v>1052</v>
      </c>
      <c r="L821" s="1" t="s">
        <v>10852</v>
      </c>
      <c r="M821" s="1" t="s">
        <v>1100</v>
      </c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x14ac:dyDescent="0.25">
      <c r="A822" s="8" t="s">
        <v>8983</v>
      </c>
      <c r="C822" s="7" t="s">
        <v>9990</v>
      </c>
      <c r="D822">
        <f t="shared" si="12"/>
        <v>2</v>
      </c>
      <c r="I822" s="1" t="s">
        <v>2927</v>
      </c>
      <c r="J822" s="1" t="s">
        <v>1051</v>
      </c>
      <c r="K822" s="1" t="s">
        <v>1052</v>
      </c>
      <c r="L822" s="1" t="s">
        <v>10852</v>
      </c>
      <c r="M822" s="1" t="s">
        <v>1100</v>
      </c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x14ac:dyDescent="0.25">
      <c r="A823" s="8" t="s">
        <v>8983</v>
      </c>
      <c r="C823" s="7" t="s">
        <v>4582</v>
      </c>
      <c r="D823">
        <f t="shared" si="12"/>
        <v>2</v>
      </c>
      <c r="I823" s="1" t="s">
        <v>2927</v>
      </c>
      <c r="J823" s="1" t="s">
        <v>1051</v>
      </c>
      <c r="K823" s="1" t="s">
        <v>1052</v>
      </c>
      <c r="L823" s="1" t="s">
        <v>10852</v>
      </c>
      <c r="M823" s="1" t="s">
        <v>1100</v>
      </c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x14ac:dyDescent="0.25">
      <c r="A824" s="8" t="s">
        <v>9167</v>
      </c>
      <c r="C824" s="7" t="s">
        <v>2918</v>
      </c>
      <c r="D824">
        <f t="shared" si="12"/>
        <v>2</v>
      </c>
      <c r="I824" s="1" t="s">
        <v>2927</v>
      </c>
      <c r="J824" s="1" t="s">
        <v>1051</v>
      </c>
      <c r="K824" s="1" t="s">
        <v>1052</v>
      </c>
      <c r="L824" s="1" t="s">
        <v>10852</v>
      </c>
      <c r="M824" s="1" t="s">
        <v>1100</v>
      </c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x14ac:dyDescent="0.25">
      <c r="A825" s="7" t="s">
        <v>8197</v>
      </c>
      <c r="C825" s="8" t="s">
        <v>8890</v>
      </c>
      <c r="D825">
        <f t="shared" si="12"/>
        <v>2</v>
      </c>
      <c r="I825" s="1" t="s">
        <v>2927</v>
      </c>
      <c r="J825" s="1" t="s">
        <v>1051</v>
      </c>
      <c r="K825" s="1" t="s">
        <v>1052</v>
      </c>
      <c r="L825" s="1" t="s">
        <v>10852</v>
      </c>
      <c r="M825" s="1" t="s">
        <v>1100</v>
      </c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x14ac:dyDescent="0.25">
      <c r="A826" s="8" t="s">
        <v>10321</v>
      </c>
      <c r="C826" s="8" t="s">
        <v>10540</v>
      </c>
      <c r="D826">
        <f t="shared" si="12"/>
        <v>2</v>
      </c>
      <c r="I826" s="1" t="s">
        <v>2927</v>
      </c>
      <c r="J826" s="1" t="s">
        <v>1051</v>
      </c>
      <c r="K826" s="1" t="s">
        <v>1052</v>
      </c>
      <c r="L826" s="1" t="s">
        <v>10852</v>
      </c>
      <c r="M826" s="1" t="s">
        <v>1100</v>
      </c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x14ac:dyDescent="0.25">
      <c r="A827" s="7" t="s">
        <v>1651</v>
      </c>
      <c r="C827" s="8" t="s">
        <v>9711</v>
      </c>
      <c r="D827">
        <f t="shared" si="12"/>
        <v>2</v>
      </c>
      <c r="I827" s="1" t="s">
        <v>2927</v>
      </c>
      <c r="J827" s="1" t="s">
        <v>1051</v>
      </c>
      <c r="K827" s="1" t="s">
        <v>1052</v>
      </c>
      <c r="L827" s="1" t="s">
        <v>10852</v>
      </c>
      <c r="M827" s="1" t="s">
        <v>1100</v>
      </c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x14ac:dyDescent="0.25">
      <c r="A828" s="7" t="s">
        <v>9011</v>
      </c>
      <c r="C828" s="7" t="s">
        <v>9005</v>
      </c>
      <c r="D828">
        <f t="shared" si="12"/>
        <v>2</v>
      </c>
      <c r="I828" s="1" t="s">
        <v>2927</v>
      </c>
      <c r="J828" s="1" t="s">
        <v>1051</v>
      </c>
      <c r="K828" s="1" t="s">
        <v>1052</v>
      </c>
      <c r="L828" s="1" t="s">
        <v>10852</v>
      </c>
      <c r="M828" s="1" t="s">
        <v>1100</v>
      </c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x14ac:dyDescent="0.25">
      <c r="A829" s="8" t="s">
        <v>9011</v>
      </c>
      <c r="C829" s="7" t="s">
        <v>9528</v>
      </c>
      <c r="D829">
        <f t="shared" si="12"/>
        <v>2</v>
      </c>
      <c r="I829" s="1" t="s">
        <v>2927</v>
      </c>
      <c r="J829" s="1" t="s">
        <v>1051</v>
      </c>
      <c r="K829" s="1" t="s">
        <v>1052</v>
      </c>
      <c r="L829" s="1" t="s">
        <v>10852</v>
      </c>
      <c r="M829" s="1" t="s">
        <v>1100</v>
      </c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x14ac:dyDescent="0.25">
      <c r="A830" s="8" t="s">
        <v>8861</v>
      </c>
      <c r="C830" s="7" t="s">
        <v>431</v>
      </c>
      <c r="D830">
        <f t="shared" si="12"/>
        <v>2</v>
      </c>
      <c r="I830" s="1" t="s">
        <v>2927</v>
      </c>
      <c r="J830" s="1" t="s">
        <v>1051</v>
      </c>
      <c r="K830" s="1" t="s">
        <v>1052</v>
      </c>
      <c r="L830" s="1" t="s">
        <v>10852</v>
      </c>
      <c r="M830" s="1" t="s">
        <v>1100</v>
      </c>
      <c r="N830" s="1" t="s">
        <v>1053</v>
      </c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x14ac:dyDescent="0.25">
      <c r="A831" s="8" t="s">
        <v>10168</v>
      </c>
      <c r="C831" s="7" t="s">
        <v>9142</v>
      </c>
      <c r="D831">
        <f t="shared" si="12"/>
        <v>2</v>
      </c>
      <c r="I831" s="1" t="s">
        <v>2927</v>
      </c>
      <c r="J831" s="1" t="s">
        <v>1051</v>
      </c>
      <c r="K831" s="1" t="s">
        <v>1052</v>
      </c>
      <c r="L831" s="1" t="s">
        <v>10852</v>
      </c>
      <c r="M831" s="1" t="s">
        <v>1100</v>
      </c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x14ac:dyDescent="0.25">
      <c r="A832" s="8" t="s">
        <v>10168</v>
      </c>
      <c r="C832" s="7" t="s">
        <v>9816</v>
      </c>
      <c r="D832">
        <f t="shared" si="12"/>
        <v>2</v>
      </c>
      <c r="I832" s="1" t="s">
        <v>996</v>
      </c>
      <c r="J832" s="1" t="s">
        <v>948</v>
      </c>
      <c r="K832" s="1" t="s">
        <v>10788</v>
      </c>
      <c r="L832" s="1" t="s">
        <v>25</v>
      </c>
      <c r="M832" s="1" t="s">
        <v>923</v>
      </c>
      <c r="N832" s="1" t="s">
        <v>997</v>
      </c>
      <c r="O832" s="1" t="s">
        <v>1086</v>
      </c>
      <c r="P832" s="1" t="s">
        <v>920</v>
      </c>
      <c r="Q832" s="1" t="s">
        <v>2927</v>
      </c>
      <c r="R832" s="1" t="s">
        <v>1051</v>
      </c>
      <c r="S832" s="1" t="s">
        <v>1052</v>
      </c>
      <c r="T832" s="1" t="s">
        <v>10852</v>
      </c>
      <c r="U832" s="1" t="s">
        <v>1100</v>
      </c>
      <c r="V832" s="1"/>
      <c r="W832" s="1"/>
      <c r="X832" s="1"/>
      <c r="Y832" s="1"/>
    </row>
    <row r="833" spans="1:25" x14ac:dyDescent="0.25">
      <c r="A833" s="7" t="s">
        <v>9292</v>
      </c>
      <c r="C833" s="7" t="s">
        <v>9164</v>
      </c>
      <c r="D833">
        <f t="shared" si="12"/>
        <v>2</v>
      </c>
      <c r="I833" s="1" t="s">
        <v>2927</v>
      </c>
      <c r="J833" s="1" t="s">
        <v>1051</v>
      </c>
      <c r="K833" s="1" t="s">
        <v>1052</v>
      </c>
      <c r="L833" s="1" t="s">
        <v>10852</v>
      </c>
      <c r="M833" s="1" t="s">
        <v>1100</v>
      </c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x14ac:dyDescent="0.25">
      <c r="A834" s="8" t="s">
        <v>9292</v>
      </c>
      <c r="C834" s="7" t="s">
        <v>4573</v>
      </c>
      <c r="D834">
        <f t="shared" ref="D834:D897" si="13">COUNTIF(A:A,C834)</f>
        <v>2</v>
      </c>
      <c r="I834" s="1" t="s">
        <v>948</v>
      </c>
      <c r="J834" s="1" t="s">
        <v>1052</v>
      </c>
      <c r="K834" s="1" t="s">
        <v>25</v>
      </c>
      <c r="L834" s="1" t="s">
        <v>923</v>
      </c>
      <c r="M834" s="1" t="s">
        <v>996</v>
      </c>
      <c r="N834" s="1" t="s">
        <v>1149</v>
      </c>
      <c r="O834" s="1" t="s">
        <v>997</v>
      </c>
      <c r="P834" s="1" t="s">
        <v>1053</v>
      </c>
      <c r="Q834" s="1" t="s">
        <v>2927</v>
      </c>
      <c r="R834" s="1" t="s">
        <v>1051</v>
      </c>
      <c r="S834" s="1" t="s">
        <v>10852</v>
      </c>
      <c r="T834" s="1" t="s">
        <v>1100</v>
      </c>
      <c r="U834" s="1"/>
      <c r="V834" s="1"/>
      <c r="W834" s="1"/>
      <c r="X834" s="1"/>
      <c r="Y834" s="1"/>
    </row>
    <row r="835" spans="1:25" x14ac:dyDescent="0.25">
      <c r="A835" s="8" t="s">
        <v>9292</v>
      </c>
      <c r="C835" s="8" t="s">
        <v>8929</v>
      </c>
      <c r="D835">
        <f t="shared" si="13"/>
        <v>2</v>
      </c>
      <c r="I835" s="1" t="s">
        <v>2927</v>
      </c>
      <c r="J835" s="1" t="s">
        <v>1051</v>
      </c>
      <c r="K835" s="1" t="s">
        <v>1052</v>
      </c>
      <c r="L835" s="1" t="s">
        <v>10852</v>
      </c>
      <c r="M835" s="1" t="s">
        <v>1100</v>
      </c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x14ac:dyDescent="0.25">
      <c r="A836" s="8" t="s">
        <v>10520</v>
      </c>
      <c r="C836" s="7" t="s">
        <v>8168</v>
      </c>
      <c r="D836">
        <f t="shared" si="13"/>
        <v>2</v>
      </c>
      <c r="I836" s="1" t="s">
        <v>2927</v>
      </c>
      <c r="J836" s="1" t="s">
        <v>1051</v>
      </c>
      <c r="K836" s="1" t="s">
        <v>1052</v>
      </c>
      <c r="L836" s="1" t="s">
        <v>10852</v>
      </c>
      <c r="M836" s="1" t="s">
        <v>1100</v>
      </c>
      <c r="N836" s="1" t="s">
        <v>10856</v>
      </c>
      <c r="O836" s="1" t="s">
        <v>10857</v>
      </c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x14ac:dyDescent="0.25">
      <c r="A837" s="8" t="s">
        <v>10317</v>
      </c>
      <c r="C837" s="7" t="s">
        <v>6307</v>
      </c>
      <c r="D837">
        <f t="shared" si="13"/>
        <v>2</v>
      </c>
      <c r="I837" s="1" t="s">
        <v>923</v>
      </c>
      <c r="J837" s="1" t="s">
        <v>935</v>
      </c>
      <c r="K837" s="1" t="s">
        <v>920</v>
      </c>
      <c r="L837" s="1" t="s">
        <v>1001</v>
      </c>
      <c r="M837" s="1" t="s">
        <v>927</v>
      </c>
      <c r="N837" s="1" t="s">
        <v>919</v>
      </c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x14ac:dyDescent="0.25">
      <c r="A838" s="8" t="s">
        <v>9229</v>
      </c>
      <c r="C838" s="7" t="s">
        <v>10006</v>
      </c>
      <c r="D838">
        <f t="shared" si="13"/>
        <v>2</v>
      </c>
      <c r="I838" s="1" t="s">
        <v>981</v>
      </c>
      <c r="J838" s="1" t="s">
        <v>983</v>
      </c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x14ac:dyDescent="0.25">
      <c r="A839" s="8" t="s">
        <v>9295</v>
      </c>
      <c r="C839" s="8" t="s">
        <v>9303</v>
      </c>
      <c r="D839">
        <f t="shared" si="13"/>
        <v>2</v>
      </c>
      <c r="I839" s="1" t="s">
        <v>1001</v>
      </c>
      <c r="J839" s="1" t="s">
        <v>927</v>
      </c>
      <c r="K839" s="1" t="s">
        <v>981</v>
      </c>
      <c r="L839" s="1" t="s">
        <v>919</v>
      </c>
      <c r="M839" s="1" t="s">
        <v>921</v>
      </c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x14ac:dyDescent="0.25">
      <c r="A840" s="7" t="s">
        <v>9263</v>
      </c>
      <c r="C840" s="7" t="s">
        <v>9016</v>
      </c>
      <c r="D840">
        <f t="shared" si="13"/>
        <v>2</v>
      </c>
      <c r="I840" s="1" t="s">
        <v>918</v>
      </c>
      <c r="J840" s="1" t="s">
        <v>919</v>
      </c>
      <c r="K840" s="1" t="s">
        <v>929</v>
      </c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x14ac:dyDescent="0.25">
      <c r="A841" s="8" t="s">
        <v>10476</v>
      </c>
      <c r="C841" s="8" t="s">
        <v>10114</v>
      </c>
      <c r="D841">
        <f t="shared" si="13"/>
        <v>2</v>
      </c>
      <c r="I841" s="1" t="s">
        <v>918</v>
      </c>
      <c r="J841" s="1" t="s">
        <v>919</v>
      </c>
      <c r="K841" s="1" t="s">
        <v>929</v>
      </c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x14ac:dyDescent="0.25">
      <c r="A842" s="7" t="s">
        <v>10343</v>
      </c>
      <c r="C842" s="7" t="s">
        <v>316</v>
      </c>
      <c r="D842">
        <f t="shared" si="13"/>
        <v>2</v>
      </c>
      <c r="I842" s="1" t="s">
        <v>918</v>
      </c>
      <c r="J842" s="1" t="s">
        <v>919</v>
      </c>
      <c r="K842" s="1" t="s">
        <v>929</v>
      </c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x14ac:dyDescent="0.25">
      <c r="A843" s="8" t="s">
        <v>8880</v>
      </c>
      <c r="C843" s="8" t="s">
        <v>9196</v>
      </c>
      <c r="D843">
        <f t="shared" si="13"/>
        <v>2</v>
      </c>
      <c r="I843" s="1" t="s">
        <v>931</v>
      </c>
      <c r="J843" s="1" t="s">
        <v>932</v>
      </c>
      <c r="K843" s="1" t="s">
        <v>25</v>
      </c>
      <c r="L843" s="1" t="s">
        <v>923</v>
      </c>
      <c r="M843" s="1" t="s">
        <v>916</v>
      </c>
      <c r="N843" s="1" t="s">
        <v>920</v>
      </c>
      <c r="O843" s="1" t="s">
        <v>974</v>
      </c>
      <c r="P843" s="1" t="s">
        <v>921</v>
      </c>
      <c r="Q843" s="1"/>
      <c r="R843" s="1"/>
      <c r="S843" s="1"/>
      <c r="T843" s="1"/>
      <c r="U843" s="1"/>
      <c r="V843" s="1"/>
      <c r="W843" s="1"/>
      <c r="X843" s="1"/>
      <c r="Y843" s="1"/>
    </row>
    <row r="844" spans="1:25" x14ac:dyDescent="0.25">
      <c r="A844" s="8" t="s">
        <v>9409</v>
      </c>
      <c r="C844" s="8" t="s">
        <v>9561</v>
      </c>
      <c r="D844">
        <f t="shared" si="13"/>
        <v>2</v>
      </c>
      <c r="I844" s="1" t="s">
        <v>1001</v>
      </c>
      <c r="J844" s="1" t="s">
        <v>918</v>
      </c>
      <c r="K844" s="1" t="s">
        <v>927</v>
      </c>
      <c r="L844" s="1" t="s">
        <v>919</v>
      </c>
      <c r="M844" s="1" t="s">
        <v>936</v>
      </c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x14ac:dyDescent="0.25">
      <c r="A845" s="8" t="s">
        <v>10575</v>
      </c>
      <c r="C845" s="7" t="s">
        <v>9851</v>
      </c>
      <c r="D845">
        <f t="shared" si="13"/>
        <v>2</v>
      </c>
      <c r="I845" s="1" t="s">
        <v>996</v>
      </c>
      <c r="J845" s="1" t="s">
        <v>2541</v>
      </c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x14ac:dyDescent="0.25">
      <c r="A846" s="8" t="s">
        <v>10192</v>
      </c>
      <c r="C846" s="7" t="s">
        <v>9369</v>
      </c>
      <c r="D846">
        <f t="shared" si="13"/>
        <v>2</v>
      </c>
      <c r="I846" s="1" t="s">
        <v>1053</v>
      </c>
      <c r="J846" s="1" t="s">
        <v>328</v>
      </c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x14ac:dyDescent="0.25">
      <c r="A847" s="8" t="s">
        <v>10192</v>
      </c>
      <c r="C847" s="8" t="s">
        <v>9773</v>
      </c>
      <c r="D847">
        <f t="shared" si="13"/>
        <v>2</v>
      </c>
      <c r="I847" s="1" t="s">
        <v>989</v>
      </c>
      <c r="J847" s="1" t="s">
        <v>919</v>
      </c>
      <c r="K847" s="1" t="s">
        <v>918</v>
      </c>
      <c r="L847" s="1" t="s">
        <v>936</v>
      </c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x14ac:dyDescent="0.25">
      <c r="A848" s="8" t="s">
        <v>9841</v>
      </c>
      <c r="C848" s="7" t="s">
        <v>2162</v>
      </c>
      <c r="D848">
        <f t="shared" si="13"/>
        <v>2</v>
      </c>
      <c r="I848" s="1" t="s">
        <v>981</v>
      </c>
      <c r="J848" s="1" t="s">
        <v>1019</v>
      </c>
      <c r="K848" s="1" t="s">
        <v>983</v>
      </c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x14ac:dyDescent="0.25">
      <c r="A849" s="7" t="s">
        <v>9560</v>
      </c>
      <c r="C849" s="7" t="s">
        <v>9980</v>
      </c>
      <c r="D849">
        <f t="shared" si="13"/>
        <v>2</v>
      </c>
      <c r="I849" s="1" t="s">
        <v>25</v>
      </c>
      <c r="J849" s="1" t="s">
        <v>919</v>
      </c>
      <c r="K849" s="1" t="s">
        <v>920</v>
      </c>
      <c r="L849" s="1" t="s">
        <v>921</v>
      </c>
      <c r="M849" s="1" t="s">
        <v>1019</v>
      </c>
      <c r="N849" s="1" t="s">
        <v>983</v>
      </c>
      <c r="O849" s="1" t="s">
        <v>924</v>
      </c>
      <c r="P849" s="1" t="s">
        <v>1020</v>
      </c>
      <c r="Q849" s="1" t="s">
        <v>984</v>
      </c>
      <c r="R849" s="1" t="s">
        <v>1021</v>
      </c>
      <c r="S849" s="1"/>
      <c r="T849" s="1"/>
      <c r="U849" s="1"/>
      <c r="V849" s="1"/>
      <c r="W849" s="1"/>
      <c r="X849" s="1"/>
      <c r="Y849" s="1"/>
    </row>
    <row r="850" spans="1:25" x14ac:dyDescent="0.25">
      <c r="A850" s="8" t="s">
        <v>8988</v>
      </c>
      <c r="C850" s="8" t="s">
        <v>8967</v>
      </c>
      <c r="D850">
        <f t="shared" si="13"/>
        <v>2</v>
      </c>
      <c r="I850" s="1" t="s">
        <v>298</v>
      </c>
      <c r="J850" s="1" t="s">
        <v>25</v>
      </c>
      <c r="K850" s="1" t="s">
        <v>927</v>
      </c>
      <c r="L850" s="1" t="s">
        <v>998</v>
      </c>
      <c r="M850" s="1" t="s">
        <v>1086</v>
      </c>
      <c r="N850" s="1" t="s">
        <v>920</v>
      </c>
      <c r="O850" s="1" t="s">
        <v>933</v>
      </c>
      <c r="P850" s="1" t="s">
        <v>992</v>
      </c>
      <c r="Q850" s="1" t="s">
        <v>10858</v>
      </c>
      <c r="R850" s="1"/>
      <c r="S850" s="1"/>
      <c r="T850" s="1"/>
      <c r="U850" s="1"/>
      <c r="V850" s="1"/>
      <c r="W850" s="1"/>
      <c r="X850" s="1"/>
      <c r="Y850" s="1"/>
    </row>
    <row r="851" spans="1:25" x14ac:dyDescent="0.25">
      <c r="A851" s="7" t="s">
        <v>423</v>
      </c>
      <c r="C851" s="8" t="s">
        <v>9852</v>
      </c>
      <c r="D851">
        <f t="shared" si="13"/>
        <v>2</v>
      </c>
      <c r="I851" s="1" t="s">
        <v>50</v>
      </c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x14ac:dyDescent="0.25">
      <c r="A852" s="7" t="s">
        <v>423</v>
      </c>
      <c r="C852" s="7" t="s">
        <v>7188</v>
      </c>
      <c r="D852">
        <f t="shared" si="13"/>
        <v>2</v>
      </c>
      <c r="I852" s="1" t="s">
        <v>25</v>
      </c>
      <c r="J852" s="1" t="s">
        <v>1086</v>
      </c>
      <c r="K852" s="1" t="s">
        <v>919</v>
      </c>
      <c r="L852" s="1" t="s">
        <v>920</v>
      </c>
      <c r="M852" s="1" t="s">
        <v>921</v>
      </c>
      <c r="N852" s="1" t="s">
        <v>983</v>
      </c>
      <c r="O852" s="1" t="s">
        <v>1027</v>
      </c>
      <c r="P852" s="1" t="s">
        <v>984</v>
      </c>
      <c r="Q852" s="1"/>
      <c r="R852" s="1"/>
      <c r="S852" s="1"/>
      <c r="T852" s="1"/>
      <c r="U852" s="1"/>
      <c r="V852" s="1"/>
      <c r="W852" s="1"/>
      <c r="X852" s="1"/>
      <c r="Y852" s="1"/>
    </row>
    <row r="853" spans="1:25" x14ac:dyDescent="0.25">
      <c r="A853" s="7" t="s">
        <v>423</v>
      </c>
      <c r="C853" s="7" t="s">
        <v>9282</v>
      </c>
      <c r="D853">
        <f t="shared" si="13"/>
        <v>2</v>
      </c>
      <c r="I853" s="1" t="s">
        <v>925</v>
      </c>
      <c r="J853" s="1" t="s">
        <v>927</v>
      </c>
      <c r="K853" s="1" t="s">
        <v>919</v>
      </c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x14ac:dyDescent="0.25">
      <c r="A854" s="7" t="s">
        <v>423</v>
      </c>
      <c r="C854" s="7" t="s">
        <v>9780</v>
      </c>
      <c r="D854">
        <f t="shared" si="13"/>
        <v>2</v>
      </c>
      <c r="I854" s="1" t="s">
        <v>50</v>
      </c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x14ac:dyDescent="0.25">
      <c r="A855" s="7" t="s">
        <v>423</v>
      </c>
      <c r="C855" s="7" t="s">
        <v>7421</v>
      </c>
      <c r="D855">
        <f t="shared" si="13"/>
        <v>2</v>
      </c>
      <c r="I855" s="1" t="s">
        <v>997</v>
      </c>
      <c r="J855" s="1" t="s">
        <v>994</v>
      </c>
      <c r="K855" s="1" t="s">
        <v>10859</v>
      </c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x14ac:dyDescent="0.25">
      <c r="A856" s="7" t="s">
        <v>423</v>
      </c>
      <c r="C856" s="7" t="s">
        <v>9774</v>
      </c>
      <c r="D856">
        <f t="shared" si="13"/>
        <v>2</v>
      </c>
      <c r="I856" s="1" t="s">
        <v>50</v>
      </c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x14ac:dyDescent="0.25">
      <c r="A857" s="7" t="s">
        <v>423</v>
      </c>
      <c r="C857" s="8" t="s">
        <v>9782</v>
      </c>
      <c r="D857">
        <f t="shared" si="13"/>
        <v>2</v>
      </c>
      <c r="I857" s="1" t="s">
        <v>3528</v>
      </c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x14ac:dyDescent="0.25">
      <c r="A858" s="7" t="s">
        <v>423</v>
      </c>
      <c r="C858" s="7" t="s">
        <v>8911</v>
      </c>
      <c r="D858">
        <f t="shared" si="13"/>
        <v>2</v>
      </c>
      <c r="I858" s="1" t="s">
        <v>994</v>
      </c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x14ac:dyDescent="0.25">
      <c r="A859" s="7" t="s">
        <v>423</v>
      </c>
      <c r="C859" s="7" t="s">
        <v>2319</v>
      </c>
      <c r="D859">
        <f t="shared" si="13"/>
        <v>2</v>
      </c>
      <c r="I859" s="1" t="s">
        <v>992</v>
      </c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x14ac:dyDescent="0.25">
      <c r="A860" s="7" t="s">
        <v>423</v>
      </c>
      <c r="C860" s="8" t="s">
        <v>9815</v>
      </c>
      <c r="D860">
        <f t="shared" si="13"/>
        <v>2</v>
      </c>
      <c r="I860" s="1" t="s">
        <v>25</v>
      </c>
      <c r="J860" s="1" t="s">
        <v>923</v>
      </c>
      <c r="K860" s="1" t="s">
        <v>997</v>
      </c>
      <c r="L860" s="1" t="s">
        <v>927</v>
      </c>
      <c r="M860" s="1" t="s">
        <v>998</v>
      </c>
      <c r="N860" s="1" t="s">
        <v>1086</v>
      </c>
      <c r="O860" s="1" t="s">
        <v>933</v>
      </c>
      <c r="P860" s="1" t="s">
        <v>994</v>
      </c>
      <c r="Q860" s="1"/>
      <c r="R860" s="1"/>
      <c r="S860" s="1"/>
      <c r="T860" s="1"/>
      <c r="U860" s="1"/>
      <c r="V860" s="1"/>
      <c r="W860" s="1"/>
      <c r="X860" s="1"/>
      <c r="Y860" s="1"/>
    </row>
    <row r="861" spans="1:25" x14ac:dyDescent="0.25">
      <c r="A861" s="7" t="s">
        <v>423</v>
      </c>
      <c r="C861" s="7" t="s">
        <v>9060</v>
      </c>
      <c r="D861">
        <f t="shared" si="13"/>
        <v>2</v>
      </c>
      <c r="I861" s="1" t="s">
        <v>973</v>
      </c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x14ac:dyDescent="0.25">
      <c r="A862" s="7" t="s">
        <v>423</v>
      </c>
      <c r="C862" s="8" t="s">
        <v>10560</v>
      </c>
      <c r="D862">
        <f t="shared" si="13"/>
        <v>2</v>
      </c>
      <c r="I862" s="1" t="s">
        <v>996</v>
      </c>
      <c r="J862" s="1" t="s">
        <v>25</v>
      </c>
      <c r="K862" s="1" t="s">
        <v>1053</v>
      </c>
      <c r="L862" s="1" t="s">
        <v>2541</v>
      </c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x14ac:dyDescent="0.25">
      <c r="A863" s="7" t="s">
        <v>423</v>
      </c>
      <c r="C863" s="8" t="s">
        <v>9174</v>
      </c>
      <c r="D863">
        <f t="shared" si="13"/>
        <v>2</v>
      </c>
      <c r="I863" s="1" t="s">
        <v>2927</v>
      </c>
      <c r="J863" s="1" t="s">
        <v>1069</v>
      </c>
      <c r="K863" s="1" t="s">
        <v>25</v>
      </c>
      <c r="L863" s="1" t="s">
        <v>923</v>
      </c>
      <c r="M863" s="1" t="s">
        <v>1167</v>
      </c>
      <c r="N863" s="1" t="s">
        <v>998</v>
      </c>
      <c r="O863" s="1" t="s">
        <v>1053</v>
      </c>
      <c r="P863" s="1" t="s">
        <v>1086</v>
      </c>
      <c r="Q863" s="1" t="s">
        <v>933</v>
      </c>
      <c r="R863" s="1" t="s">
        <v>994</v>
      </c>
      <c r="S863" s="1" t="s">
        <v>1001</v>
      </c>
      <c r="T863" s="1" t="s">
        <v>927</v>
      </c>
      <c r="U863" s="1" t="s">
        <v>992</v>
      </c>
      <c r="V863" s="1" t="s">
        <v>981</v>
      </c>
      <c r="W863" s="1"/>
      <c r="X863" s="1"/>
      <c r="Y863" s="1"/>
    </row>
    <row r="864" spans="1:25" x14ac:dyDescent="0.25">
      <c r="A864" s="7" t="s">
        <v>423</v>
      </c>
      <c r="C864" s="7" t="s">
        <v>2681</v>
      </c>
      <c r="D864">
        <f t="shared" si="13"/>
        <v>2</v>
      </c>
      <c r="I864" s="1" t="s">
        <v>998</v>
      </c>
      <c r="J864" s="1" t="s">
        <v>933</v>
      </c>
      <c r="K864" s="1" t="s">
        <v>994</v>
      </c>
      <c r="L864" s="1" t="s">
        <v>927</v>
      </c>
      <c r="M864" s="1" t="s">
        <v>992</v>
      </c>
      <c r="N864" s="1" t="s">
        <v>981</v>
      </c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x14ac:dyDescent="0.25">
      <c r="A865" s="7" t="s">
        <v>423</v>
      </c>
      <c r="C865" s="8" t="s">
        <v>9767</v>
      </c>
      <c r="D865">
        <f t="shared" si="13"/>
        <v>2</v>
      </c>
      <c r="I865" s="1" t="s">
        <v>918</v>
      </c>
      <c r="J865" s="1" t="s">
        <v>927</v>
      </c>
      <c r="K865" s="1" t="s">
        <v>1056</v>
      </c>
      <c r="L865" s="1" t="s">
        <v>981</v>
      </c>
      <c r="M865" s="1" t="s">
        <v>919</v>
      </c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x14ac:dyDescent="0.25">
      <c r="A866" s="7" t="s">
        <v>423</v>
      </c>
      <c r="C866" s="7" t="s">
        <v>9696</v>
      </c>
      <c r="D866">
        <f t="shared" si="13"/>
        <v>2</v>
      </c>
      <c r="I866" s="1" t="s">
        <v>918</v>
      </c>
      <c r="J866" s="1" t="s">
        <v>927</v>
      </c>
      <c r="K866" s="1" t="s">
        <v>1056</v>
      </c>
      <c r="L866" s="1" t="s">
        <v>981</v>
      </c>
      <c r="M866" s="1" t="s">
        <v>919</v>
      </c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x14ac:dyDescent="0.25">
      <c r="A867" s="7" t="s">
        <v>423</v>
      </c>
      <c r="C867" s="7" t="s">
        <v>8875</v>
      </c>
      <c r="D867">
        <f t="shared" si="13"/>
        <v>2</v>
      </c>
      <c r="I867" s="1" t="s">
        <v>996</v>
      </c>
      <c r="J867" s="1" t="s">
        <v>997</v>
      </c>
      <c r="K867" s="1" t="s">
        <v>998</v>
      </c>
      <c r="L867" s="1" t="s">
        <v>992</v>
      </c>
      <c r="M867" s="1" t="s">
        <v>933</v>
      </c>
      <c r="N867" s="1" t="s">
        <v>994</v>
      </c>
      <c r="O867" s="1" t="s">
        <v>1001</v>
      </c>
      <c r="P867" s="1" t="s">
        <v>1013</v>
      </c>
      <c r="Q867" s="1" t="s">
        <v>10835</v>
      </c>
      <c r="R867" s="1"/>
      <c r="S867" s="1"/>
      <c r="T867" s="1"/>
      <c r="U867" s="1"/>
      <c r="V867" s="1"/>
      <c r="W867" s="1"/>
      <c r="X867" s="1"/>
      <c r="Y867" s="1"/>
    </row>
    <row r="868" spans="1:25" x14ac:dyDescent="0.25">
      <c r="A868" s="7" t="s">
        <v>423</v>
      </c>
      <c r="C868" s="7" t="s">
        <v>9131</v>
      </c>
      <c r="D868">
        <f t="shared" si="13"/>
        <v>2</v>
      </c>
      <c r="I868" s="1" t="s">
        <v>996</v>
      </c>
      <c r="J868" s="1" t="s">
        <v>997</v>
      </c>
      <c r="K868" s="1" t="s">
        <v>998</v>
      </c>
      <c r="L868" s="1" t="s">
        <v>992</v>
      </c>
      <c r="M868" s="1" t="s">
        <v>933</v>
      </c>
      <c r="N868" s="1" t="s">
        <v>994</v>
      </c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x14ac:dyDescent="0.25">
      <c r="A869" s="7" t="s">
        <v>423</v>
      </c>
      <c r="C869" s="7" t="s">
        <v>9173</v>
      </c>
      <c r="D869">
        <f t="shared" si="13"/>
        <v>2</v>
      </c>
      <c r="I869" s="1" t="s">
        <v>996</v>
      </c>
      <c r="J869" s="1" t="s">
        <v>997</v>
      </c>
      <c r="K869" s="1" t="s">
        <v>998</v>
      </c>
      <c r="L869" s="1" t="s">
        <v>992</v>
      </c>
      <c r="M869" s="1" t="s">
        <v>933</v>
      </c>
      <c r="N869" s="1" t="s">
        <v>994</v>
      </c>
      <c r="O869" s="1" t="s">
        <v>937</v>
      </c>
      <c r="P869" s="1" t="s">
        <v>10860</v>
      </c>
      <c r="Q869" s="1"/>
      <c r="R869" s="1"/>
      <c r="S869" s="1"/>
      <c r="T869" s="1"/>
      <c r="U869" s="1"/>
      <c r="V869" s="1"/>
      <c r="W869" s="1"/>
      <c r="X869" s="1"/>
      <c r="Y869" s="1"/>
    </row>
    <row r="870" spans="1:25" x14ac:dyDescent="0.25">
      <c r="A870" s="7" t="s">
        <v>423</v>
      </c>
      <c r="C870" s="7" t="s">
        <v>5932</v>
      </c>
      <c r="D870">
        <f t="shared" si="13"/>
        <v>2</v>
      </c>
      <c r="I870" s="1" t="s">
        <v>1018</v>
      </c>
      <c r="J870" s="1" t="s">
        <v>1019</v>
      </c>
      <c r="K870" s="1" t="s">
        <v>983</v>
      </c>
      <c r="L870" s="1" t="s">
        <v>1020</v>
      </c>
      <c r="M870" s="1" t="s">
        <v>984</v>
      </c>
      <c r="N870" s="1" t="s">
        <v>940</v>
      </c>
      <c r="O870" s="1" t="s">
        <v>1011</v>
      </c>
      <c r="P870" s="1" t="s">
        <v>25</v>
      </c>
      <c r="Q870" s="1" t="s">
        <v>927</v>
      </c>
      <c r="R870" s="1" t="s">
        <v>916</v>
      </c>
      <c r="S870" s="1" t="s">
        <v>981</v>
      </c>
      <c r="T870" s="1" t="s">
        <v>982</v>
      </c>
      <c r="U870" s="1" t="s">
        <v>920</v>
      </c>
      <c r="V870" s="1" t="s">
        <v>933</v>
      </c>
      <c r="W870" s="1" t="s">
        <v>921</v>
      </c>
      <c r="X870" s="1" t="s">
        <v>993</v>
      </c>
      <c r="Y870" s="1" t="s">
        <v>994</v>
      </c>
    </row>
    <row r="871" spans="1:25" x14ac:dyDescent="0.25">
      <c r="A871" s="8" t="s">
        <v>423</v>
      </c>
      <c r="C871" s="7" t="s">
        <v>6057</v>
      </c>
      <c r="D871">
        <f t="shared" si="13"/>
        <v>2</v>
      </c>
      <c r="I871" s="1" t="s">
        <v>918</v>
      </c>
      <c r="J871" s="1" t="s">
        <v>949</v>
      </c>
      <c r="K871" s="1" t="s">
        <v>25</v>
      </c>
      <c r="L871" s="1" t="s">
        <v>923</v>
      </c>
      <c r="M871" s="1" t="s">
        <v>919</v>
      </c>
      <c r="N871" s="1" t="s">
        <v>920</v>
      </c>
      <c r="O871" s="1" t="s">
        <v>974</v>
      </c>
      <c r="P871" s="1" t="s">
        <v>921</v>
      </c>
      <c r="Q871" s="1" t="s">
        <v>933</v>
      </c>
      <c r="R871" s="1" t="s">
        <v>954</v>
      </c>
      <c r="S871" s="1" t="s">
        <v>1141</v>
      </c>
      <c r="T871" s="1" t="s">
        <v>10766</v>
      </c>
      <c r="U871" s="1" t="s">
        <v>916</v>
      </c>
      <c r="V871" s="1" t="s">
        <v>924</v>
      </c>
      <c r="W871" s="1"/>
      <c r="X871" s="1"/>
      <c r="Y871" s="1"/>
    </row>
    <row r="872" spans="1:25" x14ac:dyDescent="0.25">
      <c r="A872" s="8" t="s">
        <v>423</v>
      </c>
      <c r="C872" s="7" t="s">
        <v>9363</v>
      </c>
      <c r="D872">
        <f t="shared" si="13"/>
        <v>2</v>
      </c>
      <c r="I872" s="1" t="s">
        <v>50</v>
      </c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x14ac:dyDescent="0.25">
      <c r="A873" s="8" t="s">
        <v>423</v>
      </c>
      <c r="C873" s="7" t="s">
        <v>266</v>
      </c>
      <c r="D873">
        <f t="shared" si="13"/>
        <v>2</v>
      </c>
      <c r="I873" s="1" t="s">
        <v>981</v>
      </c>
      <c r="J873" s="1" t="s">
        <v>1019</v>
      </c>
      <c r="K873" s="1" t="s">
        <v>983</v>
      </c>
      <c r="L873" s="1" t="s">
        <v>10697</v>
      </c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x14ac:dyDescent="0.25">
      <c r="A874" s="8" t="s">
        <v>10479</v>
      </c>
      <c r="C874" s="7" t="s">
        <v>9929</v>
      </c>
      <c r="D874">
        <f t="shared" si="13"/>
        <v>2</v>
      </c>
      <c r="I874" s="1" t="s">
        <v>1001</v>
      </c>
      <c r="J874" s="1" t="s">
        <v>1019</v>
      </c>
      <c r="K874" s="1" t="s">
        <v>2541</v>
      </c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x14ac:dyDescent="0.25">
      <c r="A875" s="7" t="s">
        <v>9735</v>
      </c>
      <c r="C875" s="7" t="s">
        <v>89</v>
      </c>
      <c r="D875">
        <f t="shared" si="13"/>
        <v>2</v>
      </c>
      <c r="I875" s="1" t="s">
        <v>10698</v>
      </c>
      <c r="J875" s="1" t="s">
        <v>983</v>
      </c>
      <c r="K875" s="1" t="s">
        <v>919</v>
      </c>
      <c r="L875" s="1" t="s">
        <v>1020</v>
      </c>
      <c r="M875" s="1" t="s">
        <v>929</v>
      </c>
      <c r="N875" s="1" t="s">
        <v>1081</v>
      </c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x14ac:dyDescent="0.25">
      <c r="A876" s="7" t="s">
        <v>9735</v>
      </c>
      <c r="C876" s="7" t="s">
        <v>8862</v>
      </c>
      <c r="D876">
        <f t="shared" si="13"/>
        <v>2</v>
      </c>
      <c r="I876" s="1" t="s">
        <v>948</v>
      </c>
      <c r="J876" s="1" t="s">
        <v>1149</v>
      </c>
      <c r="K876" s="1" t="s">
        <v>25</v>
      </c>
      <c r="L876" s="1" t="s">
        <v>997</v>
      </c>
      <c r="M876" s="1" t="s">
        <v>1150</v>
      </c>
      <c r="N876" s="1" t="s">
        <v>1086</v>
      </c>
      <c r="O876" s="1" t="s">
        <v>2927</v>
      </c>
      <c r="P876" s="1" t="s">
        <v>923</v>
      </c>
      <c r="Q876" s="1" t="s">
        <v>998</v>
      </c>
      <c r="R876" s="1" t="s">
        <v>1053</v>
      </c>
      <c r="S876" s="1" t="s">
        <v>920</v>
      </c>
      <c r="T876" s="1" t="s">
        <v>933</v>
      </c>
      <c r="U876" s="1" t="s">
        <v>1022</v>
      </c>
      <c r="V876" s="1" t="s">
        <v>1027</v>
      </c>
      <c r="W876" s="1"/>
      <c r="X876" s="1"/>
      <c r="Y876" s="1"/>
    </row>
    <row r="877" spans="1:25" x14ac:dyDescent="0.25">
      <c r="A877" s="7" t="s">
        <v>7597</v>
      </c>
      <c r="C877" s="7" t="s">
        <v>9500</v>
      </c>
      <c r="D877">
        <f t="shared" si="13"/>
        <v>2</v>
      </c>
      <c r="I877" s="1" t="s">
        <v>10861</v>
      </c>
      <c r="J877" s="1" t="s">
        <v>925</v>
      </c>
      <c r="K877" s="1" t="s">
        <v>918</v>
      </c>
      <c r="L877" s="1" t="s">
        <v>10862</v>
      </c>
      <c r="M877" s="1" t="s">
        <v>953</v>
      </c>
      <c r="N877" s="1" t="s">
        <v>10863</v>
      </c>
      <c r="O877" s="1" t="s">
        <v>10864</v>
      </c>
      <c r="P877" s="1" t="s">
        <v>919</v>
      </c>
      <c r="Q877" s="1" t="s">
        <v>964</v>
      </c>
      <c r="R877" s="1" t="s">
        <v>1109</v>
      </c>
      <c r="S877" s="1"/>
      <c r="T877" s="1"/>
      <c r="U877" s="1"/>
      <c r="V877" s="1"/>
      <c r="W877" s="1"/>
      <c r="X877" s="1"/>
      <c r="Y877" s="1"/>
    </row>
    <row r="878" spans="1:25" x14ac:dyDescent="0.25">
      <c r="A878" s="7" t="s">
        <v>7597</v>
      </c>
      <c r="C878" s="8" t="s">
        <v>9749</v>
      </c>
      <c r="D878">
        <f t="shared" si="13"/>
        <v>2</v>
      </c>
      <c r="I878" s="1" t="s">
        <v>981</v>
      </c>
      <c r="J878" s="1" t="s">
        <v>1019</v>
      </c>
      <c r="K878" s="1" t="s">
        <v>983</v>
      </c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x14ac:dyDescent="0.25">
      <c r="A879" s="7" t="s">
        <v>7597</v>
      </c>
      <c r="C879" s="8" t="s">
        <v>9134</v>
      </c>
      <c r="D879">
        <f t="shared" si="13"/>
        <v>2</v>
      </c>
      <c r="I879" s="1" t="s">
        <v>10762</v>
      </c>
      <c r="J879" s="1" t="s">
        <v>955</v>
      </c>
      <c r="K879" s="1" t="s">
        <v>1014</v>
      </c>
      <c r="L879" s="1" t="s">
        <v>10741</v>
      </c>
      <c r="M879" s="1" t="s">
        <v>1034</v>
      </c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x14ac:dyDescent="0.25">
      <c r="A880" s="8" t="s">
        <v>7597</v>
      </c>
      <c r="C880" s="8" t="s">
        <v>10074</v>
      </c>
      <c r="D880">
        <f t="shared" si="13"/>
        <v>2</v>
      </c>
      <c r="I880" s="1" t="s">
        <v>10762</v>
      </c>
      <c r="J880" s="1" t="s">
        <v>955</v>
      </c>
      <c r="K880" s="1" t="s">
        <v>1014</v>
      </c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x14ac:dyDescent="0.25">
      <c r="A881" s="8" t="s">
        <v>7597</v>
      </c>
      <c r="C881" s="8" t="s">
        <v>10670</v>
      </c>
      <c r="D881">
        <f t="shared" si="13"/>
        <v>2</v>
      </c>
      <c r="I881" s="1" t="s">
        <v>1053</v>
      </c>
      <c r="J881" s="1" t="s">
        <v>933</v>
      </c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x14ac:dyDescent="0.25">
      <c r="A882" s="8" t="s">
        <v>7597</v>
      </c>
      <c r="C882" s="8" t="s">
        <v>10518</v>
      </c>
      <c r="D882">
        <f t="shared" si="13"/>
        <v>2</v>
      </c>
      <c r="I882" s="1" t="s">
        <v>927</v>
      </c>
      <c r="J882" s="1" t="s">
        <v>919</v>
      </c>
      <c r="K882" s="1" t="s">
        <v>1001</v>
      </c>
      <c r="L882" s="1" t="s">
        <v>981</v>
      </c>
      <c r="M882" s="1" t="s">
        <v>921</v>
      </c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x14ac:dyDescent="0.25">
      <c r="A883" s="8" t="s">
        <v>10254</v>
      </c>
      <c r="C883" s="7" t="s">
        <v>10272</v>
      </c>
      <c r="D883">
        <f t="shared" si="13"/>
        <v>2</v>
      </c>
      <c r="I883" s="1" t="s">
        <v>50</v>
      </c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x14ac:dyDescent="0.25">
      <c r="A884" s="8" t="s">
        <v>10254</v>
      </c>
      <c r="C884" s="8" t="s">
        <v>9610</v>
      </c>
      <c r="D884">
        <f t="shared" si="13"/>
        <v>2</v>
      </c>
      <c r="I884" s="1" t="s">
        <v>10746</v>
      </c>
      <c r="J884" s="1" t="s">
        <v>924</v>
      </c>
      <c r="K884" s="1" t="s">
        <v>1034</v>
      </c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x14ac:dyDescent="0.25">
      <c r="A885" s="8" t="s">
        <v>9665</v>
      </c>
      <c r="C885" s="7" t="s">
        <v>24</v>
      </c>
      <c r="D885">
        <f t="shared" si="13"/>
        <v>2</v>
      </c>
      <c r="I885" s="1" t="s">
        <v>918</v>
      </c>
      <c r="J885" s="1" t="s">
        <v>919</v>
      </c>
      <c r="K885" s="1" t="s">
        <v>924</v>
      </c>
      <c r="L885" s="1" t="s">
        <v>1064</v>
      </c>
      <c r="M885" s="1" t="s">
        <v>967</v>
      </c>
      <c r="N885" s="1" t="s">
        <v>1065</v>
      </c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x14ac:dyDescent="0.25">
      <c r="A886" s="7" t="s">
        <v>7093</v>
      </c>
      <c r="C886" s="8" t="s">
        <v>9234</v>
      </c>
      <c r="D886">
        <f t="shared" si="13"/>
        <v>2</v>
      </c>
      <c r="I886" s="1" t="s">
        <v>940</v>
      </c>
      <c r="J886" s="1" t="s">
        <v>1011</v>
      </c>
      <c r="K886" s="1" t="s">
        <v>25</v>
      </c>
      <c r="L886" s="1" t="s">
        <v>923</v>
      </c>
      <c r="M886" s="1" t="s">
        <v>920</v>
      </c>
      <c r="N886" s="1" t="s">
        <v>933</v>
      </c>
      <c r="O886" s="1" t="s">
        <v>921</v>
      </c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x14ac:dyDescent="0.25">
      <c r="A887" s="7" t="s">
        <v>7093</v>
      </c>
      <c r="C887" s="8" t="s">
        <v>9856</v>
      </c>
      <c r="D887">
        <f t="shared" si="13"/>
        <v>2</v>
      </c>
      <c r="I887" s="1" t="s">
        <v>50</v>
      </c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x14ac:dyDescent="0.25">
      <c r="A888" s="7" t="s">
        <v>9911</v>
      </c>
      <c r="C888" s="7" t="s">
        <v>9235</v>
      </c>
      <c r="D888">
        <f t="shared" si="13"/>
        <v>2</v>
      </c>
      <c r="I888" s="1" t="s">
        <v>50</v>
      </c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x14ac:dyDescent="0.25">
      <c r="A889" s="8" t="s">
        <v>10292</v>
      </c>
      <c r="C889" s="7" t="s">
        <v>9222</v>
      </c>
      <c r="D889">
        <f t="shared" si="13"/>
        <v>2</v>
      </c>
      <c r="I889" s="1" t="s">
        <v>2927</v>
      </c>
      <c r="J889" s="1" t="s">
        <v>1069</v>
      </c>
      <c r="K889" s="1" t="s">
        <v>25</v>
      </c>
      <c r="L889" s="1" t="s">
        <v>923</v>
      </c>
      <c r="M889" s="1" t="s">
        <v>1053</v>
      </c>
      <c r="N889" s="1" t="s">
        <v>1086</v>
      </c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x14ac:dyDescent="0.25">
      <c r="A890" s="8" t="s">
        <v>10243</v>
      </c>
      <c r="C890" s="8" t="s">
        <v>8922</v>
      </c>
      <c r="D890">
        <f t="shared" si="13"/>
        <v>2</v>
      </c>
      <c r="I890" s="1" t="s">
        <v>940</v>
      </c>
      <c r="J890" s="1" t="s">
        <v>1011</v>
      </c>
      <c r="K890" s="1" t="s">
        <v>25</v>
      </c>
      <c r="L890" s="1" t="s">
        <v>999</v>
      </c>
      <c r="M890" s="1" t="s">
        <v>920</v>
      </c>
      <c r="N890" s="1" t="s">
        <v>933</v>
      </c>
      <c r="O890" s="1" t="s">
        <v>921</v>
      </c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x14ac:dyDescent="0.25">
      <c r="A891" s="8" t="s">
        <v>10683</v>
      </c>
      <c r="C891" s="8" t="s">
        <v>10504</v>
      </c>
      <c r="D891">
        <f t="shared" si="13"/>
        <v>2</v>
      </c>
      <c r="I891" s="1" t="s">
        <v>996</v>
      </c>
      <c r="J891" s="1" t="s">
        <v>923</v>
      </c>
      <c r="K891" s="1" t="s">
        <v>1053</v>
      </c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x14ac:dyDescent="0.25">
      <c r="A892" s="7" t="s">
        <v>469</v>
      </c>
      <c r="C892" s="7" t="s">
        <v>6422</v>
      </c>
      <c r="D892">
        <f t="shared" si="13"/>
        <v>2</v>
      </c>
      <c r="I892" s="1" t="s">
        <v>90</v>
      </c>
      <c r="J892" s="1" t="s">
        <v>2541</v>
      </c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x14ac:dyDescent="0.25">
      <c r="A893" s="7" t="s">
        <v>469</v>
      </c>
      <c r="C893" s="8" t="s">
        <v>9939</v>
      </c>
      <c r="D893">
        <f t="shared" si="13"/>
        <v>2</v>
      </c>
      <c r="I893" s="1" t="s">
        <v>996</v>
      </c>
      <c r="J893" s="1" t="s">
        <v>2541</v>
      </c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x14ac:dyDescent="0.25">
      <c r="A894" s="7" t="s">
        <v>469</v>
      </c>
      <c r="C894" s="7" t="s">
        <v>3622</v>
      </c>
      <c r="D894">
        <f t="shared" si="13"/>
        <v>2</v>
      </c>
      <c r="I894" s="1" t="s">
        <v>25</v>
      </c>
      <c r="J894" s="1" t="s">
        <v>923</v>
      </c>
      <c r="K894" s="1" t="s">
        <v>998</v>
      </c>
      <c r="L894" s="1" t="s">
        <v>1053</v>
      </c>
      <c r="M894" s="1" t="s">
        <v>933</v>
      </c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x14ac:dyDescent="0.25">
      <c r="A895" s="7" t="s">
        <v>469</v>
      </c>
      <c r="C895" s="7" t="s">
        <v>9125</v>
      </c>
      <c r="D895">
        <f t="shared" si="13"/>
        <v>2</v>
      </c>
      <c r="I895" s="1" t="s">
        <v>50</v>
      </c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x14ac:dyDescent="0.25">
      <c r="A896" s="7" t="s">
        <v>469</v>
      </c>
      <c r="C896" s="8" t="s">
        <v>8909</v>
      </c>
      <c r="D896">
        <f t="shared" si="13"/>
        <v>2</v>
      </c>
      <c r="I896" s="1" t="s">
        <v>933</v>
      </c>
      <c r="J896" s="1" t="s">
        <v>328</v>
      </c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x14ac:dyDescent="0.25">
      <c r="A897" s="7" t="s">
        <v>469</v>
      </c>
      <c r="C897" s="8" t="s">
        <v>9861</v>
      </c>
      <c r="D897">
        <f t="shared" si="13"/>
        <v>2</v>
      </c>
      <c r="I897" s="1" t="s">
        <v>996</v>
      </c>
      <c r="J897" s="1" t="s">
        <v>1053</v>
      </c>
      <c r="K897" s="1" t="s">
        <v>1086</v>
      </c>
      <c r="L897" s="1" t="s">
        <v>933</v>
      </c>
      <c r="M897" s="1" t="s">
        <v>2541</v>
      </c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x14ac:dyDescent="0.25">
      <c r="A898" s="8" t="s">
        <v>10449</v>
      </c>
      <c r="C898" s="7" t="s">
        <v>411</v>
      </c>
      <c r="D898">
        <f t="shared" ref="D898:D961" si="14">COUNTIF(A:A,C898)</f>
        <v>2</v>
      </c>
      <c r="I898" s="1" t="s">
        <v>933</v>
      </c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x14ac:dyDescent="0.25">
      <c r="A899" s="8" t="s">
        <v>9296</v>
      </c>
      <c r="C899" s="8" t="s">
        <v>9497</v>
      </c>
      <c r="D899">
        <f t="shared" si="14"/>
        <v>2</v>
      </c>
      <c r="I899" s="1" t="s">
        <v>933</v>
      </c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x14ac:dyDescent="0.25">
      <c r="A900" s="8" t="s">
        <v>9296</v>
      </c>
      <c r="C900" s="8" t="s">
        <v>10145</v>
      </c>
      <c r="D900">
        <f t="shared" si="14"/>
        <v>2</v>
      </c>
      <c r="I900" s="1" t="s">
        <v>933</v>
      </c>
      <c r="J900" s="1" t="s">
        <v>1001</v>
      </c>
      <c r="K900" s="1" t="s">
        <v>927</v>
      </c>
      <c r="L900" s="1" t="s">
        <v>992</v>
      </c>
      <c r="M900" s="1" t="s">
        <v>981</v>
      </c>
      <c r="N900" s="1" t="s">
        <v>978</v>
      </c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x14ac:dyDescent="0.25">
      <c r="A901" s="7" t="s">
        <v>1975</v>
      </c>
      <c r="C901" s="8" t="s">
        <v>10303</v>
      </c>
      <c r="D901">
        <f t="shared" si="14"/>
        <v>2</v>
      </c>
      <c r="I901" s="1" t="s">
        <v>25</v>
      </c>
      <c r="J901" s="1" t="s">
        <v>998</v>
      </c>
      <c r="K901" s="1" t="s">
        <v>1086</v>
      </c>
      <c r="L901" s="1" t="s">
        <v>920</v>
      </c>
      <c r="M901" s="1" t="s">
        <v>933</v>
      </c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x14ac:dyDescent="0.25">
      <c r="A902" s="7" t="s">
        <v>1975</v>
      </c>
      <c r="C902" s="7" t="s">
        <v>5390</v>
      </c>
      <c r="D902">
        <f t="shared" si="14"/>
        <v>2</v>
      </c>
      <c r="I902" s="1" t="s">
        <v>1001</v>
      </c>
      <c r="J902" s="1" t="s">
        <v>927</v>
      </c>
      <c r="K902" s="1" t="s">
        <v>992</v>
      </c>
      <c r="L902" s="1" t="s">
        <v>981</v>
      </c>
      <c r="M902" s="1" t="s">
        <v>919</v>
      </c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x14ac:dyDescent="0.25">
      <c r="A903" s="7" t="s">
        <v>1975</v>
      </c>
      <c r="C903" s="8" t="s">
        <v>8897</v>
      </c>
      <c r="D903">
        <f t="shared" si="14"/>
        <v>2</v>
      </c>
      <c r="I903" s="1" t="s">
        <v>981</v>
      </c>
      <c r="J903" s="1" t="s">
        <v>983</v>
      </c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x14ac:dyDescent="0.25">
      <c r="A904" s="7" t="s">
        <v>1975</v>
      </c>
      <c r="C904" s="7" t="s">
        <v>2232</v>
      </c>
      <c r="D904">
        <f t="shared" si="14"/>
        <v>2</v>
      </c>
      <c r="I904" s="1" t="s">
        <v>90</v>
      </c>
      <c r="J904" s="1" t="s">
        <v>996</v>
      </c>
      <c r="K904" s="1" t="s">
        <v>25</v>
      </c>
      <c r="L904" s="1" t="s">
        <v>923</v>
      </c>
      <c r="M904" s="1" t="s">
        <v>997</v>
      </c>
      <c r="N904" s="1" t="s">
        <v>927</v>
      </c>
      <c r="O904" s="1" t="s">
        <v>998</v>
      </c>
      <c r="P904" s="1" t="s">
        <v>1086</v>
      </c>
      <c r="Q904" s="1" t="s">
        <v>994</v>
      </c>
      <c r="R904" s="1"/>
      <c r="S904" s="1"/>
      <c r="T904" s="1"/>
      <c r="U904" s="1"/>
      <c r="V904" s="1"/>
      <c r="W904" s="1"/>
      <c r="X904" s="1"/>
      <c r="Y904" s="1"/>
    </row>
    <row r="905" spans="1:25" x14ac:dyDescent="0.25">
      <c r="A905" s="8" t="s">
        <v>1975</v>
      </c>
      <c r="C905" s="7" t="s">
        <v>9865</v>
      </c>
      <c r="D905">
        <f t="shared" si="14"/>
        <v>2</v>
      </c>
      <c r="I905" s="1" t="s">
        <v>925</v>
      </c>
      <c r="J905" s="1" t="s">
        <v>927</v>
      </c>
      <c r="K905" s="1" t="s">
        <v>919</v>
      </c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x14ac:dyDescent="0.25">
      <c r="A906" s="8" t="s">
        <v>1975</v>
      </c>
      <c r="C906" s="8" t="s">
        <v>9003</v>
      </c>
      <c r="D906">
        <f t="shared" si="14"/>
        <v>2</v>
      </c>
      <c r="I906" s="1" t="s">
        <v>256</v>
      </c>
      <c r="J906" s="1" t="s">
        <v>1013</v>
      </c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x14ac:dyDescent="0.25">
      <c r="A907" s="8" t="s">
        <v>10147</v>
      </c>
      <c r="C907" s="7" t="s">
        <v>8913</v>
      </c>
      <c r="D907">
        <f t="shared" si="14"/>
        <v>2</v>
      </c>
      <c r="I907" s="1" t="s">
        <v>918</v>
      </c>
      <c r="J907" s="1" t="s">
        <v>25</v>
      </c>
      <c r="K907" s="1" t="s">
        <v>923</v>
      </c>
      <c r="L907" s="1" t="s">
        <v>919</v>
      </c>
      <c r="M907" s="1" t="s">
        <v>920</v>
      </c>
      <c r="N907" s="1" t="s">
        <v>921</v>
      </c>
      <c r="O907" s="1" t="s">
        <v>942</v>
      </c>
      <c r="P907" s="1" t="s">
        <v>936</v>
      </c>
      <c r="Q907" s="1" t="s">
        <v>972</v>
      </c>
      <c r="R907" s="1" t="s">
        <v>929</v>
      </c>
      <c r="S907" s="1" t="s">
        <v>934</v>
      </c>
      <c r="T907" s="1" t="s">
        <v>924</v>
      </c>
      <c r="U907" s="1"/>
      <c r="V907" s="1"/>
      <c r="W907" s="1"/>
      <c r="X907" s="1"/>
      <c r="Y907" s="1"/>
    </row>
    <row r="908" spans="1:25" x14ac:dyDescent="0.25">
      <c r="A908" s="8" t="s">
        <v>10147</v>
      </c>
      <c r="C908" s="7" t="s">
        <v>10171</v>
      </c>
      <c r="D908">
        <f t="shared" si="14"/>
        <v>2</v>
      </c>
      <c r="I908" s="1" t="s">
        <v>298</v>
      </c>
      <c r="J908" s="1" t="s">
        <v>25</v>
      </c>
      <c r="K908" s="1" t="s">
        <v>923</v>
      </c>
      <c r="L908" s="1" t="s">
        <v>997</v>
      </c>
      <c r="M908" s="1" t="s">
        <v>927</v>
      </c>
      <c r="N908" s="1" t="s">
        <v>998</v>
      </c>
      <c r="O908" s="1" t="s">
        <v>992</v>
      </c>
      <c r="P908" s="1" t="s">
        <v>1086</v>
      </c>
      <c r="Q908" s="1" t="s">
        <v>920</v>
      </c>
      <c r="R908" s="1" t="s">
        <v>933</v>
      </c>
      <c r="S908" s="1" t="s">
        <v>994</v>
      </c>
      <c r="T908" s="1" t="s">
        <v>10865</v>
      </c>
      <c r="U908" s="1" t="s">
        <v>10866</v>
      </c>
      <c r="V908" s="1" t="s">
        <v>961</v>
      </c>
      <c r="W908" s="1" t="s">
        <v>10867</v>
      </c>
      <c r="X908" s="1" t="s">
        <v>10868</v>
      </c>
      <c r="Y908" s="1" t="s">
        <v>10869</v>
      </c>
    </row>
    <row r="909" spans="1:25" x14ac:dyDescent="0.25">
      <c r="A909" s="8" t="s">
        <v>9027</v>
      </c>
      <c r="C909" s="7" t="s">
        <v>3628</v>
      </c>
      <c r="D909">
        <f t="shared" si="14"/>
        <v>2</v>
      </c>
      <c r="I909" s="1" t="s">
        <v>1019</v>
      </c>
      <c r="J909" s="1" t="s">
        <v>983</v>
      </c>
      <c r="K909" s="1" t="s">
        <v>984</v>
      </c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x14ac:dyDescent="0.25">
      <c r="A910" s="7" t="s">
        <v>10169</v>
      </c>
      <c r="C910" s="7" t="s">
        <v>3705</v>
      </c>
      <c r="D910">
        <f t="shared" si="14"/>
        <v>2</v>
      </c>
      <c r="I910" s="1" t="s">
        <v>10739</v>
      </c>
      <c r="J910" s="1" t="s">
        <v>10870</v>
      </c>
      <c r="K910" s="1" t="s">
        <v>955</v>
      </c>
      <c r="L910" s="1" t="s">
        <v>924</v>
      </c>
      <c r="M910" s="1" t="s">
        <v>1014</v>
      </c>
      <c r="N910" s="1" t="s">
        <v>10871</v>
      </c>
      <c r="O910" s="1" t="s">
        <v>956</v>
      </c>
      <c r="P910" s="1" t="s">
        <v>1085</v>
      </c>
      <c r="Q910" s="1" t="s">
        <v>944</v>
      </c>
      <c r="R910" s="1" t="s">
        <v>10797</v>
      </c>
      <c r="S910" s="1"/>
      <c r="T910" s="1"/>
      <c r="U910" s="1"/>
      <c r="V910" s="1"/>
      <c r="W910" s="1"/>
      <c r="X910" s="1"/>
      <c r="Y910" s="1"/>
    </row>
    <row r="911" spans="1:25" x14ac:dyDescent="0.25">
      <c r="A911" s="7" t="s">
        <v>5471</v>
      </c>
      <c r="C911" s="7" t="s">
        <v>9557</v>
      </c>
      <c r="D911">
        <f t="shared" si="14"/>
        <v>2</v>
      </c>
      <c r="I911" s="1" t="s">
        <v>996</v>
      </c>
      <c r="J911" s="1" t="s">
        <v>933</v>
      </c>
      <c r="K911" s="1" t="s">
        <v>994</v>
      </c>
      <c r="L911" s="1" t="s">
        <v>1017</v>
      </c>
      <c r="M911" s="1" t="s">
        <v>1037</v>
      </c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x14ac:dyDescent="0.25">
      <c r="A912" s="7" t="s">
        <v>5471</v>
      </c>
      <c r="C912" s="7" t="s">
        <v>9612</v>
      </c>
      <c r="D912">
        <f t="shared" si="14"/>
        <v>2</v>
      </c>
      <c r="I912" s="1" t="s">
        <v>918</v>
      </c>
      <c r="J912" s="1" t="s">
        <v>927</v>
      </c>
      <c r="K912" s="1" t="s">
        <v>1056</v>
      </c>
      <c r="L912" s="1" t="s">
        <v>981</v>
      </c>
      <c r="M912" s="1" t="s">
        <v>919</v>
      </c>
      <c r="N912" s="1" t="s">
        <v>975</v>
      </c>
      <c r="O912" s="1" t="s">
        <v>925</v>
      </c>
      <c r="P912" s="1" t="s">
        <v>1057</v>
      </c>
      <c r="Q912" s="1" t="s">
        <v>1058</v>
      </c>
      <c r="R912" s="1" t="s">
        <v>976</v>
      </c>
      <c r="S912" s="1" t="s">
        <v>1029</v>
      </c>
      <c r="T912" s="1" t="s">
        <v>939</v>
      </c>
      <c r="U912" s="1" t="s">
        <v>983</v>
      </c>
      <c r="V912" s="1" t="s">
        <v>1059</v>
      </c>
      <c r="W912" s="1" t="s">
        <v>1060</v>
      </c>
      <c r="X912" s="1"/>
      <c r="Y912" s="1"/>
    </row>
    <row r="913" spans="1:25" x14ac:dyDescent="0.25">
      <c r="A913" s="7" t="s">
        <v>5471</v>
      </c>
      <c r="C913" s="7" t="s">
        <v>8915</v>
      </c>
      <c r="D913">
        <f t="shared" si="14"/>
        <v>2</v>
      </c>
      <c r="I913" s="1" t="s">
        <v>8695</v>
      </c>
      <c r="J913" s="1" t="s">
        <v>10741</v>
      </c>
      <c r="K913" s="1" t="s">
        <v>10746</v>
      </c>
      <c r="L913" s="1" t="s">
        <v>924</v>
      </c>
      <c r="M913" s="1" t="s">
        <v>1014</v>
      </c>
      <c r="N913" s="1" t="s">
        <v>10872</v>
      </c>
      <c r="O913" s="1" t="s">
        <v>944</v>
      </c>
      <c r="P913" s="1" t="s">
        <v>956</v>
      </c>
      <c r="Q913" s="1" t="s">
        <v>10762</v>
      </c>
      <c r="R913" s="1" t="s">
        <v>955</v>
      </c>
      <c r="S913" s="1"/>
      <c r="T913" s="1"/>
      <c r="U913" s="1"/>
      <c r="V913" s="1"/>
      <c r="W913" s="1"/>
      <c r="X913" s="1"/>
      <c r="Y913" s="1"/>
    </row>
    <row r="914" spans="1:25" x14ac:dyDescent="0.25">
      <c r="A914" s="7" t="s">
        <v>5471</v>
      </c>
      <c r="C914" s="8" t="s">
        <v>9709</v>
      </c>
      <c r="D914">
        <f t="shared" si="14"/>
        <v>2</v>
      </c>
      <c r="I914" s="1" t="s">
        <v>996</v>
      </c>
      <c r="J914" s="1" t="s">
        <v>997</v>
      </c>
      <c r="K914" s="1" t="s">
        <v>998</v>
      </c>
      <c r="L914" s="1" t="s">
        <v>992</v>
      </c>
      <c r="M914" s="1" t="s">
        <v>933</v>
      </c>
      <c r="N914" s="1" t="s">
        <v>994</v>
      </c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x14ac:dyDescent="0.25">
      <c r="A915" s="8" t="s">
        <v>5471</v>
      </c>
      <c r="C915" s="7" t="s">
        <v>458</v>
      </c>
      <c r="D915">
        <f t="shared" si="14"/>
        <v>2</v>
      </c>
      <c r="I915" s="1" t="s">
        <v>1001</v>
      </c>
      <c r="J915" s="1" t="s">
        <v>927</v>
      </c>
      <c r="K915" s="1" t="s">
        <v>981</v>
      </c>
      <c r="L915" s="1" t="s">
        <v>919</v>
      </c>
      <c r="M915" s="1" t="s">
        <v>921</v>
      </c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x14ac:dyDescent="0.25">
      <c r="A916" s="8" t="s">
        <v>5471</v>
      </c>
      <c r="C916" s="8" t="s">
        <v>8979</v>
      </c>
      <c r="D916">
        <f t="shared" si="14"/>
        <v>2</v>
      </c>
      <c r="I916" s="1" t="s">
        <v>732</v>
      </c>
      <c r="J916" s="1" t="s">
        <v>1149</v>
      </c>
      <c r="K916" s="1" t="s">
        <v>25</v>
      </c>
      <c r="L916" s="1" t="s">
        <v>998</v>
      </c>
      <c r="M916" s="1" t="s">
        <v>1086</v>
      </c>
      <c r="N916" s="1" t="s">
        <v>920</v>
      </c>
      <c r="O916" s="1" t="s">
        <v>933</v>
      </c>
      <c r="P916" s="1" t="s">
        <v>974</v>
      </c>
      <c r="Q916" s="1" t="s">
        <v>10719</v>
      </c>
      <c r="R916" s="1" t="s">
        <v>948</v>
      </c>
      <c r="S916" s="1" t="s">
        <v>923</v>
      </c>
      <c r="T916" s="1" t="s">
        <v>997</v>
      </c>
      <c r="U916" s="1" t="s">
        <v>10873</v>
      </c>
      <c r="V916" s="1" t="s">
        <v>2927</v>
      </c>
      <c r="W916" s="1" t="s">
        <v>1053</v>
      </c>
      <c r="X916" s="1" t="s">
        <v>1150</v>
      </c>
      <c r="Y916" s="1"/>
    </row>
    <row r="917" spans="1:25" x14ac:dyDescent="0.25">
      <c r="A917" s="8" t="s">
        <v>9871</v>
      </c>
      <c r="C917" s="8" t="s">
        <v>9393</v>
      </c>
      <c r="D917">
        <f t="shared" si="14"/>
        <v>2</v>
      </c>
      <c r="I917" s="1" t="s">
        <v>1053</v>
      </c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x14ac:dyDescent="0.25">
      <c r="A918" s="8" t="s">
        <v>10323</v>
      </c>
      <c r="C918" s="7" t="s">
        <v>8943</v>
      </c>
      <c r="D918">
        <f t="shared" si="14"/>
        <v>2</v>
      </c>
      <c r="I918" s="1" t="s">
        <v>1053</v>
      </c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x14ac:dyDescent="0.25">
      <c r="A919" s="8" t="s">
        <v>10399</v>
      </c>
      <c r="C919" s="7" t="s">
        <v>8260</v>
      </c>
      <c r="D919">
        <f t="shared" si="14"/>
        <v>2</v>
      </c>
      <c r="I919" s="1" t="s">
        <v>1053</v>
      </c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x14ac:dyDescent="0.25">
      <c r="A920" s="8" t="s">
        <v>10090</v>
      </c>
      <c r="C920" s="8" t="s">
        <v>10370</v>
      </c>
      <c r="D920">
        <f t="shared" si="14"/>
        <v>2</v>
      </c>
      <c r="I920" s="1" t="s">
        <v>10762</v>
      </c>
      <c r="J920" s="1" t="s">
        <v>955</v>
      </c>
      <c r="K920" s="1" t="s">
        <v>1014</v>
      </c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x14ac:dyDescent="0.25">
      <c r="A921" s="8" t="s">
        <v>9507</v>
      </c>
      <c r="C921" s="7" t="s">
        <v>3332</v>
      </c>
      <c r="D921">
        <f t="shared" si="14"/>
        <v>2</v>
      </c>
      <c r="I921" s="1" t="s">
        <v>256</v>
      </c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x14ac:dyDescent="0.25">
      <c r="A922" s="8" t="s">
        <v>10375</v>
      </c>
      <c r="C922" s="7" t="s">
        <v>4971</v>
      </c>
      <c r="D922">
        <f t="shared" si="14"/>
        <v>2</v>
      </c>
      <c r="I922" s="1" t="s">
        <v>50</v>
      </c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x14ac:dyDescent="0.25">
      <c r="A923" s="8" t="s">
        <v>9056</v>
      </c>
      <c r="C923" s="8" t="s">
        <v>8872</v>
      </c>
      <c r="D923">
        <f t="shared" si="14"/>
        <v>2</v>
      </c>
      <c r="I923" s="1" t="s">
        <v>933</v>
      </c>
      <c r="J923" s="1" t="s">
        <v>10731</v>
      </c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x14ac:dyDescent="0.25">
      <c r="A924" s="8" t="s">
        <v>9424</v>
      </c>
      <c r="C924" s="8" t="s">
        <v>9988</v>
      </c>
      <c r="D924">
        <f t="shared" si="14"/>
        <v>2</v>
      </c>
      <c r="I924" s="1" t="s">
        <v>3679</v>
      </c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x14ac:dyDescent="0.25">
      <c r="A925" s="7" t="s">
        <v>9002</v>
      </c>
      <c r="C925" s="8" t="s">
        <v>9878</v>
      </c>
      <c r="D925">
        <f t="shared" si="14"/>
        <v>2</v>
      </c>
      <c r="I925" s="1" t="s">
        <v>1053</v>
      </c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x14ac:dyDescent="0.25">
      <c r="A926" s="7" t="s">
        <v>9002</v>
      </c>
      <c r="C926" s="7" t="s">
        <v>3812</v>
      </c>
      <c r="D926">
        <f t="shared" si="14"/>
        <v>2</v>
      </c>
      <c r="I926" s="1" t="s">
        <v>932</v>
      </c>
      <c r="J926" s="1" t="s">
        <v>916</v>
      </c>
      <c r="K926" s="1" t="s">
        <v>933</v>
      </c>
      <c r="L926" s="1" t="s">
        <v>923</v>
      </c>
      <c r="M926" s="1" t="s">
        <v>920</v>
      </c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x14ac:dyDescent="0.25">
      <c r="A927" s="8" t="s">
        <v>9356</v>
      </c>
      <c r="C927" s="7" t="s">
        <v>9133</v>
      </c>
      <c r="D927">
        <f t="shared" si="14"/>
        <v>2</v>
      </c>
      <c r="I927" s="1" t="s">
        <v>50</v>
      </c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x14ac:dyDescent="0.25">
      <c r="A928" s="7" t="s">
        <v>10457</v>
      </c>
      <c r="C928" s="7" t="s">
        <v>4912</v>
      </c>
      <c r="D928">
        <f t="shared" si="14"/>
        <v>2</v>
      </c>
      <c r="I928" s="1" t="s">
        <v>927</v>
      </c>
      <c r="J928" s="1" t="s">
        <v>996</v>
      </c>
      <c r="K928" s="1" t="s">
        <v>998</v>
      </c>
      <c r="L928" s="1" t="s">
        <v>933</v>
      </c>
      <c r="M928" s="1" t="s">
        <v>2541</v>
      </c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x14ac:dyDescent="0.25">
      <c r="A929" s="7" t="s">
        <v>9577</v>
      </c>
      <c r="C929" s="7" t="s">
        <v>10373</v>
      </c>
      <c r="D929">
        <f t="shared" si="14"/>
        <v>2</v>
      </c>
      <c r="I929" s="1" t="s">
        <v>50</v>
      </c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x14ac:dyDescent="0.25">
      <c r="A930" s="8" t="s">
        <v>10047</v>
      </c>
      <c r="C930" s="8" t="s">
        <v>9941</v>
      </c>
      <c r="D930">
        <f t="shared" si="14"/>
        <v>2</v>
      </c>
      <c r="I930" s="1" t="s">
        <v>931</v>
      </c>
      <c r="J930" s="1" t="s">
        <v>1149</v>
      </c>
      <c r="K930" s="1" t="s">
        <v>25</v>
      </c>
      <c r="L930" s="1" t="s">
        <v>923</v>
      </c>
      <c r="M930" s="1" t="s">
        <v>997</v>
      </c>
      <c r="N930" s="1" t="s">
        <v>1150</v>
      </c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x14ac:dyDescent="0.25">
      <c r="A931" s="8" t="s">
        <v>10250</v>
      </c>
      <c r="C931" s="7" t="s">
        <v>6776</v>
      </c>
      <c r="D931">
        <f t="shared" si="14"/>
        <v>2</v>
      </c>
      <c r="I931" s="1" t="s">
        <v>978</v>
      </c>
      <c r="J931" s="1" t="s">
        <v>25</v>
      </c>
      <c r="K931" s="1" t="s">
        <v>920</v>
      </c>
      <c r="L931" s="1" t="s">
        <v>933</v>
      </c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x14ac:dyDescent="0.25">
      <c r="A932" s="8" t="s">
        <v>10122</v>
      </c>
      <c r="C932" s="8" t="s">
        <v>9254</v>
      </c>
      <c r="D932">
        <f t="shared" si="14"/>
        <v>2</v>
      </c>
      <c r="I932" s="1" t="s">
        <v>964</v>
      </c>
      <c r="J932" s="1" t="s">
        <v>918</v>
      </c>
      <c r="K932" s="1" t="s">
        <v>25</v>
      </c>
      <c r="L932" s="1" t="s">
        <v>1148</v>
      </c>
      <c r="M932" s="1" t="s">
        <v>923</v>
      </c>
      <c r="N932" s="1" t="s">
        <v>916</v>
      </c>
      <c r="O932" s="1" t="s">
        <v>920</v>
      </c>
      <c r="P932" s="1" t="s">
        <v>933</v>
      </c>
      <c r="Q932" s="1" t="s">
        <v>954</v>
      </c>
      <c r="R932" s="1" t="s">
        <v>974</v>
      </c>
      <c r="S932" s="1" t="s">
        <v>921</v>
      </c>
      <c r="T932" s="1" t="s">
        <v>934</v>
      </c>
      <c r="U932" s="1" t="s">
        <v>965</v>
      </c>
      <c r="V932" s="1" t="s">
        <v>840</v>
      </c>
      <c r="W932" s="1"/>
      <c r="X932" s="1"/>
      <c r="Y932" s="1"/>
    </row>
    <row r="933" spans="1:25" x14ac:dyDescent="0.25">
      <c r="A933" s="8" t="s">
        <v>10275</v>
      </c>
      <c r="C933" s="8" t="s">
        <v>10654</v>
      </c>
      <c r="D933">
        <f t="shared" si="14"/>
        <v>2</v>
      </c>
      <c r="I933" s="1" t="s">
        <v>983</v>
      </c>
      <c r="J933" s="1" t="s">
        <v>984</v>
      </c>
      <c r="K933" s="1" t="s">
        <v>25</v>
      </c>
      <c r="L933" s="1" t="s">
        <v>923</v>
      </c>
      <c r="M933" s="1" t="s">
        <v>916</v>
      </c>
      <c r="N933" s="1" t="s">
        <v>920</v>
      </c>
      <c r="O933" s="1" t="s">
        <v>974</v>
      </c>
      <c r="P933" s="1" t="s">
        <v>921</v>
      </c>
      <c r="Q933" s="1" t="s">
        <v>1033</v>
      </c>
      <c r="R933" s="1"/>
      <c r="S933" s="1"/>
      <c r="T933" s="1"/>
      <c r="U933" s="1"/>
      <c r="V933" s="1"/>
      <c r="W933" s="1"/>
      <c r="X933" s="1"/>
      <c r="Y933" s="1"/>
    </row>
    <row r="934" spans="1:25" x14ac:dyDescent="0.25">
      <c r="A934" s="8" t="s">
        <v>9947</v>
      </c>
      <c r="C934" s="7" t="s">
        <v>2691</v>
      </c>
      <c r="D934">
        <f t="shared" si="14"/>
        <v>2</v>
      </c>
      <c r="I934" s="1" t="s">
        <v>10874</v>
      </c>
      <c r="J934" s="1" t="s">
        <v>4146</v>
      </c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x14ac:dyDescent="0.25">
      <c r="A935" s="8" t="s">
        <v>10525</v>
      </c>
      <c r="C935" s="7" t="s">
        <v>9551</v>
      </c>
      <c r="D935">
        <f t="shared" si="14"/>
        <v>2</v>
      </c>
      <c r="I935" s="1" t="s">
        <v>1069</v>
      </c>
      <c r="J935" s="1" t="s">
        <v>25</v>
      </c>
      <c r="K935" s="1" t="s">
        <v>998</v>
      </c>
      <c r="L935" s="1" t="s">
        <v>1086</v>
      </c>
      <c r="M935" s="1" t="s">
        <v>954</v>
      </c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x14ac:dyDescent="0.25">
      <c r="A936" s="8" t="s">
        <v>10225</v>
      </c>
      <c r="C936" s="8" t="s">
        <v>9338</v>
      </c>
      <c r="D936">
        <f t="shared" si="14"/>
        <v>2</v>
      </c>
      <c r="I936" s="1" t="s">
        <v>1069</v>
      </c>
      <c r="J936" s="1" t="s">
        <v>25</v>
      </c>
      <c r="K936" s="1" t="s">
        <v>998</v>
      </c>
      <c r="L936" s="1" t="s">
        <v>1086</v>
      </c>
      <c r="M936" s="1" t="s">
        <v>954</v>
      </c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x14ac:dyDescent="0.25">
      <c r="A937" s="8" t="s">
        <v>9129</v>
      </c>
      <c r="C937" s="7" t="s">
        <v>6185</v>
      </c>
      <c r="D937">
        <f t="shared" si="14"/>
        <v>2</v>
      </c>
      <c r="I937" s="1" t="s">
        <v>1069</v>
      </c>
      <c r="J937" s="1" t="s">
        <v>25</v>
      </c>
      <c r="K937" s="1" t="s">
        <v>998</v>
      </c>
      <c r="L937" s="1" t="s">
        <v>1086</v>
      </c>
      <c r="M937" s="1" t="s">
        <v>954</v>
      </c>
      <c r="N937" s="1" t="s">
        <v>975</v>
      </c>
      <c r="O937" s="1" t="s">
        <v>1058</v>
      </c>
      <c r="P937" s="1" t="s">
        <v>939</v>
      </c>
      <c r="Q937" s="1" t="s">
        <v>1060</v>
      </c>
      <c r="R937" s="1" t="s">
        <v>10875</v>
      </c>
      <c r="S937" s="1"/>
      <c r="T937" s="1"/>
      <c r="U937" s="1"/>
      <c r="V937" s="1"/>
      <c r="W937" s="1"/>
      <c r="X937" s="1"/>
      <c r="Y937" s="1"/>
    </row>
    <row r="938" spans="1:25" x14ac:dyDescent="0.25">
      <c r="A938" s="7" t="s">
        <v>8964</v>
      </c>
      <c r="C938" s="7" t="s">
        <v>9779</v>
      </c>
      <c r="D938">
        <f t="shared" si="14"/>
        <v>2</v>
      </c>
      <c r="I938" s="1" t="s">
        <v>1069</v>
      </c>
      <c r="J938" s="1" t="s">
        <v>25</v>
      </c>
      <c r="K938" s="1" t="s">
        <v>998</v>
      </c>
      <c r="L938" s="1" t="s">
        <v>1086</v>
      </c>
      <c r="M938" s="1" t="s">
        <v>954</v>
      </c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x14ac:dyDescent="0.25">
      <c r="A939" s="8" t="s">
        <v>8964</v>
      </c>
      <c r="C939" s="8" t="s">
        <v>9791</v>
      </c>
      <c r="D939">
        <f t="shared" si="14"/>
        <v>2</v>
      </c>
      <c r="I939" s="1" t="s">
        <v>1069</v>
      </c>
      <c r="J939" s="1" t="s">
        <v>25</v>
      </c>
      <c r="K939" s="1" t="s">
        <v>998</v>
      </c>
      <c r="L939" s="1" t="s">
        <v>1086</v>
      </c>
      <c r="M939" s="1" t="s">
        <v>954</v>
      </c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x14ac:dyDescent="0.25">
      <c r="A940" s="8" t="s">
        <v>8964</v>
      </c>
      <c r="C940" s="7" t="s">
        <v>2481</v>
      </c>
      <c r="D940">
        <f t="shared" si="14"/>
        <v>2</v>
      </c>
      <c r="I940" s="1" t="s">
        <v>1069</v>
      </c>
      <c r="J940" s="1" t="s">
        <v>25</v>
      </c>
      <c r="K940" s="1" t="s">
        <v>998</v>
      </c>
      <c r="L940" s="1" t="s">
        <v>1086</v>
      </c>
      <c r="M940" s="1" t="s">
        <v>954</v>
      </c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x14ac:dyDescent="0.25">
      <c r="A941" s="8" t="s">
        <v>8964</v>
      </c>
      <c r="C941" s="8" t="s">
        <v>9433</v>
      </c>
      <c r="D941">
        <f t="shared" si="14"/>
        <v>2</v>
      </c>
      <c r="I941" s="1" t="s">
        <v>1069</v>
      </c>
      <c r="J941" s="1" t="s">
        <v>25</v>
      </c>
      <c r="K941" s="1" t="s">
        <v>998</v>
      </c>
      <c r="L941" s="1" t="s">
        <v>1086</v>
      </c>
      <c r="M941" s="1" t="s">
        <v>954</v>
      </c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x14ac:dyDescent="0.25">
      <c r="A942" s="8" t="s">
        <v>8852</v>
      </c>
      <c r="C942" s="7" t="s">
        <v>5202</v>
      </c>
      <c r="D942">
        <f t="shared" si="14"/>
        <v>2</v>
      </c>
      <c r="I942" s="1" t="s">
        <v>1069</v>
      </c>
      <c r="J942" s="1" t="s">
        <v>25</v>
      </c>
      <c r="K942" s="1" t="s">
        <v>998</v>
      </c>
      <c r="L942" s="1" t="s">
        <v>1086</v>
      </c>
      <c r="M942" s="1" t="s">
        <v>954</v>
      </c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x14ac:dyDescent="0.25">
      <c r="A943" s="8" t="s">
        <v>8865</v>
      </c>
      <c r="C943" s="7" t="s">
        <v>5140</v>
      </c>
      <c r="D943">
        <f t="shared" si="14"/>
        <v>2</v>
      </c>
      <c r="I943" s="1" t="s">
        <v>1069</v>
      </c>
      <c r="J943" s="1" t="s">
        <v>25</v>
      </c>
      <c r="K943" s="1" t="s">
        <v>998</v>
      </c>
      <c r="L943" s="1" t="s">
        <v>1086</v>
      </c>
      <c r="M943" s="1" t="s">
        <v>954</v>
      </c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x14ac:dyDescent="0.25">
      <c r="A944" s="7" t="s">
        <v>9186</v>
      </c>
      <c r="C944" s="8" t="s">
        <v>8904</v>
      </c>
      <c r="D944">
        <f t="shared" si="14"/>
        <v>2</v>
      </c>
      <c r="I944" s="1" t="s">
        <v>1069</v>
      </c>
      <c r="J944" s="1" t="s">
        <v>25</v>
      </c>
      <c r="K944" s="1" t="s">
        <v>998</v>
      </c>
      <c r="L944" s="1" t="s">
        <v>1086</v>
      </c>
      <c r="M944" s="1" t="s">
        <v>954</v>
      </c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x14ac:dyDescent="0.25">
      <c r="A945" s="8" t="s">
        <v>9186</v>
      </c>
      <c r="C945" s="8" t="s">
        <v>10157</v>
      </c>
      <c r="D945">
        <f t="shared" si="14"/>
        <v>2</v>
      </c>
      <c r="I945" s="1" t="s">
        <v>1069</v>
      </c>
      <c r="J945" s="1" t="s">
        <v>25</v>
      </c>
      <c r="K945" s="1" t="s">
        <v>998</v>
      </c>
      <c r="L945" s="1" t="s">
        <v>1086</v>
      </c>
      <c r="M945" s="1" t="s">
        <v>954</v>
      </c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x14ac:dyDescent="0.25">
      <c r="A946" s="8" t="s">
        <v>10558</v>
      </c>
      <c r="C946" s="7" t="s">
        <v>2552</v>
      </c>
      <c r="D946">
        <f t="shared" si="14"/>
        <v>2</v>
      </c>
      <c r="I946" s="1" t="s">
        <v>1069</v>
      </c>
      <c r="J946" s="1" t="s">
        <v>25</v>
      </c>
      <c r="K946" s="1" t="s">
        <v>998</v>
      </c>
      <c r="L946" s="1" t="s">
        <v>1086</v>
      </c>
      <c r="M946" s="1" t="s">
        <v>954</v>
      </c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x14ac:dyDescent="0.25">
      <c r="A947" s="7" t="s">
        <v>10102</v>
      </c>
      <c r="C947" s="7" t="s">
        <v>587</v>
      </c>
      <c r="D947">
        <f t="shared" si="14"/>
        <v>2</v>
      </c>
      <c r="I947" s="1" t="s">
        <v>1069</v>
      </c>
      <c r="J947" s="1" t="s">
        <v>25</v>
      </c>
      <c r="K947" s="1" t="s">
        <v>998</v>
      </c>
      <c r="L947" s="1" t="s">
        <v>1086</v>
      </c>
      <c r="M947" s="1" t="s">
        <v>954</v>
      </c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x14ac:dyDescent="0.25">
      <c r="A948" s="8" t="s">
        <v>9245</v>
      </c>
      <c r="C948" s="7" t="s">
        <v>10418</v>
      </c>
      <c r="D948">
        <f t="shared" si="14"/>
        <v>2</v>
      </c>
      <c r="I948" s="1" t="s">
        <v>90</v>
      </c>
      <c r="J948" s="1" t="s">
        <v>996</v>
      </c>
      <c r="K948" s="1" t="s">
        <v>25</v>
      </c>
      <c r="L948" s="1" t="s">
        <v>923</v>
      </c>
      <c r="M948" s="1" t="s">
        <v>997</v>
      </c>
      <c r="N948" s="1" t="s">
        <v>927</v>
      </c>
      <c r="O948" s="1" t="s">
        <v>998</v>
      </c>
      <c r="P948" s="1" t="s">
        <v>1086</v>
      </c>
      <c r="Q948" s="1" t="s">
        <v>994</v>
      </c>
      <c r="R948" s="1" t="s">
        <v>964</v>
      </c>
      <c r="S948" s="1" t="s">
        <v>10876</v>
      </c>
      <c r="T948" s="1"/>
      <c r="U948" s="1"/>
      <c r="V948" s="1"/>
      <c r="W948" s="1"/>
      <c r="X948" s="1"/>
      <c r="Y948" s="1"/>
    </row>
    <row r="949" spans="1:25" x14ac:dyDescent="0.25">
      <c r="A949" s="7" t="s">
        <v>3821</v>
      </c>
      <c r="C949" s="8" t="s">
        <v>8835</v>
      </c>
      <c r="D949">
        <f t="shared" si="14"/>
        <v>2</v>
      </c>
      <c r="I949" s="1" t="s">
        <v>1061</v>
      </c>
      <c r="J949" s="1" t="s">
        <v>1062</v>
      </c>
      <c r="K949" s="1" t="s">
        <v>919</v>
      </c>
      <c r="L949" s="1" t="s">
        <v>918</v>
      </c>
      <c r="M949" s="1" t="s">
        <v>25</v>
      </c>
      <c r="N949" s="1" t="s">
        <v>923</v>
      </c>
      <c r="O949" s="1" t="s">
        <v>920</v>
      </c>
      <c r="P949" s="1" t="s">
        <v>921</v>
      </c>
      <c r="Q949" s="1"/>
      <c r="R949" s="1"/>
      <c r="S949" s="1"/>
      <c r="T949" s="1"/>
      <c r="U949" s="1"/>
      <c r="V949" s="1"/>
      <c r="W949" s="1"/>
      <c r="X949" s="1"/>
      <c r="Y949" s="1"/>
    </row>
    <row r="950" spans="1:25" x14ac:dyDescent="0.25">
      <c r="A950" s="7" t="s">
        <v>3821</v>
      </c>
      <c r="C950" s="8" t="s">
        <v>8923</v>
      </c>
      <c r="D950">
        <f t="shared" si="14"/>
        <v>2</v>
      </c>
      <c r="I950" s="1" t="s">
        <v>1030</v>
      </c>
      <c r="J950" s="1" t="s">
        <v>1013</v>
      </c>
      <c r="K950" s="1" t="s">
        <v>918</v>
      </c>
      <c r="L950" s="1" t="s">
        <v>919</v>
      </c>
      <c r="M950" s="1" t="s">
        <v>936</v>
      </c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x14ac:dyDescent="0.25">
      <c r="A951" s="7" t="s">
        <v>3821</v>
      </c>
      <c r="C951" s="9">
        <v>888</v>
      </c>
      <c r="D951">
        <f t="shared" si="14"/>
        <v>1</v>
      </c>
      <c r="I951" s="1" t="s">
        <v>996</v>
      </c>
      <c r="J951" s="1" t="s">
        <v>933</v>
      </c>
      <c r="K951" s="1" t="s">
        <v>994</v>
      </c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x14ac:dyDescent="0.25">
      <c r="A952" s="8" t="s">
        <v>3821</v>
      </c>
      <c r="C952" s="8" t="s">
        <v>9178</v>
      </c>
      <c r="D952">
        <f t="shared" si="14"/>
        <v>1</v>
      </c>
      <c r="I952" s="1" t="s">
        <v>50</v>
      </c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x14ac:dyDescent="0.25">
      <c r="A953" s="7" t="s">
        <v>2667</v>
      </c>
      <c r="C953" s="8" t="s">
        <v>9006</v>
      </c>
      <c r="D953">
        <f t="shared" si="14"/>
        <v>1</v>
      </c>
      <c r="I953" s="1" t="s">
        <v>1052</v>
      </c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x14ac:dyDescent="0.25">
      <c r="A954" s="7" t="s">
        <v>2667</v>
      </c>
      <c r="C954" s="8" t="s">
        <v>8934</v>
      </c>
      <c r="D954">
        <f t="shared" si="14"/>
        <v>1</v>
      </c>
      <c r="I954" s="1" t="s">
        <v>918</v>
      </c>
      <c r="J954" s="1" t="s">
        <v>919</v>
      </c>
      <c r="K954" s="1" t="s">
        <v>929</v>
      </c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x14ac:dyDescent="0.25">
      <c r="A955" s="7" t="s">
        <v>2667</v>
      </c>
      <c r="C955" s="8" t="s">
        <v>9241</v>
      </c>
      <c r="D955">
        <f t="shared" si="14"/>
        <v>1</v>
      </c>
      <c r="I955" s="1" t="s">
        <v>918</v>
      </c>
      <c r="J955" s="1" t="s">
        <v>25</v>
      </c>
      <c r="K955" s="1" t="s">
        <v>997</v>
      </c>
      <c r="L955" s="1" t="s">
        <v>919</v>
      </c>
      <c r="M955" s="1" t="s">
        <v>920</v>
      </c>
      <c r="N955" s="1" t="s">
        <v>924</v>
      </c>
      <c r="O955" s="1" t="s">
        <v>1143</v>
      </c>
      <c r="P955" s="1" t="s">
        <v>1085</v>
      </c>
      <c r="Q955" s="1" t="s">
        <v>955</v>
      </c>
      <c r="R955" s="1" t="s">
        <v>1014</v>
      </c>
      <c r="S955" s="1" t="s">
        <v>944</v>
      </c>
      <c r="T955" s="1" t="s">
        <v>956</v>
      </c>
      <c r="U955" s="1" t="s">
        <v>10877</v>
      </c>
      <c r="V955" s="1"/>
      <c r="W955" s="1"/>
      <c r="X955" s="1"/>
      <c r="Y955" s="1"/>
    </row>
    <row r="956" spans="1:25" x14ac:dyDescent="0.25">
      <c r="A956" s="7" t="s">
        <v>2667</v>
      </c>
      <c r="C956" s="8" t="s">
        <v>10667</v>
      </c>
      <c r="D956">
        <f t="shared" si="14"/>
        <v>1</v>
      </c>
      <c r="I956" s="1" t="s">
        <v>958</v>
      </c>
      <c r="J956" s="1" t="s">
        <v>10737</v>
      </c>
      <c r="K956" s="1" t="s">
        <v>10738</v>
      </c>
      <c r="L956" s="1" t="s">
        <v>927</v>
      </c>
      <c r="M956" s="1" t="s">
        <v>992</v>
      </c>
      <c r="N956" s="1" t="s">
        <v>981</v>
      </c>
      <c r="O956" s="1" t="s">
        <v>1066</v>
      </c>
      <c r="P956" s="1" t="s">
        <v>919</v>
      </c>
      <c r="Q956" s="1" t="s">
        <v>994</v>
      </c>
      <c r="R956" s="1"/>
      <c r="S956" s="1"/>
      <c r="T956" s="1"/>
      <c r="U956" s="1"/>
      <c r="V956" s="1"/>
      <c r="W956" s="1"/>
      <c r="X956" s="1"/>
      <c r="Y956" s="1"/>
    </row>
    <row r="957" spans="1:25" x14ac:dyDescent="0.25">
      <c r="A957" s="7" t="s">
        <v>2667</v>
      </c>
      <c r="C957" s="8" t="s">
        <v>10284</v>
      </c>
      <c r="D957">
        <f t="shared" si="14"/>
        <v>1</v>
      </c>
      <c r="I957" s="1" t="s">
        <v>933</v>
      </c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x14ac:dyDescent="0.25">
      <c r="A958" s="7" t="s">
        <v>2667</v>
      </c>
      <c r="C958" s="7" t="s">
        <v>3142</v>
      </c>
      <c r="D958">
        <f t="shared" si="14"/>
        <v>1</v>
      </c>
      <c r="I958" s="1" t="s">
        <v>2927</v>
      </c>
      <c r="J958" s="1" t="s">
        <v>1086</v>
      </c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x14ac:dyDescent="0.25">
      <c r="A959" s="7" t="s">
        <v>2667</v>
      </c>
      <c r="C959" s="7" t="s">
        <v>2614</v>
      </c>
      <c r="D959">
        <f t="shared" si="14"/>
        <v>1</v>
      </c>
      <c r="I959" s="1" t="s">
        <v>1053</v>
      </c>
      <c r="J959" s="1" t="s">
        <v>1086</v>
      </c>
      <c r="K959" s="1" t="s">
        <v>933</v>
      </c>
      <c r="L959" s="1" t="s">
        <v>2541</v>
      </c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x14ac:dyDescent="0.25">
      <c r="A960" s="7" t="s">
        <v>2667</v>
      </c>
      <c r="C960" s="8" t="s">
        <v>10049</v>
      </c>
      <c r="D960">
        <f t="shared" si="14"/>
        <v>1</v>
      </c>
      <c r="I960" s="1" t="s">
        <v>50</v>
      </c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x14ac:dyDescent="0.25">
      <c r="A961" s="7" t="s">
        <v>2667</v>
      </c>
      <c r="C961" s="8" t="s">
        <v>10379</v>
      </c>
      <c r="D961">
        <f t="shared" si="14"/>
        <v>1</v>
      </c>
      <c r="I961" s="1" t="s">
        <v>1001</v>
      </c>
      <c r="J961" s="1" t="s">
        <v>992</v>
      </c>
      <c r="K961" s="1" t="s">
        <v>981</v>
      </c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x14ac:dyDescent="0.25">
      <c r="A962" s="7" t="s">
        <v>2667</v>
      </c>
      <c r="C962" s="7" t="s">
        <v>8945</v>
      </c>
      <c r="D962">
        <f t="shared" ref="D962:D1025" si="15">COUNTIF(A:A,C962)</f>
        <v>1</v>
      </c>
      <c r="I962" s="1" t="s">
        <v>933</v>
      </c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x14ac:dyDescent="0.25">
      <c r="A963" s="7" t="s">
        <v>2667</v>
      </c>
      <c r="C963" s="8" t="s">
        <v>10569</v>
      </c>
      <c r="D963">
        <f t="shared" si="15"/>
        <v>1</v>
      </c>
      <c r="I963" s="1" t="s">
        <v>50</v>
      </c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x14ac:dyDescent="0.25">
      <c r="A964" s="7" t="s">
        <v>2667</v>
      </c>
      <c r="C964" s="8" t="s">
        <v>10423</v>
      </c>
      <c r="D964">
        <f t="shared" si="15"/>
        <v>1</v>
      </c>
      <c r="I964" s="1" t="s">
        <v>918</v>
      </c>
      <c r="J964" s="1" t="s">
        <v>1063</v>
      </c>
      <c r="K964" s="1" t="s">
        <v>924</v>
      </c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x14ac:dyDescent="0.25">
      <c r="A965" s="7" t="s">
        <v>2667</v>
      </c>
      <c r="C965" s="8" t="s">
        <v>9635</v>
      </c>
      <c r="D965">
        <f t="shared" si="15"/>
        <v>1</v>
      </c>
      <c r="I965" s="1" t="s">
        <v>84</v>
      </c>
      <c r="J965" s="1" t="s">
        <v>1161</v>
      </c>
      <c r="K965" s="1" t="s">
        <v>1162</v>
      </c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x14ac:dyDescent="0.25">
      <c r="A966" s="7" t="s">
        <v>2667</v>
      </c>
      <c r="C966" s="8" t="s">
        <v>9859</v>
      </c>
      <c r="D966">
        <f t="shared" si="15"/>
        <v>1</v>
      </c>
      <c r="I966" s="1" t="s">
        <v>1001</v>
      </c>
      <c r="J966" s="1" t="s">
        <v>927</v>
      </c>
      <c r="K966" s="1" t="s">
        <v>981</v>
      </c>
      <c r="L966" s="1" t="s">
        <v>919</v>
      </c>
      <c r="M966" s="1" t="s">
        <v>921</v>
      </c>
      <c r="N966" s="1" t="s">
        <v>10726</v>
      </c>
      <c r="O966" s="1" t="s">
        <v>924</v>
      </c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x14ac:dyDescent="0.25">
      <c r="A967" s="7" t="s">
        <v>2667</v>
      </c>
      <c r="C967" s="7" t="s">
        <v>10036</v>
      </c>
      <c r="D967">
        <f t="shared" si="15"/>
        <v>1</v>
      </c>
      <c r="I967" s="1" t="s">
        <v>1001</v>
      </c>
      <c r="J967" s="1" t="s">
        <v>927</v>
      </c>
      <c r="K967" s="1" t="s">
        <v>919</v>
      </c>
      <c r="L967" s="1" t="s">
        <v>936</v>
      </c>
      <c r="M967" s="1" t="s">
        <v>961</v>
      </c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x14ac:dyDescent="0.25">
      <c r="A968" s="7" t="s">
        <v>2667</v>
      </c>
      <c r="C968" s="7" t="s">
        <v>10255</v>
      </c>
      <c r="D968">
        <f t="shared" si="15"/>
        <v>1</v>
      </c>
      <c r="I968" s="1" t="s">
        <v>1001</v>
      </c>
      <c r="J968" s="1" t="s">
        <v>1019</v>
      </c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x14ac:dyDescent="0.25">
      <c r="A969" s="7" t="s">
        <v>2667</v>
      </c>
      <c r="C969" s="8" t="s">
        <v>10523</v>
      </c>
      <c r="D969">
        <f t="shared" si="15"/>
        <v>1</v>
      </c>
      <c r="I969" s="1" t="s">
        <v>1001</v>
      </c>
      <c r="J969" s="1" t="s">
        <v>992</v>
      </c>
      <c r="K969" s="1" t="s">
        <v>981</v>
      </c>
      <c r="L969" s="1" t="s">
        <v>1066</v>
      </c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x14ac:dyDescent="0.25">
      <c r="A970" s="8" t="s">
        <v>2667</v>
      </c>
      <c r="C970" s="8" t="s">
        <v>9823</v>
      </c>
      <c r="D970">
        <f t="shared" si="15"/>
        <v>1</v>
      </c>
      <c r="I970" s="1" t="s">
        <v>1030</v>
      </c>
      <c r="J970" s="1" t="s">
        <v>1013</v>
      </c>
      <c r="K970" s="1" t="s">
        <v>918</v>
      </c>
      <c r="L970" s="1" t="s">
        <v>919</v>
      </c>
      <c r="M970" s="1" t="s">
        <v>936</v>
      </c>
      <c r="N970" s="1" t="s">
        <v>10878</v>
      </c>
      <c r="O970" s="1" t="s">
        <v>10879</v>
      </c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x14ac:dyDescent="0.25">
      <c r="A971" s="8" t="s">
        <v>2667</v>
      </c>
      <c r="C971" s="7" t="s">
        <v>10485</v>
      </c>
      <c r="D971">
        <f t="shared" si="15"/>
        <v>1</v>
      </c>
      <c r="I971" s="1" t="s">
        <v>1001</v>
      </c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x14ac:dyDescent="0.25">
      <c r="A972" s="8" t="s">
        <v>2667</v>
      </c>
      <c r="C972" s="7" t="s">
        <v>8972</v>
      </c>
      <c r="D972">
        <f t="shared" si="15"/>
        <v>1</v>
      </c>
      <c r="I972" s="1" t="s">
        <v>1001</v>
      </c>
      <c r="J972" s="1" t="s">
        <v>10880</v>
      </c>
      <c r="K972" s="1" t="s">
        <v>927</v>
      </c>
      <c r="L972" s="1" t="s">
        <v>919</v>
      </c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x14ac:dyDescent="0.25">
      <c r="A973" s="8" t="s">
        <v>2667</v>
      </c>
      <c r="C973" s="8" t="s">
        <v>10287</v>
      </c>
      <c r="D973">
        <f t="shared" si="15"/>
        <v>1</v>
      </c>
      <c r="I973" s="1" t="s">
        <v>916</v>
      </c>
      <c r="J973" s="1" t="s">
        <v>932</v>
      </c>
      <c r="K973" s="1" t="s">
        <v>920</v>
      </c>
      <c r="L973" s="1" t="s">
        <v>922</v>
      </c>
      <c r="M973" s="1" t="s">
        <v>918</v>
      </c>
      <c r="N973" s="1" t="s">
        <v>25</v>
      </c>
      <c r="O973" s="1" t="s">
        <v>923</v>
      </c>
      <c r="P973" s="1" t="s">
        <v>919</v>
      </c>
      <c r="Q973" s="1" t="s">
        <v>924</v>
      </c>
      <c r="R973" s="1" t="s">
        <v>974</v>
      </c>
      <c r="S973" s="1"/>
      <c r="T973" s="1"/>
      <c r="U973" s="1"/>
      <c r="V973" s="1"/>
      <c r="W973" s="1"/>
      <c r="X973" s="1"/>
      <c r="Y973" s="1"/>
    </row>
    <row r="974" spans="1:25" x14ac:dyDescent="0.25">
      <c r="A974" s="8" t="s">
        <v>2667</v>
      </c>
      <c r="C974" s="7" t="s">
        <v>9074</v>
      </c>
      <c r="D974">
        <f t="shared" si="15"/>
        <v>1</v>
      </c>
      <c r="I974" s="1" t="s">
        <v>25</v>
      </c>
      <c r="J974" s="1" t="s">
        <v>927</v>
      </c>
      <c r="K974" s="1" t="s">
        <v>10837</v>
      </c>
      <c r="L974" s="1" t="s">
        <v>981</v>
      </c>
      <c r="M974" s="1" t="s">
        <v>994</v>
      </c>
      <c r="N974" s="1" t="s">
        <v>10881</v>
      </c>
      <c r="O974" s="1" t="s">
        <v>10882</v>
      </c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x14ac:dyDescent="0.25">
      <c r="A975" s="8" t="s">
        <v>2667</v>
      </c>
      <c r="C975" s="8" t="s">
        <v>10208</v>
      </c>
      <c r="D975">
        <f t="shared" si="15"/>
        <v>1</v>
      </c>
      <c r="I975" s="1" t="s">
        <v>981</v>
      </c>
      <c r="J975" s="1" t="s">
        <v>1019</v>
      </c>
      <c r="K975" s="1" t="s">
        <v>983</v>
      </c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x14ac:dyDescent="0.25">
      <c r="A976" s="8" t="s">
        <v>2667</v>
      </c>
      <c r="C976" s="7" t="s">
        <v>4393</v>
      </c>
      <c r="D976">
        <f t="shared" si="15"/>
        <v>1</v>
      </c>
      <c r="I976" s="1" t="s">
        <v>10768</v>
      </c>
      <c r="J976" s="1" t="s">
        <v>10833</v>
      </c>
      <c r="K976" s="1" t="s">
        <v>10835</v>
      </c>
      <c r="L976" s="1" t="s">
        <v>10883</v>
      </c>
      <c r="M976" s="1" t="s">
        <v>10884</v>
      </c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x14ac:dyDescent="0.25">
      <c r="A977" s="8" t="s">
        <v>2667</v>
      </c>
      <c r="C977" s="8" t="s">
        <v>9725</v>
      </c>
      <c r="D977">
        <f t="shared" si="15"/>
        <v>1</v>
      </c>
      <c r="I977" s="1" t="s">
        <v>996</v>
      </c>
      <c r="J977" s="1" t="s">
        <v>2541</v>
      </c>
      <c r="K977" s="1" t="s">
        <v>1152</v>
      </c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x14ac:dyDescent="0.25">
      <c r="A978" s="8" t="s">
        <v>2667</v>
      </c>
      <c r="C978" s="7" t="s">
        <v>1998</v>
      </c>
      <c r="D978">
        <f t="shared" si="15"/>
        <v>1</v>
      </c>
      <c r="I978" s="1" t="s">
        <v>996</v>
      </c>
      <c r="J978" s="1" t="s">
        <v>923</v>
      </c>
      <c r="K978" s="1" t="s">
        <v>997</v>
      </c>
      <c r="L978" s="1" t="s">
        <v>998</v>
      </c>
      <c r="M978" s="1" t="s">
        <v>918</v>
      </c>
      <c r="N978" s="1" t="s">
        <v>25</v>
      </c>
      <c r="O978" s="1" t="s">
        <v>1148</v>
      </c>
      <c r="P978" s="1" t="s">
        <v>927</v>
      </c>
      <c r="Q978" s="1" t="s">
        <v>1086</v>
      </c>
      <c r="R978" s="1" t="s">
        <v>920</v>
      </c>
      <c r="S978" s="1"/>
      <c r="T978" s="1"/>
      <c r="U978" s="1"/>
      <c r="V978" s="1"/>
      <c r="W978" s="1"/>
      <c r="X978" s="1"/>
      <c r="Y978" s="1"/>
    </row>
    <row r="979" spans="1:25" x14ac:dyDescent="0.25">
      <c r="A979" s="8" t="s">
        <v>10677</v>
      </c>
      <c r="C979" s="7" t="s">
        <v>10319</v>
      </c>
      <c r="D979">
        <f t="shared" si="15"/>
        <v>1</v>
      </c>
      <c r="I979" s="1" t="s">
        <v>1052</v>
      </c>
      <c r="J979" s="1" t="s">
        <v>25</v>
      </c>
      <c r="K979" s="1" t="s">
        <v>923</v>
      </c>
      <c r="L979" s="1" t="s">
        <v>1086</v>
      </c>
      <c r="M979" s="1" t="s">
        <v>1069</v>
      </c>
      <c r="N979" s="1" t="s">
        <v>998</v>
      </c>
      <c r="O979" s="1" t="s">
        <v>954</v>
      </c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x14ac:dyDescent="0.25">
      <c r="A980" s="8" t="s">
        <v>10677</v>
      </c>
      <c r="C980" s="7" t="s">
        <v>9914</v>
      </c>
      <c r="D980">
        <f t="shared" si="15"/>
        <v>1</v>
      </c>
      <c r="I980" s="1" t="s">
        <v>512</v>
      </c>
      <c r="J980" s="1" t="s">
        <v>1167</v>
      </c>
      <c r="K980" s="1" t="s">
        <v>1053</v>
      </c>
      <c r="L980" s="1" t="s">
        <v>1086</v>
      </c>
      <c r="M980" s="1" t="s">
        <v>933</v>
      </c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x14ac:dyDescent="0.25">
      <c r="A981" s="8" t="s">
        <v>9401</v>
      </c>
      <c r="C981" s="8" t="s">
        <v>9854</v>
      </c>
      <c r="D981">
        <f t="shared" si="15"/>
        <v>1</v>
      </c>
      <c r="I981" s="1" t="s">
        <v>996</v>
      </c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x14ac:dyDescent="0.25">
      <c r="A982" s="8" t="s">
        <v>8973</v>
      </c>
      <c r="C982" s="8" t="s">
        <v>9280</v>
      </c>
      <c r="D982">
        <f t="shared" si="15"/>
        <v>1</v>
      </c>
      <c r="I982" s="1" t="s">
        <v>10885</v>
      </c>
      <c r="J982" s="1" t="s">
        <v>10886</v>
      </c>
      <c r="K982" s="1" t="s">
        <v>10887</v>
      </c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x14ac:dyDescent="0.25">
      <c r="A983" s="7" t="s">
        <v>5459</v>
      </c>
      <c r="C983" s="7" t="s">
        <v>9316</v>
      </c>
      <c r="D983">
        <f t="shared" si="15"/>
        <v>1</v>
      </c>
      <c r="I983" s="1" t="s">
        <v>50</v>
      </c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x14ac:dyDescent="0.25">
      <c r="A984" s="8" t="s">
        <v>10247</v>
      </c>
      <c r="C984" s="7" t="s">
        <v>4626</v>
      </c>
      <c r="D984">
        <f t="shared" si="15"/>
        <v>1</v>
      </c>
      <c r="I984" s="1" t="s">
        <v>933</v>
      </c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x14ac:dyDescent="0.25">
      <c r="A985" s="8" t="s">
        <v>9106</v>
      </c>
      <c r="C985" s="7" t="s">
        <v>10341</v>
      </c>
      <c r="D985">
        <f t="shared" si="15"/>
        <v>1</v>
      </c>
      <c r="I985" s="1" t="s">
        <v>2927</v>
      </c>
      <c r="J985" s="1" t="s">
        <v>1069</v>
      </c>
      <c r="K985" s="1" t="s">
        <v>25</v>
      </c>
      <c r="L985" s="1" t="s">
        <v>923</v>
      </c>
      <c r="M985" s="1" t="s">
        <v>998</v>
      </c>
      <c r="N985" s="1" t="s">
        <v>1053</v>
      </c>
      <c r="O985" s="1" t="s">
        <v>1086</v>
      </c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x14ac:dyDescent="0.25">
      <c r="A986" s="8" t="s">
        <v>9106</v>
      </c>
      <c r="C986" s="7" t="s">
        <v>4158</v>
      </c>
      <c r="D986">
        <f t="shared" si="15"/>
        <v>1</v>
      </c>
      <c r="I986" s="1" t="s">
        <v>2927</v>
      </c>
      <c r="J986" s="1" t="s">
        <v>1069</v>
      </c>
      <c r="K986" s="1" t="s">
        <v>25</v>
      </c>
      <c r="L986" s="1" t="s">
        <v>923</v>
      </c>
      <c r="M986" s="1" t="s">
        <v>998</v>
      </c>
      <c r="N986" s="1" t="s">
        <v>1053</v>
      </c>
      <c r="O986" s="1" t="s">
        <v>1086</v>
      </c>
      <c r="P986" s="1" t="s">
        <v>10888</v>
      </c>
      <c r="Q986" s="1" t="s">
        <v>10784</v>
      </c>
      <c r="R986" s="1"/>
      <c r="S986" s="1"/>
      <c r="T986" s="1"/>
      <c r="U986" s="1"/>
      <c r="V986" s="1"/>
      <c r="W986" s="1"/>
      <c r="X986" s="1"/>
      <c r="Y986" s="1"/>
    </row>
    <row r="987" spans="1:25" x14ac:dyDescent="0.25">
      <c r="A987" s="7" t="s">
        <v>9143</v>
      </c>
      <c r="C987" s="7" t="s">
        <v>10071</v>
      </c>
      <c r="D987">
        <f t="shared" si="15"/>
        <v>1</v>
      </c>
      <c r="I987" s="1" t="s">
        <v>10889</v>
      </c>
      <c r="J987" s="1" t="s">
        <v>10890</v>
      </c>
      <c r="K987" s="1" t="s">
        <v>3528</v>
      </c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x14ac:dyDescent="0.25">
      <c r="A988" s="8" t="s">
        <v>9143</v>
      </c>
      <c r="C988" s="7" t="s">
        <v>10144</v>
      </c>
      <c r="D988">
        <f t="shared" si="15"/>
        <v>1</v>
      </c>
      <c r="I988" s="1" t="s">
        <v>1053</v>
      </c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x14ac:dyDescent="0.25">
      <c r="A989" s="8" t="s">
        <v>9143</v>
      </c>
      <c r="C989" s="7" t="s">
        <v>10385</v>
      </c>
      <c r="D989">
        <f t="shared" si="15"/>
        <v>1</v>
      </c>
      <c r="I989" s="1" t="s">
        <v>1070</v>
      </c>
      <c r="J989" s="1" t="s">
        <v>976</v>
      </c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x14ac:dyDescent="0.25">
      <c r="A990" s="8" t="s">
        <v>10411</v>
      </c>
      <c r="C990" s="7" t="s">
        <v>9738</v>
      </c>
      <c r="D990">
        <f t="shared" si="15"/>
        <v>1</v>
      </c>
      <c r="I990" s="1" t="s">
        <v>1070</v>
      </c>
      <c r="J990" s="1" t="s">
        <v>976</v>
      </c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x14ac:dyDescent="0.25">
      <c r="A991" s="7" t="s">
        <v>10207</v>
      </c>
      <c r="C991" s="7" t="s">
        <v>9882</v>
      </c>
      <c r="D991">
        <f t="shared" si="15"/>
        <v>1</v>
      </c>
      <c r="I991" s="1" t="s">
        <v>933</v>
      </c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x14ac:dyDescent="0.25">
      <c r="A992" s="8" t="s">
        <v>10227</v>
      </c>
      <c r="C992" s="8" t="s">
        <v>9651</v>
      </c>
      <c r="D992">
        <f t="shared" si="15"/>
        <v>1</v>
      </c>
      <c r="I992" s="1" t="s">
        <v>927</v>
      </c>
      <c r="J992" s="1" t="s">
        <v>10726</v>
      </c>
      <c r="K992" s="1" t="s">
        <v>933</v>
      </c>
      <c r="L992" s="1" t="s">
        <v>924</v>
      </c>
      <c r="M992" s="1" t="s">
        <v>1099</v>
      </c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x14ac:dyDescent="0.25">
      <c r="A993" s="7" t="s">
        <v>4976</v>
      </c>
      <c r="C993" s="7" t="s">
        <v>9585</v>
      </c>
      <c r="D993">
        <f t="shared" si="15"/>
        <v>1</v>
      </c>
      <c r="I993" s="1" t="s">
        <v>918</v>
      </c>
      <c r="J993" s="1" t="s">
        <v>25</v>
      </c>
      <c r="K993" s="1" t="s">
        <v>923</v>
      </c>
      <c r="L993" s="1" t="s">
        <v>927</v>
      </c>
      <c r="M993" s="1" t="s">
        <v>919</v>
      </c>
      <c r="N993" s="1" t="s">
        <v>920</v>
      </c>
      <c r="O993" s="1" t="s">
        <v>921</v>
      </c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x14ac:dyDescent="0.25">
      <c r="A994" s="7" t="s">
        <v>2159</v>
      </c>
      <c r="C994" s="8" t="s">
        <v>10197</v>
      </c>
      <c r="D994">
        <f t="shared" si="15"/>
        <v>1</v>
      </c>
      <c r="I994" s="1" t="s">
        <v>1131</v>
      </c>
      <c r="J994" s="1" t="s">
        <v>10782</v>
      </c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x14ac:dyDescent="0.25">
      <c r="A995" s="8" t="s">
        <v>2159</v>
      </c>
      <c r="C995" s="8" t="s">
        <v>9662</v>
      </c>
      <c r="D995">
        <f t="shared" si="15"/>
        <v>1</v>
      </c>
      <c r="I995" s="1" t="s">
        <v>1053</v>
      </c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x14ac:dyDescent="0.25">
      <c r="A996" s="8" t="s">
        <v>2159</v>
      </c>
      <c r="C996" s="8" t="s">
        <v>10549</v>
      </c>
      <c r="D996">
        <f t="shared" si="15"/>
        <v>1</v>
      </c>
      <c r="I996" s="1" t="s">
        <v>50</v>
      </c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x14ac:dyDescent="0.25">
      <c r="A997" s="7" t="s">
        <v>8955</v>
      </c>
      <c r="C997" s="8" t="s">
        <v>10220</v>
      </c>
      <c r="D997">
        <f t="shared" si="15"/>
        <v>1</v>
      </c>
      <c r="I997" s="1" t="s">
        <v>1001</v>
      </c>
      <c r="J997" s="1" t="s">
        <v>919</v>
      </c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x14ac:dyDescent="0.25">
      <c r="A998" s="8" t="s">
        <v>10642</v>
      </c>
      <c r="C998" s="7" t="s">
        <v>9768</v>
      </c>
      <c r="D998">
        <f t="shared" si="15"/>
        <v>1</v>
      </c>
      <c r="I998" s="1" t="s">
        <v>50</v>
      </c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x14ac:dyDescent="0.25">
      <c r="A999" s="8" t="s">
        <v>10642</v>
      </c>
      <c r="C999" s="7" t="s">
        <v>9937</v>
      </c>
      <c r="D999">
        <f t="shared" si="15"/>
        <v>1</v>
      </c>
      <c r="I999" s="1" t="s">
        <v>750</v>
      </c>
      <c r="J999" s="1" t="s">
        <v>1129</v>
      </c>
      <c r="K999" s="1" t="s">
        <v>1140</v>
      </c>
      <c r="L999" s="1" t="s">
        <v>761</v>
      </c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x14ac:dyDescent="0.25">
      <c r="A1000" s="8" t="s">
        <v>10642</v>
      </c>
      <c r="C1000" s="7" t="s">
        <v>10351</v>
      </c>
      <c r="D1000">
        <f t="shared" si="15"/>
        <v>1</v>
      </c>
      <c r="I1000" s="1" t="s">
        <v>933</v>
      </c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25">
      <c r="A1001" s="8" t="s">
        <v>10642</v>
      </c>
      <c r="C1001" s="8" t="s">
        <v>9096</v>
      </c>
      <c r="D1001">
        <f t="shared" si="15"/>
        <v>1</v>
      </c>
      <c r="I1001" s="1" t="s">
        <v>3439</v>
      </c>
      <c r="J1001" s="1" t="s">
        <v>1108</v>
      </c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25">
      <c r="A1002" s="8" t="s">
        <v>10318</v>
      </c>
      <c r="C1002" s="8" t="s">
        <v>9550</v>
      </c>
      <c r="D1002">
        <f t="shared" si="15"/>
        <v>1</v>
      </c>
      <c r="I1002" s="1" t="s">
        <v>3842</v>
      </c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25">
      <c r="A1003" s="7" t="s">
        <v>2419</v>
      </c>
      <c r="C1003" s="8" t="s">
        <v>10312</v>
      </c>
      <c r="D1003">
        <f t="shared" si="15"/>
        <v>1</v>
      </c>
      <c r="I1003" s="1" t="s">
        <v>1066</v>
      </c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25">
      <c r="A1004" s="7" t="s">
        <v>2550</v>
      </c>
      <c r="C1004" s="7" t="s">
        <v>10673</v>
      </c>
      <c r="D1004">
        <f t="shared" si="15"/>
        <v>1</v>
      </c>
      <c r="I1004" s="1" t="s">
        <v>1011</v>
      </c>
      <c r="J1004" s="1" t="s">
        <v>25</v>
      </c>
      <c r="K1004" s="1" t="s">
        <v>927</v>
      </c>
      <c r="L1004" s="1" t="s">
        <v>998</v>
      </c>
      <c r="M1004" s="1" t="s">
        <v>992</v>
      </c>
      <c r="N1004" s="1" t="s">
        <v>981</v>
      </c>
      <c r="O1004" s="1" t="s">
        <v>920</v>
      </c>
      <c r="P1004" s="1" t="s">
        <v>933</v>
      </c>
      <c r="Q1004" s="1" t="s">
        <v>994</v>
      </c>
      <c r="R1004" s="1"/>
      <c r="S1004" s="1"/>
      <c r="T1004" s="1"/>
      <c r="U1004" s="1"/>
      <c r="V1004" s="1"/>
      <c r="W1004" s="1"/>
      <c r="X1004" s="1"/>
      <c r="Y1004" s="1"/>
    </row>
    <row r="1005" spans="1:25" x14ac:dyDescent="0.25">
      <c r="A1005" s="8" t="s">
        <v>2550</v>
      </c>
      <c r="C1005" s="7" t="s">
        <v>9380</v>
      </c>
      <c r="D1005">
        <f t="shared" si="15"/>
        <v>1</v>
      </c>
      <c r="I1005" s="1" t="s">
        <v>948</v>
      </c>
      <c r="J1005" s="1" t="s">
        <v>1069</v>
      </c>
      <c r="K1005" s="1" t="s">
        <v>25</v>
      </c>
      <c r="L1005" s="1" t="s">
        <v>923</v>
      </c>
      <c r="M1005" s="1" t="s">
        <v>1053</v>
      </c>
      <c r="N1005" s="1" t="s">
        <v>1086</v>
      </c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25">
      <c r="A1006" s="7" t="s">
        <v>4835</v>
      </c>
      <c r="C1006" s="8" t="s">
        <v>9837</v>
      </c>
      <c r="D1006">
        <f t="shared" si="15"/>
        <v>1</v>
      </c>
      <c r="I1006" s="1" t="s">
        <v>933</v>
      </c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25">
      <c r="A1007" s="7" t="s">
        <v>4835</v>
      </c>
      <c r="C1007" s="8" t="s">
        <v>9366</v>
      </c>
      <c r="D1007">
        <f t="shared" si="15"/>
        <v>1</v>
      </c>
      <c r="I1007" s="1" t="s">
        <v>925</v>
      </c>
      <c r="J1007" s="1" t="s">
        <v>918</v>
      </c>
      <c r="K1007" s="1" t="s">
        <v>927</v>
      </c>
      <c r="L1007" s="1" t="s">
        <v>928</v>
      </c>
      <c r="M1007" s="1" t="s">
        <v>8195</v>
      </c>
      <c r="N1007" s="1" t="s">
        <v>919</v>
      </c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25">
      <c r="A1008" s="7" t="s">
        <v>4835</v>
      </c>
      <c r="C1008" s="8" t="s">
        <v>8906</v>
      </c>
      <c r="D1008">
        <f t="shared" si="15"/>
        <v>1</v>
      </c>
      <c r="I1008" s="1" t="s">
        <v>1030</v>
      </c>
      <c r="J1008" s="1" t="s">
        <v>1013</v>
      </c>
      <c r="K1008" s="1" t="s">
        <v>919</v>
      </c>
      <c r="L1008" s="1" t="s">
        <v>918</v>
      </c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25">
      <c r="A1009" s="7" t="s">
        <v>4835</v>
      </c>
      <c r="C1009" s="8" t="s">
        <v>9568</v>
      </c>
      <c r="D1009">
        <f t="shared" si="15"/>
        <v>1</v>
      </c>
      <c r="I1009" s="1" t="s">
        <v>1013</v>
      </c>
      <c r="J1009" s="1" t="s">
        <v>919</v>
      </c>
      <c r="K1009" s="1" t="s">
        <v>1030</v>
      </c>
      <c r="L1009" s="1" t="s">
        <v>930</v>
      </c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25">
      <c r="A1010" s="8" t="s">
        <v>4835</v>
      </c>
      <c r="C1010" s="7" t="s">
        <v>5508</v>
      </c>
      <c r="D1010">
        <f t="shared" si="15"/>
        <v>1</v>
      </c>
      <c r="I1010" s="1" t="s">
        <v>1081</v>
      </c>
      <c r="J1010" s="1" t="s">
        <v>1013</v>
      </c>
      <c r="K1010" s="1" t="s">
        <v>919</v>
      </c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25">
      <c r="A1011" s="8" t="s">
        <v>9431</v>
      </c>
      <c r="C1011" s="8" t="s">
        <v>10592</v>
      </c>
      <c r="D1011">
        <f t="shared" si="15"/>
        <v>1</v>
      </c>
      <c r="I1011" s="1" t="s">
        <v>1064</v>
      </c>
      <c r="J1011" s="1" t="s">
        <v>918</v>
      </c>
      <c r="K1011" s="1" t="s">
        <v>967</v>
      </c>
      <c r="L1011" s="1" t="s">
        <v>1065</v>
      </c>
      <c r="M1011" s="1" t="s">
        <v>919</v>
      </c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25">
      <c r="A1012" s="8" t="s">
        <v>9431</v>
      </c>
      <c r="C1012" s="8" t="s">
        <v>10283</v>
      </c>
      <c r="D1012">
        <f t="shared" si="15"/>
        <v>1</v>
      </c>
      <c r="I1012" s="1" t="s">
        <v>918</v>
      </c>
      <c r="J1012" s="1" t="s">
        <v>919</v>
      </c>
      <c r="K1012" s="1" t="s">
        <v>924</v>
      </c>
      <c r="L1012" s="1" t="s">
        <v>945</v>
      </c>
      <c r="M1012" s="1" t="s">
        <v>967</v>
      </c>
      <c r="N1012" s="1" t="s">
        <v>995</v>
      </c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25">
      <c r="A1013" s="7" t="s">
        <v>3104</v>
      </c>
      <c r="C1013" s="7" t="s">
        <v>10238</v>
      </c>
      <c r="D1013">
        <f t="shared" si="15"/>
        <v>1</v>
      </c>
      <c r="I1013" s="1" t="s">
        <v>1001</v>
      </c>
      <c r="J1013" s="1" t="s">
        <v>925</v>
      </c>
      <c r="K1013" s="1" t="s">
        <v>918</v>
      </c>
      <c r="L1013" s="1" t="s">
        <v>927</v>
      </c>
      <c r="M1013" s="1" t="s">
        <v>10774</v>
      </c>
      <c r="N1013" s="1" t="s">
        <v>981</v>
      </c>
      <c r="O1013" s="1" t="s">
        <v>919</v>
      </c>
      <c r="P1013" s="1" t="s">
        <v>936</v>
      </c>
      <c r="Q1013" s="1" t="s">
        <v>920</v>
      </c>
      <c r="R1013" s="1" t="s">
        <v>933</v>
      </c>
      <c r="S1013" s="1"/>
      <c r="T1013" s="1"/>
      <c r="U1013" s="1"/>
      <c r="V1013" s="1"/>
      <c r="W1013" s="1"/>
      <c r="X1013" s="1"/>
      <c r="Y1013" s="1"/>
    </row>
    <row r="1014" spans="1:25" x14ac:dyDescent="0.25">
      <c r="A1014" s="7" t="s">
        <v>3104</v>
      </c>
      <c r="C1014" s="8" t="s">
        <v>9391</v>
      </c>
      <c r="D1014">
        <f t="shared" si="15"/>
        <v>1</v>
      </c>
      <c r="I1014" s="1" t="s">
        <v>996</v>
      </c>
      <c r="J1014" s="1" t="s">
        <v>997</v>
      </c>
      <c r="K1014" s="1" t="s">
        <v>927</v>
      </c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25">
      <c r="A1015" s="8" t="s">
        <v>3104</v>
      </c>
      <c r="C1015" s="8" t="s">
        <v>9959</v>
      </c>
      <c r="D1015">
        <f t="shared" si="15"/>
        <v>1</v>
      </c>
      <c r="I1015" s="1" t="s">
        <v>947</v>
      </c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25">
      <c r="A1016" s="8" t="s">
        <v>3104</v>
      </c>
      <c r="C1016" s="7" t="s">
        <v>5061</v>
      </c>
      <c r="D1016">
        <f t="shared" si="15"/>
        <v>1</v>
      </c>
      <c r="I1016" s="1" t="s">
        <v>328</v>
      </c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25">
      <c r="A1017" s="8" t="s">
        <v>3104</v>
      </c>
      <c r="C1017" s="8" t="s">
        <v>9944</v>
      </c>
      <c r="D1017">
        <f t="shared" si="15"/>
        <v>1</v>
      </c>
      <c r="I1017" s="1" t="s">
        <v>998</v>
      </c>
      <c r="J1017" s="1" t="s">
        <v>994</v>
      </c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25">
      <c r="A1018" s="8" t="s">
        <v>3104</v>
      </c>
      <c r="C1018" s="8" t="s">
        <v>10239</v>
      </c>
      <c r="D1018">
        <f t="shared" si="15"/>
        <v>1</v>
      </c>
      <c r="I1018" s="1" t="s">
        <v>998</v>
      </c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25">
      <c r="A1019" s="7" t="s">
        <v>9845</v>
      </c>
      <c r="C1019" s="8" t="s">
        <v>9408</v>
      </c>
      <c r="D1019">
        <f t="shared" si="15"/>
        <v>1</v>
      </c>
      <c r="I1019" s="1" t="s">
        <v>933</v>
      </c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25">
      <c r="A1020" s="7" t="s">
        <v>10086</v>
      </c>
      <c r="C1020" s="8" t="s">
        <v>10567</v>
      </c>
      <c r="D1020">
        <f t="shared" si="15"/>
        <v>1</v>
      </c>
      <c r="I1020" s="1" t="s">
        <v>2214</v>
      </c>
      <c r="J1020" s="1" t="s">
        <v>10784</v>
      </c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25">
      <c r="A1021" s="7" t="s">
        <v>10086</v>
      </c>
      <c r="C1021" s="8" t="s">
        <v>10602</v>
      </c>
      <c r="D1021">
        <f t="shared" si="15"/>
        <v>1</v>
      </c>
      <c r="I1021" s="1" t="s">
        <v>50</v>
      </c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25">
      <c r="A1022" s="7" t="s">
        <v>10086</v>
      </c>
      <c r="C1022" s="7" t="s">
        <v>3198</v>
      </c>
      <c r="D1022">
        <f t="shared" si="15"/>
        <v>1</v>
      </c>
      <c r="I1022" s="1" t="s">
        <v>926</v>
      </c>
      <c r="J1022" s="1" t="s">
        <v>927</v>
      </c>
      <c r="K1022" s="1" t="s">
        <v>981</v>
      </c>
      <c r="L1022" s="1" t="s">
        <v>936</v>
      </c>
      <c r="M1022" s="1" t="s">
        <v>25</v>
      </c>
      <c r="N1022" s="1" t="s">
        <v>923</v>
      </c>
      <c r="O1022" s="1" t="s">
        <v>920</v>
      </c>
      <c r="P1022" s="1" t="s">
        <v>933</v>
      </c>
      <c r="Q1022" s="1" t="s">
        <v>954</v>
      </c>
      <c r="R1022" s="1" t="s">
        <v>921</v>
      </c>
      <c r="S1022" s="1"/>
      <c r="T1022" s="1"/>
      <c r="U1022" s="1"/>
      <c r="V1022" s="1"/>
      <c r="W1022" s="1"/>
      <c r="X1022" s="1"/>
      <c r="Y1022" s="1"/>
    </row>
    <row r="1023" spans="1:25" x14ac:dyDescent="0.25">
      <c r="A1023" s="7" t="s">
        <v>10086</v>
      </c>
      <c r="C1023" s="8" t="s">
        <v>9364</v>
      </c>
      <c r="D1023">
        <f t="shared" si="15"/>
        <v>1</v>
      </c>
      <c r="I1023" s="1" t="s">
        <v>1001</v>
      </c>
      <c r="J1023" s="1" t="s">
        <v>918</v>
      </c>
      <c r="K1023" s="1" t="s">
        <v>25</v>
      </c>
      <c r="L1023" s="1" t="s">
        <v>927</v>
      </c>
      <c r="M1023" s="1" t="s">
        <v>919</v>
      </c>
      <c r="N1023" s="1" t="s">
        <v>920</v>
      </c>
      <c r="O1023" s="1" t="s">
        <v>936</v>
      </c>
      <c r="P1023" s="1" t="s">
        <v>921</v>
      </c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25">
      <c r="A1024" s="7" t="s">
        <v>10086</v>
      </c>
      <c r="C1024" s="8" t="s">
        <v>9928</v>
      </c>
      <c r="D1024">
        <f t="shared" si="15"/>
        <v>1</v>
      </c>
      <c r="I1024" s="1" t="s">
        <v>50</v>
      </c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25">
      <c r="A1025" s="7" t="s">
        <v>10086</v>
      </c>
      <c r="C1025" s="8" t="s">
        <v>10531</v>
      </c>
      <c r="D1025">
        <f t="shared" si="15"/>
        <v>1</v>
      </c>
      <c r="I1025" s="1" t="s">
        <v>940</v>
      </c>
      <c r="J1025" s="1" t="s">
        <v>921</v>
      </c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25">
      <c r="A1026" s="7" t="s">
        <v>10086</v>
      </c>
      <c r="C1026" s="8" t="s">
        <v>8870</v>
      </c>
      <c r="D1026">
        <f t="shared" ref="D1026:D1089" si="16">COUNTIF(A:A,C1026)</f>
        <v>1</v>
      </c>
      <c r="I1026" s="1" t="s">
        <v>1001</v>
      </c>
      <c r="J1026" s="1" t="s">
        <v>10737</v>
      </c>
      <c r="K1026" s="1" t="s">
        <v>10738</v>
      </c>
      <c r="L1026" s="1" t="s">
        <v>927</v>
      </c>
      <c r="M1026" s="1" t="s">
        <v>919</v>
      </c>
      <c r="N1026" s="1" t="s">
        <v>10833</v>
      </c>
      <c r="O1026" s="1" t="s">
        <v>10845</v>
      </c>
      <c r="P1026" s="1" t="s">
        <v>10834</v>
      </c>
      <c r="Q1026" s="1" t="s">
        <v>10835</v>
      </c>
      <c r="R1026" s="1" t="s">
        <v>936</v>
      </c>
      <c r="S1026" s="1"/>
      <c r="T1026" s="1"/>
      <c r="U1026" s="1"/>
      <c r="V1026" s="1"/>
      <c r="W1026" s="1"/>
      <c r="X1026" s="1"/>
      <c r="Y1026" s="1"/>
    </row>
    <row r="1027" spans="1:25" x14ac:dyDescent="0.25">
      <c r="A1027" s="7" t="s">
        <v>10086</v>
      </c>
      <c r="C1027" s="8" t="s">
        <v>10294</v>
      </c>
      <c r="D1027">
        <f t="shared" si="16"/>
        <v>1</v>
      </c>
      <c r="I1027" s="1" t="s">
        <v>1086</v>
      </c>
      <c r="J1027" s="1" t="s">
        <v>933</v>
      </c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25">
      <c r="A1028" s="7" t="s">
        <v>10086</v>
      </c>
      <c r="C1028" s="7" t="s">
        <v>10173</v>
      </c>
      <c r="D1028">
        <f t="shared" si="16"/>
        <v>1</v>
      </c>
      <c r="I1028" s="1" t="s">
        <v>50</v>
      </c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25">
      <c r="A1029" s="8" t="s">
        <v>9826</v>
      </c>
      <c r="C1029" s="7" t="s">
        <v>9867</v>
      </c>
      <c r="D1029">
        <f t="shared" si="16"/>
        <v>1</v>
      </c>
      <c r="I1029" s="1" t="s">
        <v>50</v>
      </c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25">
      <c r="A1030" s="7" t="s">
        <v>9697</v>
      </c>
      <c r="C1030" s="8" t="s">
        <v>9107</v>
      </c>
      <c r="D1030">
        <f t="shared" si="16"/>
        <v>1</v>
      </c>
      <c r="I1030" s="1" t="s">
        <v>934</v>
      </c>
      <c r="J1030" s="1" t="s">
        <v>1090</v>
      </c>
      <c r="K1030" s="1" t="s">
        <v>25</v>
      </c>
      <c r="L1030" s="1" t="s">
        <v>920</v>
      </c>
      <c r="M1030" s="1" t="s">
        <v>974</v>
      </c>
      <c r="N1030" s="1" t="s">
        <v>950</v>
      </c>
      <c r="O1030" s="1" t="s">
        <v>10720</v>
      </c>
      <c r="P1030" s="1"/>
      <c r="Q1030" s="1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25">
      <c r="A1031" s="7" t="s">
        <v>10167</v>
      </c>
      <c r="C1031" s="7" t="s">
        <v>6699</v>
      </c>
      <c r="D1031">
        <f t="shared" si="16"/>
        <v>1</v>
      </c>
      <c r="I1031" s="1" t="s">
        <v>998</v>
      </c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25">
      <c r="A1032" s="7" t="s">
        <v>9747</v>
      </c>
      <c r="C1032" s="8" t="s">
        <v>10557</v>
      </c>
      <c r="D1032">
        <f t="shared" si="16"/>
        <v>1</v>
      </c>
      <c r="I1032" s="1" t="s">
        <v>50</v>
      </c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25">
      <c r="A1033" s="8" t="s">
        <v>10539</v>
      </c>
      <c r="C1033" s="8" t="s">
        <v>10032</v>
      </c>
      <c r="D1033">
        <f t="shared" si="16"/>
        <v>1</v>
      </c>
      <c r="I1033" s="1" t="s">
        <v>996</v>
      </c>
      <c r="J1033" s="1" t="s">
        <v>1149</v>
      </c>
      <c r="K1033" s="1" t="s">
        <v>1053</v>
      </c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25">
      <c r="A1034" s="7" t="s">
        <v>283</v>
      </c>
      <c r="C1034" s="8" t="s">
        <v>10440</v>
      </c>
      <c r="D1034">
        <f t="shared" si="16"/>
        <v>1</v>
      </c>
      <c r="I1034" s="1" t="s">
        <v>50</v>
      </c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25">
      <c r="A1035" s="7" t="s">
        <v>283</v>
      </c>
      <c r="C1035" s="8" t="s">
        <v>10398</v>
      </c>
      <c r="D1035">
        <f t="shared" si="16"/>
        <v>1</v>
      </c>
      <c r="I1035" s="1" t="s">
        <v>1004</v>
      </c>
      <c r="J1035" s="1" t="s">
        <v>1043</v>
      </c>
      <c r="K1035" s="1" t="s">
        <v>1006</v>
      </c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25">
      <c r="A1036" s="7" t="s">
        <v>283</v>
      </c>
      <c r="C1036" s="8" t="s">
        <v>10628</v>
      </c>
      <c r="D1036">
        <f t="shared" si="16"/>
        <v>1</v>
      </c>
      <c r="I1036" s="1" t="s">
        <v>1004</v>
      </c>
      <c r="J1036" s="1" t="s">
        <v>1043</v>
      </c>
      <c r="K1036" s="1" t="s">
        <v>1006</v>
      </c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25">
      <c r="A1037" s="7" t="s">
        <v>283</v>
      </c>
      <c r="C1037" s="8" t="s">
        <v>10016</v>
      </c>
      <c r="D1037">
        <f t="shared" si="16"/>
        <v>1</v>
      </c>
      <c r="I1037" s="1" t="s">
        <v>918</v>
      </c>
      <c r="J1037" s="1" t="s">
        <v>919</v>
      </c>
      <c r="K1037" s="1" t="s">
        <v>929</v>
      </c>
      <c r="L1037" s="1" t="s">
        <v>10891</v>
      </c>
      <c r="M1037" s="1" t="s">
        <v>1014</v>
      </c>
      <c r="N1037" s="1" t="s">
        <v>956</v>
      </c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25">
      <c r="A1038" s="7" t="s">
        <v>283</v>
      </c>
      <c r="C1038" s="8" t="s">
        <v>9586</v>
      </c>
      <c r="D1038">
        <f t="shared" si="16"/>
        <v>1</v>
      </c>
      <c r="I1038" s="1" t="s">
        <v>25</v>
      </c>
      <c r="J1038" s="1" t="s">
        <v>923</v>
      </c>
      <c r="K1038" s="1" t="s">
        <v>920</v>
      </c>
      <c r="L1038" s="1" t="s">
        <v>933</v>
      </c>
      <c r="M1038" s="1" t="s">
        <v>954</v>
      </c>
      <c r="N1038" s="1" t="s">
        <v>974</v>
      </c>
      <c r="O1038" s="1" t="s">
        <v>1141</v>
      </c>
      <c r="P1038" s="1" t="s">
        <v>1001</v>
      </c>
      <c r="Q1038" s="1" t="s">
        <v>937</v>
      </c>
      <c r="R1038" s="1"/>
      <c r="S1038" s="1"/>
      <c r="T1038" s="1"/>
      <c r="U1038" s="1"/>
      <c r="V1038" s="1"/>
      <c r="W1038" s="1"/>
      <c r="X1038" s="1"/>
      <c r="Y1038" s="1"/>
    </row>
    <row r="1039" spans="1:25" x14ac:dyDescent="0.25">
      <c r="A1039" s="7" t="s">
        <v>283</v>
      </c>
      <c r="C1039" s="8" t="s">
        <v>10622</v>
      </c>
      <c r="D1039">
        <f t="shared" si="16"/>
        <v>1</v>
      </c>
      <c r="I1039" s="1" t="s">
        <v>50</v>
      </c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25">
      <c r="A1040" s="7" t="s">
        <v>283</v>
      </c>
      <c r="C1040" s="8" t="s">
        <v>10594</v>
      </c>
      <c r="D1040">
        <f t="shared" si="16"/>
        <v>1</v>
      </c>
      <c r="I1040" s="1" t="s">
        <v>981</v>
      </c>
      <c r="J1040" s="1" t="s">
        <v>983</v>
      </c>
      <c r="K1040" s="1" t="s">
        <v>919</v>
      </c>
      <c r="L1040" s="1" t="s">
        <v>1020</v>
      </c>
      <c r="M1040" s="1" t="s">
        <v>1011</v>
      </c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25">
      <c r="A1041" s="7" t="s">
        <v>283</v>
      </c>
      <c r="C1041" s="8" t="s">
        <v>10025</v>
      </c>
      <c r="D1041">
        <f t="shared" si="16"/>
        <v>1</v>
      </c>
      <c r="I1041" s="1" t="s">
        <v>998</v>
      </c>
      <c r="J1041" s="1" t="s">
        <v>993</v>
      </c>
      <c r="K1041" s="1" t="s">
        <v>994</v>
      </c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25">
      <c r="A1042" s="7" t="s">
        <v>283</v>
      </c>
      <c r="C1042" s="8" t="s">
        <v>9412</v>
      </c>
      <c r="D1042">
        <f t="shared" si="16"/>
        <v>1</v>
      </c>
      <c r="I1042" s="1" t="s">
        <v>298</v>
      </c>
      <c r="J1042" s="1" t="s">
        <v>25</v>
      </c>
      <c r="K1042" s="1" t="s">
        <v>923</v>
      </c>
      <c r="L1042" s="1" t="s">
        <v>927</v>
      </c>
      <c r="M1042" s="1" t="s">
        <v>981</v>
      </c>
      <c r="N1042" s="1" t="s">
        <v>920</v>
      </c>
      <c r="O1042" s="1" t="s">
        <v>933</v>
      </c>
      <c r="P1042" s="1" t="s">
        <v>921</v>
      </c>
      <c r="Q1042" s="1" t="s">
        <v>992</v>
      </c>
      <c r="R1042" s="1"/>
      <c r="S1042" s="1"/>
      <c r="T1042" s="1"/>
      <c r="U1042" s="1"/>
      <c r="V1042" s="1"/>
      <c r="W1042" s="1"/>
      <c r="X1042" s="1"/>
      <c r="Y1042" s="1"/>
    </row>
    <row r="1043" spans="1:25" x14ac:dyDescent="0.25">
      <c r="A1043" s="8" t="s">
        <v>283</v>
      </c>
      <c r="C1043" s="8" t="s">
        <v>9801</v>
      </c>
      <c r="D1043">
        <f t="shared" si="16"/>
        <v>1</v>
      </c>
      <c r="I1043" s="1" t="s">
        <v>10807</v>
      </c>
      <c r="J1043" s="1" t="s">
        <v>996</v>
      </c>
      <c r="K1043" s="1" t="s">
        <v>997</v>
      </c>
      <c r="L1043" s="1" t="s">
        <v>1078</v>
      </c>
      <c r="M1043" s="1" t="s">
        <v>927</v>
      </c>
      <c r="N1043" s="1" t="s">
        <v>953</v>
      </c>
      <c r="O1043" s="1" t="s">
        <v>10837</v>
      </c>
      <c r="P1043" s="1" t="s">
        <v>10892</v>
      </c>
      <c r="Q1043" s="1" t="s">
        <v>10882</v>
      </c>
      <c r="R1043" s="1"/>
      <c r="S1043" s="1"/>
      <c r="T1043" s="1"/>
      <c r="U1043" s="1"/>
      <c r="V1043" s="1"/>
      <c r="W1043" s="1"/>
      <c r="X1043" s="1"/>
      <c r="Y1043" s="1"/>
    </row>
    <row r="1044" spans="1:25" x14ac:dyDescent="0.25">
      <c r="A1044" s="8" t="s">
        <v>10170</v>
      </c>
      <c r="C1044" s="8" t="s">
        <v>10618</v>
      </c>
      <c r="D1044">
        <f t="shared" si="16"/>
        <v>1</v>
      </c>
      <c r="I1044" s="1" t="s">
        <v>50</v>
      </c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25">
      <c r="A1045" s="8" t="s">
        <v>8985</v>
      </c>
      <c r="C1045" s="7" t="s">
        <v>9699</v>
      </c>
      <c r="D1045">
        <f t="shared" si="16"/>
        <v>1</v>
      </c>
      <c r="I1045" s="1" t="s">
        <v>50</v>
      </c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25">
      <c r="A1046" s="7" t="s">
        <v>272</v>
      </c>
      <c r="C1046" s="7" t="s">
        <v>9453</v>
      </c>
      <c r="D1046">
        <f t="shared" si="16"/>
        <v>1</v>
      </c>
      <c r="I1046" s="1" t="s">
        <v>50</v>
      </c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25">
      <c r="A1047" s="7" t="s">
        <v>272</v>
      </c>
      <c r="C1047" s="7" t="s">
        <v>3119</v>
      </c>
      <c r="D1047">
        <f t="shared" si="16"/>
        <v>1</v>
      </c>
      <c r="I1047" s="1" t="s">
        <v>2541</v>
      </c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25">
      <c r="A1048" s="7" t="s">
        <v>272</v>
      </c>
      <c r="C1048" s="7" t="s">
        <v>6116</v>
      </c>
      <c r="D1048">
        <f t="shared" si="16"/>
        <v>1</v>
      </c>
      <c r="I1048" s="1" t="s">
        <v>50</v>
      </c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25">
      <c r="A1049" s="7" t="s">
        <v>272</v>
      </c>
      <c r="C1049" s="7" t="s">
        <v>8857</v>
      </c>
      <c r="D1049">
        <f t="shared" si="16"/>
        <v>1</v>
      </c>
      <c r="I1049" s="1" t="s">
        <v>933</v>
      </c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25">
      <c r="A1050" s="7" t="s">
        <v>272</v>
      </c>
      <c r="C1050" s="7" t="s">
        <v>9588</v>
      </c>
      <c r="D1050">
        <f t="shared" si="16"/>
        <v>1</v>
      </c>
      <c r="I1050" s="1" t="s">
        <v>996</v>
      </c>
      <c r="J1050" s="1" t="s">
        <v>998</v>
      </c>
      <c r="K1050" s="1" t="s">
        <v>2541</v>
      </c>
      <c r="L1050" s="1" t="s">
        <v>992</v>
      </c>
      <c r="M1050" s="1" t="s">
        <v>981</v>
      </c>
      <c r="N1050" s="1" t="s">
        <v>10722</v>
      </c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25">
      <c r="A1051" s="7" t="s">
        <v>272</v>
      </c>
      <c r="C1051" s="7" t="s">
        <v>9712</v>
      </c>
      <c r="D1051">
        <f t="shared" si="16"/>
        <v>1</v>
      </c>
      <c r="I1051" s="1" t="s">
        <v>50</v>
      </c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25">
      <c r="A1052" s="7" t="s">
        <v>272</v>
      </c>
      <c r="C1052" s="7" t="s">
        <v>9365</v>
      </c>
      <c r="D1052">
        <f t="shared" si="16"/>
        <v>1</v>
      </c>
      <c r="I1052" s="1" t="s">
        <v>998</v>
      </c>
      <c r="J1052" s="1" t="s">
        <v>994</v>
      </c>
      <c r="K1052" s="1" t="s">
        <v>1066</v>
      </c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25">
      <c r="A1053" s="7" t="s">
        <v>272</v>
      </c>
      <c r="C1053" s="8" t="s">
        <v>8858</v>
      </c>
      <c r="D1053">
        <f t="shared" si="16"/>
        <v>1</v>
      </c>
      <c r="I1053" s="1" t="s">
        <v>918</v>
      </c>
      <c r="J1053" s="1" t="s">
        <v>919</v>
      </c>
      <c r="K1053" s="1" t="s">
        <v>929</v>
      </c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25">
      <c r="A1054" s="7" t="s">
        <v>272</v>
      </c>
      <c r="C1054" s="8" t="s">
        <v>9141</v>
      </c>
      <c r="D1054">
        <f t="shared" si="16"/>
        <v>1</v>
      </c>
      <c r="I1054" s="1" t="s">
        <v>1160</v>
      </c>
      <c r="J1054" s="1" t="s">
        <v>998</v>
      </c>
      <c r="K1054" s="1" t="s">
        <v>1053</v>
      </c>
      <c r="L1054" s="1" t="s">
        <v>933</v>
      </c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25">
      <c r="A1055" s="8" t="s">
        <v>10269</v>
      </c>
      <c r="C1055" s="7" t="s">
        <v>9688</v>
      </c>
      <c r="D1055">
        <f t="shared" si="16"/>
        <v>1</v>
      </c>
      <c r="I1055" s="1" t="s">
        <v>10893</v>
      </c>
      <c r="J1055" s="1" t="s">
        <v>10894</v>
      </c>
      <c r="K1055" s="1" t="s">
        <v>1087</v>
      </c>
      <c r="L1055" s="1" t="s">
        <v>999</v>
      </c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25">
      <c r="A1056" s="8" t="s">
        <v>10269</v>
      </c>
      <c r="C1056" s="7" t="s">
        <v>3325</v>
      </c>
      <c r="D1056">
        <f t="shared" si="16"/>
        <v>1</v>
      </c>
      <c r="I1056" s="1" t="s">
        <v>10893</v>
      </c>
      <c r="J1056" s="1" t="s">
        <v>10894</v>
      </c>
      <c r="K1056" s="1" t="s">
        <v>1087</v>
      </c>
      <c r="L1056" s="1" t="s">
        <v>999</v>
      </c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25">
      <c r="A1057" s="8" t="s">
        <v>9574</v>
      </c>
      <c r="C1057" s="8" t="s">
        <v>10473</v>
      </c>
      <c r="D1057">
        <f t="shared" si="16"/>
        <v>1</v>
      </c>
      <c r="I1057" s="1" t="s">
        <v>1004</v>
      </c>
      <c r="J1057" s="1" t="s">
        <v>1005</v>
      </c>
      <c r="K1057" s="1" t="s">
        <v>1006</v>
      </c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25">
      <c r="A1058" s="8" t="s">
        <v>9010</v>
      </c>
      <c r="C1058" s="8" t="s">
        <v>9898</v>
      </c>
      <c r="D1058">
        <f t="shared" si="16"/>
        <v>1</v>
      </c>
      <c r="I1058" s="1" t="s">
        <v>919</v>
      </c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25">
      <c r="A1059" s="8" t="s">
        <v>10691</v>
      </c>
      <c r="C1059" s="8" t="s">
        <v>10242</v>
      </c>
      <c r="D1059">
        <f t="shared" si="16"/>
        <v>1</v>
      </c>
      <c r="I1059" s="1" t="s">
        <v>919</v>
      </c>
      <c r="J1059" s="1" t="s">
        <v>918</v>
      </c>
      <c r="K1059" s="1" t="s">
        <v>10895</v>
      </c>
      <c r="L1059" s="1" t="s">
        <v>10747</v>
      </c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25">
      <c r="A1060" s="8" t="s">
        <v>9789</v>
      </c>
      <c r="C1060" s="8" t="s">
        <v>10437</v>
      </c>
      <c r="D1060">
        <f t="shared" si="16"/>
        <v>1</v>
      </c>
      <c r="I1060" s="1" t="s">
        <v>918</v>
      </c>
      <c r="J1060" s="1" t="s">
        <v>25</v>
      </c>
      <c r="K1060" s="1" t="s">
        <v>919</v>
      </c>
      <c r="L1060" s="1" t="s">
        <v>920</v>
      </c>
      <c r="M1060" s="1" t="s">
        <v>933</v>
      </c>
      <c r="N1060" s="1" t="s">
        <v>924</v>
      </c>
      <c r="O1060" s="1" t="s">
        <v>921</v>
      </c>
      <c r="P1060" s="1" t="s">
        <v>955</v>
      </c>
      <c r="Q1060" s="1" t="s">
        <v>1036</v>
      </c>
      <c r="R1060" s="1" t="s">
        <v>1014</v>
      </c>
      <c r="S1060" s="1" t="s">
        <v>944</v>
      </c>
      <c r="T1060" s="1" t="s">
        <v>956</v>
      </c>
      <c r="U1060" s="1" t="s">
        <v>1066</v>
      </c>
      <c r="V1060" s="1"/>
      <c r="W1060" s="1"/>
      <c r="X1060" s="1"/>
      <c r="Y1060" s="1"/>
    </row>
    <row r="1061" spans="1:25" x14ac:dyDescent="0.25">
      <c r="A1061" s="8" t="s">
        <v>9789</v>
      </c>
      <c r="C1061" s="8" t="s">
        <v>9616</v>
      </c>
      <c r="D1061">
        <f t="shared" si="16"/>
        <v>1</v>
      </c>
      <c r="I1061" s="1" t="s">
        <v>1066</v>
      </c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25">
      <c r="A1062" s="8" t="s">
        <v>10599</v>
      </c>
      <c r="C1062" s="7" t="s">
        <v>9755</v>
      </c>
      <c r="D1062">
        <f t="shared" si="16"/>
        <v>1</v>
      </c>
      <c r="I1062" s="1" t="s">
        <v>918</v>
      </c>
      <c r="J1062" s="1" t="s">
        <v>25</v>
      </c>
      <c r="K1062" s="1" t="s">
        <v>927</v>
      </c>
      <c r="L1062" s="1" t="s">
        <v>919</v>
      </c>
      <c r="M1062" s="1" t="s">
        <v>920</v>
      </c>
      <c r="N1062" s="1" t="s">
        <v>921</v>
      </c>
      <c r="O1062" s="1" t="s">
        <v>1066</v>
      </c>
      <c r="P1062" s="1"/>
      <c r="Q1062" s="1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25">
      <c r="A1063" s="7" t="s">
        <v>9649</v>
      </c>
      <c r="C1063" s="7" t="s">
        <v>9634</v>
      </c>
      <c r="D1063">
        <f t="shared" si="16"/>
        <v>1</v>
      </c>
      <c r="I1063" s="1" t="s">
        <v>1013</v>
      </c>
      <c r="J1063" s="1" t="s">
        <v>919</v>
      </c>
      <c r="K1063" s="1" t="s">
        <v>1037</v>
      </c>
      <c r="L1063" s="1" t="s">
        <v>1066</v>
      </c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25">
      <c r="A1064" s="8" t="s">
        <v>9649</v>
      </c>
      <c r="C1064" s="8" t="s">
        <v>10559</v>
      </c>
      <c r="D1064">
        <f t="shared" si="16"/>
        <v>1</v>
      </c>
      <c r="I1064" s="1" t="s">
        <v>919</v>
      </c>
      <c r="J1064" s="1" t="s">
        <v>941</v>
      </c>
      <c r="K1064" s="1" t="s">
        <v>1014</v>
      </c>
      <c r="L1064" s="1" t="s">
        <v>944</v>
      </c>
      <c r="M1064" s="1" t="s">
        <v>956</v>
      </c>
      <c r="N1064" s="1" t="s">
        <v>918</v>
      </c>
      <c r="O1064" s="1" t="s">
        <v>1110</v>
      </c>
      <c r="P1064" s="1" t="s">
        <v>25</v>
      </c>
      <c r="Q1064" s="1" t="s">
        <v>923</v>
      </c>
      <c r="R1064" s="1" t="s">
        <v>920</v>
      </c>
      <c r="S1064" s="1" t="s">
        <v>954</v>
      </c>
      <c r="T1064" s="1" t="s">
        <v>328</v>
      </c>
      <c r="U1064" s="1" t="s">
        <v>921</v>
      </c>
      <c r="V1064" s="1" t="s">
        <v>1054</v>
      </c>
      <c r="W1064" s="1"/>
      <c r="X1064" s="1"/>
      <c r="Y1064" s="1"/>
    </row>
    <row r="1065" spans="1:25" x14ac:dyDescent="0.25">
      <c r="A1065" s="8" t="s">
        <v>10552</v>
      </c>
      <c r="C1065" s="7" t="s">
        <v>9498</v>
      </c>
      <c r="D1065">
        <f t="shared" si="16"/>
        <v>1</v>
      </c>
      <c r="I1065" s="1" t="s">
        <v>919</v>
      </c>
      <c r="J1065" s="1" t="s">
        <v>941</v>
      </c>
      <c r="K1065" s="1" t="s">
        <v>1014</v>
      </c>
      <c r="L1065" s="1" t="s">
        <v>944</v>
      </c>
      <c r="M1065" s="1" t="s">
        <v>956</v>
      </c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25">
      <c r="A1066" s="7" t="s">
        <v>10017</v>
      </c>
      <c r="C1066" s="8" t="s">
        <v>10140</v>
      </c>
      <c r="D1066">
        <f t="shared" si="16"/>
        <v>1</v>
      </c>
      <c r="I1066" s="1" t="s">
        <v>919</v>
      </c>
      <c r="J1066" s="1" t="s">
        <v>941</v>
      </c>
      <c r="K1066" s="1" t="s">
        <v>1014</v>
      </c>
      <c r="L1066" s="1" t="s">
        <v>944</v>
      </c>
      <c r="M1066" s="1" t="s">
        <v>956</v>
      </c>
      <c r="N1066" s="1" t="s">
        <v>1066</v>
      </c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25">
      <c r="A1067" s="7" t="s">
        <v>2693</v>
      </c>
      <c r="C1067" s="7" t="s">
        <v>9117</v>
      </c>
      <c r="D1067">
        <f t="shared" si="16"/>
        <v>1</v>
      </c>
      <c r="I1067" s="1" t="s">
        <v>25</v>
      </c>
      <c r="J1067" s="1" t="s">
        <v>1053</v>
      </c>
      <c r="K1067" s="1" t="s">
        <v>256</v>
      </c>
      <c r="L1067" s="1" t="s">
        <v>1150</v>
      </c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25">
      <c r="A1068" s="8" t="s">
        <v>2693</v>
      </c>
      <c r="C1068" s="7" t="s">
        <v>9979</v>
      </c>
      <c r="D1068">
        <f t="shared" si="16"/>
        <v>1</v>
      </c>
      <c r="I1068" s="1" t="s">
        <v>918</v>
      </c>
      <c r="J1068" s="1" t="s">
        <v>10726</v>
      </c>
      <c r="K1068" s="1" t="s">
        <v>919</v>
      </c>
      <c r="L1068" s="1" t="s">
        <v>920</v>
      </c>
      <c r="M1068" s="1" t="s">
        <v>924</v>
      </c>
      <c r="N1068" s="1" t="s">
        <v>1020</v>
      </c>
      <c r="O1068" s="1" t="s">
        <v>936</v>
      </c>
      <c r="P1068" s="1" t="s">
        <v>921</v>
      </c>
      <c r="Q1068" s="1" t="s">
        <v>1001</v>
      </c>
      <c r="R1068" s="1" t="s">
        <v>927</v>
      </c>
      <c r="S1068" s="1" t="s">
        <v>960</v>
      </c>
      <c r="T1068" s="1" t="s">
        <v>1066</v>
      </c>
      <c r="U1068" s="1"/>
      <c r="V1068" s="1"/>
      <c r="W1068" s="1"/>
      <c r="X1068" s="1"/>
      <c r="Y1068" s="1"/>
    </row>
    <row r="1069" spans="1:25" x14ac:dyDescent="0.25">
      <c r="A1069" s="7" t="s">
        <v>4801</v>
      </c>
      <c r="C1069" s="8" t="s">
        <v>10340</v>
      </c>
      <c r="D1069">
        <f t="shared" si="16"/>
        <v>1</v>
      </c>
      <c r="I1069" s="1" t="s">
        <v>50</v>
      </c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25">
      <c r="A1070" s="7" t="s">
        <v>4801</v>
      </c>
      <c r="C1070" s="7" t="s">
        <v>2398</v>
      </c>
      <c r="D1070">
        <f t="shared" si="16"/>
        <v>1</v>
      </c>
      <c r="I1070" s="1" t="s">
        <v>50</v>
      </c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25">
      <c r="A1071" s="8" t="s">
        <v>4801</v>
      </c>
      <c r="C1071" s="8" t="s">
        <v>10228</v>
      </c>
      <c r="D1071">
        <f t="shared" si="16"/>
        <v>1</v>
      </c>
      <c r="I1071" s="1" t="s">
        <v>933</v>
      </c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25">
      <c r="A1072" s="8" t="s">
        <v>4801</v>
      </c>
      <c r="C1072" s="7" t="s">
        <v>9358</v>
      </c>
      <c r="D1072">
        <f t="shared" si="16"/>
        <v>1</v>
      </c>
      <c r="I1072" s="1" t="s">
        <v>933</v>
      </c>
      <c r="J1072" s="1" t="s">
        <v>10896</v>
      </c>
      <c r="K1072" s="1" t="s">
        <v>1013</v>
      </c>
      <c r="L1072" s="1" t="s">
        <v>927</v>
      </c>
      <c r="M1072" s="1" t="s">
        <v>981</v>
      </c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25">
      <c r="A1073" s="8" t="s">
        <v>10277</v>
      </c>
      <c r="C1073" s="7" t="s">
        <v>4003</v>
      </c>
      <c r="D1073">
        <f t="shared" si="16"/>
        <v>1</v>
      </c>
      <c r="I1073" s="1" t="s">
        <v>25</v>
      </c>
      <c r="J1073" s="1" t="s">
        <v>916</v>
      </c>
      <c r="K1073" s="1" t="s">
        <v>919</v>
      </c>
      <c r="L1073" s="1" t="s">
        <v>922</v>
      </c>
      <c r="M1073" s="1" t="s">
        <v>928</v>
      </c>
      <c r="N1073" s="1" t="s">
        <v>10897</v>
      </c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25">
      <c r="A1074" s="8" t="s">
        <v>10647</v>
      </c>
      <c r="C1074" s="7" t="s">
        <v>8902</v>
      </c>
      <c r="D1074">
        <f t="shared" si="16"/>
        <v>1</v>
      </c>
      <c r="I1074" s="1" t="s">
        <v>25</v>
      </c>
      <c r="J1074" s="1" t="s">
        <v>916</v>
      </c>
      <c r="K1074" s="1" t="s">
        <v>919</v>
      </c>
      <c r="L1074" s="1" t="s">
        <v>922</v>
      </c>
      <c r="M1074" s="1" t="s">
        <v>918</v>
      </c>
      <c r="N1074" s="1" t="s">
        <v>929</v>
      </c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25">
      <c r="A1075" s="8" t="s">
        <v>9230</v>
      </c>
      <c r="C1075" s="7" t="s">
        <v>9428</v>
      </c>
      <c r="D1075">
        <f t="shared" si="16"/>
        <v>1</v>
      </c>
      <c r="I1075" s="1" t="s">
        <v>10893</v>
      </c>
      <c r="J1075" s="1" t="s">
        <v>10894</v>
      </c>
      <c r="K1075" s="1" t="s">
        <v>1087</v>
      </c>
      <c r="L1075" s="1" t="s">
        <v>999</v>
      </c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25">
      <c r="A1076" s="8" t="s">
        <v>9230</v>
      </c>
      <c r="C1076" s="7" t="s">
        <v>9678</v>
      </c>
      <c r="D1076">
        <f t="shared" si="16"/>
        <v>1</v>
      </c>
      <c r="I1076" s="1" t="s">
        <v>918</v>
      </c>
      <c r="J1076" s="1" t="s">
        <v>919</v>
      </c>
      <c r="K1076" s="1" t="s">
        <v>929</v>
      </c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25">
      <c r="A1077" s="8" t="s">
        <v>9230</v>
      </c>
      <c r="C1077" s="7" t="s">
        <v>5103</v>
      </c>
      <c r="D1077">
        <f t="shared" si="16"/>
        <v>1</v>
      </c>
      <c r="I1077" s="1" t="s">
        <v>281</v>
      </c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25">
      <c r="A1078" s="8" t="s">
        <v>9230</v>
      </c>
      <c r="C1078" s="8" t="s">
        <v>10651</v>
      </c>
      <c r="D1078">
        <f t="shared" si="16"/>
        <v>1</v>
      </c>
      <c r="I1078" s="1" t="s">
        <v>50</v>
      </c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25">
      <c r="A1079" s="8" t="s">
        <v>9230</v>
      </c>
      <c r="C1079" s="7" t="s">
        <v>9885</v>
      </c>
      <c r="D1079">
        <f t="shared" si="16"/>
        <v>1</v>
      </c>
      <c r="I1079" s="1" t="s">
        <v>50</v>
      </c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25">
      <c r="A1080" s="8" t="s">
        <v>9230</v>
      </c>
      <c r="C1080" s="7" t="s">
        <v>9702</v>
      </c>
      <c r="D1080">
        <f t="shared" si="16"/>
        <v>1</v>
      </c>
      <c r="I1080" s="1" t="s">
        <v>1086</v>
      </c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25">
      <c r="A1081" s="8" t="s">
        <v>9230</v>
      </c>
      <c r="C1081" s="8" t="s">
        <v>10087</v>
      </c>
      <c r="D1081">
        <f t="shared" si="16"/>
        <v>1</v>
      </c>
      <c r="I1081" s="1" t="s">
        <v>918</v>
      </c>
      <c r="J1081" s="1" t="s">
        <v>25</v>
      </c>
      <c r="K1081" s="1" t="s">
        <v>923</v>
      </c>
      <c r="L1081" s="1" t="s">
        <v>1078</v>
      </c>
      <c r="M1081" s="1" t="s">
        <v>919</v>
      </c>
      <c r="N1081" s="1" t="s">
        <v>920</v>
      </c>
      <c r="O1081" s="1" t="s">
        <v>924</v>
      </c>
      <c r="P1081" s="1" t="s">
        <v>921</v>
      </c>
      <c r="Q1081" s="1" t="s">
        <v>964</v>
      </c>
      <c r="R1081" s="1" t="s">
        <v>1109</v>
      </c>
      <c r="S1081" s="1" t="s">
        <v>981</v>
      </c>
      <c r="T1081" s="1" t="s">
        <v>916</v>
      </c>
      <c r="U1081" s="1" t="s">
        <v>980</v>
      </c>
      <c r="V1081" s="1"/>
      <c r="W1081" s="1"/>
      <c r="X1081" s="1"/>
      <c r="Y1081" s="1"/>
    </row>
    <row r="1082" spans="1:25" x14ac:dyDescent="0.25">
      <c r="A1082" s="7" t="s">
        <v>7554</v>
      </c>
      <c r="C1082" s="7" t="s">
        <v>10282</v>
      </c>
      <c r="D1082">
        <f t="shared" si="16"/>
        <v>1</v>
      </c>
      <c r="I1082" s="1" t="s">
        <v>1041</v>
      </c>
      <c r="J1082" s="1" t="s">
        <v>1042</v>
      </c>
      <c r="K1082" s="1" t="s">
        <v>999</v>
      </c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25">
      <c r="A1083" s="8" t="s">
        <v>10676</v>
      </c>
      <c r="C1083" s="8" t="s">
        <v>10465</v>
      </c>
      <c r="D1083">
        <f t="shared" si="16"/>
        <v>1</v>
      </c>
      <c r="I1083" s="1" t="s">
        <v>10893</v>
      </c>
      <c r="J1083" s="1" t="s">
        <v>10894</v>
      </c>
      <c r="K1083" s="1" t="s">
        <v>1087</v>
      </c>
      <c r="L1083" s="1" t="s">
        <v>999</v>
      </c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25">
      <c r="A1084" s="7" t="s">
        <v>8879</v>
      </c>
      <c r="C1084" s="8" t="s">
        <v>9920</v>
      </c>
      <c r="D1084">
        <f t="shared" si="16"/>
        <v>1</v>
      </c>
      <c r="I1084" s="1" t="s">
        <v>10893</v>
      </c>
      <c r="J1084" s="1" t="s">
        <v>10894</v>
      </c>
      <c r="K1084" s="1" t="s">
        <v>1087</v>
      </c>
      <c r="L1084" s="1" t="s">
        <v>999</v>
      </c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25">
      <c r="A1085" s="7" t="s">
        <v>8879</v>
      </c>
      <c r="C1085" s="7" t="s">
        <v>1590</v>
      </c>
      <c r="D1085">
        <f t="shared" si="16"/>
        <v>1</v>
      </c>
      <c r="I1085" s="1" t="s">
        <v>989</v>
      </c>
      <c r="J1085" s="1" t="s">
        <v>919</v>
      </c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25">
      <c r="A1086" s="7" t="s">
        <v>9986</v>
      </c>
      <c r="C1086" s="7" t="s">
        <v>9378</v>
      </c>
      <c r="D1086">
        <f t="shared" si="16"/>
        <v>1</v>
      </c>
      <c r="I1086" s="1" t="s">
        <v>25</v>
      </c>
      <c r="J1086" s="1" t="s">
        <v>1086</v>
      </c>
      <c r="K1086" s="1" t="s">
        <v>919</v>
      </c>
      <c r="L1086" s="1" t="s">
        <v>920</v>
      </c>
      <c r="M1086" s="1" t="s">
        <v>921</v>
      </c>
      <c r="N1086" s="1" t="s">
        <v>918</v>
      </c>
      <c r="O1086" s="1" t="s">
        <v>1148</v>
      </c>
      <c r="P1086" s="1" t="s">
        <v>923</v>
      </c>
      <c r="Q1086" s="1" t="s">
        <v>927</v>
      </c>
      <c r="R1086" s="1" t="s">
        <v>1149</v>
      </c>
      <c r="S1086" s="1"/>
      <c r="T1086" s="1"/>
      <c r="U1086" s="1"/>
      <c r="V1086" s="1"/>
      <c r="W1086" s="1"/>
      <c r="X1086" s="1"/>
      <c r="Y1086" s="1"/>
    </row>
    <row r="1087" spans="1:25" x14ac:dyDescent="0.25">
      <c r="A1087" s="7" t="s">
        <v>9952</v>
      </c>
      <c r="C1087" s="7" t="s">
        <v>9887</v>
      </c>
      <c r="D1087">
        <f t="shared" si="16"/>
        <v>1</v>
      </c>
      <c r="I1087" s="1" t="s">
        <v>989</v>
      </c>
      <c r="J1087" s="1" t="s">
        <v>919</v>
      </c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25">
      <c r="A1088" s="8" t="s">
        <v>9800</v>
      </c>
      <c r="C1088" s="7" t="s">
        <v>6922</v>
      </c>
      <c r="D1088">
        <f t="shared" si="16"/>
        <v>1</v>
      </c>
      <c r="I1088" s="1" t="s">
        <v>989</v>
      </c>
      <c r="J1088" s="1" t="s">
        <v>919</v>
      </c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25">
      <c r="A1089" s="8" t="s">
        <v>10424</v>
      </c>
      <c r="C1089" s="8" t="s">
        <v>9644</v>
      </c>
      <c r="D1089">
        <f t="shared" si="16"/>
        <v>1</v>
      </c>
      <c r="I1089" s="1" t="s">
        <v>989</v>
      </c>
      <c r="J1089" s="1" t="s">
        <v>919</v>
      </c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25">
      <c r="A1090" s="8" t="s">
        <v>10424</v>
      </c>
      <c r="C1090" s="8" t="s">
        <v>10232</v>
      </c>
      <c r="D1090">
        <f t="shared" ref="D1090:D1153" si="17">COUNTIF(A:A,C1090)</f>
        <v>1</v>
      </c>
      <c r="I1090" s="1" t="s">
        <v>989</v>
      </c>
      <c r="J1090" s="1" t="s">
        <v>919</v>
      </c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25">
      <c r="A1091" s="7" t="s">
        <v>9436</v>
      </c>
      <c r="C1091" s="7" t="s">
        <v>4406</v>
      </c>
      <c r="D1091">
        <f t="shared" si="17"/>
        <v>1</v>
      </c>
      <c r="I1091" s="1" t="s">
        <v>918</v>
      </c>
      <c r="J1091" s="1" t="s">
        <v>25</v>
      </c>
      <c r="K1091" s="1" t="s">
        <v>927</v>
      </c>
      <c r="L1091" s="1" t="s">
        <v>919</v>
      </c>
      <c r="M1091" s="1" t="s">
        <v>920</v>
      </c>
      <c r="N1091" s="1" t="s">
        <v>921</v>
      </c>
      <c r="O1091" s="1" t="s">
        <v>989</v>
      </c>
      <c r="P1091" s="1"/>
      <c r="Q1091" s="1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25">
      <c r="A1092" s="7" t="s">
        <v>8994</v>
      </c>
      <c r="C1092" s="7" t="s">
        <v>10495</v>
      </c>
      <c r="D1092">
        <f t="shared" si="17"/>
        <v>1</v>
      </c>
      <c r="I1092" s="1" t="s">
        <v>989</v>
      </c>
      <c r="J1092" s="1" t="s">
        <v>919</v>
      </c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25">
      <c r="A1093" s="7" t="s">
        <v>8994</v>
      </c>
      <c r="C1093" s="8" t="s">
        <v>9320</v>
      </c>
      <c r="D1093">
        <f t="shared" si="17"/>
        <v>1</v>
      </c>
      <c r="I1093" s="1" t="s">
        <v>1066</v>
      </c>
      <c r="J1093" s="1" t="s">
        <v>10731</v>
      </c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25">
      <c r="A1094" s="8" t="s">
        <v>8994</v>
      </c>
      <c r="C1094" s="7" t="s">
        <v>7700</v>
      </c>
      <c r="D1094">
        <f t="shared" si="17"/>
        <v>1</v>
      </c>
      <c r="I1094" s="1" t="s">
        <v>933</v>
      </c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25">
      <c r="A1095" s="8" t="s">
        <v>10352</v>
      </c>
      <c r="C1095" s="8" t="s">
        <v>10404</v>
      </c>
      <c r="D1095">
        <f t="shared" si="17"/>
        <v>1</v>
      </c>
      <c r="I1095" s="1" t="s">
        <v>50</v>
      </c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25">
      <c r="A1096" s="7" t="s">
        <v>10224</v>
      </c>
      <c r="C1096" s="7" t="s">
        <v>10120</v>
      </c>
      <c r="D1096">
        <f t="shared" si="17"/>
        <v>1</v>
      </c>
      <c r="I1096" s="1" t="s">
        <v>1001</v>
      </c>
      <c r="J1096" s="1" t="s">
        <v>992</v>
      </c>
      <c r="K1096" s="1" t="s">
        <v>981</v>
      </c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25">
      <c r="A1097" s="7" t="s">
        <v>10224</v>
      </c>
      <c r="C1097" s="8" t="s">
        <v>9960</v>
      </c>
      <c r="D1097">
        <f t="shared" si="17"/>
        <v>1</v>
      </c>
      <c r="I1097" s="1" t="s">
        <v>4032</v>
      </c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25">
      <c r="A1098" s="7" t="s">
        <v>10224</v>
      </c>
      <c r="C1098" s="8" t="s">
        <v>9395</v>
      </c>
      <c r="D1098">
        <f t="shared" si="17"/>
        <v>1</v>
      </c>
      <c r="I1098" s="1" t="s">
        <v>1001</v>
      </c>
      <c r="J1098" s="1" t="s">
        <v>927</v>
      </c>
      <c r="K1098" s="1" t="s">
        <v>992</v>
      </c>
      <c r="L1098" s="1" t="s">
        <v>981</v>
      </c>
      <c r="M1098" s="1" t="s">
        <v>993</v>
      </c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25">
      <c r="A1099" s="8" t="s">
        <v>9930</v>
      </c>
      <c r="C1099" s="8" t="s">
        <v>10491</v>
      </c>
      <c r="D1099">
        <f t="shared" si="17"/>
        <v>1</v>
      </c>
      <c r="I1099" s="1" t="s">
        <v>4037</v>
      </c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25">
      <c r="A1100" s="7" t="s">
        <v>9035</v>
      </c>
      <c r="C1100" s="7" t="s">
        <v>8976</v>
      </c>
      <c r="D1100">
        <f t="shared" si="17"/>
        <v>1</v>
      </c>
      <c r="I1100" s="1" t="s">
        <v>10893</v>
      </c>
      <c r="J1100" s="1" t="s">
        <v>10894</v>
      </c>
      <c r="K1100" s="1" t="s">
        <v>1087</v>
      </c>
      <c r="L1100" s="1" t="s">
        <v>999</v>
      </c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25">
      <c r="A1101" s="7" t="s">
        <v>3832</v>
      </c>
      <c r="C1101" s="8" t="s">
        <v>9272</v>
      </c>
      <c r="D1101">
        <f t="shared" si="17"/>
        <v>1</v>
      </c>
      <c r="I1101" s="1" t="s">
        <v>328</v>
      </c>
      <c r="J1101" s="1" t="s">
        <v>923</v>
      </c>
      <c r="K1101" s="1" t="s">
        <v>960</v>
      </c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25">
      <c r="A1102" s="7" t="s">
        <v>8845</v>
      </c>
      <c r="C1102" s="8" t="s">
        <v>9274</v>
      </c>
      <c r="D1102">
        <f t="shared" si="17"/>
        <v>1</v>
      </c>
      <c r="I1102" s="1" t="s">
        <v>934</v>
      </c>
      <c r="J1102" s="1" t="s">
        <v>918</v>
      </c>
      <c r="K1102" s="1" t="s">
        <v>25</v>
      </c>
      <c r="L1102" s="1" t="s">
        <v>923</v>
      </c>
      <c r="M1102" s="1" t="s">
        <v>935</v>
      </c>
      <c r="N1102" s="1" t="s">
        <v>920</v>
      </c>
      <c r="O1102" s="1" t="s">
        <v>921</v>
      </c>
      <c r="P1102" s="1" t="s">
        <v>955</v>
      </c>
      <c r="Q1102" s="1" t="s">
        <v>924</v>
      </c>
      <c r="R1102" s="1" t="s">
        <v>1014</v>
      </c>
      <c r="S1102" s="1" t="s">
        <v>944</v>
      </c>
      <c r="T1102" s="1" t="s">
        <v>956</v>
      </c>
      <c r="U1102" s="1"/>
      <c r="V1102" s="1"/>
      <c r="W1102" s="1"/>
      <c r="X1102" s="1"/>
      <c r="Y1102" s="1"/>
    </row>
    <row r="1103" spans="1:25" x14ac:dyDescent="0.25">
      <c r="A1103" s="7" t="s">
        <v>8845</v>
      </c>
      <c r="C1103" s="8" t="s">
        <v>8980</v>
      </c>
      <c r="D1103">
        <f t="shared" si="17"/>
        <v>1</v>
      </c>
      <c r="I1103" s="1" t="s">
        <v>955</v>
      </c>
      <c r="J1103" s="1" t="s">
        <v>1014</v>
      </c>
      <c r="K1103" s="1" t="s">
        <v>328</v>
      </c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25">
      <c r="A1104" s="7" t="s">
        <v>8845</v>
      </c>
      <c r="C1104" s="7" t="s">
        <v>10353</v>
      </c>
      <c r="D1104">
        <f t="shared" si="17"/>
        <v>1</v>
      </c>
      <c r="I1104" s="1" t="s">
        <v>918</v>
      </c>
      <c r="J1104" s="1" t="s">
        <v>25</v>
      </c>
      <c r="K1104" s="1" t="s">
        <v>923</v>
      </c>
      <c r="L1104" s="1" t="s">
        <v>916</v>
      </c>
      <c r="M1104" s="1" t="s">
        <v>919</v>
      </c>
      <c r="N1104" s="1" t="s">
        <v>924</v>
      </c>
      <c r="O1104" s="1" t="s">
        <v>974</v>
      </c>
      <c r="P1104" s="1" t="s">
        <v>922</v>
      </c>
      <c r="Q1104" s="1" t="s">
        <v>983</v>
      </c>
      <c r="R1104" s="1" t="s">
        <v>921</v>
      </c>
      <c r="S1104" s="1" t="s">
        <v>929</v>
      </c>
      <c r="T1104" s="1"/>
      <c r="U1104" s="1"/>
      <c r="V1104" s="1"/>
      <c r="W1104" s="1"/>
      <c r="X1104" s="1"/>
      <c r="Y1104" s="1"/>
    </row>
    <row r="1105" spans="1:25" x14ac:dyDescent="0.25">
      <c r="A1105" s="7" t="s">
        <v>8845</v>
      </c>
      <c r="C1105" s="7" t="s">
        <v>10617</v>
      </c>
      <c r="D1105">
        <f t="shared" si="17"/>
        <v>1</v>
      </c>
      <c r="I1105" s="1" t="s">
        <v>918</v>
      </c>
      <c r="J1105" s="1" t="s">
        <v>25</v>
      </c>
      <c r="K1105" s="1" t="s">
        <v>923</v>
      </c>
      <c r="L1105" s="1" t="s">
        <v>999</v>
      </c>
      <c r="M1105" s="1" t="s">
        <v>919</v>
      </c>
      <c r="N1105" s="1" t="s">
        <v>920</v>
      </c>
      <c r="O1105" s="1" t="s">
        <v>921</v>
      </c>
      <c r="P1105" s="1"/>
      <c r="Q1105" s="1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25">
      <c r="A1106" s="8" t="s">
        <v>8845</v>
      </c>
      <c r="C1106" s="8" t="s">
        <v>10625</v>
      </c>
      <c r="D1106">
        <f t="shared" si="17"/>
        <v>1</v>
      </c>
      <c r="I1106" s="1" t="s">
        <v>947</v>
      </c>
      <c r="J1106" s="1" t="s">
        <v>10761</v>
      </c>
      <c r="K1106" s="1" t="s">
        <v>10898</v>
      </c>
      <c r="L1106" s="1" t="s">
        <v>950</v>
      </c>
      <c r="M1106" s="1" t="s">
        <v>918</v>
      </c>
      <c r="N1106" s="1" t="s">
        <v>25</v>
      </c>
      <c r="O1106" s="1" t="s">
        <v>923</v>
      </c>
      <c r="P1106" s="1" t="s">
        <v>920</v>
      </c>
      <c r="Q1106" s="1" t="s">
        <v>933</v>
      </c>
      <c r="R1106" s="1" t="s">
        <v>921</v>
      </c>
      <c r="S1106" s="1" t="s">
        <v>1108</v>
      </c>
      <c r="T1106" s="1"/>
      <c r="U1106" s="1"/>
      <c r="V1106" s="1"/>
      <c r="W1106" s="1"/>
      <c r="X1106" s="1"/>
      <c r="Y1106" s="1"/>
    </row>
    <row r="1107" spans="1:25" x14ac:dyDescent="0.25">
      <c r="A1107" s="8" t="s">
        <v>8845</v>
      </c>
      <c r="C1107" s="8" t="s">
        <v>9161</v>
      </c>
      <c r="D1107">
        <f t="shared" si="17"/>
        <v>1</v>
      </c>
      <c r="I1107" s="1" t="s">
        <v>923</v>
      </c>
      <c r="J1107" s="1" t="s">
        <v>918</v>
      </c>
      <c r="K1107" s="1" t="s">
        <v>25</v>
      </c>
      <c r="L1107" s="1" t="s">
        <v>920</v>
      </c>
      <c r="M1107" s="1" t="s">
        <v>328</v>
      </c>
      <c r="N1107" s="1" t="s">
        <v>921</v>
      </c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25">
      <c r="A1108" s="7" t="s">
        <v>10505</v>
      </c>
      <c r="C1108" s="8" t="s">
        <v>10374</v>
      </c>
      <c r="D1108">
        <f t="shared" si="17"/>
        <v>1</v>
      </c>
      <c r="I1108" s="1" t="s">
        <v>1067</v>
      </c>
      <c r="J1108" s="1" t="s">
        <v>1068</v>
      </c>
      <c r="K1108" s="1" t="s">
        <v>328</v>
      </c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25">
      <c r="A1109" s="8" t="s">
        <v>10688</v>
      </c>
      <c r="C1109" s="8" t="s">
        <v>10021</v>
      </c>
      <c r="D1109">
        <f t="shared" si="17"/>
        <v>1</v>
      </c>
      <c r="I1109" s="1" t="s">
        <v>918</v>
      </c>
      <c r="J1109" s="1" t="s">
        <v>919</v>
      </c>
      <c r="K1109" s="1" t="s">
        <v>10899</v>
      </c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25">
      <c r="A1110" s="8" t="s">
        <v>9247</v>
      </c>
      <c r="C1110" s="8" t="s">
        <v>8986</v>
      </c>
      <c r="D1110">
        <f t="shared" si="17"/>
        <v>1</v>
      </c>
      <c r="I1110" s="1" t="s">
        <v>1001</v>
      </c>
      <c r="J1110" s="1" t="s">
        <v>927</v>
      </c>
      <c r="K1110" s="1" t="s">
        <v>987</v>
      </c>
      <c r="L1110" s="1" t="s">
        <v>981</v>
      </c>
      <c r="M1110" s="1" t="s">
        <v>919</v>
      </c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25">
      <c r="A1111" s="7" t="s">
        <v>4227</v>
      </c>
      <c r="C1111" s="8" t="s">
        <v>9843</v>
      </c>
      <c r="D1111">
        <f t="shared" si="17"/>
        <v>1</v>
      </c>
      <c r="I1111" s="1" t="s">
        <v>4058</v>
      </c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25">
      <c r="A1112" s="7" t="s">
        <v>4227</v>
      </c>
      <c r="C1112" s="8" t="s">
        <v>10165</v>
      </c>
      <c r="D1112">
        <f t="shared" si="17"/>
        <v>1</v>
      </c>
      <c r="I1112" s="1" t="s">
        <v>25</v>
      </c>
      <c r="J1112" s="1" t="s">
        <v>1086</v>
      </c>
      <c r="K1112" s="1" t="s">
        <v>919</v>
      </c>
      <c r="L1112" s="1" t="s">
        <v>920</v>
      </c>
      <c r="M1112" s="1" t="s">
        <v>921</v>
      </c>
      <c r="N1112" s="1" t="s">
        <v>918</v>
      </c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25">
      <c r="A1113" s="8" t="s">
        <v>10311</v>
      </c>
      <c r="C1113" s="8" t="s">
        <v>9674</v>
      </c>
      <c r="D1113">
        <f t="shared" si="17"/>
        <v>1</v>
      </c>
      <c r="I1113" s="1" t="s">
        <v>25</v>
      </c>
      <c r="J1113" s="1" t="s">
        <v>1086</v>
      </c>
      <c r="K1113" s="1" t="s">
        <v>919</v>
      </c>
      <c r="L1113" s="1" t="s">
        <v>920</v>
      </c>
      <c r="M1113" s="1" t="s">
        <v>921</v>
      </c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25">
      <c r="A1114" s="7" t="s">
        <v>9889</v>
      </c>
      <c r="C1114" s="8" t="s">
        <v>9116</v>
      </c>
      <c r="D1114">
        <f t="shared" si="17"/>
        <v>1</v>
      </c>
      <c r="I1114" s="1" t="s">
        <v>923</v>
      </c>
      <c r="J1114" s="1" t="s">
        <v>997</v>
      </c>
      <c r="K1114" s="1" t="s">
        <v>1066</v>
      </c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25">
      <c r="A1115" s="8" t="s">
        <v>9597</v>
      </c>
      <c r="C1115" s="8" t="s">
        <v>10610</v>
      </c>
      <c r="D1115">
        <f t="shared" si="17"/>
        <v>1</v>
      </c>
      <c r="I1115" s="1" t="s">
        <v>933</v>
      </c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25">
      <c r="A1116" s="8" t="s">
        <v>10202</v>
      </c>
      <c r="C1116" s="7" t="s">
        <v>9115</v>
      </c>
      <c r="D1116">
        <f t="shared" si="17"/>
        <v>1</v>
      </c>
      <c r="I1116" s="1" t="s">
        <v>1053</v>
      </c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25">
      <c r="A1117" s="8" t="s">
        <v>9582</v>
      </c>
      <c r="C1117" s="7" t="s">
        <v>2407</v>
      </c>
      <c r="D1117">
        <f t="shared" si="17"/>
        <v>1</v>
      </c>
      <c r="I1117" s="1" t="s">
        <v>50</v>
      </c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25">
      <c r="A1118" s="7" t="s">
        <v>8703</v>
      </c>
      <c r="C1118" s="8" t="s">
        <v>9019</v>
      </c>
      <c r="D1118">
        <f t="shared" si="17"/>
        <v>1</v>
      </c>
      <c r="I1118" s="1" t="s">
        <v>10807</v>
      </c>
      <c r="J1118" s="1" t="s">
        <v>996</v>
      </c>
      <c r="K1118" s="1" t="s">
        <v>2541</v>
      </c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25">
      <c r="A1119" s="7" t="s">
        <v>8703</v>
      </c>
      <c r="C1119" s="8" t="s">
        <v>10035</v>
      </c>
      <c r="D1119">
        <f t="shared" si="17"/>
        <v>1</v>
      </c>
      <c r="I1119" s="1" t="s">
        <v>750</v>
      </c>
      <c r="J1119" s="1" t="s">
        <v>1129</v>
      </c>
      <c r="K1119" s="1" t="s">
        <v>840</v>
      </c>
      <c r="L1119" s="1" t="s">
        <v>761</v>
      </c>
      <c r="M1119" s="1" t="s">
        <v>298</v>
      </c>
      <c r="N1119" s="1" t="s">
        <v>25</v>
      </c>
      <c r="O1119" s="1" t="s">
        <v>923</v>
      </c>
      <c r="P1119" s="1" t="s">
        <v>998</v>
      </c>
      <c r="Q1119" s="1" t="s">
        <v>1053</v>
      </c>
      <c r="R1119" s="1" t="s">
        <v>933</v>
      </c>
      <c r="S1119" s="1" t="s">
        <v>1001</v>
      </c>
      <c r="T1119" s="1" t="s">
        <v>927</v>
      </c>
      <c r="U1119" s="1" t="s">
        <v>919</v>
      </c>
      <c r="V1119" s="1" t="s">
        <v>936</v>
      </c>
      <c r="W1119" s="1" t="s">
        <v>961</v>
      </c>
      <c r="X1119" s="1"/>
      <c r="Y1119" s="1"/>
    </row>
    <row r="1120" spans="1:25" x14ac:dyDescent="0.25">
      <c r="A1120" s="7" t="s">
        <v>8703</v>
      </c>
      <c r="C1120" s="8" t="s">
        <v>10274</v>
      </c>
      <c r="D1120">
        <f t="shared" si="17"/>
        <v>1</v>
      </c>
      <c r="I1120" s="1" t="s">
        <v>931</v>
      </c>
      <c r="J1120" s="1" t="s">
        <v>932</v>
      </c>
      <c r="K1120" s="1" t="s">
        <v>923</v>
      </c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25">
      <c r="A1121" s="7" t="s">
        <v>8703</v>
      </c>
      <c r="C1121" s="8" t="s">
        <v>9105</v>
      </c>
      <c r="D1121">
        <f t="shared" si="17"/>
        <v>1</v>
      </c>
      <c r="I1121" s="1" t="s">
        <v>1118</v>
      </c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25">
      <c r="A1122" s="7" t="s">
        <v>8703</v>
      </c>
      <c r="C1122" s="7" t="s">
        <v>10267</v>
      </c>
      <c r="D1122">
        <f t="shared" si="17"/>
        <v>1</v>
      </c>
      <c r="I1122" s="1" t="s">
        <v>1001</v>
      </c>
      <c r="J1122" s="1" t="s">
        <v>918</v>
      </c>
      <c r="K1122" s="1" t="s">
        <v>927</v>
      </c>
      <c r="L1122" s="1" t="s">
        <v>919</v>
      </c>
      <c r="M1122" s="1" t="s">
        <v>1020</v>
      </c>
      <c r="N1122" s="1" t="s">
        <v>936</v>
      </c>
      <c r="O1122" s="1" t="s">
        <v>1037</v>
      </c>
      <c r="P1122" s="1" t="s">
        <v>1110</v>
      </c>
      <c r="Q1122" s="1" t="s">
        <v>25</v>
      </c>
      <c r="R1122" s="1" t="s">
        <v>923</v>
      </c>
      <c r="S1122" s="1" t="s">
        <v>920</v>
      </c>
      <c r="T1122" s="1" t="s">
        <v>954</v>
      </c>
      <c r="U1122" s="1" t="s">
        <v>328</v>
      </c>
      <c r="V1122" s="1" t="s">
        <v>921</v>
      </c>
      <c r="W1122" s="1"/>
      <c r="X1122" s="1"/>
      <c r="Y1122" s="1"/>
    </row>
    <row r="1123" spans="1:25" x14ac:dyDescent="0.25">
      <c r="A1123" s="7" t="s">
        <v>8703</v>
      </c>
      <c r="C1123" s="8" t="s">
        <v>9535</v>
      </c>
      <c r="D1123">
        <f t="shared" si="17"/>
        <v>1</v>
      </c>
      <c r="I1123" s="1" t="s">
        <v>933</v>
      </c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25">
      <c r="A1124" s="7" t="s">
        <v>8703</v>
      </c>
      <c r="C1124" s="8" t="s">
        <v>9461</v>
      </c>
      <c r="D1124">
        <f t="shared" si="17"/>
        <v>1</v>
      </c>
      <c r="I1124" s="1" t="s">
        <v>1053</v>
      </c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25">
      <c r="A1125" s="7" t="s">
        <v>8703</v>
      </c>
      <c r="C1125" s="8" t="s">
        <v>9806</v>
      </c>
      <c r="D1125">
        <f t="shared" si="17"/>
        <v>1</v>
      </c>
      <c r="I1125" s="1" t="s">
        <v>933</v>
      </c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25">
      <c r="A1126" s="7" t="s">
        <v>8703</v>
      </c>
      <c r="C1126" s="8" t="s">
        <v>9658</v>
      </c>
      <c r="D1126">
        <f t="shared" si="17"/>
        <v>1</v>
      </c>
      <c r="I1126" s="1" t="s">
        <v>958</v>
      </c>
      <c r="J1126" s="1" t="s">
        <v>10738</v>
      </c>
      <c r="K1126" s="1" t="s">
        <v>977</v>
      </c>
      <c r="L1126" s="1" t="s">
        <v>1066</v>
      </c>
      <c r="M1126" s="1" t="s">
        <v>957</v>
      </c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25">
      <c r="A1127" s="7" t="s">
        <v>8703</v>
      </c>
      <c r="C1127" s="7" t="s">
        <v>825</v>
      </c>
      <c r="D1127">
        <f t="shared" si="17"/>
        <v>1</v>
      </c>
      <c r="I1127" s="1" t="s">
        <v>924</v>
      </c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25">
      <c r="A1128" s="7" t="s">
        <v>8703</v>
      </c>
      <c r="C1128" s="8" t="s">
        <v>10443</v>
      </c>
      <c r="D1128">
        <f t="shared" si="17"/>
        <v>1</v>
      </c>
      <c r="I1128" s="1" t="s">
        <v>25</v>
      </c>
      <c r="J1128" s="1" t="s">
        <v>927</v>
      </c>
      <c r="K1128" s="1" t="s">
        <v>998</v>
      </c>
      <c r="L1128" s="1" t="s">
        <v>920</v>
      </c>
      <c r="M1128" s="1" t="s">
        <v>933</v>
      </c>
      <c r="N1128" s="1" t="s">
        <v>921</v>
      </c>
      <c r="O1128" s="1" t="s">
        <v>1069</v>
      </c>
      <c r="P1128" s="1"/>
      <c r="Q1128" s="1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25">
      <c r="A1129" s="7" t="s">
        <v>8703</v>
      </c>
      <c r="C1129" s="8" t="s">
        <v>10295</v>
      </c>
      <c r="D1129">
        <f t="shared" si="17"/>
        <v>1</v>
      </c>
      <c r="I1129" s="1" t="s">
        <v>923</v>
      </c>
      <c r="J1129" s="1" t="s">
        <v>934</v>
      </c>
      <c r="K1129" s="1" t="s">
        <v>25</v>
      </c>
      <c r="L1129" s="1" t="s">
        <v>6421</v>
      </c>
      <c r="M1129" s="1" t="s">
        <v>920</v>
      </c>
      <c r="N1129" s="1" t="s">
        <v>328</v>
      </c>
      <c r="O1129" s="1" t="s">
        <v>921</v>
      </c>
      <c r="P1129" s="1" t="s">
        <v>1013</v>
      </c>
      <c r="Q1129" s="1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25">
      <c r="A1130" s="7" t="s">
        <v>8703</v>
      </c>
      <c r="C1130" s="7" t="s">
        <v>9200</v>
      </c>
      <c r="D1130">
        <f t="shared" si="17"/>
        <v>1</v>
      </c>
      <c r="I1130" s="1" t="s">
        <v>4058</v>
      </c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25">
      <c r="A1131" s="7" t="s">
        <v>8703</v>
      </c>
      <c r="C1131" s="8" t="s">
        <v>10073</v>
      </c>
      <c r="D1131">
        <f t="shared" si="17"/>
        <v>1</v>
      </c>
      <c r="I1131" s="1" t="s">
        <v>4058</v>
      </c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25">
      <c r="A1132" s="7" t="s">
        <v>8703</v>
      </c>
      <c r="C1132" s="7" t="s">
        <v>280</v>
      </c>
      <c r="D1132">
        <f t="shared" si="17"/>
        <v>1</v>
      </c>
      <c r="I1132" s="1" t="s">
        <v>4058</v>
      </c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25">
      <c r="A1133" s="8" t="s">
        <v>8703</v>
      </c>
      <c r="C1133" s="7" t="s">
        <v>9476</v>
      </c>
      <c r="D1133">
        <f t="shared" si="17"/>
        <v>1</v>
      </c>
      <c r="I1133" s="1" t="s">
        <v>998</v>
      </c>
      <c r="J1133" s="1" t="s">
        <v>1086</v>
      </c>
      <c r="K1133" s="1" t="s">
        <v>933</v>
      </c>
      <c r="L1133" s="1" t="s">
        <v>1066</v>
      </c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25">
      <c r="A1134" s="8" t="s">
        <v>8703</v>
      </c>
      <c r="C1134" s="8" t="s">
        <v>10206</v>
      </c>
      <c r="D1134">
        <f t="shared" si="17"/>
        <v>1</v>
      </c>
      <c r="I1134" s="1" t="s">
        <v>2927</v>
      </c>
      <c r="J1134" s="1" t="s">
        <v>1069</v>
      </c>
      <c r="K1134" s="1" t="s">
        <v>25</v>
      </c>
      <c r="L1134" s="1" t="s">
        <v>923</v>
      </c>
      <c r="M1134" s="1" t="s">
        <v>1167</v>
      </c>
      <c r="N1134" s="1" t="s">
        <v>998</v>
      </c>
      <c r="O1134" s="1" t="s">
        <v>1053</v>
      </c>
      <c r="P1134" s="1" t="s">
        <v>1086</v>
      </c>
      <c r="Q1134" s="1" t="s">
        <v>933</v>
      </c>
      <c r="R1134" s="1" t="s">
        <v>994</v>
      </c>
      <c r="S1134" s="1"/>
      <c r="T1134" s="1"/>
      <c r="U1134" s="1"/>
      <c r="V1134" s="1"/>
      <c r="W1134" s="1"/>
      <c r="X1134" s="1"/>
      <c r="Y1134" s="1"/>
    </row>
    <row r="1135" spans="1:25" x14ac:dyDescent="0.25">
      <c r="A1135" s="8" t="s">
        <v>8703</v>
      </c>
      <c r="C1135" s="8" t="s">
        <v>10406</v>
      </c>
      <c r="D1135">
        <f t="shared" si="17"/>
        <v>1</v>
      </c>
      <c r="I1135" s="1" t="s">
        <v>50</v>
      </c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25">
      <c r="A1136" s="7" t="s">
        <v>2735</v>
      </c>
      <c r="C1136" s="7" t="s">
        <v>9919</v>
      </c>
      <c r="D1136">
        <f t="shared" si="17"/>
        <v>1</v>
      </c>
      <c r="I1136" s="1" t="s">
        <v>918</v>
      </c>
      <c r="J1136" s="1" t="s">
        <v>940</v>
      </c>
      <c r="K1136" s="1" t="s">
        <v>1011</v>
      </c>
      <c r="L1136" s="1" t="s">
        <v>25</v>
      </c>
      <c r="M1136" s="1" t="s">
        <v>923</v>
      </c>
      <c r="N1136" s="1" t="s">
        <v>916</v>
      </c>
      <c r="O1136" s="1" t="s">
        <v>920</v>
      </c>
      <c r="P1136" s="1" t="s">
        <v>933</v>
      </c>
      <c r="Q1136" s="1" t="s">
        <v>954</v>
      </c>
      <c r="R1136" s="1" t="s">
        <v>921</v>
      </c>
      <c r="S1136" s="1"/>
      <c r="T1136" s="1"/>
      <c r="U1136" s="1"/>
      <c r="V1136" s="1"/>
      <c r="W1136" s="1"/>
      <c r="X1136" s="1"/>
      <c r="Y1136" s="1"/>
    </row>
    <row r="1137" spans="1:25" x14ac:dyDescent="0.25">
      <c r="A1137" s="7" t="s">
        <v>2735</v>
      </c>
      <c r="C1137" s="8" t="s">
        <v>8960</v>
      </c>
      <c r="D1137">
        <f t="shared" si="17"/>
        <v>1</v>
      </c>
      <c r="I1137" s="1" t="s">
        <v>1086</v>
      </c>
      <c r="J1137" s="1" t="s">
        <v>974</v>
      </c>
      <c r="K1137" s="1" t="s">
        <v>512</v>
      </c>
      <c r="L1137" s="1" t="s">
        <v>10720</v>
      </c>
      <c r="M1137" s="1" t="s">
        <v>1167</v>
      </c>
      <c r="N1137" s="1" t="s">
        <v>1053</v>
      </c>
      <c r="O1137" s="1" t="s">
        <v>933</v>
      </c>
      <c r="P1137" s="1"/>
      <c r="Q1137" s="1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25">
      <c r="A1138" s="7" t="s">
        <v>2735</v>
      </c>
      <c r="C1138" s="7" t="s">
        <v>9571</v>
      </c>
      <c r="D1138">
        <f t="shared" si="17"/>
        <v>1</v>
      </c>
      <c r="I1138" s="1" t="s">
        <v>50</v>
      </c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25">
      <c r="A1139" s="7" t="s">
        <v>2735</v>
      </c>
      <c r="C1139" s="7" t="s">
        <v>3128</v>
      </c>
      <c r="D1139">
        <f t="shared" si="17"/>
        <v>1</v>
      </c>
      <c r="I1139" s="1" t="s">
        <v>50</v>
      </c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25">
      <c r="A1140" s="7" t="s">
        <v>2735</v>
      </c>
      <c r="C1140" s="8" t="s">
        <v>8919</v>
      </c>
      <c r="D1140">
        <f t="shared" si="17"/>
        <v>1</v>
      </c>
      <c r="I1140" s="1" t="s">
        <v>931</v>
      </c>
      <c r="J1140" s="1" t="s">
        <v>948</v>
      </c>
      <c r="K1140" s="1" t="s">
        <v>1149</v>
      </c>
      <c r="L1140" s="1" t="s">
        <v>923</v>
      </c>
      <c r="M1140" s="1" t="s">
        <v>2927</v>
      </c>
      <c r="N1140" s="1" t="s">
        <v>933</v>
      </c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25">
      <c r="A1141" s="7" t="s">
        <v>2735</v>
      </c>
      <c r="C1141" s="7" t="s">
        <v>9983</v>
      </c>
      <c r="D1141">
        <f t="shared" si="17"/>
        <v>1</v>
      </c>
      <c r="I1141" s="1" t="s">
        <v>10719</v>
      </c>
      <c r="J1141" s="1" t="s">
        <v>10720</v>
      </c>
      <c r="K1141" s="1" t="s">
        <v>2927</v>
      </c>
      <c r="L1141" s="1" t="s">
        <v>1149</v>
      </c>
      <c r="M1141" s="1" t="s">
        <v>25</v>
      </c>
      <c r="N1141" s="1" t="s">
        <v>923</v>
      </c>
      <c r="O1141" s="1" t="s">
        <v>998</v>
      </c>
      <c r="P1141" s="1" t="s">
        <v>1053</v>
      </c>
      <c r="Q1141" s="1" t="s">
        <v>1086</v>
      </c>
      <c r="R1141" s="1" t="s">
        <v>920</v>
      </c>
      <c r="S1141" s="1" t="s">
        <v>933</v>
      </c>
      <c r="T1141" s="1"/>
      <c r="U1141" s="1"/>
      <c r="V1141" s="1"/>
      <c r="W1141" s="1"/>
      <c r="X1141" s="1"/>
      <c r="Y1141" s="1"/>
    </row>
    <row r="1142" spans="1:25" x14ac:dyDescent="0.25">
      <c r="A1142" s="7" t="s">
        <v>2735</v>
      </c>
      <c r="C1142" s="7" t="s">
        <v>10098</v>
      </c>
      <c r="D1142">
        <f t="shared" si="17"/>
        <v>1</v>
      </c>
      <c r="I1142" s="1" t="s">
        <v>298</v>
      </c>
      <c r="J1142" s="1" t="s">
        <v>923</v>
      </c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25">
      <c r="A1143" s="7" t="s">
        <v>2735</v>
      </c>
      <c r="C1143" s="8" t="s">
        <v>9423</v>
      </c>
      <c r="D1143">
        <f t="shared" si="17"/>
        <v>1</v>
      </c>
      <c r="I1143" s="1" t="s">
        <v>4131</v>
      </c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25">
      <c r="A1144" s="7" t="s">
        <v>2735</v>
      </c>
      <c r="C1144" s="7" t="s">
        <v>9343</v>
      </c>
      <c r="D1144">
        <f t="shared" si="17"/>
        <v>1</v>
      </c>
      <c r="I1144" s="1" t="s">
        <v>1030</v>
      </c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25">
      <c r="A1145" s="7" t="s">
        <v>2735</v>
      </c>
      <c r="C1145" s="8" t="s">
        <v>9085</v>
      </c>
      <c r="D1145">
        <f t="shared" si="17"/>
        <v>1</v>
      </c>
      <c r="I1145" s="1" t="s">
        <v>923</v>
      </c>
      <c r="J1145" s="1" t="s">
        <v>1053</v>
      </c>
      <c r="K1145" s="1" t="s">
        <v>933</v>
      </c>
      <c r="L1145" s="1" t="s">
        <v>2927</v>
      </c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25">
      <c r="A1146" s="7" t="s">
        <v>2735</v>
      </c>
      <c r="C1146" s="8" t="s">
        <v>10213</v>
      </c>
      <c r="D1146">
        <f t="shared" si="17"/>
        <v>1</v>
      </c>
      <c r="I1146" s="1" t="s">
        <v>3248</v>
      </c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25">
      <c r="A1147" s="7" t="s">
        <v>2735</v>
      </c>
      <c r="C1147" s="8" t="s">
        <v>9660</v>
      </c>
      <c r="D1147">
        <f t="shared" si="17"/>
        <v>1</v>
      </c>
      <c r="I1147" s="1" t="s">
        <v>25</v>
      </c>
      <c r="J1147" s="1" t="s">
        <v>1086</v>
      </c>
      <c r="K1147" s="1" t="s">
        <v>919</v>
      </c>
      <c r="L1147" s="1" t="s">
        <v>920</v>
      </c>
      <c r="M1147" s="1" t="s">
        <v>921</v>
      </c>
      <c r="N1147" s="1" t="s">
        <v>983</v>
      </c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25">
      <c r="A1148" s="7" t="s">
        <v>2735</v>
      </c>
      <c r="C1148" s="7" t="s">
        <v>10431</v>
      </c>
      <c r="D1148">
        <f t="shared" si="17"/>
        <v>1</v>
      </c>
      <c r="I1148" s="1" t="s">
        <v>1013</v>
      </c>
      <c r="J1148" s="1" t="s">
        <v>138</v>
      </c>
      <c r="K1148" s="1" t="s">
        <v>10900</v>
      </c>
      <c r="L1148" s="1" t="s">
        <v>924</v>
      </c>
      <c r="M1148" s="1" t="s">
        <v>1015</v>
      </c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25">
      <c r="A1149" s="7" t="s">
        <v>2735</v>
      </c>
      <c r="C1149" s="8" t="s">
        <v>10302</v>
      </c>
      <c r="D1149">
        <f t="shared" si="17"/>
        <v>1</v>
      </c>
      <c r="I1149" s="1" t="s">
        <v>4146</v>
      </c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25">
      <c r="A1150" s="7" t="s">
        <v>2735</v>
      </c>
      <c r="C1150" s="7" t="s">
        <v>9526</v>
      </c>
      <c r="D1150">
        <f t="shared" si="17"/>
        <v>1</v>
      </c>
      <c r="I1150" s="1" t="s">
        <v>50</v>
      </c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25">
      <c r="A1151" s="7" t="s">
        <v>2735</v>
      </c>
      <c r="C1151" s="8" t="s">
        <v>9309</v>
      </c>
      <c r="D1151">
        <f t="shared" si="17"/>
        <v>1</v>
      </c>
      <c r="I1151" s="1" t="s">
        <v>25</v>
      </c>
      <c r="J1151" s="1" t="s">
        <v>1053</v>
      </c>
      <c r="K1151" s="1" t="s">
        <v>256</v>
      </c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25">
      <c r="A1152" s="7" t="s">
        <v>2735</v>
      </c>
      <c r="C1152" s="8" t="s">
        <v>721</v>
      </c>
      <c r="D1152">
        <f t="shared" si="17"/>
        <v>1</v>
      </c>
      <c r="I1152" s="1" t="s">
        <v>4152</v>
      </c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25">
      <c r="A1153" s="7" t="s">
        <v>2735</v>
      </c>
      <c r="C1153" s="8" t="s">
        <v>9646</v>
      </c>
      <c r="D1153">
        <f t="shared" si="17"/>
        <v>1</v>
      </c>
      <c r="I1153" s="1" t="s">
        <v>4152</v>
      </c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25">
      <c r="A1154" s="7" t="s">
        <v>2735</v>
      </c>
      <c r="C1154" s="7" t="s">
        <v>10334</v>
      </c>
      <c r="D1154">
        <f t="shared" ref="D1154:D1217" si="18">COUNTIF(A:A,C1154)</f>
        <v>1</v>
      </c>
      <c r="I1154" s="1" t="s">
        <v>2927</v>
      </c>
      <c r="J1154" s="1" t="s">
        <v>1069</v>
      </c>
      <c r="K1154" s="1" t="s">
        <v>25</v>
      </c>
      <c r="L1154" s="1" t="s">
        <v>923</v>
      </c>
      <c r="M1154" s="1" t="s">
        <v>998</v>
      </c>
      <c r="N1154" s="1" t="s">
        <v>1053</v>
      </c>
      <c r="O1154" s="1" t="s">
        <v>1086</v>
      </c>
      <c r="P1154" s="1"/>
      <c r="Q1154" s="1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25">
      <c r="A1155" s="7" t="s">
        <v>2735</v>
      </c>
      <c r="C1155" s="8" t="s">
        <v>10113</v>
      </c>
      <c r="D1155">
        <f t="shared" si="18"/>
        <v>1</v>
      </c>
      <c r="I1155" s="1" t="s">
        <v>4058</v>
      </c>
      <c r="J1155" s="1" t="s">
        <v>10769</v>
      </c>
      <c r="K1155" s="1" t="s">
        <v>10773</v>
      </c>
      <c r="L1155" s="1" t="s">
        <v>4037</v>
      </c>
      <c r="M1155" s="1" t="s">
        <v>10770</v>
      </c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25">
      <c r="A1156" s="7" t="s">
        <v>2735</v>
      </c>
      <c r="C1156" s="8" t="s">
        <v>9076</v>
      </c>
      <c r="D1156">
        <f t="shared" si="18"/>
        <v>1</v>
      </c>
      <c r="I1156" s="1" t="s">
        <v>996</v>
      </c>
      <c r="J1156" s="1" t="s">
        <v>999</v>
      </c>
      <c r="K1156" s="1" t="s">
        <v>921</v>
      </c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25">
      <c r="A1157" s="7" t="s">
        <v>2735</v>
      </c>
      <c r="C1157" s="8" t="s">
        <v>10020</v>
      </c>
      <c r="D1157">
        <f t="shared" si="18"/>
        <v>1</v>
      </c>
      <c r="I1157" s="1" t="s">
        <v>1069</v>
      </c>
      <c r="J1157" s="1" t="s">
        <v>923</v>
      </c>
      <c r="K1157" s="1" t="s">
        <v>10901</v>
      </c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25">
      <c r="A1158" s="7" t="s">
        <v>2735</v>
      </c>
      <c r="C1158" s="8" t="s">
        <v>10675</v>
      </c>
      <c r="D1158">
        <f t="shared" si="18"/>
        <v>1</v>
      </c>
      <c r="I1158" s="1" t="s">
        <v>927</v>
      </c>
      <c r="J1158" s="1" t="s">
        <v>992</v>
      </c>
      <c r="K1158" s="1" t="s">
        <v>1066</v>
      </c>
      <c r="L1158" s="1" t="s">
        <v>993</v>
      </c>
      <c r="M1158" s="1" t="s">
        <v>994</v>
      </c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25">
      <c r="A1159" s="7" t="s">
        <v>2735</v>
      </c>
      <c r="C1159" s="8" t="s">
        <v>9204</v>
      </c>
      <c r="D1159">
        <f t="shared" si="18"/>
        <v>1</v>
      </c>
      <c r="I1159" s="1" t="s">
        <v>50</v>
      </c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25">
      <c r="A1160" s="7" t="s">
        <v>2735</v>
      </c>
      <c r="C1160" s="8" t="s">
        <v>10463</v>
      </c>
      <c r="D1160">
        <f t="shared" si="18"/>
        <v>1</v>
      </c>
      <c r="I1160" s="1" t="s">
        <v>50</v>
      </c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25">
      <c r="A1161" s="7" t="s">
        <v>2735</v>
      </c>
      <c r="C1161" s="8" t="s">
        <v>9167</v>
      </c>
      <c r="D1161">
        <f t="shared" si="18"/>
        <v>1</v>
      </c>
      <c r="I1161" s="1" t="s">
        <v>10902</v>
      </c>
      <c r="J1161" s="1" t="s">
        <v>1148</v>
      </c>
      <c r="K1161" s="1" t="s">
        <v>994</v>
      </c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25">
      <c r="A1162" s="7" t="s">
        <v>2735</v>
      </c>
      <c r="C1162" s="7" t="s">
        <v>8197</v>
      </c>
      <c r="D1162">
        <f t="shared" si="18"/>
        <v>1</v>
      </c>
      <c r="I1162" s="1" t="s">
        <v>1053</v>
      </c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25">
      <c r="A1163" s="7" t="s">
        <v>2735</v>
      </c>
      <c r="C1163" s="8" t="s">
        <v>10321</v>
      </c>
      <c r="D1163">
        <f t="shared" si="18"/>
        <v>1</v>
      </c>
      <c r="I1163" s="1" t="s">
        <v>50</v>
      </c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25">
      <c r="A1164" s="7" t="s">
        <v>2735</v>
      </c>
      <c r="C1164" s="7" t="s">
        <v>1651</v>
      </c>
      <c r="D1164">
        <f t="shared" si="18"/>
        <v>1</v>
      </c>
      <c r="I1164" s="1" t="s">
        <v>50</v>
      </c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25">
      <c r="A1165" s="8" t="s">
        <v>2735</v>
      </c>
      <c r="C1165" s="8" t="s">
        <v>8861</v>
      </c>
      <c r="D1165">
        <f t="shared" si="18"/>
        <v>1</v>
      </c>
      <c r="I1165" s="1" t="s">
        <v>25</v>
      </c>
      <c r="J1165" s="1" t="s">
        <v>998</v>
      </c>
      <c r="K1165" s="1" t="s">
        <v>1086</v>
      </c>
      <c r="L1165" s="1" t="s">
        <v>920</v>
      </c>
      <c r="M1165" s="1" t="s">
        <v>933</v>
      </c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25">
      <c r="A1166" s="8" t="s">
        <v>9213</v>
      </c>
      <c r="C1166" s="8" t="s">
        <v>10520</v>
      </c>
      <c r="D1166">
        <f t="shared" si="18"/>
        <v>1</v>
      </c>
      <c r="I1166" s="1" t="s">
        <v>25</v>
      </c>
      <c r="J1166" s="1" t="s">
        <v>927</v>
      </c>
      <c r="K1166" s="1" t="s">
        <v>998</v>
      </c>
      <c r="L1166" s="1" t="s">
        <v>981</v>
      </c>
      <c r="M1166" s="1" t="s">
        <v>920</v>
      </c>
      <c r="N1166" s="1" t="s">
        <v>933</v>
      </c>
      <c r="O1166" s="1" t="s">
        <v>960</v>
      </c>
      <c r="P1166" s="1" t="s">
        <v>921</v>
      </c>
      <c r="Q1166" s="1" t="s">
        <v>993</v>
      </c>
      <c r="R1166" s="1" t="s">
        <v>994</v>
      </c>
      <c r="S1166" s="1" t="s">
        <v>1108</v>
      </c>
      <c r="T1166" s="1"/>
      <c r="U1166" s="1"/>
      <c r="V1166" s="1"/>
      <c r="W1166" s="1"/>
      <c r="X1166" s="1"/>
      <c r="Y1166" s="1"/>
    </row>
    <row r="1167" spans="1:25" x14ac:dyDescent="0.25">
      <c r="A1167" s="8" t="s">
        <v>9716</v>
      </c>
      <c r="C1167" s="8" t="s">
        <v>10317</v>
      </c>
      <c r="D1167">
        <f t="shared" si="18"/>
        <v>1</v>
      </c>
      <c r="I1167" s="1" t="s">
        <v>927</v>
      </c>
      <c r="J1167" s="1" t="s">
        <v>992</v>
      </c>
      <c r="K1167" s="1" t="s">
        <v>981</v>
      </c>
      <c r="L1167" s="1" t="s">
        <v>933</v>
      </c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25">
      <c r="A1168" s="8" t="s">
        <v>9716</v>
      </c>
      <c r="C1168" s="8" t="s">
        <v>9229</v>
      </c>
      <c r="D1168">
        <f t="shared" si="18"/>
        <v>1</v>
      </c>
      <c r="I1168" s="1" t="s">
        <v>998</v>
      </c>
      <c r="J1168" s="1" t="s">
        <v>1086</v>
      </c>
      <c r="K1168" s="1" t="s">
        <v>933</v>
      </c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25">
      <c r="A1169" s="8" t="s">
        <v>10281</v>
      </c>
      <c r="C1169" s="8" t="s">
        <v>9295</v>
      </c>
      <c r="D1169">
        <f t="shared" si="18"/>
        <v>1</v>
      </c>
      <c r="I1169" s="1" t="s">
        <v>996</v>
      </c>
      <c r="J1169" s="1" t="s">
        <v>998</v>
      </c>
      <c r="K1169" s="1" t="s">
        <v>933</v>
      </c>
      <c r="L1169" s="1" t="s">
        <v>2541</v>
      </c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25">
      <c r="A1170" s="8" t="s">
        <v>10281</v>
      </c>
      <c r="C1170" s="7" t="s">
        <v>9263</v>
      </c>
      <c r="D1170">
        <f t="shared" si="18"/>
        <v>1</v>
      </c>
      <c r="I1170" s="1" t="s">
        <v>4037</v>
      </c>
      <c r="J1170" s="1" t="s">
        <v>10771</v>
      </c>
      <c r="K1170" s="1" t="s">
        <v>10903</v>
      </c>
      <c r="L1170" s="1" t="s">
        <v>10904</v>
      </c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25">
      <c r="A1171" s="7" t="s">
        <v>4752</v>
      </c>
      <c r="C1171" s="8" t="s">
        <v>10476</v>
      </c>
      <c r="D1171">
        <f t="shared" si="18"/>
        <v>1</v>
      </c>
      <c r="I1171" s="1" t="s">
        <v>4037</v>
      </c>
      <c r="J1171" s="1" t="s">
        <v>10771</v>
      </c>
      <c r="K1171" s="1" t="s">
        <v>10903</v>
      </c>
      <c r="L1171" s="1" t="s">
        <v>10904</v>
      </c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25">
      <c r="A1172" s="8" t="s">
        <v>10127</v>
      </c>
      <c r="C1172" s="7" t="s">
        <v>10343</v>
      </c>
      <c r="D1172">
        <f t="shared" si="18"/>
        <v>1</v>
      </c>
      <c r="I1172" s="1" t="s">
        <v>10905</v>
      </c>
      <c r="J1172" s="1" t="s">
        <v>138</v>
      </c>
      <c r="K1172" s="1" t="s">
        <v>10906</v>
      </c>
      <c r="L1172" s="1" t="s">
        <v>999</v>
      </c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25">
      <c r="A1173" s="8" t="s">
        <v>10177</v>
      </c>
      <c r="C1173" s="8" t="s">
        <v>8880</v>
      </c>
      <c r="D1173">
        <f t="shared" si="18"/>
        <v>1</v>
      </c>
      <c r="I1173" s="1" t="s">
        <v>918</v>
      </c>
      <c r="J1173" s="1" t="s">
        <v>8695</v>
      </c>
      <c r="K1173" s="1" t="s">
        <v>919</v>
      </c>
      <c r="L1173" s="1" t="s">
        <v>1020</v>
      </c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25">
      <c r="A1174" s="7" t="s">
        <v>208</v>
      </c>
      <c r="C1174" s="8" t="s">
        <v>9409</v>
      </c>
      <c r="D1174">
        <f t="shared" si="18"/>
        <v>1</v>
      </c>
      <c r="I1174" s="1" t="s">
        <v>918</v>
      </c>
      <c r="J1174" s="1" t="s">
        <v>8695</v>
      </c>
      <c r="K1174" s="1" t="s">
        <v>919</v>
      </c>
      <c r="L1174" s="1" t="s">
        <v>1020</v>
      </c>
      <c r="M1174" s="1" t="s">
        <v>25</v>
      </c>
      <c r="N1174" s="1" t="s">
        <v>923</v>
      </c>
      <c r="O1174" s="1" t="s">
        <v>920</v>
      </c>
      <c r="P1174" s="1" t="s">
        <v>921</v>
      </c>
      <c r="Q1174" s="1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25">
      <c r="A1175" s="7" t="s">
        <v>208</v>
      </c>
      <c r="C1175" s="8" t="s">
        <v>10575</v>
      </c>
      <c r="D1175">
        <f t="shared" si="18"/>
        <v>1</v>
      </c>
      <c r="I1175" s="1" t="s">
        <v>10907</v>
      </c>
      <c r="J1175" s="1" t="s">
        <v>10908</v>
      </c>
      <c r="K1175" s="1" t="s">
        <v>10909</v>
      </c>
      <c r="L1175" s="1" t="s">
        <v>927</v>
      </c>
      <c r="M1175" s="1" t="s">
        <v>953</v>
      </c>
      <c r="N1175" s="1" t="s">
        <v>943</v>
      </c>
      <c r="O1175" s="1" t="s">
        <v>983</v>
      </c>
      <c r="P1175" s="1" t="s">
        <v>919</v>
      </c>
      <c r="Q1175" s="1" t="s">
        <v>984</v>
      </c>
      <c r="R1175" s="1"/>
      <c r="S1175" s="1"/>
      <c r="T1175" s="1"/>
      <c r="U1175" s="1"/>
      <c r="V1175" s="1"/>
      <c r="W1175" s="1"/>
      <c r="X1175" s="1"/>
      <c r="Y1175" s="1"/>
    </row>
    <row r="1176" spans="1:25" x14ac:dyDescent="0.25">
      <c r="A1176" s="7" t="s">
        <v>208</v>
      </c>
      <c r="C1176" s="8" t="s">
        <v>9841</v>
      </c>
      <c r="D1176">
        <f t="shared" si="18"/>
        <v>1</v>
      </c>
      <c r="I1176" s="1" t="s">
        <v>4058</v>
      </c>
      <c r="J1176" s="1" t="s">
        <v>10770</v>
      </c>
      <c r="K1176" s="1" t="s">
        <v>10771</v>
      </c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25">
      <c r="A1177" s="7" t="s">
        <v>208</v>
      </c>
      <c r="C1177" s="7" t="s">
        <v>9560</v>
      </c>
      <c r="D1177">
        <f t="shared" si="18"/>
        <v>1</v>
      </c>
      <c r="I1177" s="1" t="s">
        <v>4037</v>
      </c>
      <c r="J1177" s="1" t="s">
        <v>10771</v>
      </c>
      <c r="K1177" s="1" t="s">
        <v>10903</v>
      </c>
      <c r="L1177" s="1" t="s">
        <v>10904</v>
      </c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25">
      <c r="A1178" s="7" t="s">
        <v>208</v>
      </c>
      <c r="C1178" s="8" t="s">
        <v>8988</v>
      </c>
      <c r="D1178">
        <f t="shared" si="18"/>
        <v>1</v>
      </c>
      <c r="I1178" s="1" t="s">
        <v>1107</v>
      </c>
      <c r="J1178" s="1" t="s">
        <v>918</v>
      </c>
      <c r="K1178" s="1" t="s">
        <v>919</v>
      </c>
      <c r="L1178" s="1" t="s">
        <v>945</v>
      </c>
      <c r="M1178" s="1" t="s">
        <v>1012</v>
      </c>
      <c r="N1178" s="1" t="s">
        <v>1013</v>
      </c>
      <c r="O1178" s="1" t="s">
        <v>955</v>
      </c>
      <c r="P1178" s="1" t="s">
        <v>1014</v>
      </c>
      <c r="Q1178" s="1" t="s">
        <v>1015</v>
      </c>
      <c r="R1178" s="1"/>
      <c r="S1178" s="1"/>
      <c r="T1178" s="1"/>
      <c r="U1178" s="1"/>
      <c r="V1178" s="1"/>
      <c r="W1178" s="1"/>
      <c r="X1178" s="1"/>
      <c r="Y1178" s="1"/>
    </row>
    <row r="1179" spans="1:25" x14ac:dyDescent="0.25">
      <c r="A1179" s="8" t="s">
        <v>208</v>
      </c>
      <c r="C1179" s="8" t="s">
        <v>10479</v>
      </c>
      <c r="D1179">
        <f t="shared" si="18"/>
        <v>1</v>
      </c>
      <c r="I1179" s="1" t="s">
        <v>1051</v>
      </c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25">
      <c r="A1180" s="8" t="s">
        <v>208</v>
      </c>
      <c r="C1180" s="8" t="s">
        <v>9665</v>
      </c>
      <c r="D1180">
        <f t="shared" si="18"/>
        <v>1</v>
      </c>
      <c r="I1180" s="1" t="s">
        <v>2153</v>
      </c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25">
      <c r="A1181" s="7" t="s">
        <v>9675</v>
      </c>
      <c r="C1181" s="7" t="s">
        <v>9911</v>
      </c>
      <c r="D1181">
        <f t="shared" si="18"/>
        <v>1</v>
      </c>
      <c r="I1181" s="1" t="s">
        <v>90</v>
      </c>
      <c r="J1181" s="1" t="s">
        <v>964</v>
      </c>
      <c r="K1181" s="1" t="s">
        <v>25</v>
      </c>
      <c r="L1181" s="1" t="s">
        <v>923</v>
      </c>
      <c r="M1181" s="1" t="s">
        <v>954</v>
      </c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25">
      <c r="A1182" s="7" t="s">
        <v>1989</v>
      </c>
      <c r="C1182" s="8" t="s">
        <v>10292</v>
      </c>
      <c r="D1182">
        <f t="shared" si="18"/>
        <v>1</v>
      </c>
      <c r="I1182" s="1" t="s">
        <v>10874</v>
      </c>
      <c r="J1182" s="1" t="s">
        <v>4146</v>
      </c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25">
      <c r="A1183" s="7" t="s">
        <v>4687</v>
      </c>
      <c r="C1183" s="8" t="s">
        <v>10243</v>
      </c>
      <c r="D1183">
        <f t="shared" si="18"/>
        <v>1</v>
      </c>
      <c r="I1183" s="1" t="s">
        <v>2848</v>
      </c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25">
      <c r="A1184" s="8" t="s">
        <v>10669</v>
      </c>
      <c r="C1184" s="8" t="s">
        <v>10683</v>
      </c>
      <c r="D1184">
        <f t="shared" si="18"/>
        <v>1</v>
      </c>
      <c r="I1184" s="1" t="s">
        <v>4037</v>
      </c>
      <c r="J1184" s="1" t="s">
        <v>10771</v>
      </c>
      <c r="K1184" s="1" t="s">
        <v>10903</v>
      </c>
      <c r="L1184" s="1" t="s">
        <v>10904</v>
      </c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25">
      <c r="A1185" s="8" t="s">
        <v>10669</v>
      </c>
      <c r="C1185" s="8" t="s">
        <v>10449</v>
      </c>
      <c r="D1185">
        <f t="shared" si="18"/>
        <v>1</v>
      </c>
      <c r="I1185" s="1" t="s">
        <v>2927</v>
      </c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25">
      <c r="A1186" s="7" t="s">
        <v>9273</v>
      </c>
      <c r="C1186" s="8" t="s">
        <v>9027</v>
      </c>
      <c r="D1186">
        <f t="shared" si="18"/>
        <v>1</v>
      </c>
      <c r="I1186" s="1" t="s">
        <v>1053</v>
      </c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25">
      <c r="A1187" s="7" t="s">
        <v>6651</v>
      </c>
      <c r="C1187" s="7" t="s">
        <v>10169</v>
      </c>
      <c r="D1187">
        <f t="shared" si="18"/>
        <v>1</v>
      </c>
      <c r="I1187" s="1" t="s">
        <v>298</v>
      </c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25">
      <c r="A1188" s="7" t="s">
        <v>6651</v>
      </c>
      <c r="C1188" s="8" t="s">
        <v>9871</v>
      </c>
      <c r="D1188">
        <f t="shared" si="18"/>
        <v>1</v>
      </c>
      <c r="I1188" s="1" t="s">
        <v>50</v>
      </c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25">
      <c r="A1189" s="7" t="s">
        <v>6651</v>
      </c>
      <c r="C1189" s="8" t="s">
        <v>10323</v>
      </c>
      <c r="D1189">
        <f t="shared" si="18"/>
        <v>1</v>
      </c>
      <c r="I1189" s="1" t="s">
        <v>2927</v>
      </c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25">
      <c r="A1190" s="7" t="s">
        <v>6651</v>
      </c>
      <c r="C1190" s="8" t="s">
        <v>10399</v>
      </c>
      <c r="D1190">
        <f t="shared" si="18"/>
        <v>1</v>
      </c>
      <c r="I1190" s="1" t="s">
        <v>933</v>
      </c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25">
      <c r="A1191" s="8" t="s">
        <v>9262</v>
      </c>
      <c r="C1191" s="8" t="s">
        <v>10090</v>
      </c>
      <c r="D1191">
        <f t="shared" si="18"/>
        <v>1</v>
      </c>
      <c r="I1191" s="1" t="s">
        <v>920</v>
      </c>
      <c r="J1191" s="1" t="s">
        <v>933</v>
      </c>
      <c r="K1191" s="1" t="s">
        <v>1086</v>
      </c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25">
      <c r="A1192" s="8" t="s">
        <v>9552</v>
      </c>
      <c r="C1192" s="8" t="s">
        <v>9507</v>
      </c>
      <c r="D1192">
        <f t="shared" si="18"/>
        <v>1</v>
      </c>
      <c r="I1192" s="1" t="s">
        <v>998</v>
      </c>
      <c r="J1192" s="1" t="s">
        <v>1086</v>
      </c>
      <c r="K1192" s="1" t="s">
        <v>994</v>
      </c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25">
      <c r="A1193" s="7" t="s">
        <v>6487</v>
      </c>
      <c r="C1193" s="8" t="s">
        <v>10375</v>
      </c>
      <c r="D1193">
        <f t="shared" si="18"/>
        <v>1</v>
      </c>
      <c r="I1193" s="1" t="s">
        <v>923</v>
      </c>
      <c r="J1193" s="1" t="s">
        <v>1053</v>
      </c>
      <c r="K1193" s="1" t="s">
        <v>1086</v>
      </c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25">
      <c r="A1194" s="7" t="s">
        <v>10055</v>
      </c>
      <c r="C1194" s="8" t="s">
        <v>9056</v>
      </c>
      <c r="D1194">
        <f t="shared" si="18"/>
        <v>1</v>
      </c>
      <c r="I1194" s="1" t="s">
        <v>1053</v>
      </c>
      <c r="J1194" s="1" t="s">
        <v>1086</v>
      </c>
      <c r="K1194" s="1" t="s">
        <v>10719</v>
      </c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25">
      <c r="A1195" s="8" t="s">
        <v>10064</v>
      </c>
      <c r="C1195" s="8" t="s">
        <v>9424</v>
      </c>
      <c r="D1195">
        <f t="shared" si="18"/>
        <v>1</v>
      </c>
      <c r="I1195" s="1" t="s">
        <v>1053</v>
      </c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25">
      <c r="A1196" s="8" t="s">
        <v>10064</v>
      </c>
      <c r="C1196" s="8" t="s">
        <v>9356</v>
      </c>
      <c r="D1196">
        <f t="shared" si="18"/>
        <v>1</v>
      </c>
      <c r="I1196" s="1" t="s">
        <v>992</v>
      </c>
      <c r="J1196" s="1" t="s">
        <v>981</v>
      </c>
      <c r="K1196" s="1" t="s">
        <v>993</v>
      </c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25">
      <c r="A1197" s="7" t="s">
        <v>10069</v>
      </c>
      <c r="C1197" s="7" t="s">
        <v>10457</v>
      </c>
      <c r="D1197">
        <f t="shared" si="18"/>
        <v>1</v>
      </c>
      <c r="I1197" s="1" t="s">
        <v>4037</v>
      </c>
      <c r="J1197" s="1" t="s">
        <v>10771</v>
      </c>
      <c r="K1197" s="1" t="s">
        <v>10903</v>
      </c>
      <c r="L1197" s="1" t="s">
        <v>10904</v>
      </c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25">
      <c r="A1198" s="8" t="s">
        <v>9375</v>
      </c>
      <c r="C1198" s="7" t="s">
        <v>9577</v>
      </c>
      <c r="D1198">
        <f t="shared" si="18"/>
        <v>1</v>
      </c>
      <c r="I1198" s="1" t="s">
        <v>4037</v>
      </c>
      <c r="J1198" s="1" t="s">
        <v>10771</v>
      </c>
      <c r="K1198" s="1" t="s">
        <v>10903</v>
      </c>
      <c r="L1198" s="1" t="s">
        <v>10904</v>
      </c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25">
      <c r="A1199" s="8" t="s">
        <v>10570</v>
      </c>
      <c r="C1199" s="8" t="s">
        <v>10047</v>
      </c>
      <c r="D1199">
        <f t="shared" si="18"/>
        <v>1</v>
      </c>
      <c r="I1199" s="1" t="s">
        <v>983</v>
      </c>
      <c r="J1199" s="1" t="s">
        <v>984</v>
      </c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25">
      <c r="A1200" s="7" t="s">
        <v>9347</v>
      </c>
      <c r="C1200" s="8" t="s">
        <v>10250</v>
      </c>
      <c r="D1200">
        <f t="shared" si="18"/>
        <v>1</v>
      </c>
      <c r="I1200" s="1" t="s">
        <v>1149</v>
      </c>
      <c r="J1200" s="1" t="s">
        <v>25</v>
      </c>
      <c r="K1200" s="1" t="s">
        <v>923</v>
      </c>
      <c r="L1200" s="1" t="s">
        <v>998</v>
      </c>
      <c r="M1200" s="1" t="s">
        <v>1086</v>
      </c>
      <c r="N1200" s="1" t="s">
        <v>920</v>
      </c>
      <c r="O1200" s="1" t="s">
        <v>933</v>
      </c>
      <c r="P1200" s="1" t="s">
        <v>10719</v>
      </c>
      <c r="Q1200" s="1" t="s">
        <v>2927</v>
      </c>
      <c r="R1200" s="1" t="s">
        <v>1053</v>
      </c>
      <c r="S1200" s="1"/>
      <c r="T1200" s="1"/>
      <c r="U1200" s="1"/>
      <c r="V1200" s="1"/>
      <c r="W1200" s="1"/>
      <c r="X1200" s="1"/>
      <c r="Y1200" s="1"/>
    </row>
    <row r="1201" spans="1:25" x14ac:dyDescent="0.25">
      <c r="A1201" s="8" t="s">
        <v>10359</v>
      </c>
      <c r="C1201" s="8" t="s">
        <v>10122</v>
      </c>
      <c r="D1201">
        <f t="shared" si="18"/>
        <v>1</v>
      </c>
      <c r="I1201" s="1" t="s">
        <v>921</v>
      </c>
      <c r="J1201" s="1" t="s">
        <v>25</v>
      </c>
      <c r="K1201" s="1" t="s">
        <v>923</v>
      </c>
      <c r="L1201" s="1" t="s">
        <v>916</v>
      </c>
      <c r="M1201" s="1" t="s">
        <v>1078</v>
      </c>
      <c r="N1201" s="1" t="s">
        <v>980</v>
      </c>
      <c r="O1201" s="1" t="s">
        <v>919</v>
      </c>
      <c r="P1201" s="1" t="s">
        <v>920</v>
      </c>
      <c r="Q1201" s="1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25">
      <c r="A1202" s="7" t="s">
        <v>10393</v>
      </c>
      <c r="C1202" s="8" t="s">
        <v>10275</v>
      </c>
      <c r="D1202">
        <f t="shared" si="18"/>
        <v>1</v>
      </c>
      <c r="I1202" s="1" t="s">
        <v>1019</v>
      </c>
      <c r="J1202" s="1" t="s">
        <v>983</v>
      </c>
      <c r="K1202" s="1" t="s">
        <v>984</v>
      </c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25">
      <c r="A1203" s="7" t="s">
        <v>9661</v>
      </c>
      <c r="C1203" s="8" t="s">
        <v>9947</v>
      </c>
      <c r="D1203">
        <f t="shared" si="18"/>
        <v>1</v>
      </c>
      <c r="I1203" s="1" t="s">
        <v>4258</v>
      </c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25">
      <c r="A1204" s="7" t="s">
        <v>9661</v>
      </c>
      <c r="C1204" s="8" t="s">
        <v>10525</v>
      </c>
      <c r="D1204">
        <f t="shared" si="18"/>
        <v>1</v>
      </c>
      <c r="I1204" s="1" t="s">
        <v>2541</v>
      </c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25">
      <c r="A1205" s="8" t="s">
        <v>10462</v>
      </c>
      <c r="C1205" s="8" t="s">
        <v>10225</v>
      </c>
      <c r="D1205">
        <f t="shared" si="18"/>
        <v>1</v>
      </c>
      <c r="I1205" s="1" t="s">
        <v>2927</v>
      </c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25">
      <c r="A1206" s="8" t="s">
        <v>9275</v>
      </c>
      <c r="C1206" s="8" t="s">
        <v>9129</v>
      </c>
      <c r="D1206">
        <f t="shared" si="18"/>
        <v>1</v>
      </c>
      <c r="I1206" s="1" t="s">
        <v>50</v>
      </c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25">
      <c r="A1207" s="8" t="s">
        <v>9275</v>
      </c>
      <c r="C1207" s="8" t="s">
        <v>8852</v>
      </c>
      <c r="D1207">
        <f t="shared" si="18"/>
        <v>1</v>
      </c>
      <c r="I1207" s="1" t="s">
        <v>928</v>
      </c>
      <c r="J1207" s="1" t="s">
        <v>996</v>
      </c>
      <c r="K1207" s="1" t="s">
        <v>2541</v>
      </c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25">
      <c r="A1208" s="8" t="s">
        <v>9275</v>
      </c>
      <c r="C1208" s="8" t="s">
        <v>8865</v>
      </c>
      <c r="D1208">
        <f t="shared" si="18"/>
        <v>1</v>
      </c>
      <c r="I1208" s="1" t="s">
        <v>2927</v>
      </c>
      <c r="J1208" s="1" t="s">
        <v>1069</v>
      </c>
      <c r="K1208" s="1" t="s">
        <v>25</v>
      </c>
      <c r="L1208" s="1" t="s">
        <v>923</v>
      </c>
      <c r="M1208" s="1" t="s">
        <v>1053</v>
      </c>
      <c r="N1208" s="1" t="s">
        <v>1086</v>
      </c>
      <c r="O1208" s="1" t="s">
        <v>933</v>
      </c>
      <c r="P1208" s="1" t="s">
        <v>998</v>
      </c>
      <c r="Q1208" s="1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25">
      <c r="A1209" s="8" t="s">
        <v>9275</v>
      </c>
      <c r="C1209" s="8" t="s">
        <v>10558</v>
      </c>
      <c r="D1209">
        <f t="shared" si="18"/>
        <v>1</v>
      </c>
      <c r="I1209" s="1" t="s">
        <v>4272</v>
      </c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25">
      <c r="A1210" s="7" t="s">
        <v>4920</v>
      </c>
      <c r="C1210" s="7" t="s">
        <v>10102</v>
      </c>
      <c r="D1210">
        <f t="shared" si="18"/>
        <v>1</v>
      </c>
      <c r="I1210" s="1" t="s">
        <v>933</v>
      </c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25">
      <c r="A1211" s="8" t="s">
        <v>9606</v>
      </c>
      <c r="C1211" s="8" t="s">
        <v>9245</v>
      </c>
      <c r="D1211">
        <f t="shared" si="18"/>
        <v>1</v>
      </c>
      <c r="I1211" s="1" t="s">
        <v>996</v>
      </c>
      <c r="J1211" s="1" t="s">
        <v>998</v>
      </c>
      <c r="K1211" s="1" t="s">
        <v>1086</v>
      </c>
      <c r="L1211" s="1" t="s">
        <v>933</v>
      </c>
      <c r="M1211" s="1" t="s">
        <v>2541</v>
      </c>
      <c r="N1211" s="1" t="s">
        <v>10910</v>
      </c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25">
      <c r="A1212" s="7" t="s">
        <v>5352</v>
      </c>
      <c r="C1212" s="8" t="s">
        <v>9401</v>
      </c>
      <c r="D1212">
        <f t="shared" si="18"/>
        <v>1</v>
      </c>
      <c r="I1212" s="1" t="s">
        <v>1053</v>
      </c>
      <c r="J1212" s="1" t="s">
        <v>933</v>
      </c>
      <c r="K1212" s="1" t="s">
        <v>958</v>
      </c>
      <c r="L1212" s="1" t="s">
        <v>977</v>
      </c>
      <c r="M1212" s="1" t="s">
        <v>1114</v>
      </c>
      <c r="N1212" s="1" t="s">
        <v>930</v>
      </c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25">
      <c r="A1213" s="7" t="s">
        <v>5352</v>
      </c>
      <c r="C1213" s="8" t="s">
        <v>8973</v>
      </c>
      <c r="D1213">
        <f t="shared" si="18"/>
        <v>1</v>
      </c>
      <c r="I1213" s="1" t="s">
        <v>933</v>
      </c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25">
      <c r="A1214" s="7" t="s">
        <v>9575</v>
      </c>
      <c r="C1214" s="7" t="s">
        <v>5459</v>
      </c>
      <c r="D1214">
        <f t="shared" si="18"/>
        <v>1</v>
      </c>
      <c r="I1214" s="1" t="s">
        <v>50</v>
      </c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25">
      <c r="A1215" s="7" t="s">
        <v>9575</v>
      </c>
      <c r="C1215" s="8" t="s">
        <v>10247</v>
      </c>
      <c r="D1215">
        <f t="shared" si="18"/>
        <v>1</v>
      </c>
      <c r="I1215" s="1" t="s">
        <v>4058</v>
      </c>
      <c r="J1215" s="1" t="s">
        <v>10769</v>
      </c>
      <c r="K1215" s="1" t="s">
        <v>10911</v>
      </c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25">
      <c r="A1216" s="8" t="s">
        <v>9313</v>
      </c>
      <c r="C1216" s="8" t="s">
        <v>10411</v>
      </c>
      <c r="D1216">
        <f t="shared" si="18"/>
        <v>1</v>
      </c>
      <c r="I1216" s="1" t="s">
        <v>4058</v>
      </c>
      <c r="J1216" s="1" t="s">
        <v>10769</v>
      </c>
      <c r="K1216" s="1" t="s">
        <v>10911</v>
      </c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25">
      <c r="A1217" s="8" t="s">
        <v>10070</v>
      </c>
      <c r="C1217" s="7" t="s">
        <v>10207</v>
      </c>
      <c r="D1217">
        <f t="shared" si="18"/>
        <v>1</v>
      </c>
      <c r="I1217" s="1" t="s">
        <v>4058</v>
      </c>
      <c r="J1217" s="1" t="s">
        <v>10773</v>
      </c>
      <c r="K1217" s="1" t="s">
        <v>10911</v>
      </c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25">
      <c r="A1218" s="7" t="s">
        <v>8933</v>
      </c>
      <c r="C1218" s="8" t="s">
        <v>10227</v>
      </c>
      <c r="D1218">
        <f t="shared" ref="D1218:D1281" si="19">COUNTIF(A:A,C1218)</f>
        <v>1</v>
      </c>
      <c r="I1218" s="1" t="s">
        <v>998</v>
      </c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25">
      <c r="A1219" s="7" t="s">
        <v>8933</v>
      </c>
      <c r="C1219" s="7" t="s">
        <v>4976</v>
      </c>
      <c r="D1219">
        <f t="shared" si="19"/>
        <v>1</v>
      </c>
      <c r="I1219" s="1" t="s">
        <v>998</v>
      </c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25">
      <c r="A1220" s="7" t="s">
        <v>8933</v>
      </c>
      <c r="C1220" s="7" t="s">
        <v>8955</v>
      </c>
      <c r="D1220">
        <f t="shared" si="19"/>
        <v>1</v>
      </c>
      <c r="I1220" s="1" t="s">
        <v>50</v>
      </c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25">
      <c r="A1221" s="7" t="s">
        <v>8191</v>
      </c>
      <c r="C1221" s="8" t="s">
        <v>10318</v>
      </c>
      <c r="D1221">
        <f t="shared" si="19"/>
        <v>1</v>
      </c>
      <c r="I1221" s="1" t="s">
        <v>918</v>
      </c>
      <c r="J1221" s="1" t="s">
        <v>967</v>
      </c>
      <c r="K1221" s="1" t="s">
        <v>995</v>
      </c>
      <c r="L1221" s="1" t="s">
        <v>919</v>
      </c>
      <c r="M1221" s="1" t="s">
        <v>924</v>
      </c>
      <c r="N1221" s="1" t="s">
        <v>955</v>
      </c>
      <c r="O1221" s="1" t="s">
        <v>930</v>
      </c>
      <c r="P1221" s="1" t="s">
        <v>1014</v>
      </c>
      <c r="Q1221" s="1" t="s">
        <v>944</v>
      </c>
      <c r="R1221" s="1" t="s">
        <v>945</v>
      </c>
      <c r="S1221" s="1"/>
      <c r="T1221" s="1"/>
      <c r="U1221" s="1"/>
      <c r="V1221" s="1"/>
      <c r="W1221" s="1"/>
      <c r="X1221" s="1"/>
      <c r="Y1221" s="1"/>
    </row>
    <row r="1222" spans="1:25" x14ac:dyDescent="0.25">
      <c r="A1222" s="8" t="s">
        <v>10623</v>
      </c>
      <c r="C1222" s="7" t="s">
        <v>2419</v>
      </c>
      <c r="D1222">
        <f t="shared" si="19"/>
        <v>1</v>
      </c>
      <c r="I1222" s="1" t="s">
        <v>10781</v>
      </c>
      <c r="J1222" s="1" t="s">
        <v>1085</v>
      </c>
      <c r="K1222" s="1" t="s">
        <v>955</v>
      </c>
      <c r="L1222" s="1" t="s">
        <v>1014</v>
      </c>
      <c r="M1222" s="1" t="s">
        <v>10740</v>
      </c>
      <c r="N1222" s="1" t="s">
        <v>934</v>
      </c>
      <c r="O1222" s="1" t="s">
        <v>918</v>
      </c>
      <c r="P1222" s="1" t="s">
        <v>25</v>
      </c>
      <c r="Q1222" s="1" t="s">
        <v>919</v>
      </c>
      <c r="R1222" s="1" t="s">
        <v>920</v>
      </c>
      <c r="S1222" s="1" t="s">
        <v>924</v>
      </c>
      <c r="T1222" s="1"/>
      <c r="U1222" s="1"/>
      <c r="V1222" s="1"/>
      <c r="W1222" s="1"/>
      <c r="X1222" s="1"/>
      <c r="Y1222" s="1"/>
    </row>
    <row r="1223" spans="1:25" x14ac:dyDescent="0.25">
      <c r="A1223" s="8" t="s">
        <v>9542</v>
      </c>
      <c r="C1223" s="7" t="s">
        <v>9845</v>
      </c>
      <c r="D1223">
        <f t="shared" si="19"/>
        <v>1</v>
      </c>
      <c r="I1223" s="1" t="s">
        <v>918</v>
      </c>
      <c r="J1223" s="1" t="s">
        <v>943</v>
      </c>
      <c r="K1223" s="1" t="s">
        <v>919</v>
      </c>
      <c r="L1223" s="1" t="s">
        <v>936</v>
      </c>
      <c r="M1223" s="1" t="s">
        <v>945</v>
      </c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25">
      <c r="A1224" s="7" t="s">
        <v>5035</v>
      </c>
      <c r="C1224" s="8" t="s">
        <v>9826</v>
      </c>
      <c r="D1224">
        <f t="shared" si="19"/>
        <v>1</v>
      </c>
      <c r="I1224" s="1" t="s">
        <v>50</v>
      </c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25">
      <c r="A1225" s="7" t="s">
        <v>5035</v>
      </c>
      <c r="C1225" s="7" t="s">
        <v>9697</v>
      </c>
      <c r="D1225">
        <f t="shared" si="19"/>
        <v>1</v>
      </c>
      <c r="I1225" s="1" t="s">
        <v>4058</v>
      </c>
      <c r="J1225" s="1" t="s">
        <v>10773</v>
      </c>
      <c r="K1225" s="1" t="s">
        <v>10911</v>
      </c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25">
      <c r="A1226" s="7" t="s">
        <v>5035</v>
      </c>
      <c r="C1226" s="7" t="s">
        <v>10167</v>
      </c>
      <c r="D1226">
        <f t="shared" si="19"/>
        <v>1</v>
      </c>
      <c r="I1226" s="1" t="s">
        <v>50</v>
      </c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25">
      <c r="A1227" s="7" t="s">
        <v>5035</v>
      </c>
      <c r="C1227" s="7" t="s">
        <v>9747</v>
      </c>
      <c r="D1227">
        <f t="shared" si="19"/>
        <v>1</v>
      </c>
      <c r="I1227" s="1" t="s">
        <v>1053</v>
      </c>
      <c r="J1227" s="1" t="s">
        <v>1086</v>
      </c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25">
      <c r="A1228" s="7" t="s">
        <v>5035</v>
      </c>
      <c r="C1228" s="8" t="s">
        <v>10539</v>
      </c>
      <c r="D1228">
        <f t="shared" si="19"/>
        <v>1</v>
      </c>
      <c r="I1228" s="1" t="s">
        <v>927</v>
      </c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25">
      <c r="A1229" s="7" t="s">
        <v>5035</v>
      </c>
      <c r="C1229" s="8" t="s">
        <v>10170</v>
      </c>
      <c r="D1229">
        <f t="shared" si="19"/>
        <v>1</v>
      </c>
      <c r="I1229" s="1" t="s">
        <v>50</v>
      </c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25">
      <c r="A1230" s="7" t="s">
        <v>5035</v>
      </c>
      <c r="C1230" s="8" t="s">
        <v>8985</v>
      </c>
      <c r="D1230">
        <f t="shared" si="19"/>
        <v>1</v>
      </c>
      <c r="I1230" s="1" t="s">
        <v>1053</v>
      </c>
      <c r="J1230" s="1" t="s">
        <v>1086</v>
      </c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25">
      <c r="A1231" s="7" t="s">
        <v>5035</v>
      </c>
      <c r="C1231" s="8" t="s">
        <v>9574</v>
      </c>
      <c r="D1231">
        <f t="shared" si="19"/>
        <v>1</v>
      </c>
      <c r="I1231" s="1" t="s">
        <v>1053</v>
      </c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25">
      <c r="A1232" s="7" t="s">
        <v>5035</v>
      </c>
      <c r="C1232" s="8" t="s">
        <v>9010</v>
      </c>
      <c r="D1232">
        <f t="shared" si="19"/>
        <v>1</v>
      </c>
      <c r="I1232" s="1" t="s">
        <v>4058</v>
      </c>
      <c r="J1232" s="1" t="s">
        <v>10773</v>
      </c>
      <c r="K1232" s="1" t="s">
        <v>10911</v>
      </c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25">
      <c r="A1233" s="7" t="s">
        <v>5035</v>
      </c>
      <c r="C1233" s="8" t="s">
        <v>10691</v>
      </c>
      <c r="D1233">
        <f t="shared" si="19"/>
        <v>1</v>
      </c>
      <c r="I1233" s="1" t="s">
        <v>933</v>
      </c>
      <c r="J1233" s="1" t="s">
        <v>1001</v>
      </c>
      <c r="K1233" s="1" t="s">
        <v>927</v>
      </c>
      <c r="L1233" s="1" t="s">
        <v>3842</v>
      </c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25">
      <c r="A1234" s="7" t="s">
        <v>5035</v>
      </c>
      <c r="C1234" s="8" t="s">
        <v>10599</v>
      </c>
      <c r="D1234">
        <f t="shared" si="19"/>
        <v>1</v>
      </c>
      <c r="I1234" s="1" t="s">
        <v>1069</v>
      </c>
      <c r="J1234" s="1" t="s">
        <v>1001</v>
      </c>
      <c r="K1234" s="1" t="s">
        <v>927</v>
      </c>
      <c r="L1234" s="1" t="s">
        <v>992</v>
      </c>
      <c r="M1234" s="1" t="s">
        <v>981</v>
      </c>
      <c r="N1234" s="1" t="s">
        <v>939</v>
      </c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25">
      <c r="A1235" s="7" t="s">
        <v>5035</v>
      </c>
      <c r="C1235" s="8" t="s">
        <v>10552</v>
      </c>
      <c r="D1235">
        <f t="shared" si="19"/>
        <v>1</v>
      </c>
      <c r="I1235" s="1" t="s">
        <v>992</v>
      </c>
      <c r="J1235" s="1" t="s">
        <v>933</v>
      </c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25">
      <c r="A1236" s="7" t="s">
        <v>5035</v>
      </c>
      <c r="C1236" s="7" t="s">
        <v>10017</v>
      </c>
      <c r="D1236">
        <f t="shared" si="19"/>
        <v>1</v>
      </c>
      <c r="I1236" s="1" t="s">
        <v>50</v>
      </c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25">
      <c r="A1237" s="7" t="s">
        <v>5035</v>
      </c>
      <c r="C1237" s="8" t="s">
        <v>10277</v>
      </c>
      <c r="D1237">
        <f t="shared" si="19"/>
        <v>1</v>
      </c>
      <c r="I1237" s="1" t="s">
        <v>981</v>
      </c>
      <c r="J1237" s="1" t="s">
        <v>983</v>
      </c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25">
      <c r="A1238" s="7" t="s">
        <v>5035</v>
      </c>
      <c r="C1238" s="8" t="s">
        <v>10647</v>
      </c>
      <c r="D1238">
        <f t="shared" si="19"/>
        <v>1</v>
      </c>
      <c r="I1238" s="1" t="s">
        <v>927</v>
      </c>
      <c r="J1238" s="1" t="s">
        <v>920</v>
      </c>
      <c r="K1238" s="1" t="s">
        <v>933</v>
      </c>
      <c r="L1238" s="1" t="s">
        <v>1001</v>
      </c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25">
      <c r="A1239" s="7" t="s">
        <v>5035</v>
      </c>
      <c r="C1239" s="7" t="s">
        <v>7554</v>
      </c>
      <c r="D1239">
        <f t="shared" si="19"/>
        <v>1</v>
      </c>
      <c r="I1239" s="1" t="s">
        <v>1053</v>
      </c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25">
      <c r="A1240" s="7" t="s">
        <v>5035</v>
      </c>
      <c r="C1240" s="8" t="s">
        <v>10676</v>
      </c>
      <c r="D1240">
        <f t="shared" si="19"/>
        <v>1</v>
      </c>
      <c r="I1240" s="1" t="s">
        <v>933</v>
      </c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25">
      <c r="A1241" s="7" t="s">
        <v>5035</v>
      </c>
      <c r="C1241" s="7" t="s">
        <v>9986</v>
      </c>
      <c r="D1241">
        <f t="shared" si="19"/>
        <v>1</v>
      </c>
      <c r="I1241" s="1" t="s">
        <v>927</v>
      </c>
      <c r="J1241" s="1" t="s">
        <v>920</v>
      </c>
      <c r="K1241" s="1" t="s">
        <v>933</v>
      </c>
      <c r="L1241" s="1" t="s">
        <v>1001</v>
      </c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25">
      <c r="A1242" s="7" t="s">
        <v>5035</v>
      </c>
      <c r="C1242" s="7" t="s">
        <v>9952</v>
      </c>
      <c r="D1242">
        <f t="shared" si="19"/>
        <v>1</v>
      </c>
      <c r="I1242" s="1" t="s">
        <v>919</v>
      </c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25">
      <c r="A1243" s="7" t="s">
        <v>5035</v>
      </c>
      <c r="C1243" s="8" t="s">
        <v>9800</v>
      </c>
      <c r="D1243">
        <f t="shared" si="19"/>
        <v>1</v>
      </c>
      <c r="I1243" s="1" t="s">
        <v>919</v>
      </c>
      <c r="J1243" s="1" t="s">
        <v>918</v>
      </c>
      <c r="K1243" s="1" t="s">
        <v>955</v>
      </c>
      <c r="L1243" s="1" t="s">
        <v>1036</v>
      </c>
      <c r="M1243" s="1" t="s">
        <v>924</v>
      </c>
      <c r="N1243" s="1" t="s">
        <v>1014</v>
      </c>
      <c r="O1243" s="1" t="s">
        <v>944</v>
      </c>
      <c r="P1243" s="1" t="s">
        <v>956</v>
      </c>
      <c r="Q1243" s="1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25">
      <c r="A1244" s="7" t="s">
        <v>5035</v>
      </c>
      <c r="C1244" s="7" t="s">
        <v>9436</v>
      </c>
      <c r="D1244">
        <f t="shared" si="19"/>
        <v>1</v>
      </c>
      <c r="I1244" s="1" t="s">
        <v>919</v>
      </c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25">
      <c r="A1245" s="7" t="s">
        <v>5035</v>
      </c>
      <c r="C1245" s="8" t="s">
        <v>10352</v>
      </c>
      <c r="D1245">
        <f t="shared" si="19"/>
        <v>1</v>
      </c>
      <c r="I1245" s="1" t="s">
        <v>919</v>
      </c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25">
      <c r="A1246" s="7" t="s">
        <v>5035</v>
      </c>
      <c r="C1246" s="8" t="s">
        <v>9930</v>
      </c>
      <c r="D1246">
        <f t="shared" si="19"/>
        <v>1</v>
      </c>
      <c r="I1246" s="1" t="s">
        <v>951</v>
      </c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25">
      <c r="A1247" s="7" t="s">
        <v>5035</v>
      </c>
      <c r="C1247" s="7" t="s">
        <v>9035</v>
      </c>
      <c r="D1247">
        <f t="shared" si="19"/>
        <v>1</v>
      </c>
      <c r="I1247" s="1" t="s">
        <v>50</v>
      </c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25">
      <c r="A1248" s="7" t="s">
        <v>5035</v>
      </c>
      <c r="C1248" s="7" t="s">
        <v>3832</v>
      </c>
      <c r="D1248">
        <f t="shared" si="19"/>
        <v>1</v>
      </c>
      <c r="I1248" s="1" t="s">
        <v>90</v>
      </c>
      <c r="J1248" s="1" t="s">
        <v>964</v>
      </c>
      <c r="K1248" s="1" t="s">
        <v>25</v>
      </c>
      <c r="L1248" s="1" t="s">
        <v>923</v>
      </c>
      <c r="M1248" s="1" t="s">
        <v>954</v>
      </c>
      <c r="N1248" s="1" t="s">
        <v>1149</v>
      </c>
      <c r="O1248" s="1" t="s">
        <v>998</v>
      </c>
      <c r="P1248" s="1" t="s">
        <v>1086</v>
      </c>
      <c r="Q1248" s="1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25">
      <c r="A1249" s="7" t="s">
        <v>5035</v>
      </c>
      <c r="C1249" s="7" t="s">
        <v>10505</v>
      </c>
      <c r="D1249">
        <f t="shared" si="19"/>
        <v>1</v>
      </c>
      <c r="I1249" s="1" t="s">
        <v>996</v>
      </c>
      <c r="J1249" s="1" t="s">
        <v>997</v>
      </c>
      <c r="K1249" s="1" t="s">
        <v>1001</v>
      </c>
      <c r="L1249" s="1" t="s">
        <v>937</v>
      </c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25">
      <c r="A1250" s="7" t="s">
        <v>5035</v>
      </c>
      <c r="C1250" s="8" t="s">
        <v>10688</v>
      </c>
      <c r="D1250">
        <f t="shared" si="19"/>
        <v>1</v>
      </c>
      <c r="I1250" s="1" t="s">
        <v>996</v>
      </c>
      <c r="J1250" s="1" t="s">
        <v>1149</v>
      </c>
      <c r="K1250" s="1" t="s">
        <v>923</v>
      </c>
      <c r="L1250" s="1" t="s">
        <v>997</v>
      </c>
      <c r="M1250" s="1" t="s">
        <v>994</v>
      </c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25">
      <c r="A1251" s="7" t="s">
        <v>5035</v>
      </c>
      <c r="C1251" s="8" t="s">
        <v>9247</v>
      </c>
      <c r="D1251">
        <f t="shared" si="19"/>
        <v>1</v>
      </c>
      <c r="I1251" s="1" t="s">
        <v>937</v>
      </c>
      <c r="J1251" s="1" t="s">
        <v>298</v>
      </c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25">
      <c r="A1252" s="7" t="s">
        <v>5035</v>
      </c>
      <c r="C1252" s="8" t="s">
        <v>10311</v>
      </c>
      <c r="D1252">
        <f t="shared" si="19"/>
        <v>1</v>
      </c>
      <c r="I1252" s="1" t="s">
        <v>50</v>
      </c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25">
      <c r="A1253" s="7" t="s">
        <v>5035</v>
      </c>
      <c r="C1253" s="7" t="s">
        <v>9889</v>
      </c>
      <c r="D1253">
        <f t="shared" si="19"/>
        <v>1</v>
      </c>
      <c r="I1253" s="1" t="s">
        <v>927</v>
      </c>
      <c r="J1253" s="1" t="s">
        <v>998</v>
      </c>
      <c r="K1253" s="1" t="s">
        <v>992</v>
      </c>
      <c r="L1253" s="1" t="s">
        <v>1086</v>
      </c>
      <c r="M1253" s="1" t="s">
        <v>933</v>
      </c>
      <c r="N1253" s="1" t="s">
        <v>993</v>
      </c>
      <c r="O1253" s="1" t="s">
        <v>994</v>
      </c>
      <c r="P1253" s="1" t="s">
        <v>923</v>
      </c>
      <c r="Q1253" s="1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25">
      <c r="A1254" s="7" t="s">
        <v>5035</v>
      </c>
      <c r="C1254" s="8" t="s">
        <v>9597</v>
      </c>
      <c r="D1254">
        <f t="shared" si="19"/>
        <v>1</v>
      </c>
      <c r="I1254" s="1" t="s">
        <v>1069</v>
      </c>
      <c r="J1254" s="1" t="s">
        <v>923</v>
      </c>
      <c r="K1254" s="1" t="s">
        <v>998</v>
      </c>
      <c r="L1254" s="1" t="s">
        <v>1053</v>
      </c>
      <c r="M1254" s="1" t="s">
        <v>1086</v>
      </c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25">
      <c r="A1255" s="7" t="s">
        <v>5035</v>
      </c>
      <c r="C1255" s="8" t="s">
        <v>10202</v>
      </c>
      <c r="D1255">
        <f t="shared" si="19"/>
        <v>1</v>
      </c>
      <c r="I1255" s="1" t="s">
        <v>998</v>
      </c>
      <c r="J1255" s="1" t="s">
        <v>1086</v>
      </c>
      <c r="K1255" s="1" t="s">
        <v>933</v>
      </c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25">
      <c r="A1256" s="8" t="s">
        <v>5035</v>
      </c>
      <c r="C1256" s="8" t="s">
        <v>9582</v>
      </c>
      <c r="D1256">
        <f t="shared" si="19"/>
        <v>1</v>
      </c>
      <c r="I1256" s="1" t="s">
        <v>992</v>
      </c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25">
      <c r="A1257" s="8" t="s">
        <v>5035</v>
      </c>
      <c r="C1257" s="8" t="s">
        <v>9213</v>
      </c>
      <c r="D1257">
        <f t="shared" si="19"/>
        <v>1</v>
      </c>
      <c r="I1257" s="1" t="s">
        <v>918</v>
      </c>
      <c r="J1257" s="1" t="s">
        <v>25</v>
      </c>
      <c r="K1257" s="1" t="s">
        <v>923</v>
      </c>
      <c r="L1257" s="1" t="s">
        <v>840</v>
      </c>
      <c r="M1257" s="1" t="s">
        <v>920</v>
      </c>
      <c r="N1257" s="1" t="s">
        <v>328</v>
      </c>
      <c r="O1257" s="1" t="s">
        <v>921</v>
      </c>
      <c r="P1257" s="1"/>
      <c r="Q1257" s="1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25">
      <c r="A1258" s="8" t="s">
        <v>5035</v>
      </c>
      <c r="C1258" s="7" t="s">
        <v>4752</v>
      </c>
      <c r="D1258">
        <f t="shared" si="19"/>
        <v>1</v>
      </c>
      <c r="I1258" s="1" t="s">
        <v>1149</v>
      </c>
      <c r="J1258" s="1" t="s">
        <v>25</v>
      </c>
      <c r="K1258" s="1" t="s">
        <v>997</v>
      </c>
      <c r="L1258" s="1" t="s">
        <v>998</v>
      </c>
      <c r="M1258" s="1" t="s">
        <v>933</v>
      </c>
      <c r="N1258" s="1" t="s">
        <v>994</v>
      </c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25">
      <c r="A1259" s="8" t="s">
        <v>5035</v>
      </c>
      <c r="C1259" s="8" t="s">
        <v>10127</v>
      </c>
      <c r="D1259">
        <f t="shared" si="19"/>
        <v>1</v>
      </c>
      <c r="I1259" s="1" t="s">
        <v>10775</v>
      </c>
      <c r="J1259" s="1" t="s">
        <v>10912</v>
      </c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25">
      <c r="A1260" s="8" t="s">
        <v>5035</v>
      </c>
      <c r="C1260" s="8" t="s">
        <v>10177</v>
      </c>
      <c r="D1260">
        <f t="shared" si="19"/>
        <v>1</v>
      </c>
      <c r="I1260" s="1" t="s">
        <v>948</v>
      </c>
      <c r="J1260" s="1" t="s">
        <v>1149</v>
      </c>
      <c r="K1260" s="1" t="s">
        <v>25</v>
      </c>
      <c r="L1260" s="1" t="s">
        <v>923</v>
      </c>
      <c r="M1260" s="1" t="s">
        <v>997</v>
      </c>
      <c r="N1260" s="1" t="s">
        <v>1150</v>
      </c>
      <c r="O1260" s="1" t="s">
        <v>1086</v>
      </c>
      <c r="P1260" s="1"/>
      <c r="Q1260" s="1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25">
      <c r="A1261" s="8" t="s">
        <v>5035</v>
      </c>
      <c r="C1261" s="7" t="s">
        <v>9675</v>
      </c>
      <c r="D1261">
        <f t="shared" si="19"/>
        <v>1</v>
      </c>
      <c r="I1261" s="1" t="s">
        <v>998</v>
      </c>
      <c r="J1261" s="1" t="s">
        <v>993</v>
      </c>
      <c r="K1261" s="1" t="s">
        <v>994</v>
      </c>
      <c r="L1261" s="1" t="s">
        <v>1000</v>
      </c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25">
      <c r="A1262" s="8" t="s">
        <v>8867</v>
      </c>
      <c r="C1262" s="7" t="s">
        <v>1989</v>
      </c>
      <c r="D1262">
        <f t="shared" si="19"/>
        <v>1</v>
      </c>
      <c r="I1262" s="1" t="s">
        <v>948</v>
      </c>
      <c r="J1262" s="1" t="s">
        <v>1069</v>
      </c>
      <c r="K1262" s="1" t="s">
        <v>25</v>
      </c>
      <c r="L1262" s="1" t="s">
        <v>1070</v>
      </c>
      <c r="M1262" s="1" t="s">
        <v>1034</v>
      </c>
      <c r="N1262" s="1" t="s">
        <v>956</v>
      </c>
      <c r="O1262" s="1" t="s">
        <v>1001</v>
      </c>
      <c r="P1262" s="1"/>
      <c r="Q1262" s="1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25">
      <c r="A1263" s="7" t="s">
        <v>3886</v>
      </c>
      <c r="C1263" s="7" t="s">
        <v>4687</v>
      </c>
      <c r="D1263">
        <f t="shared" si="19"/>
        <v>1</v>
      </c>
      <c r="I1263" s="1" t="s">
        <v>90</v>
      </c>
      <c r="J1263" s="1" t="s">
        <v>996</v>
      </c>
      <c r="K1263" s="1" t="s">
        <v>25</v>
      </c>
      <c r="L1263" s="1" t="s">
        <v>923</v>
      </c>
      <c r="M1263" s="1" t="s">
        <v>997</v>
      </c>
      <c r="N1263" s="1" t="s">
        <v>927</v>
      </c>
      <c r="O1263" s="1" t="s">
        <v>998</v>
      </c>
      <c r="P1263" s="1" t="s">
        <v>1086</v>
      </c>
      <c r="Q1263" s="1" t="s">
        <v>994</v>
      </c>
      <c r="R1263" s="1" t="s">
        <v>992</v>
      </c>
      <c r="S1263" s="1"/>
      <c r="T1263" s="1"/>
      <c r="U1263" s="1"/>
      <c r="V1263" s="1"/>
      <c r="W1263" s="1"/>
      <c r="X1263" s="1"/>
      <c r="Y1263" s="1"/>
    </row>
    <row r="1264" spans="1:25" x14ac:dyDescent="0.25">
      <c r="A1264" s="7" t="s">
        <v>3886</v>
      </c>
      <c r="C1264" s="7" t="s">
        <v>9273</v>
      </c>
      <c r="D1264">
        <f t="shared" si="19"/>
        <v>1</v>
      </c>
      <c r="I1264" s="1" t="s">
        <v>1001</v>
      </c>
      <c r="J1264" s="1" t="s">
        <v>927</v>
      </c>
      <c r="K1264" s="1" t="s">
        <v>919</v>
      </c>
      <c r="L1264" s="1" t="s">
        <v>960</v>
      </c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25">
      <c r="A1265" s="7" t="s">
        <v>3886</v>
      </c>
      <c r="C1265" s="8" t="s">
        <v>9262</v>
      </c>
      <c r="D1265">
        <f t="shared" si="19"/>
        <v>1</v>
      </c>
      <c r="I1265" s="1" t="s">
        <v>923</v>
      </c>
      <c r="J1265" s="1" t="s">
        <v>918</v>
      </c>
      <c r="K1265" s="1" t="s">
        <v>919</v>
      </c>
      <c r="L1265" s="1" t="s">
        <v>936</v>
      </c>
      <c r="M1265" s="1" t="s">
        <v>929</v>
      </c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25">
      <c r="A1266" s="7" t="s">
        <v>3886</v>
      </c>
      <c r="C1266" s="8" t="s">
        <v>9552</v>
      </c>
      <c r="D1266">
        <f t="shared" si="19"/>
        <v>1</v>
      </c>
      <c r="I1266" s="1" t="s">
        <v>2153</v>
      </c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25">
      <c r="A1267" s="8" t="s">
        <v>3886</v>
      </c>
      <c r="C1267" s="7" t="s">
        <v>6487</v>
      </c>
      <c r="D1267">
        <f t="shared" si="19"/>
        <v>1</v>
      </c>
      <c r="I1267" s="1" t="s">
        <v>2153</v>
      </c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25">
      <c r="A1268" s="8" t="s">
        <v>3886</v>
      </c>
      <c r="C1268" s="7" t="s">
        <v>10055</v>
      </c>
      <c r="D1268">
        <f t="shared" si="19"/>
        <v>1</v>
      </c>
      <c r="I1268" s="1" t="s">
        <v>4058</v>
      </c>
      <c r="J1268" s="1" t="s">
        <v>10769</v>
      </c>
      <c r="K1268" s="1" t="s">
        <v>10773</v>
      </c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25">
      <c r="A1269" s="8" t="s">
        <v>3886</v>
      </c>
      <c r="C1269" s="7" t="s">
        <v>10069</v>
      </c>
      <c r="D1269">
        <f t="shared" si="19"/>
        <v>1</v>
      </c>
      <c r="I1269" s="1" t="s">
        <v>998</v>
      </c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25">
      <c r="A1270" s="8" t="s">
        <v>3886</v>
      </c>
      <c r="C1270" s="8" t="s">
        <v>9375</v>
      </c>
      <c r="D1270">
        <f t="shared" si="19"/>
        <v>1</v>
      </c>
      <c r="I1270" s="1" t="s">
        <v>992</v>
      </c>
      <c r="J1270" s="1" t="s">
        <v>933</v>
      </c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25">
      <c r="A1271" s="8" t="s">
        <v>3886</v>
      </c>
      <c r="C1271" s="8" t="s">
        <v>10570</v>
      </c>
      <c r="D1271">
        <f t="shared" si="19"/>
        <v>1</v>
      </c>
      <c r="I1271" s="1" t="s">
        <v>1066</v>
      </c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25">
      <c r="A1272" s="8" t="s">
        <v>3886</v>
      </c>
      <c r="C1272" s="7" t="s">
        <v>9347</v>
      </c>
      <c r="D1272">
        <f t="shared" si="19"/>
        <v>1</v>
      </c>
      <c r="I1272" s="1" t="s">
        <v>934</v>
      </c>
      <c r="J1272" s="1" t="s">
        <v>918</v>
      </c>
      <c r="K1272" s="1" t="s">
        <v>940</v>
      </c>
      <c r="L1272" s="1" t="s">
        <v>949</v>
      </c>
      <c r="M1272" s="1" t="s">
        <v>25</v>
      </c>
      <c r="N1272" s="1" t="s">
        <v>923</v>
      </c>
      <c r="O1272" s="1" t="s">
        <v>920</v>
      </c>
      <c r="P1272" s="1" t="s">
        <v>933</v>
      </c>
      <c r="Q1272" s="1" t="s">
        <v>328</v>
      </c>
      <c r="R1272" s="1" t="s">
        <v>921</v>
      </c>
      <c r="S1272" s="1" t="s">
        <v>1053</v>
      </c>
      <c r="T1272" s="1"/>
      <c r="U1272" s="1"/>
      <c r="V1272" s="1"/>
      <c r="W1272" s="1"/>
      <c r="X1272" s="1"/>
      <c r="Y1272" s="1"/>
    </row>
    <row r="1273" spans="1:25" x14ac:dyDescent="0.25">
      <c r="A1273" s="7" t="s">
        <v>10231</v>
      </c>
      <c r="C1273" s="8" t="s">
        <v>10359</v>
      </c>
      <c r="D1273">
        <f t="shared" si="19"/>
        <v>1</v>
      </c>
      <c r="I1273" s="1" t="s">
        <v>933</v>
      </c>
      <c r="J1273" s="1" t="s">
        <v>1141</v>
      </c>
      <c r="K1273" s="1" t="s">
        <v>921</v>
      </c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25">
      <c r="A1274" s="8" t="s">
        <v>10545</v>
      </c>
      <c r="C1274" s="7" t="s">
        <v>10393</v>
      </c>
      <c r="D1274">
        <f t="shared" si="19"/>
        <v>1</v>
      </c>
      <c r="I1274" s="1" t="s">
        <v>25</v>
      </c>
      <c r="J1274" s="1" t="s">
        <v>927</v>
      </c>
      <c r="K1274" s="1" t="s">
        <v>920</v>
      </c>
      <c r="L1274" s="1" t="s">
        <v>933</v>
      </c>
      <c r="M1274" s="1" t="s">
        <v>921</v>
      </c>
      <c r="N1274" s="1" t="s">
        <v>922</v>
      </c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25">
      <c r="A1275" s="7" t="s">
        <v>9961</v>
      </c>
      <c r="C1275" s="8" t="s">
        <v>10462</v>
      </c>
      <c r="D1275">
        <f t="shared" si="19"/>
        <v>1</v>
      </c>
      <c r="I1275" s="1" t="s">
        <v>50</v>
      </c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25">
      <c r="A1276" s="8" t="s">
        <v>9961</v>
      </c>
      <c r="C1276" s="7" t="s">
        <v>4920</v>
      </c>
      <c r="D1276">
        <f t="shared" si="19"/>
        <v>1</v>
      </c>
      <c r="I1276" s="1" t="s">
        <v>2541</v>
      </c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25">
      <c r="A1277" s="7" t="s">
        <v>6568</v>
      </c>
      <c r="C1277" s="8" t="s">
        <v>9606</v>
      </c>
      <c r="D1277">
        <f t="shared" si="19"/>
        <v>1</v>
      </c>
      <c r="I1277" s="1" t="s">
        <v>25</v>
      </c>
      <c r="J1277" s="1" t="s">
        <v>923</v>
      </c>
      <c r="K1277" s="1" t="s">
        <v>998</v>
      </c>
      <c r="L1277" s="1" t="s">
        <v>1053</v>
      </c>
      <c r="M1277" s="1" t="s">
        <v>1086</v>
      </c>
      <c r="N1277" s="1" t="s">
        <v>933</v>
      </c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25">
      <c r="A1278" s="7" t="s">
        <v>6568</v>
      </c>
      <c r="C1278" s="8" t="s">
        <v>9313</v>
      </c>
      <c r="D1278">
        <f t="shared" si="19"/>
        <v>1</v>
      </c>
      <c r="I1278" s="1" t="s">
        <v>996</v>
      </c>
      <c r="J1278" s="1" t="s">
        <v>1167</v>
      </c>
      <c r="K1278" s="1" t="s">
        <v>998</v>
      </c>
      <c r="L1278" s="1" t="s">
        <v>1086</v>
      </c>
      <c r="M1278" s="1" t="s">
        <v>2541</v>
      </c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25">
      <c r="A1279" s="7" t="s">
        <v>7156</v>
      </c>
      <c r="C1279" s="8" t="s">
        <v>10070</v>
      </c>
      <c r="D1279">
        <f t="shared" si="19"/>
        <v>1</v>
      </c>
      <c r="I1279" s="1" t="s">
        <v>2927</v>
      </c>
      <c r="J1279" s="1" t="s">
        <v>25</v>
      </c>
      <c r="K1279" s="1" t="s">
        <v>1167</v>
      </c>
      <c r="L1279" s="1" t="s">
        <v>998</v>
      </c>
      <c r="M1279" s="1" t="s">
        <v>1086</v>
      </c>
      <c r="N1279" s="1" t="s">
        <v>920</v>
      </c>
      <c r="O1279" s="1" t="s">
        <v>933</v>
      </c>
      <c r="P1279" s="1"/>
      <c r="Q1279" s="1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25">
      <c r="A1280" s="7" t="s">
        <v>7063</v>
      </c>
      <c r="C1280" s="7" t="s">
        <v>8191</v>
      </c>
      <c r="D1280">
        <f t="shared" si="19"/>
        <v>1</v>
      </c>
      <c r="I1280" s="1" t="s">
        <v>25</v>
      </c>
      <c r="J1280" s="1" t="s">
        <v>923</v>
      </c>
      <c r="K1280" s="1" t="s">
        <v>927</v>
      </c>
      <c r="L1280" s="1" t="s">
        <v>920</v>
      </c>
      <c r="M1280" s="1" t="s">
        <v>933</v>
      </c>
      <c r="N1280" s="1" t="s">
        <v>954</v>
      </c>
      <c r="O1280" s="1" t="s">
        <v>974</v>
      </c>
      <c r="P1280" s="1" t="s">
        <v>921</v>
      </c>
      <c r="Q1280" s="1" t="s">
        <v>10913</v>
      </c>
      <c r="R1280" s="1" t="s">
        <v>10914</v>
      </c>
      <c r="S1280" s="1" t="s">
        <v>10915</v>
      </c>
      <c r="T1280" s="1" t="s">
        <v>10916</v>
      </c>
      <c r="U1280" s="1" t="s">
        <v>10917</v>
      </c>
      <c r="V1280" s="1" t="s">
        <v>952</v>
      </c>
      <c r="W1280" s="1"/>
      <c r="X1280" s="1"/>
      <c r="Y1280" s="1"/>
    </row>
    <row r="1281" spans="1:25" x14ac:dyDescent="0.25">
      <c r="A1281" s="7" t="s">
        <v>7063</v>
      </c>
      <c r="C1281" s="8" t="s">
        <v>10623</v>
      </c>
      <c r="D1281">
        <f t="shared" si="19"/>
        <v>1</v>
      </c>
      <c r="I1281" s="1" t="s">
        <v>25</v>
      </c>
      <c r="J1281" s="1" t="s">
        <v>923</v>
      </c>
      <c r="K1281" s="1" t="s">
        <v>927</v>
      </c>
      <c r="L1281" s="1" t="s">
        <v>920</v>
      </c>
      <c r="M1281" s="1" t="s">
        <v>933</v>
      </c>
      <c r="N1281" s="1" t="s">
        <v>954</v>
      </c>
      <c r="O1281" s="1" t="s">
        <v>974</v>
      </c>
      <c r="P1281" s="1" t="s">
        <v>921</v>
      </c>
      <c r="Q1281" s="1" t="s">
        <v>1131</v>
      </c>
      <c r="R1281" s="1"/>
      <c r="S1281" s="1"/>
      <c r="T1281" s="1"/>
      <c r="U1281" s="1"/>
      <c r="V1281" s="1"/>
      <c r="W1281" s="1"/>
      <c r="X1281" s="1"/>
      <c r="Y1281" s="1"/>
    </row>
    <row r="1282" spans="1:25" x14ac:dyDescent="0.25">
      <c r="A1282" s="8" t="s">
        <v>7063</v>
      </c>
      <c r="C1282" s="8" t="s">
        <v>9542</v>
      </c>
      <c r="D1282">
        <f t="shared" ref="D1282:D1345" si="20">COUNTIF(A:A,C1282)</f>
        <v>1</v>
      </c>
      <c r="I1282" s="1" t="s">
        <v>4058</v>
      </c>
      <c r="J1282" s="1" t="s">
        <v>10769</v>
      </c>
      <c r="K1282" s="1" t="s">
        <v>10773</v>
      </c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25">
      <c r="A1283" s="8" t="s">
        <v>9208</v>
      </c>
      <c r="C1283" s="8" t="s">
        <v>8867</v>
      </c>
      <c r="D1283">
        <f t="shared" si="20"/>
        <v>1</v>
      </c>
      <c r="I1283" s="1" t="s">
        <v>4058</v>
      </c>
      <c r="J1283" s="1" t="s">
        <v>10769</v>
      </c>
      <c r="K1283" s="1" t="s">
        <v>10773</v>
      </c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25">
      <c r="A1284" s="7" t="s">
        <v>3744</v>
      </c>
      <c r="C1284" s="7" t="s">
        <v>10231</v>
      </c>
      <c r="D1284">
        <f t="shared" si="20"/>
        <v>1</v>
      </c>
      <c r="I1284" s="1" t="s">
        <v>4058</v>
      </c>
      <c r="J1284" s="1" t="s">
        <v>10769</v>
      </c>
      <c r="K1284" s="1" t="s">
        <v>10773</v>
      </c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25">
      <c r="A1285" s="8" t="s">
        <v>10309</v>
      </c>
      <c r="C1285" s="8" t="s">
        <v>10545</v>
      </c>
      <c r="D1285">
        <f t="shared" si="20"/>
        <v>1</v>
      </c>
      <c r="I1285" s="1" t="s">
        <v>918</v>
      </c>
      <c r="J1285" s="1" t="s">
        <v>25</v>
      </c>
      <c r="K1285" s="1" t="s">
        <v>1148</v>
      </c>
      <c r="L1285" s="1" t="s">
        <v>923</v>
      </c>
      <c r="M1285" s="1" t="s">
        <v>927</v>
      </c>
      <c r="N1285" s="1" t="s">
        <v>1086</v>
      </c>
      <c r="O1285" s="1" t="s">
        <v>920</v>
      </c>
      <c r="P1285" s="1"/>
      <c r="Q1285" s="1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25">
      <c r="A1286" s="7" t="s">
        <v>10458</v>
      </c>
      <c r="C1286" s="7" t="s">
        <v>7156</v>
      </c>
      <c r="D1286">
        <f t="shared" si="20"/>
        <v>1</v>
      </c>
      <c r="I1286" s="1" t="s">
        <v>918</v>
      </c>
      <c r="J1286" s="1" t="s">
        <v>25</v>
      </c>
      <c r="K1286" s="1" t="s">
        <v>1148</v>
      </c>
      <c r="L1286" s="1" t="s">
        <v>923</v>
      </c>
      <c r="M1286" s="1" t="s">
        <v>927</v>
      </c>
      <c r="N1286" s="1" t="s">
        <v>1086</v>
      </c>
      <c r="O1286" s="1" t="s">
        <v>920</v>
      </c>
      <c r="P1286" s="1"/>
      <c r="Q1286" s="1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25">
      <c r="A1287" s="7" t="s">
        <v>10451</v>
      </c>
      <c r="C1287" s="8" t="s">
        <v>9208</v>
      </c>
      <c r="D1287">
        <f t="shared" si="20"/>
        <v>1</v>
      </c>
      <c r="I1287" s="1" t="s">
        <v>918</v>
      </c>
      <c r="J1287" s="1" t="s">
        <v>25</v>
      </c>
      <c r="K1287" s="1" t="s">
        <v>1148</v>
      </c>
      <c r="L1287" s="1" t="s">
        <v>923</v>
      </c>
      <c r="M1287" s="1" t="s">
        <v>927</v>
      </c>
      <c r="N1287" s="1" t="s">
        <v>1086</v>
      </c>
      <c r="O1287" s="1" t="s">
        <v>920</v>
      </c>
      <c r="P1287" s="1"/>
      <c r="Q1287" s="1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25">
      <c r="A1288" s="8" t="s">
        <v>10524</v>
      </c>
      <c r="C1288" s="7" t="s">
        <v>3744</v>
      </c>
      <c r="D1288">
        <f t="shared" si="20"/>
        <v>1</v>
      </c>
      <c r="I1288" s="1" t="s">
        <v>918</v>
      </c>
      <c r="J1288" s="1" t="s">
        <v>25</v>
      </c>
      <c r="K1288" s="1" t="s">
        <v>1148</v>
      </c>
      <c r="L1288" s="1" t="s">
        <v>923</v>
      </c>
      <c r="M1288" s="1" t="s">
        <v>927</v>
      </c>
      <c r="N1288" s="1" t="s">
        <v>1086</v>
      </c>
      <c r="O1288" s="1" t="s">
        <v>920</v>
      </c>
      <c r="P1288" s="1"/>
      <c r="Q1288" s="1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25">
      <c r="A1289" s="8" t="s">
        <v>9069</v>
      </c>
      <c r="C1289" s="8" t="s">
        <v>10309</v>
      </c>
      <c r="D1289">
        <f t="shared" si="20"/>
        <v>1</v>
      </c>
      <c r="I1289" s="1" t="s">
        <v>918</v>
      </c>
      <c r="J1289" s="1" t="s">
        <v>25</v>
      </c>
      <c r="K1289" s="1" t="s">
        <v>1148</v>
      </c>
      <c r="L1289" s="1" t="s">
        <v>923</v>
      </c>
      <c r="M1289" s="1" t="s">
        <v>927</v>
      </c>
      <c r="N1289" s="1" t="s">
        <v>1086</v>
      </c>
      <c r="O1289" s="1" t="s">
        <v>920</v>
      </c>
      <c r="P1289" s="1"/>
      <c r="Q1289" s="1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25">
      <c r="A1290" s="8" t="s">
        <v>9069</v>
      </c>
      <c r="C1290" s="7" t="s">
        <v>10458</v>
      </c>
      <c r="D1290">
        <f t="shared" si="20"/>
        <v>1</v>
      </c>
      <c r="I1290" s="1" t="s">
        <v>918</v>
      </c>
      <c r="J1290" s="1" t="s">
        <v>25</v>
      </c>
      <c r="K1290" s="1" t="s">
        <v>1148</v>
      </c>
      <c r="L1290" s="1" t="s">
        <v>923</v>
      </c>
      <c r="M1290" s="1" t="s">
        <v>927</v>
      </c>
      <c r="N1290" s="1" t="s">
        <v>1086</v>
      </c>
      <c r="O1290" s="1" t="s">
        <v>920</v>
      </c>
      <c r="P1290" s="1"/>
      <c r="Q1290" s="1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25">
      <c r="A1291" s="8" t="s">
        <v>9069</v>
      </c>
      <c r="C1291" s="7" t="s">
        <v>10451</v>
      </c>
      <c r="D1291">
        <f t="shared" si="20"/>
        <v>1</v>
      </c>
      <c r="I1291" s="1" t="s">
        <v>298</v>
      </c>
      <c r="J1291" s="1" t="s">
        <v>1069</v>
      </c>
      <c r="K1291" s="1" t="s">
        <v>25</v>
      </c>
      <c r="L1291" s="1" t="s">
        <v>923</v>
      </c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25">
      <c r="A1292" s="8" t="s">
        <v>9069</v>
      </c>
      <c r="C1292" s="8" t="s">
        <v>10524</v>
      </c>
      <c r="D1292">
        <f t="shared" si="20"/>
        <v>1</v>
      </c>
      <c r="I1292" s="1" t="s">
        <v>298</v>
      </c>
      <c r="J1292" s="1" t="s">
        <v>1069</v>
      </c>
      <c r="K1292" s="1" t="s">
        <v>25</v>
      </c>
      <c r="L1292" s="1" t="s">
        <v>923</v>
      </c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25">
      <c r="A1293" s="8" t="s">
        <v>9069</v>
      </c>
      <c r="C1293" s="8" t="s">
        <v>9729</v>
      </c>
      <c r="D1293">
        <f t="shared" si="20"/>
        <v>1</v>
      </c>
      <c r="I1293" s="1" t="s">
        <v>298</v>
      </c>
      <c r="J1293" s="1" t="s">
        <v>1069</v>
      </c>
      <c r="K1293" s="1" t="s">
        <v>25</v>
      </c>
      <c r="L1293" s="1" t="s">
        <v>923</v>
      </c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25">
      <c r="A1294" s="8" t="s">
        <v>9069</v>
      </c>
      <c r="C1294" s="7" t="s">
        <v>9419</v>
      </c>
      <c r="D1294">
        <f t="shared" si="20"/>
        <v>1</v>
      </c>
      <c r="I1294" s="1" t="s">
        <v>298</v>
      </c>
      <c r="J1294" s="1" t="s">
        <v>1069</v>
      </c>
      <c r="K1294" s="1" t="s">
        <v>25</v>
      </c>
      <c r="L1294" s="1" t="s">
        <v>923</v>
      </c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25">
      <c r="A1295" s="8" t="s">
        <v>9069</v>
      </c>
      <c r="C1295" s="7" t="s">
        <v>9541</v>
      </c>
      <c r="D1295">
        <f t="shared" si="20"/>
        <v>1</v>
      </c>
      <c r="I1295" s="1" t="s">
        <v>927</v>
      </c>
      <c r="J1295" s="1" t="s">
        <v>960</v>
      </c>
      <c r="K1295" s="1" t="s">
        <v>961</v>
      </c>
      <c r="L1295" s="1" t="s">
        <v>1147</v>
      </c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25">
      <c r="A1296" s="8" t="s">
        <v>9069</v>
      </c>
      <c r="C1296" s="7" t="s">
        <v>9506</v>
      </c>
      <c r="D1296">
        <f t="shared" si="20"/>
        <v>1</v>
      </c>
      <c r="I1296" s="1" t="s">
        <v>941</v>
      </c>
      <c r="J1296" s="1" t="s">
        <v>918</v>
      </c>
      <c r="K1296" s="1" t="s">
        <v>1143</v>
      </c>
      <c r="L1296" s="1" t="s">
        <v>1085</v>
      </c>
      <c r="M1296" s="1" t="s">
        <v>955</v>
      </c>
      <c r="N1296" s="1" t="s">
        <v>924</v>
      </c>
      <c r="O1296" s="1" t="s">
        <v>1014</v>
      </c>
      <c r="P1296" s="1" t="s">
        <v>944</v>
      </c>
      <c r="Q1296" s="1" t="s">
        <v>956</v>
      </c>
      <c r="R1296" s="1" t="s">
        <v>1107</v>
      </c>
      <c r="S1296" s="1" t="s">
        <v>919</v>
      </c>
      <c r="T1296" s="1" t="s">
        <v>945</v>
      </c>
      <c r="U1296" s="1"/>
      <c r="V1296" s="1"/>
      <c r="W1296" s="1"/>
      <c r="X1296" s="1"/>
      <c r="Y1296" s="1"/>
    </row>
    <row r="1297" spans="1:25" x14ac:dyDescent="0.25">
      <c r="A1297" s="8" t="s">
        <v>9729</v>
      </c>
      <c r="C1297" s="8" t="s">
        <v>10438</v>
      </c>
      <c r="D1297">
        <f t="shared" si="20"/>
        <v>1</v>
      </c>
      <c r="I1297" s="1" t="s">
        <v>25</v>
      </c>
      <c r="J1297" s="1" t="s">
        <v>1086</v>
      </c>
      <c r="K1297" s="1" t="s">
        <v>919</v>
      </c>
      <c r="L1297" s="1" t="s">
        <v>920</v>
      </c>
      <c r="M1297" s="1" t="s">
        <v>921</v>
      </c>
      <c r="N1297" s="1" t="s">
        <v>1001</v>
      </c>
      <c r="O1297" s="1" t="s">
        <v>1016</v>
      </c>
      <c r="P1297" s="1" t="s">
        <v>152</v>
      </c>
      <c r="Q1297" s="1" t="s">
        <v>998</v>
      </c>
      <c r="R1297" s="1" t="s">
        <v>933</v>
      </c>
      <c r="S1297" s="1"/>
      <c r="T1297" s="1"/>
      <c r="U1297" s="1"/>
      <c r="V1297" s="1"/>
      <c r="W1297" s="1"/>
      <c r="X1297" s="1"/>
      <c r="Y1297" s="1"/>
    </row>
    <row r="1298" spans="1:25" x14ac:dyDescent="0.25">
      <c r="A1298" s="7" t="s">
        <v>9419</v>
      </c>
      <c r="C1298" s="7" t="s">
        <v>9601</v>
      </c>
      <c r="D1298">
        <f t="shared" si="20"/>
        <v>1</v>
      </c>
      <c r="I1298" s="1" t="s">
        <v>1062</v>
      </c>
      <c r="J1298" s="1" t="s">
        <v>1160</v>
      </c>
      <c r="K1298" s="1" t="s">
        <v>998</v>
      </c>
      <c r="L1298" s="1" t="s">
        <v>1053</v>
      </c>
      <c r="M1298" s="1" t="s">
        <v>933</v>
      </c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25">
      <c r="A1299" s="8" t="s">
        <v>10417</v>
      </c>
      <c r="C1299" s="8" t="s">
        <v>10279</v>
      </c>
      <c r="D1299">
        <f t="shared" si="20"/>
        <v>1</v>
      </c>
      <c r="I1299" s="1" t="s">
        <v>50</v>
      </c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25">
      <c r="A1300" s="8" t="s">
        <v>10417</v>
      </c>
      <c r="C1300" s="7" t="s">
        <v>9868</v>
      </c>
      <c r="D1300">
        <f t="shared" si="20"/>
        <v>1</v>
      </c>
      <c r="I1300" s="1" t="s">
        <v>992</v>
      </c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25">
      <c r="A1301" s="7" t="s">
        <v>9541</v>
      </c>
      <c r="C1301" s="7" t="s">
        <v>9221</v>
      </c>
      <c r="D1301">
        <f t="shared" si="20"/>
        <v>1</v>
      </c>
      <c r="I1301" s="1" t="s">
        <v>1053</v>
      </c>
      <c r="J1301" s="1" t="s">
        <v>954</v>
      </c>
      <c r="K1301" s="1" t="s">
        <v>1082</v>
      </c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25">
      <c r="A1302" s="7" t="s">
        <v>6271</v>
      </c>
      <c r="C1302" s="7" t="s">
        <v>10605</v>
      </c>
      <c r="D1302">
        <f t="shared" si="20"/>
        <v>1</v>
      </c>
      <c r="I1302" s="1" t="s">
        <v>1053</v>
      </c>
      <c r="J1302" s="1" t="s">
        <v>954</v>
      </c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25">
      <c r="A1303" s="7" t="s">
        <v>6271</v>
      </c>
      <c r="C1303" s="8" t="s">
        <v>9103</v>
      </c>
      <c r="D1303">
        <f t="shared" si="20"/>
        <v>1</v>
      </c>
      <c r="I1303" s="1" t="s">
        <v>996</v>
      </c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25">
      <c r="A1304" s="8" t="s">
        <v>6271</v>
      </c>
      <c r="C1304" s="7" t="s">
        <v>10566</v>
      </c>
      <c r="D1304">
        <f t="shared" si="20"/>
        <v>1</v>
      </c>
      <c r="I1304" s="1" t="s">
        <v>50</v>
      </c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25">
      <c r="A1305" s="7" t="s">
        <v>9307</v>
      </c>
      <c r="C1305" s="7" t="s">
        <v>502</v>
      </c>
      <c r="D1305">
        <f t="shared" si="20"/>
        <v>1</v>
      </c>
      <c r="I1305" s="1" t="s">
        <v>50</v>
      </c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25">
      <c r="A1306" s="8" t="s">
        <v>9307</v>
      </c>
      <c r="C1306" s="8" t="s">
        <v>9485</v>
      </c>
      <c r="D1306">
        <f t="shared" si="20"/>
        <v>1</v>
      </c>
      <c r="I1306" s="1" t="s">
        <v>50</v>
      </c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25">
      <c r="A1307" s="7" t="s">
        <v>6936</v>
      </c>
      <c r="C1307" s="8" t="s">
        <v>8912</v>
      </c>
      <c r="D1307">
        <f t="shared" si="20"/>
        <v>1</v>
      </c>
      <c r="I1307" s="1" t="s">
        <v>50</v>
      </c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25">
      <c r="A1308" s="7" t="s">
        <v>6936</v>
      </c>
      <c r="C1308" s="7" t="s">
        <v>9402</v>
      </c>
      <c r="D1308">
        <f t="shared" si="20"/>
        <v>1</v>
      </c>
      <c r="I1308" s="1" t="s">
        <v>998</v>
      </c>
      <c r="J1308" s="1" t="s">
        <v>1086</v>
      </c>
      <c r="K1308" s="1" t="s">
        <v>933</v>
      </c>
      <c r="L1308" s="1" t="s">
        <v>2927</v>
      </c>
      <c r="M1308" s="1" t="s">
        <v>25</v>
      </c>
      <c r="N1308" s="1" t="s">
        <v>920</v>
      </c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25">
      <c r="A1309" s="8" t="s">
        <v>6936</v>
      </c>
      <c r="C1309" s="7" t="s">
        <v>9905</v>
      </c>
      <c r="D1309">
        <f t="shared" si="20"/>
        <v>1</v>
      </c>
      <c r="I1309" s="1" t="s">
        <v>1053</v>
      </c>
      <c r="J1309" s="1" t="s">
        <v>954</v>
      </c>
      <c r="K1309" s="1" t="s">
        <v>992</v>
      </c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25">
      <c r="A1310" s="8" t="s">
        <v>6936</v>
      </c>
      <c r="C1310" s="8" t="s">
        <v>9420</v>
      </c>
      <c r="D1310">
        <f t="shared" si="20"/>
        <v>1</v>
      </c>
      <c r="I1310" s="1" t="s">
        <v>50</v>
      </c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25">
      <c r="A1311" s="8" t="s">
        <v>8995</v>
      </c>
      <c r="C1311" s="8" t="s">
        <v>10183</v>
      </c>
      <c r="D1311">
        <f t="shared" si="20"/>
        <v>1</v>
      </c>
      <c r="I1311" s="1" t="s">
        <v>998</v>
      </c>
      <c r="J1311" s="1" t="s">
        <v>1086</v>
      </c>
      <c r="K1311" s="1" t="s">
        <v>933</v>
      </c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25">
      <c r="A1312" s="8" t="s">
        <v>8995</v>
      </c>
      <c r="C1312" s="8" t="s">
        <v>10428</v>
      </c>
      <c r="D1312">
        <f t="shared" si="20"/>
        <v>1</v>
      </c>
      <c r="I1312" s="1" t="s">
        <v>2153</v>
      </c>
      <c r="J1312" s="1" t="s">
        <v>998</v>
      </c>
      <c r="K1312" s="1" t="s">
        <v>994</v>
      </c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25">
      <c r="A1313" s="7" t="s">
        <v>9506</v>
      </c>
      <c r="C1313" s="8" t="s">
        <v>10298</v>
      </c>
      <c r="D1313">
        <f t="shared" si="20"/>
        <v>1</v>
      </c>
      <c r="I1313" s="1" t="s">
        <v>50</v>
      </c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25">
      <c r="A1314" s="8" t="s">
        <v>10438</v>
      </c>
      <c r="C1314" s="7" t="s">
        <v>243</v>
      </c>
      <c r="D1314">
        <f t="shared" si="20"/>
        <v>1</v>
      </c>
      <c r="I1314" s="1" t="s">
        <v>996</v>
      </c>
      <c r="J1314" s="1" t="s">
        <v>25</v>
      </c>
      <c r="K1314" s="1" t="s">
        <v>923</v>
      </c>
      <c r="L1314" s="1" t="s">
        <v>997</v>
      </c>
      <c r="M1314" s="1" t="s">
        <v>10918</v>
      </c>
      <c r="N1314" s="1" t="s">
        <v>994</v>
      </c>
      <c r="O1314" s="1" t="s">
        <v>998</v>
      </c>
      <c r="P1314" s="1" t="s">
        <v>933</v>
      </c>
      <c r="Q1314" s="1" t="s">
        <v>2541</v>
      </c>
      <c r="R1314" s="1" t="s">
        <v>1053</v>
      </c>
      <c r="S1314" s="1" t="s">
        <v>328</v>
      </c>
      <c r="T1314" s="1"/>
      <c r="U1314" s="1"/>
      <c r="V1314" s="1"/>
      <c r="W1314" s="1"/>
      <c r="X1314" s="1"/>
      <c r="Y1314" s="1"/>
    </row>
    <row r="1315" spans="1:25" x14ac:dyDescent="0.25">
      <c r="A1315" s="7" t="s">
        <v>9601</v>
      </c>
      <c r="C1315" s="8" t="s">
        <v>10143</v>
      </c>
      <c r="D1315">
        <f t="shared" si="20"/>
        <v>1</v>
      </c>
      <c r="I1315" s="1" t="s">
        <v>996</v>
      </c>
      <c r="J1315" s="1" t="s">
        <v>997</v>
      </c>
      <c r="K1315" s="1" t="s">
        <v>1066</v>
      </c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25">
      <c r="A1316" s="8" t="s">
        <v>10279</v>
      </c>
      <c r="C1316" s="8" t="s">
        <v>9901</v>
      </c>
      <c r="D1316">
        <f t="shared" si="20"/>
        <v>1</v>
      </c>
      <c r="I1316" s="1" t="s">
        <v>992</v>
      </c>
      <c r="J1316" s="1" t="s">
        <v>981</v>
      </c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25">
      <c r="A1317" s="7" t="s">
        <v>9868</v>
      </c>
      <c r="C1317" s="8" t="s">
        <v>9495</v>
      </c>
      <c r="D1317">
        <f t="shared" si="20"/>
        <v>1</v>
      </c>
      <c r="I1317" s="1" t="s">
        <v>923</v>
      </c>
      <c r="J1317" s="1" t="s">
        <v>1053</v>
      </c>
      <c r="K1317" s="1" t="s">
        <v>933</v>
      </c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25">
      <c r="A1318" s="8" t="s">
        <v>10146</v>
      </c>
      <c r="C1318" s="7" t="s">
        <v>3900</v>
      </c>
      <c r="D1318">
        <f t="shared" si="20"/>
        <v>1</v>
      </c>
      <c r="I1318" s="1" t="s">
        <v>998</v>
      </c>
      <c r="J1318" s="1" t="s">
        <v>1086</v>
      </c>
      <c r="K1318" s="1" t="s">
        <v>933</v>
      </c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25">
      <c r="A1319" s="8" t="s">
        <v>10146</v>
      </c>
      <c r="C1319" s="7" t="s">
        <v>9636</v>
      </c>
      <c r="D1319">
        <f t="shared" si="20"/>
        <v>1</v>
      </c>
      <c r="I1319" s="1" t="s">
        <v>918</v>
      </c>
      <c r="J1319" s="1" t="s">
        <v>1110</v>
      </c>
      <c r="K1319" s="1" t="s">
        <v>25</v>
      </c>
      <c r="L1319" s="1" t="s">
        <v>923</v>
      </c>
      <c r="M1319" s="1" t="s">
        <v>919</v>
      </c>
      <c r="N1319" s="1" t="s">
        <v>920</v>
      </c>
      <c r="O1319" s="1" t="s">
        <v>954</v>
      </c>
      <c r="P1319" s="1" t="s">
        <v>328</v>
      </c>
      <c r="Q1319" s="1" t="s">
        <v>921</v>
      </c>
      <c r="R1319" s="1" t="s">
        <v>1013</v>
      </c>
      <c r="S1319" s="1"/>
      <c r="T1319" s="1"/>
      <c r="U1319" s="1"/>
      <c r="V1319" s="1"/>
      <c r="W1319" s="1"/>
      <c r="X1319" s="1"/>
      <c r="Y1319" s="1"/>
    </row>
    <row r="1320" spans="1:25" x14ac:dyDescent="0.25">
      <c r="A1320" s="7" t="s">
        <v>9221</v>
      </c>
      <c r="C1320" s="8" t="s">
        <v>9248</v>
      </c>
      <c r="D1320">
        <f t="shared" si="20"/>
        <v>1</v>
      </c>
      <c r="I1320" s="1" t="s">
        <v>981</v>
      </c>
      <c r="J1320" s="1" t="s">
        <v>1066</v>
      </c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25">
      <c r="A1321" s="7" t="s">
        <v>4175</v>
      </c>
      <c r="C1321" s="7" t="s">
        <v>2553</v>
      </c>
      <c r="D1321">
        <f t="shared" si="20"/>
        <v>1</v>
      </c>
      <c r="I1321" s="1" t="s">
        <v>981</v>
      </c>
      <c r="J1321" s="1" t="s">
        <v>1066</v>
      </c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25">
      <c r="A1322" s="8" t="s">
        <v>4175</v>
      </c>
      <c r="C1322" s="8" t="s">
        <v>10052</v>
      </c>
      <c r="D1322">
        <f t="shared" si="20"/>
        <v>1</v>
      </c>
      <c r="I1322" s="1" t="s">
        <v>10780</v>
      </c>
      <c r="J1322" s="1" t="s">
        <v>1013</v>
      </c>
      <c r="K1322" s="1" t="s">
        <v>918</v>
      </c>
      <c r="L1322" s="1" t="s">
        <v>919</v>
      </c>
      <c r="M1322" s="1" t="s">
        <v>924</v>
      </c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25">
      <c r="A1323" s="8" t="s">
        <v>4175</v>
      </c>
      <c r="C1323" s="8" t="s">
        <v>9145</v>
      </c>
      <c r="D1323">
        <f t="shared" si="20"/>
        <v>1</v>
      </c>
      <c r="I1323" s="1" t="s">
        <v>25</v>
      </c>
      <c r="J1323" s="1" t="s">
        <v>1086</v>
      </c>
      <c r="K1323" s="1" t="s">
        <v>919</v>
      </c>
      <c r="L1323" s="1" t="s">
        <v>920</v>
      </c>
      <c r="M1323" s="1" t="s">
        <v>921</v>
      </c>
      <c r="N1323" s="1" t="s">
        <v>10919</v>
      </c>
      <c r="O1323" s="1" t="s">
        <v>10920</v>
      </c>
      <c r="P1323" s="1" t="s">
        <v>10921</v>
      </c>
      <c r="Q1323" s="1" t="s">
        <v>10749</v>
      </c>
      <c r="R1323" s="1" t="s">
        <v>952</v>
      </c>
      <c r="S1323" s="1" t="s">
        <v>10922</v>
      </c>
      <c r="T1323" s="1" t="s">
        <v>10732</v>
      </c>
      <c r="U1323" s="1" t="s">
        <v>10923</v>
      </c>
      <c r="V1323" s="1"/>
      <c r="W1323" s="1"/>
      <c r="X1323" s="1"/>
      <c r="Y1323" s="1"/>
    </row>
    <row r="1324" spans="1:25" x14ac:dyDescent="0.25">
      <c r="A1324" s="7" t="s">
        <v>10605</v>
      </c>
      <c r="C1324" s="7" t="s">
        <v>557</v>
      </c>
      <c r="D1324">
        <f t="shared" si="20"/>
        <v>1</v>
      </c>
      <c r="I1324" s="1" t="s">
        <v>918</v>
      </c>
      <c r="J1324" s="1" t="s">
        <v>1031</v>
      </c>
      <c r="K1324" s="1" t="s">
        <v>25</v>
      </c>
      <c r="L1324" s="1" t="s">
        <v>923</v>
      </c>
      <c r="M1324" s="1" t="s">
        <v>976</v>
      </c>
      <c r="N1324" s="1" t="s">
        <v>920</v>
      </c>
      <c r="O1324" s="1" t="s">
        <v>921</v>
      </c>
      <c r="P1324" s="1" t="s">
        <v>1033</v>
      </c>
      <c r="Q1324" s="1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25">
      <c r="A1325" s="8" t="s">
        <v>9103</v>
      </c>
      <c r="C1325" s="8" t="s">
        <v>10467</v>
      </c>
      <c r="D1325">
        <f t="shared" si="20"/>
        <v>1</v>
      </c>
      <c r="I1325" s="1" t="s">
        <v>934</v>
      </c>
      <c r="J1325" s="1" t="s">
        <v>1110</v>
      </c>
      <c r="K1325" s="1" t="s">
        <v>25</v>
      </c>
      <c r="L1325" s="1" t="s">
        <v>923</v>
      </c>
      <c r="M1325" s="1" t="s">
        <v>920</v>
      </c>
      <c r="N1325" s="1" t="s">
        <v>933</v>
      </c>
      <c r="O1325" s="1" t="s">
        <v>954</v>
      </c>
      <c r="P1325" s="1" t="s">
        <v>974</v>
      </c>
      <c r="Q1325" s="1" t="s">
        <v>921</v>
      </c>
      <c r="R1325" s="1"/>
      <c r="S1325" s="1"/>
      <c r="T1325" s="1"/>
      <c r="U1325" s="1"/>
      <c r="V1325" s="1"/>
      <c r="W1325" s="1"/>
      <c r="X1325" s="1"/>
      <c r="Y1325" s="1"/>
    </row>
    <row r="1326" spans="1:25" x14ac:dyDescent="0.25">
      <c r="A1326" s="7" t="s">
        <v>10566</v>
      </c>
      <c r="C1326" s="7" t="s">
        <v>10067</v>
      </c>
      <c r="D1326">
        <f t="shared" si="20"/>
        <v>1</v>
      </c>
      <c r="I1326" s="1" t="s">
        <v>25</v>
      </c>
      <c r="J1326" s="1" t="s">
        <v>974</v>
      </c>
      <c r="K1326" s="1" t="s">
        <v>10719</v>
      </c>
      <c r="L1326" s="1" t="s">
        <v>950</v>
      </c>
      <c r="M1326" s="1" t="s">
        <v>10720</v>
      </c>
      <c r="N1326" s="1" t="s">
        <v>1149</v>
      </c>
      <c r="O1326" s="1" t="s">
        <v>923</v>
      </c>
      <c r="P1326" s="1" t="s">
        <v>998</v>
      </c>
      <c r="Q1326" s="1" t="s">
        <v>1086</v>
      </c>
      <c r="R1326" s="1" t="s">
        <v>920</v>
      </c>
      <c r="S1326" s="1" t="s">
        <v>933</v>
      </c>
      <c r="T1326" s="1"/>
      <c r="U1326" s="1"/>
      <c r="V1326" s="1"/>
      <c r="W1326" s="1"/>
      <c r="X1326" s="1"/>
      <c r="Y1326" s="1"/>
    </row>
    <row r="1327" spans="1:25" x14ac:dyDescent="0.25">
      <c r="A1327" s="7" t="s">
        <v>7077</v>
      </c>
      <c r="C1327" s="7" t="s">
        <v>467</v>
      </c>
      <c r="D1327">
        <f t="shared" si="20"/>
        <v>1</v>
      </c>
      <c r="I1327" s="1" t="s">
        <v>998</v>
      </c>
      <c r="J1327" s="1" t="s">
        <v>994</v>
      </c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25">
      <c r="A1328" s="7" t="s">
        <v>7077</v>
      </c>
      <c r="C1328" s="8" t="s">
        <v>8968</v>
      </c>
      <c r="D1328">
        <f t="shared" si="20"/>
        <v>1</v>
      </c>
      <c r="I1328" s="1" t="s">
        <v>2927</v>
      </c>
      <c r="J1328" s="1" t="s">
        <v>1069</v>
      </c>
      <c r="K1328" s="1" t="s">
        <v>1149</v>
      </c>
      <c r="L1328" s="1" t="s">
        <v>25</v>
      </c>
      <c r="M1328" s="1" t="s">
        <v>923</v>
      </c>
      <c r="N1328" s="1" t="s">
        <v>998</v>
      </c>
      <c r="O1328" s="1" t="s">
        <v>1053</v>
      </c>
      <c r="P1328" s="1" t="s">
        <v>1086</v>
      </c>
      <c r="Q1328" s="1" t="s">
        <v>933</v>
      </c>
      <c r="R1328" s="1"/>
      <c r="S1328" s="1"/>
      <c r="T1328" s="1"/>
      <c r="U1328" s="1"/>
      <c r="V1328" s="1"/>
      <c r="W1328" s="1"/>
      <c r="X1328" s="1"/>
      <c r="Y1328" s="1"/>
    </row>
    <row r="1329" spans="1:25" x14ac:dyDescent="0.25">
      <c r="A1329" s="7" t="s">
        <v>10248</v>
      </c>
      <c r="C1329" s="8" t="s">
        <v>9766</v>
      </c>
      <c r="D1329">
        <f t="shared" si="20"/>
        <v>1</v>
      </c>
      <c r="I1329" s="1" t="s">
        <v>996</v>
      </c>
      <c r="J1329" s="1" t="s">
        <v>2541</v>
      </c>
      <c r="K1329" s="1" t="s">
        <v>1152</v>
      </c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25">
      <c r="A1330" s="8" t="s">
        <v>10248</v>
      </c>
      <c r="C1330" s="7" t="s">
        <v>9899</v>
      </c>
      <c r="D1330">
        <f t="shared" si="20"/>
        <v>1</v>
      </c>
      <c r="I1330" s="1" t="s">
        <v>50</v>
      </c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25">
      <c r="A1331" s="8" t="s">
        <v>10248</v>
      </c>
      <c r="C1331" s="8" t="s">
        <v>10377</v>
      </c>
      <c r="D1331">
        <f t="shared" si="20"/>
        <v>1</v>
      </c>
      <c r="I1331" s="1" t="s">
        <v>2541</v>
      </c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25">
      <c r="A1332" s="7" t="s">
        <v>10187</v>
      </c>
      <c r="C1332" s="7" t="s">
        <v>2216</v>
      </c>
      <c r="D1332">
        <f t="shared" si="20"/>
        <v>1</v>
      </c>
      <c r="I1332" s="1" t="s">
        <v>1053</v>
      </c>
      <c r="J1332" s="1" t="s">
        <v>1086</v>
      </c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25">
      <c r="A1333" s="7" t="s">
        <v>10187</v>
      </c>
      <c r="C1333" s="7" t="s">
        <v>9903</v>
      </c>
      <c r="D1333">
        <f t="shared" si="20"/>
        <v>1</v>
      </c>
      <c r="I1333" s="1" t="s">
        <v>2147</v>
      </c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25">
      <c r="A1334" s="7" t="s">
        <v>502</v>
      </c>
      <c r="C1334" s="8" t="s">
        <v>8947</v>
      </c>
      <c r="D1334">
        <f t="shared" si="20"/>
        <v>1</v>
      </c>
      <c r="I1334" s="1" t="s">
        <v>1053</v>
      </c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25">
      <c r="A1335" s="8" t="s">
        <v>9485</v>
      </c>
      <c r="C1335" s="7" t="s">
        <v>9566</v>
      </c>
      <c r="D1335">
        <f t="shared" si="20"/>
        <v>1</v>
      </c>
      <c r="I1335" s="1" t="s">
        <v>992</v>
      </c>
      <c r="J1335" s="1" t="s">
        <v>933</v>
      </c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25">
      <c r="A1336" s="8" t="s">
        <v>8912</v>
      </c>
      <c r="C1336" s="8" t="s">
        <v>10175</v>
      </c>
      <c r="D1336">
        <f t="shared" si="20"/>
        <v>1</v>
      </c>
      <c r="I1336" s="1" t="s">
        <v>50</v>
      </c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25">
      <c r="A1337" s="7" t="s">
        <v>8910</v>
      </c>
      <c r="C1337" s="8" t="s">
        <v>10219</v>
      </c>
      <c r="D1337">
        <f t="shared" si="20"/>
        <v>1</v>
      </c>
      <c r="I1337" s="1" t="s">
        <v>50</v>
      </c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25">
      <c r="A1338" s="7" t="s">
        <v>8910</v>
      </c>
      <c r="C1338" s="8" t="s">
        <v>9584</v>
      </c>
      <c r="D1338">
        <f t="shared" si="20"/>
        <v>1</v>
      </c>
      <c r="I1338" s="1" t="s">
        <v>25</v>
      </c>
      <c r="J1338" s="1" t="s">
        <v>923</v>
      </c>
      <c r="K1338" s="1" t="s">
        <v>997</v>
      </c>
      <c r="L1338" s="1" t="s">
        <v>927</v>
      </c>
      <c r="M1338" s="1" t="s">
        <v>10924</v>
      </c>
      <c r="N1338" s="1" t="s">
        <v>920</v>
      </c>
      <c r="O1338" s="1" t="s">
        <v>933</v>
      </c>
      <c r="P1338" s="1" t="s">
        <v>954</v>
      </c>
      <c r="Q1338" s="1" t="s">
        <v>974</v>
      </c>
      <c r="R1338" s="1" t="s">
        <v>921</v>
      </c>
      <c r="S1338" s="1" t="s">
        <v>998</v>
      </c>
      <c r="T1338" s="1" t="s">
        <v>1086</v>
      </c>
      <c r="U1338" s="1" t="s">
        <v>298</v>
      </c>
      <c r="V1338" s="1"/>
      <c r="W1338" s="1"/>
      <c r="X1338" s="1"/>
      <c r="Y1338" s="1"/>
    </row>
    <row r="1339" spans="1:25" x14ac:dyDescent="0.25">
      <c r="A1339" s="7" t="s">
        <v>8910</v>
      </c>
      <c r="C1339" s="7" t="s">
        <v>9850</v>
      </c>
      <c r="D1339">
        <f t="shared" si="20"/>
        <v>1</v>
      </c>
      <c r="I1339" s="1" t="s">
        <v>10925</v>
      </c>
      <c r="J1339" s="1" t="s">
        <v>10926</v>
      </c>
      <c r="K1339" s="1" t="s">
        <v>10927</v>
      </c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25">
      <c r="A1340" s="8" t="s">
        <v>9144</v>
      </c>
      <c r="C1340" s="7" t="s">
        <v>396</v>
      </c>
      <c r="D1340">
        <f t="shared" si="20"/>
        <v>1</v>
      </c>
      <c r="I1340" s="1" t="s">
        <v>2476</v>
      </c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25">
      <c r="A1341" s="8" t="s">
        <v>9144</v>
      </c>
      <c r="C1341" s="7" t="s">
        <v>2029</v>
      </c>
      <c r="D1341">
        <f t="shared" si="20"/>
        <v>1</v>
      </c>
      <c r="I1341" s="1" t="s">
        <v>2476</v>
      </c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25">
      <c r="A1342" s="8" t="s">
        <v>9144</v>
      </c>
      <c r="C1342" s="8" t="s">
        <v>9950</v>
      </c>
      <c r="D1342">
        <f t="shared" si="20"/>
        <v>1</v>
      </c>
      <c r="I1342" s="1" t="s">
        <v>2476</v>
      </c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25">
      <c r="A1343" s="7" t="s">
        <v>8981</v>
      </c>
      <c r="C1343" s="7" t="s">
        <v>7697</v>
      </c>
      <c r="D1343">
        <f t="shared" si="20"/>
        <v>1</v>
      </c>
      <c r="I1343" s="1" t="s">
        <v>2476</v>
      </c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25">
      <c r="A1344" s="7" t="s">
        <v>8981</v>
      </c>
      <c r="C1344" s="7" t="s">
        <v>8849</v>
      </c>
      <c r="D1344">
        <f t="shared" si="20"/>
        <v>1</v>
      </c>
      <c r="I1344" s="1" t="s">
        <v>25</v>
      </c>
      <c r="J1344" s="1" t="s">
        <v>923</v>
      </c>
      <c r="K1344" s="1" t="s">
        <v>954</v>
      </c>
      <c r="L1344" s="1" t="s">
        <v>1001</v>
      </c>
      <c r="M1344" s="1" t="s">
        <v>937</v>
      </c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25">
      <c r="A1345" s="8" t="s">
        <v>8981</v>
      </c>
      <c r="C1345" s="8" t="s">
        <v>9022</v>
      </c>
      <c r="D1345">
        <f t="shared" si="20"/>
        <v>1</v>
      </c>
      <c r="I1345" s="1" t="s">
        <v>949</v>
      </c>
      <c r="J1345" s="1" t="s">
        <v>923</v>
      </c>
      <c r="K1345" s="1" t="s">
        <v>973</v>
      </c>
      <c r="L1345" s="1" t="s">
        <v>916</v>
      </c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25">
      <c r="A1346" s="8" t="s">
        <v>8981</v>
      </c>
      <c r="C1346" s="7" t="s">
        <v>9228</v>
      </c>
      <c r="D1346">
        <f t="shared" ref="D1346:D1409" si="21">COUNTIF(A:A,C1346)</f>
        <v>1</v>
      </c>
      <c r="I1346" s="1" t="s">
        <v>4553</v>
      </c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25">
      <c r="A1347" s="8" t="s">
        <v>8981</v>
      </c>
      <c r="C1347" s="8" t="s">
        <v>10454</v>
      </c>
      <c r="D1347">
        <f t="shared" si="21"/>
        <v>1</v>
      </c>
      <c r="I1347" s="1" t="s">
        <v>923</v>
      </c>
      <c r="J1347" s="1" t="s">
        <v>10830</v>
      </c>
      <c r="K1347" s="1" t="s">
        <v>1097</v>
      </c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25">
      <c r="A1348" s="8" t="s">
        <v>8981</v>
      </c>
      <c r="C1348" s="8" t="s">
        <v>9996</v>
      </c>
      <c r="D1348">
        <f t="shared" si="21"/>
        <v>1</v>
      </c>
      <c r="I1348" s="1" t="s">
        <v>918</v>
      </c>
      <c r="J1348" s="1" t="s">
        <v>25</v>
      </c>
      <c r="K1348" s="1" t="s">
        <v>923</v>
      </c>
      <c r="L1348" s="1" t="s">
        <v>920</v>
      </c>
      <c r="M1348" s="1" t="s">
        <v>954</v>
      </c>
      <c r="N1348" s="1" t="s">
        <v>921</v>
      </c>
      <c r="O1348" s="1" t="s">
        <v>35</v>
      </c>
      <c r="P1348" s="1"/>
      <c r="Q1348" s="1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25">
      <c r="A1349" s="8" t="s">
        <v>8981</v>
      </c>
      <c r="C1349" s="7" t="s">
        <v>4422</v>
      </c>
      <c r="D1349">
        <f t="shared" si="21"/>
        <v>1</v>
      </c>
      <c r="I1349" s="1" t="s">
        <v>2927</v>
      </c>
      <c r="J1349" s="1" t="s">
        <v>1051</v>
      </c>
      <c r="K1349" s="1" t="s">
        <v>25</v>
      </c>
      <c r="L1349" s="1" t="s">
        <v>1053</v>
      </c>
      <c r="M1349" s="1" t="s">
        <v>1086</v>
      </c>
      <c r="N1349" s="1" t="s">
        <v>933</v>
      </c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25">
      <c r="A1350" s="8" t="s">
        <v>8981</v>
      </c>
      <c r="C1350" s="7" t="s">
        <v>10401</v>
      </c>
      <c r="D1350">
        <f t="shared" si="21"/>
        <v>1</v>
      </c>
      <c r="I1350" s="1" t="s">
        <v>973</v>
      </c>
      <c r="J1350" s="1" t="s">
        <v>992</v>
      </c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25">
      <c r="A1351" s="8" t="s">
        <v>8981</v>
      </c>
      <c r="C1351" s="8" t="s">
        <v>9237</v>
      </c>
      <c r="D1351">
        <f t="shared" si="21"/>
        <v>1</v>
      </c>
      <c r="I1351" s="1" t="s">
        <v>298</v>
      </c>
      <c r="J1351" s="1" t="s">
        <v>2927</v>
      </c>
      <c r="K1351" s="1" t="s">
        <v>1069</v>
      </c>
      <c r="L1351" s="1" t="s">
        <v>25</v>
      </c>
      <c r="M1351" s="1" t="s">
        <v>923</v>
      </c>
      <c r="N1351" s="1" t="s">
        <v>998</v>
      </c>
      <c r="O1351" s="1" t="s">
        <v>1053</v>
      </c>
      <c r="P1351" s="1" t="s">
        <v>1086</v>
      </c>
      <c r="Q1351" s="1" t="s">
        <v>933</v>
      </c>
      <c r="R1351" s="1"/>
      <c r="S1351" s="1"/>
      <c r="T1351" s="1"/>
      <c r="U1351" s="1"/>
      <c r="V1351" s="1"/>
      <c r="W1351" s="1"/>
      <c r="X1351" s="1"/>
      <c r="Y1351" s="1"/>
    </row>
    <row r="1352" spans="1:25" x14ac:dyDescent="0.25">
      <c r="A1352" s="8" t="s">
        <v>8981</v>
      </c>
      <c r="C1352" s="8" t="s">
        <v>10664</v>
      </c>
      <c r="D1352">
        <f t="shared" si="21"/>
        <v>1</v>
      </c>
      <c r="I1352" s="1" t="s">
        <v>2927</v>
      </c>
      <c r="J1352" s="1" t="s">
        <v>1069</v>
      </c>
      <c r="K1352" s="1" t="s">
        <v>25</v>
      </c>
      <c r="L1352" s="1" t="s">
        <v>923</v>
      </c>
      <c r="M1352" s="1" t="s">
        <v>1167</v>
      </c>
      <c r="N1352" s="1" t="s">
        <v>998</v>
      </c>
      <c r="O1352" s="1" t="s">
        <v>1053</v>
      </c>
      <c r="P1352" s="1" t="s">
        <v>1086</v>
      </c>
      <c r="Q1352" s="1" t="s">
        <v>933</v>
      </c>
      <c r="R1352" s="1" t="s">
        <v>994</v>
      </c>
      <c r="S1352" s="1" t="s">
        <v>922</v>
      </c>
      <c r="T1352" s="1"/>
      <c r="U1352" s="1"/>
      <c r="V1352" s="1"/>
      <c r="W1352" s="1"/>
      <c r="X1352" s="1"/>
      <c r="Y1352" s="1"/>
    </row>
    <row r="1353" spans="1:25" x14ac:dyDescent="0.25">
      <c r="A1353" s="8" t="s">
        <v>8981</v>
      </c>
      <c r="C1353" s="7" t="s">
        <v>6879</v>
      </c>
      <c r="D1353">
        <f t="shared" si="21"/>
        <v>1</v>
      </c>
      <c r="I1353" s="1" t="s">
        <v>996</v>
      </c>
      <c r="J1353" s="1" t="s">
        <v>2541</v>
      </c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25">
      <c r="A1354" s="8" t="s">
        <v>8981</v>
      </c>
      <c r="C1354" s="8" t="s">
        <v>9987</v>
      </c>
      <c r="D1354">
        <f t="shared" si="21"/>
        <v>1</v>
      </c>
      <c r="I1354" s="1" t="s">
        <v>996</v>
      </c>
      <c r="J1354" s="1" t="s">
        <v>999</v>
      </c>
      <c r="K1354" s="1" t="s">
        <v>921</v>
      </c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25">
      <c r="A1355" s="8" t="s">
        <v>8981</v>
      </c>
      <c r="C1355" s="8" t="s">
        <v>10682</v>
      </c>
      <c r="D1355">
        <f t="shared" si="21"/>
        <v>1</v>
      </c>
      <c r="I1355" s="1" t="s">
        <v>996</v>
      </c>
      <c r="J1355" s="1" t="s">
        <v>999</v>
      </c>
      <c r="K1355" s="1" t="s">
        <v>921</v>
      </c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25">
      <c r="A1356" s="8" t="s">
        <v>8981</v>
      </c>
      <c r="C1356" s="8" t="s">
        <v>10344</v>
      </c>
      <c r="D1356">
        <f t="shared" si="21"/>
        <v>1</v>
      </c>
      <c r="I1356" s="1" t="s">
        <v>996</v>
      </c>
      <c r="J1356" s="1" t="s">
        <v>999</v>
      </c>
      <c r="K1356" s="1" t="s">
        <v>921</v>
      </c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25">
      <c r="A1357" s="8" t="s">
        <v>8981</v>
      </c>
      <c r="C1357" s="8" t="s">
        <v>9093</v>
      </c>
      <c r="D1357">
        <f t="shared" si="21"/>
        <v>1</v>
      </c>
      <c r="I1357" s="1" t="s">
        <v>981</v>
      </c>
      <c r="J1357" s="1" t="s">
        <v>1066</v>
      </c>
      <c r="K1357" s="1" t="s">
        <v>5407</v>
      </c>
      <c r="L1357" s="1" t="s">
        <v>10739</v>
      </c>
      <c r="M1357" s="1" t="s">
        <v>10734</v>
      </c>
      <c r="N1357" s="1" t="s">
        <v>10735</v>
      </c>
      <c r="O1357" s="1" t="s">
        <v>955</v>
      </c>
      <c r="P1357" s="1" t="s">
        <v>944</v>
      </c>
      <c r="Q1357" s="1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25">
      <c r="A1358" s="8" t="s">
        <v>8981</v>
      </c>
      <c r="C1358" s="8" t="s">
        <v>9933</v>
      </c>
      <c r="D1358">
        <f t="shared" si="21"/>
        <v>1</v>
      </c>
      <c r="I1358" s="1" t="s">
        <v>4580</v>
      </c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25">
      <c r="A1359" s="8" t="s">
        <v>8981</v>
      </c>
      <c r="C1359" s="7" t="s">
        <v>9966</v>
      </c>
      <c r="D1359">
        <f t="shared" si="21"/>
        <v>1</v>
      </c>
      <c r="I1359" s="1" t="s">
        <v>983</v>
      </c>
      <c r="J1359" s="1" t="s">
        <v>989</v>
      </c>
      <c r="K1359" s="1" t="s">
        <v>984</v>
      </c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25">
      <c r="A1360" s="8" t="s">
        <v>8981</v>
      </c>
      <c r="C1360" s="8" t="s">
        <v>9415</v>
      </c>
      <c r="D1360">
        <f t="shared" si="21"/>
        <v>1</v>
      </c>
      <c r="I1360" s="1" t="s">
        <v>1045</v>
      </c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25">
      <c r="A1361" s="8" t="s">
        <v>8981</v>
      </c>
      <c r="C1361" s="7" t="s">
        <v>10218</v>
      </c>
      <c r="D1361">
        <f t="shared" si="21"/>
        <v>1</v>
      </c>
      <c r="I1361" s="1" t="s">
        <v>955</v>
      </c>
      <c r="J1361" s="1" t="s">
        <v>1071</v>
      </c>
      <c r="K1361" s="1" t="s">
        <v>1014</v>
      </c>
      <c r="L1361" s="1" t="s">
        <v>975</v>
      </c>
      <c r="M1361" s="1" t="s">
        <v>939</v>
      </c>
      <c r="N1361" s="1" t="s">
        <v>983</v>
      </c>
      <c r="O1361" s="1" t="s">
        <v>984</v>
      </c>
      <c r="P1361" s="1" t="s">
        <v>1060</v>
      </c>
      <c r="Q1361" s="1" t="s">
        <v>918</v>
      </c>
      <c r="R1361" s="1" t="s">
        <v>25</v>
      </c>
      <c r="S1361" s="1" t="s">
        <v>923</v>
      </c>
      <c r="T1361" s="1" t="s">
        <v>920</v>
      </c>
      <c r="U1361" s="1" t="s">
        <v>924</v>
      </c>
      <c r="V1361" s="1" t="s">
        <v>921</v>
      </c>
      <c r="W1361" s="1"/>
      <c r="X1361" s="1"/>
      <c r="Y1361" s="1"/>
    </row>
    <row r="1362" spans="1:25" x14ac:dyDescent="0.25">
      <c r="A1362" s="8" t="s">
        <v>8981</v>
      </c>
      <c r="C1362" s="8" t="s">
        <v>10132</v>
      </c>
      <c r="D1362">
        <f t="shared" si="21"/>
        <v>1</v>
      </c>
      <c r="I1362" s="1" t="s">
        <v>955</v>
      </c>
      <c r="J1362" s="1" t="s">
        <v>1071</v>
      </c>
      <c r="K1362" s="1" t="s">
        <v>1014</v>
      </c>
      <c r="L1362" s="1" t="s">
        <v>975</v>
      </c>
      <c r="M1362" s="1" t="s">
        <v>939</v>
      </c>
      <c r="N1362" s="1" t="s">
        <v>983</v>
      </c>
      <c r="O1362" s="1" t="s">
        <v>984</v>
      </c>
      <c r="P1362" s="1" t="s">
        <v>1060</v>
      </c>
      <c r="Q1362" s="1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25">
      <c r="A1363" s="8" t="s">
        <v>8981</v>
      </c>
      <c r="C1363" s="8" t="s">
        <v>10297</v>
      </c>
      <c r="D1363">
        <f t="shared" si="21"/>
        <v>1</v>
      </c>
      <c r="I1363" s="1" t="s">
        <v>983</v>
      </c>
      <c r="J1363" s="1" t="s">
        <v>989</v>
      </c>
      <c r="K1363" s="1" t="s">
        <v>984</v>
      </c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25">
      <c r="A1364" s="7" t="s">
        <v>9402</v>
      </c>
      <c r="C1364" s="7" t="s">
        <v>10010</v>
      </c>
      <c r="D1364">
        <f t="shared" si="21"/>
        <v>1</v>
      </c>
      <c r="I1364" s="1" t="s">
        <v>1053</v>
      </c>
      <c r="J1364" s="1" t="s">
        <v>2541</v>
      </c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25">
      <c r="A1365" s="7" t="s">
        <v>9905</v>
      </c>
      <c r="C1365" s="7" t="s">
        <v>8966</v>
      </c>
      <c r="D1365">
        <f t="shared" si="21"/>
        <v>1</v>
      </c>
      <c r="I1365" s="1" t="s">
        <v>933</v>
      </c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25">
      <c r="A1366" s="8" t="s">
        <v>9420</v>
      </c>
      <c r="C1366" s="7" t="s">
        <v>9872</v>
      </c>
      <c r="D1366">
        <f t="shared" si="21"/>
        <v>1</v>
      </c>
      <c r="I1366" s="1" t="s">
        <v>978</v>
      </c>
      <c r="J1366" s="1" t="s">
        <v>25</v>
      </c>
      <c r="K1366" s="1" t="s">
        <v>920</v>
      </c>
      <c r="L1366" s="1" t="s">
        <v>933</v>
      </c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25">
      <c r="A1367" s="8" t="s">
        <v>10183</v>
      </c>
      <c r="C1367" s="7" t="s">
        <v>9969</v>
      </c>
      <c r="D1367">
        <f t="shared" si="21"/>
        <v>1</v>
      </c>
      <c r="I1367" s="1" t="s">
        <v>918</v>
      </c>
      <c r="J1367" s="1" t="s">
        <v>919</v>
      </c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25">
      <c r="A1368" s="8" t="s">
        <v>10428</v>
      </c>
      <c r="C1368" s="8" t="s">
        <v>10595</v>
      </c>
      <c r="D1368">
        <f t="shared" si="21"/>
        <v>1</v>
      </c>
      <c r="I1368" s="1" t="s">
        <v>932</v>
      </c>
      <c r="J1368" s="1" t="s">
        <v>916</v>
      </c>
      <c r="K1368" s="1" t="s">
        <v>920</v>
      </c>
      <c r="L1368" s="1" t="s">
        <v>921</v>
      </c>
      <c r="M1368" s="1" t="s">
        <v>922</v>
      </c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25">
      <c r="A1369" s="7" t="s">
        <v>9620</v>
      </c>
      <c r="C1369" s="8" t="s">
        <v>9833</v>
      </c>
      <c r="D1369">
        <f t="shared" si="21"/>
        <v>1</v>
      </c>
      <c r="I1369" s="1" t="s">
        <v>918</v>
      </c>
      <c r="J1369" s="1" t="s">
        <v>25</v>
      </c>
      <c r="K1369" s="1" t="s">
        <v>997</v>
      </c>
      <c r="L1369" s="1" t="s">
        <v>919</v>
      </c>
      <c r="M1369" s="1" t="s">
        <v>920</v>
      </c>
      <c r="N1369" s="1" t="s">
        <v>924</v>
      </c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25">
      <c r="A1370" s="7" t="s">
        <v>9620</v>
      </c>
      <c r="C1370" s="8" t="s">
        <v>10660</v>
      </c>
      <c r="D1370">
        <f t="shared" si="21"/>
        <v>1</v>
      </c>
      <c r="I1370" s="1" t="s">
        <v>50</v>
      </c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25">
      <c r="A1371" s="7" t="s">
        <v>9620</v>
      </c>
      <c r="C1371" s="8" t="s">
        <v>9793</v>
      </c>
      <c r="D1371">
        <f t="shared" si="21"/>
        <v>1</v>
      </c>
      <c r="I1371" s="1" t="s">
        <v>1001</v>
      </c>
      <c r="J1371" s="1" t="s">
        <v>927</v>
      </c>
      <c r="K1371" s="1" t="s">
        <v>981</v>
      </c>
      <c r="L1371" s="1" t="s">
        <v>919</v>
      </c>
      <c r="M1371" s="1" t="s">
        <v>921</v>
      </c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25">
      <c r="A1372" s="7" t="s">
        <v>9620</v>
      </c>
      <c r="C1372" s="8" t="s">
        <v>8953</v>
      </c>
      <c r="D1372">
        <f t="shared" si="21"/>
        <v>1</v>
      </c>
      <c r="I1372" s="1" t="s">
        <v>955</v>
      </c>
      <c r="J1372" s="1" t="s">
        <v>1071</v>
      </c>
      <c r="K1372" s="1" t="s">
        <v>1014</v>
      </c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25">
      <c r="A1373" s="7" t="s">
        <v>9620</v>
      </c>
      <c r="C1373" s="8" t="s">
        <v>10671</v>
      </c>
      <c r="D1373">
        <f t="shared" si="21"/>
        <v>1</v>
      </c>
      <c r="I1373" s="1" t="s">
        <v>25</v>
      </c>
      <c r="J1373" s="1" t="s">
        <v>923</v>
      </c>
      <c r="K1373" s="1" t="s">
        <v>916</v>
      </c>
      <c r="L1373" s="1" t="s">
        <v>920</v>
      </c>
      <c r="M1373" s="1" t="s">
        <v>974</v>
      </c>
      <c r="N1373" s="1" t="s">
        <v>921</v>
      </c>
      <c r="O1373" s="1" t="s">
        <v>1033</v>
      </c>
      <c r="P1373" s="1"/>
      <c r="Q1373" s="1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25">
      <c r="A1374" s="8" t="s">
        <v>9620</v>
      </c>
      <c r="C1374" s="8" t="s">
        <v>9691</v>
      </c>
      <c r="D1374">
        <f t="shared" si="21"/>
        <v>1</v>
      </c>
      <c r="I1374" s="1" t="s">
        <v>918</v>
      </c>
      <c r="J1374" s="1" t="s">
        <v>25</v>
      </c>
      <c r="K1374" s="1" t="s">
        <v>923</v>
      </c>
      <c r="L1374" s="1" t="s">
        <v>919</v>
      </c>
      <c r="M1374" s="1" t="s">
        <v>920</v>
      </c>
      <c r="N1374" s="1" t="s">
        <v>921</v>
      </c>
      <c r="O1374" s="1" t="s">
        <v>996</v>
      </c>
      <c r="P1374" s="1" t="s">
        <v>997</v>
      </c>
      <c r="Q1374" s="1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25">
      <c r="A1375" s="7" t="s">
        <v>9398</v>
      </c>
      <c r="C1375" s="8" t="s">
        <v>10390</v>
      </c>
      <c r="D1375">
        <f t="shared" si="21"/>
        <v>1</v>
      </c>
      <c r="I1375" s="1" t="s">
        <v>996</v>
      </c>
      <c r="J1375" s="1" t="s">
        <v>25</v>
      </c>
      <c r="K1375" s="1" t="s">
        <v>923</v>
      </c>
      <c r="L1375" s="1" t="s">
        <v>997</v>
      </c>
      <c r="M1375" s="1" t="s">
        <v>920</v>
      </c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25">
      <c r="A1376" s="8" t="s">
        <v>9398</v>
      </c>
      <c r="C1376" s="8" t="s">
        <v>10459</v>
      </c>
      <c r="D1376">
        <f t="shared" si="21"/>
        <v>1</v>
      </c>
      <c r="I1376" s="1" t="s">
        <v>918</v>
      </c>
      <c r="J1376" s="1" t="s">
        <v>967</v>
      </c>
      <c r="K1376" s="1" t="s">
        <v>995</v>
      </c>
      <c r="L1376" s="1" t="s">
        <v>919</v>
      </c>
      <c r="M1376" s="1" t="s">
        <v>924</v>
      </c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25">
      <c r="A1377" s="8" t="s">
        <v>10298</v>
      </c>
      <c r="C1377" s="8" t="s">
        <v>10548</v>
      </c>
      <c r="D1377">
        <f t="shared" si="21"/>
        <v>1</v>
      </c>
      <c r="I1377" s="1" t="s">
        <v>923</v>
      </c>
      <c r="J1377" s="1" t="s">
        <v>933</v>
      </c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25">
      <c r="A1378" s="7" t="s">
        <v>243</v>
      </c>
      <c r="C1378" s="8" t="s">
        <v>10133</v>
      </c>
      <c r="D1378">
        <f t="shared" si="21"/>
        <v>1</v>
      </c>
      <c r="I1378" s="1" t="s">
        <v>1011</v>
      </c>
      <c r="J1378" s="1" t="s">
        <v>947</v>
      </c>
      <c r="K1378" s="1" t="s">
        <v>933</v>
      </c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25">
      <c r="A1379" s="7" t="s">
        <v>6097</v>
      </c>
      <c r="C1379" s="8" t="s">
        <v>9158</v>
      </c>
      <c r="D1379">
        <f t="shared" si="21"/>
        <v>1</v>
      </c>
      <c r="I1379" s="1" t="s">
        <v>998</v>
      </c>
      <c r="J1379" s="1" t="s">
        <v>994</v>
      </c>
      <c r="K1379" s="1" t="s">
        <v>987</v>
      </c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25">
      <c r="A1380" s="7" t="s">
        <v>6097</v>
      </c>
      <c r="C1380" s="8" t="s">
        <v>9595</v>
      </c>
      <c r="D1380">
        <f t="shared" si="21"/>
        <v>1</v>
      </c>
      <c r="I1380" s="1" t="s">
        <v>992</v>
      </c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25">
      <c r="A1381" s="7" t="s">
        <v>6097</v>
      </c>
      <c r="C1381" s="8" t="s">
        <v>9130</v>
      </c>
      <c r="D1381">
        <f t="shared" si="21"/>
        <v>1</v>
      </c>
      <c r="I1381" s="1" t="s">
        <v>992</v>
      </c>
      <c r="J1381" s="1" t="s">
        <v>993</v>
      </c>
      <c r="K1381" s="1" t="s">
        <v>1053</v>
      </c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25">
      <c r="A1382" s="7" t="s">
        <v>9083</v>
      </c>
      <c r="C1382" s="8" t="s">
        <v>10550</v>
      </c>
      <c r="D1382">
        <f t="shared" si="21"/>
        <v>1</v>
      </c>
      <c r="I1382" s="1" t="s">
        <v>1001</v>
      </c>
      <c r="J1382" s="1" t="s">
        <v>992</v>
      </c>
      <c r="K1382" s="1" t="s">
        <v>981</v>
      </c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25">
      <c r="A1383" s="7" t="s">
        <v>9083</v>
      </c>
      <c r="C1383" s="7" t="s">
        <v>9604</v>
      </c>
      <c r="D1383">
        <f t="shared" si="21"/>
        <v>1</v>
      </c>
      <c r="I1383" s="1" t="s">
        <v>921</v>
      </c>
      <c r="J1383" s="1" t="s">
        <v>993</v>
      </c>
      <c r="K1383" s="1" t="s">
        <v>933</v>
      </c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25">
      <c r="A1384" s="8" t="s">
        <v>10143</v>
      </c>
      <c r="C1384" s="8" t="s">
        <v>10661</v>
      </c>
      <c r="D1384">
        <f t="shared" si="21"/>
        <v>1</v>
      </c>
      <c r="I1384" s="1" t="s">
        <v>90</v>
      </c>
      <c r="J1384" s="1" t="s">
        <v>10751</v>
      </c>
      <c r="K1384" s="1" t="s">
        <v>1109</v>
      </c>
      <c r="L1384" s="1" t="s">
        <v>25</v>
      </c>
      <c r="M1384" s="1" t="s">
        <v>2927</v>
      </c>
      <c r="N1384" s="1" t="s">
        <v>1086</v>
      </c>
      <c r="O1384" s="1" t="s">
        <v>10928</v>
      </c>
      <c r="P1384" s="1"/>
      <c r="Q1384" s="1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25">
      <c r="A1385" s="7" t="s">
        <v>5238</v>
      </c>
      <c r="C1385" s="8" t="s">
        <v>9524</v>
      </c>
      <c r="D1385">
        <f t="shared" si="21"/>
        <v>1</v>
      </c>
      <c r="I1385" s="1" t="s">
        <v>918</v>
      </c>
      <c r="J1385" s="1" t="s">
        <v>949</v>
      </c>
      <c r="K1385" s="1" t="s">
        <v>25</v>
      </c>
      <c r="L1385" s="1" t="s">
        <v>923</v>
      </c>
      <c r="M1385" s="1" t="s">
        <v>919</v>
      </c>
      <c r="N1385" s="1" t="s">
        <v>920</v>
      </c>
      <c r="O1385" s="1" t="s">
        <v>974</v>
      </c>
      <c r="P1385" s="1" t="s">
        <v>921</v>
      </c>
      <c r="Q1385" s="1" t="s">
        <v>925</v>
      </c>
      <c r="R1385" s="1" t="s">
        <v>927</v>
      </c>
      <c r="S1385" s="1" t="s">
        <v>928</v>
      </c>
      <c r="T1385" s="1" t="s">
        <v>960</v>
      </c>
      <c r="U1385" s="1" t="s">
        <v>961</v>
      </c>
      <c r="V1385" s="1" t="s">
        <v>1147</v>
      </c>
      <c r="W1385" s="1"/>
      <c r="X1385" s="1"/>
      <c r="Y1385" s="1"/>
    </row>
    <row r="1386" spans="1:25" x14ac:dyDescent="0.25">
      <c r="A1386" s="7" t="s">
        <v>5238</v>
      </c>
      <c r="C1386" s="8" t="s">
        <v>10331</v>
      </c>
      <c r="D1386">
        <f t="shared" si="21"/>
        <v>1</v>
      </c>
      <c r="I1386" s="1" t="s">
        <v>25</v>
      </c>
      <c r="J1386" s="1" t="s">
        <v>923</v>
      </c>
      <c r="K1386" s="1" t="s">
        <v>973</v>
      </c>
      <c r="L1386" s="1" t="s">
        <v>920</v>
      </c>
      <c r="M1386" s="1" t="s">
        <v>933</v>
      </c>
      <c r="N1386" s="1" t="s">
        <v>954</v>
      </c>
      <c r="O1386" s="1" t="s">
        <v>974</v>
      </c>
      <c r="P1386" s="1" t="s">
        <v>934</v>
      </c>
      <c r="Q1386" s="1" t="s">
        <v>6421</v>
      </c>
      <c r="R1386" s="1" t="s">
        <v>328</v>
      </c>
      <c r="S1386" s="1" t="s">
        <v>921</v>
      </c>
      <c r="T1386" s="1"/>
      <c r="U1386" s="1"/>
      <c r="V1386" s="1"/>
      <c r="W1386" s="1"/>
      <c r="X1386" s="1"/>
      <c r="Y1386" s="1"/>
    </row>
    <row r="1387" spans="1:25" x14ac:dyDescent="0.25">
      <c r="A1387" s="7" t="s">
        <v>5238</v>
      </c>
      <c r="C1387" s="8" t="s">
        <v>10369</v>
      </c>
      <c r="D1387">
        <f t="shared" si="21"/>
        <v>1</v>
      </c>
      <c r="I1387" s="1" t="s">
        <v>10741</v>
      </c>
      <c r="J1387" s="1" t="s">
        <v>1014</v>
      </c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25">
      <c r="A1388" s="7" t="s">
        <v>5238</v>
      </c>
      <c r="C1388" s="8" t="s">
        <v>9438</v>
      </c>
      <c r="D1388">
        <f t="shared" si="21"/>
        <v>1</v>
      </c>
      <c r="I1388" s="1" t="s">
        <v>10741</v>
      </c>
      <c r="J1388" s="1" t="s">
        <v>1014</v>
      </c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25">
      <c r="A1389" s="7" t="s">
        <v>5238</v>
      </c>
      <c r="C1389" s="7" t="s">
        <v>5450</v>
      </c>
      <c r="D1389">
        <f t="shared" si="21"/>
        <v>1</v>
      </c>
      <c r="I1389" s="1" t="s">
        <v>918</v>
      </c>
      <c r="J1389" s="1" t="s">
        <v>25</v>
      </c>
      <c r="K1389" s="1" t="s">
        <v>923</v>
      </c>
      <c r="L1389" s="1" t="s">
        <v>965</v>
      </c>
      <c r="M1389" s="1" t="s">
        <v>840</v>
      </c>
      <c r="N1389" s="1" t="s">
        <v>920</v>
      </c>
      <c r="O1389" s="1" t="s">
        <v>954</v>
      </c>
      <c r="P1389" s="1" t="s">
        <v>919</v>
      </c>
      <c r="Q1389" s="1" t="s">
        <v>924</v>
      </c>
      <c r="R1389" s="1" t="s">
        <v>930</v>
      </c>
      <c r="S1389" s="1" t="s">
        <v>1014</v>
      </c>
      <c r="T1389" s="1"/>
      <c r="U1389" s="1"/>
      <c r="V1389" s="1"/>
      <c r="W1389" s="1"/>
      <c r="X1389" s="1"/>
      <c r="Y1389" s="1"/>
    </row>
    <row r="1390" spans="1:25" x14ac:dyDescent="0.25">
      <c r="A1390" s="7" t="s">
        <v>5238</v>
      </c>
      <c r="C1390" s="7" t="s">
        <v>8949</v>
      </c>
      <c r="D1390">
        <f t="shared" si="21"/>
        <v>1</v>
      </c>
      <c r="I1390" s="1" t="s">
        <v>50</v>
      </c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25">
      <c r="A1391" s="8" t="s">
        <v>9901</v>
      </c>
      <c r="C1391" s="8" t="s">
        <v>10262</v>
      </c>
      <c r="D1391">
        <f t="shared" si="21"/>
        <v>1</v>
      </c>
      <c r="I1391" s="1" t="s">
        <v>1011</v>
      </c>
      <c r="J1391" s="1" t="s">
        <v>933</v>
      </c>
      <c r="K1391" s="1" t="s">
        <v>921</v>
      </c>
      <c r="L1391" s="1" t="s">
        <v>1066</v>
      </c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25">
      <c r="A1392" s="7" t="s">
        <v>1512</v>
      </c>
      <c r="C1392" s="8" t="s">
        <v>10562</v>
      </c>
      <c r="D1392">
        <f t="shared" si="21"/>
        <v>1</v>
      </c>
      <c r="I1392" s="1" t="s">
        <v>994</v>
      </c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25">
      <c r="A1393" s="7" t="s">
        <v>1512</v>
      </c>
      <c r="C1393" s="8" t="s">
        <v>9045</v>
      </c>
      <c r="D1393">
        <f t="shared" si="21"/>
        <v>1</v>
      </c>
      <c r="I1393" s="1" t="s">
        <v>948</v>
      </c>
      <c r="J1393" s="1" t="s">
        <v>1069</v>
      </c>
      <c r="K1393" s="1" t="s">
        <v>1149</v>
      </c>
      <c r="L1393" s="1" t="s">
        <v>25</v>
      </c>
      <c r="M1393" s="1" t="s">
        <v>923</v>
      </c>
      <c r="N1393" s="1" t="s">
        <v>998</v>
      </c>
      <c r="O1393" s="1" t="s">
        <v>1150</v>
      </c>
      <c r="P1393" s="1" t="s">
        <v>1086</v>
      </c>
      <c r="Q1393" s="1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25">
      <c r="A1394" s="7" t="s">
        <v>1512</v>
      </c>
      <c r="C1394" s="8" t="s">
        <v>9690</v>
      </c>
      <c r="D1394">
        <f t="shared" si="21"/>
        <v>1</v>
      </c>
      <c r="I1394" s="1" t="s">
        <v>25</v>
      </c>
      <c r="J1394" s="1" t="s">
        <v>923</v>
      </c>
      <c r="K1394" s="1" t="s">
        <v>920</v>
      </c>
      <c r="L1394" s="1" t="s">
        <v>933</v>
      </c>
      <c r="M1394" s="1" t="s">
        <v>954</v>
      </c>
      <c r="N1394" s="1" t="s">
        <v>1141</v>
      </c>
      <c r="O1394" s="1" t="s">
        <v>1066</v>
      </c>
      <c r="P1394" s="1"/>
      <c r="Q1394" s="1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25">
      <c r="A1395" s="7" t="s">
        <v>1512</v>
      </c>
      <c r="C1395" s="8" t="s">
        <v>9163</v>
      </c>
      <c r="D1395">
        <f t="shared" si="21"/>
        <v>1</v>
      </c>
      <c r="I1395" s="1" t="s">
        <v>50</v>
      </c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25">
      <c r="A1396" s="7" t="s">
        <v>1512</v>
      </c>
      <c r="C1396" s="7" t="s">
        <v>10621</v>
      </c>
      <c r="D1396">
        <f t="shared" si="21"/>
        <v>1</v>
      </c>
      <c r="I1396" s="1" t="s">
        <v>949</v>
      </c>
      <c r="J1396" s="1" t="s">
        <v>1053</v>
      </c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25">
      <c r="A1397" s="7" t="s">
        <v>1512</v>
      </c>
      <c r="C1397" s="8" t="s">
        <v>10051</v>
      </c>
      <c r="D1397">
        <f t="shared" si="21"/>
        <v>1</v>
      </c>
      <c r="I1397" s="1" t="s">
        <v>90</v>
      </c>
      <c r="J1397" s="1" t="s">
        <v>1002</v>
      </c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25">
      <c r="A1398" s="7" t="s">
        <v>1512</v>
      </c>
      <c r="C1398" s="8" t="s">
        <v>9128</v>
      </c>
      <c r="D1398">
        <f t="shared" si="21"/>
        <v>1</v>
      </c>
      <c r="I1398" s="1" t="s">
        <v>1086</v>
      </c>
      <c r="J1398" s="1" t="s">
        <v>10876</v>
      </c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25">
      <c r="A1399" s="8" t="s">
        <v>1512</v>
      </c>
      <c r="C1399" s="8" t="s">
        <v>10204</v>
      </c>
      <c r="D1399">
        <f t="shared" si="21"/>
        <v>1</v>
      </c>
      <c r="I1399" s="1" t="s">
        <v>996</v>
      </c>
      <c r="J1399" s="1" t="s">
        <v>1053</v>
      </c>
      <c r="K1399" s="1" t="s">
        <v>2541</v>
      </c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25">
      <c r="A1400" s="8" t="s">
        <v>1512</v>
      </c>
      <c r="C1400" s="8" t="s">
        <v>9354</v>
      </c>
      <c r="D1400">
        <f t="shared" si="21"/>
        <v>1</v>
      </c>
      <c r="I1400" s="1" t="s">
        <v>992</v>
      </c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25">
      <c r="A1401" s="8" t="s">
        <v>9495</v>
      </c>
      <c r="C1401" s="7" t="s">
        <v>4109</v>
      </c>
      <c r="D1401">
        <f t="shared" si="21"/>
        <v>1</v>
      </c>
      <c r="I1401" s="1" t="s">
        <v>996</v>
      </c>
      <c r="J1401" s="1" t="s">
        <v>2541</v>
      </c>
      <c r="K1401" s="1" t="s">
        <v>1152</v>
      </c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25">
      <c r="A1402" s="7" t="s">
        <v>9267</v>
      </c>
      <c r="C1402" s="7" t="s">
        <v>1636</v>
      </c>
      <c r="D1402">
        <f t="shared" si="21"/>
        <v>1</v>
      </c>
      <c r="I1402" s="1" t="s">
        <v>998</v>
      </c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25">
      <c r="A1403" s="7" t="s">
        <v>9267</v>
      </c>
      <c r="C1403" s="8" t="s">
        <v>10054</v>
      </c>
      <c r="D1403">
        <f t="shared" si="21"/>
        <v>1</v>
      </c>
      <c r="I1403" s="1" t="s">
        <v>933</v>
      </c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25">
      <c r="A1404" s="8" t="s">
        <v>9267</v>
      </c>
      <c r="C1404" s="8" t="s">
        <v>10007</v>
      </c>
      <c r="D1404">
        <f t="shared" si="21"/>
        <v>1</v>
      </c>
      <c r="I1404" s="1" t="s">
        <v>50</v>
      </c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25">
      <c r="A1405" s="7" t="s">
        <v>3900</v>
      </c>
      <c r="C1405" s="7" t="s">
        <v>5314</v>
      </c>
      <c r="D1405">
        <f t="shared" si="21"/>
        <v>1</v>
      </c>
      <c r="I1405" s="1" t="s">
        <v>3439</v>
      </c>
      <c r="J1405" s="1" t="s">
        <v>923</v>
      </c>
      <c r="K1405" s="1" t="s">
        <v>997</v>
      </c>
      <c r="L1405" s="1" t="s">
        <v>1053</v>
      </c>
      <c r="M1405" s="1" t="s">
        <v>10929</v>
      </c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25">
      <c r="A1406" s="7" t="s">
        <v>9636</v>
      </c>
      <c r="C1406" s="8" t="s">
        <v>8970</v>
      </c>
      <c r="D1406">
        <f t="shared" si="21"/>
        <v>1</v>
      </c>
      <c r="I1406" s="1" t="s">
        <v>981</v>
      </c>
      <c r="J1406" s="1" t="s">
        <v>1019</v>
      </c>
      <c r="K1406" s="1" t="s">
        <v>998</v>
      </c>
      <c r="L1406" s="1" t="s">
        <v>1086</v>
      </c>
      <c r="M1406" s="1" t="s">
        <v>933</v>
      </c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25">
      <c r="A1407" s="8" t="s">
        <v>9817</v>
      </c>
      <c r="C1407" s="7" t="s">
        <v>9891</v>
      </c>
      <c r="D1407">
        <f t="shared" si="21"/>
        <v>1</v>
      </c>
      <c r="I1407" s="1" t="s">
        <v>996</v>
      </c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25">
      <c r="A1408" s="8" t="s">
        <v>9817</v>
      </c>
      <c r="C1408" s="8" t="s">
        <v>9099</v>
      </c>
      <c r="D1408">
        <f t="shared" si="21"/>
        <v>1</v>
      </c>
      <c r="I1408" s="1" t="s">
        <v>1072</v>
      </c>
      <c r="J1408" s="1" t="s">
        <v>25</v>
      </c>
      <c r="K1408" s="1" t="s">
        <v>923</v>
      </c>
      <c r="L1408" s="1" t="s">
        <v>916</v>
      </c>
      <c r="M1408" s="1" t="s">
        <v>920</v>
      </c>
      <c r="N1408" s="1" t="s">
        <v>974</v>
      </c>
      <c r="O1408" s="1" t="s">
        <v>921</v>
      </c>
      <c r="P1408" s="1" t="s">
        <v>918</v>
      </c>
      <c r="Q1408" s="1" t="s">
        <v>919</v>
      </c>
      <c r="R1408" s="1" t="s">
        <v>924</v>
      </c>
      <c r="S1408" s="1" t="s">
        <v>922</v>
      </c>
      <c r="T1408" s="1"/>
      <c r="U1408" s="1"/>
      <c r="V1408" s="1"/>
      <c r="W1408" s="1"/>
      <c r="X1408" s="1"/>
      <c r="Y1408" s="1"/>
    </row>
    <row r="1409" spans="1:25" x14ac:dyDescent="0.25">
      <c r="A1409" s="7" t="s">
        <v>482</v>
      </c>
      <c r="C1409" s="8" t="s">
        <v>9470</v>
      </c>
      <c r="D1409">
        <f t="shared" si="21"/>
        <v>1</v>
      </c>
      <c r="I1409" s="1" t="s">
        <v>923</v>
      </c>
      <c r="J1409" s="1" t="s">
        <v>10930</v>
      </c>
      <c r="K1409" s="1" t="s">
        <v>10931</v>
      </c>
      <c r="L1409" s="1" t="s">
        <v>2772</v>
      </c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25">
      <c r="A1410" s="8" t="s">
        <v>482</v>
      </c>
      <c r="C1410" s="7" t="s">
        <v>10672</v>
      </c>
      <c r="D1410">
        <f t="shared" ref="D1410:D1473" si="22">COUNTIF(A:A,C1410)</f>
        <v>1</v>
      </c>
      <c r="I1410" s="1" t="s">
        <v>1045</v>
      </c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25">
      <c r="A1411" s="7" t="s">
        <v>9367</v>
      </c>
      <c r="C1411" s="8" t="s">
        <v>10199</v>
      </c>
      <c r="D1411">
        <f t="shared" si="22"/>
        <v>1</v>
      </c>
      <c r="I1411" s="1" t="s">
        <v>25</v>
      </c>
      <c r="J1411" s="1" t="s">
        <v>1086</v>
      </c>
      <c r="K1411" s="1" t="s">
        <v>919</v>
      </c>
      <c r="L1411" s="1" t="s">
        <v>920</v>
      </c>
      <c r="M1411" s="1" t="s">
        <v>921</v>
      </c>
      <c r="N1411" s="1" t="s">
        <v>1034</v>
      </c>
      <c r="O1411" s="1" t="s">
        <v>924</v>
      </c>
      <c r="P1411" s="1"/>
      <c r="Q1411" s="1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25">
      <c r="A1412" s="8" t="s">
        <v>9367</v>
      </c>
      <c r="C1412" s="8" t="s">
        <v>9432</v>
      </c>
      <c r="D1412">
        <f t="shared" si="22"/>
        <v>1</v>
      </c>
      <c r="I1412" s="1" t="s">
        <v>939</v>
      </c>
      <c r="J1412" s="1" t="s">
        <v>10932</v>
      </c>
      <c r="K1412" s="1" t="s">
        <v>1019</v>
      </c>
      <c r="L1412" s="1" t="s">
        <v>983</v>
      </c>
      <c r="M1412" s="1" t="s">
        <v>10933</v>
      </c>
      <c r="N1412" s="1" t="s">
        <v>984</v>
      </c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25">
      <c r="A1413" s="8" t="s">
        <v>9367</v>
      </c>
      <c r="C1413" s="7" t="s">
        <v>9491</v>
      </c>
      <c r="D1413">
        <f t="shared" si="22"/>
        <v>1</v>
      </c>
      <c r="I1413" s="1" t="s">
        <v>939</v>
      </c>
      <c r="J1413" s="1" t="s">
        <v>983</v>
      </c>
      <c r="K1413" s="1" t="s">
        <v>984</v>
      </c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25">
      <c r="A1414" s="8" t="s">
        <v>9367</v>
      </c>
      <c r="C1414" s="7" t="s">
        <v>2780</v>
      </c>
      <c r="D1414">
        <f t="shared" si="22"/>
        <v>1</v>
      </c>
      <c r="I1414" s="1" t="s">
        <v>975</v>
      </c>
      <c r="J1414" s="1" t="s">
        <v>939</v>
      </c>
      <c r="K1414" s="1" t="s">
        <v>983</v>
      </c>
      <c r="L1414" s="1" t="s">
        <v>984</v>
      </c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25">
      <c r="A1415" s="7" t="s">
        <v>8908</v>
      </c>
      <c r="C1415" s="8" t="s">
        <v>9286</v>
      </c>
      <c r="D1415">
        <f t="shared" si="22"/>
        <v>1</v>
      </c>
      <c r="I1415" s="1" t="s">
        <v>975</v>
      </c>
      <c r="J1415" s="1" t="s">
        <v>939</v>
      </c>
      <c r="K1415" s="1" t="s">
        <v>983</v>
      </c>
      <c r="L1415" s="1" t="s">
        <v>984</v>
      </c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25">
      <c r="A1416" s="7" t="s">
        <v>8908</v>
      </c>
      <c r="C1416" s="7" t="s">
        <v>9607</v>
      </c>
      <c r="D1416">
        <f t="shared" si="22"/>
        <v>1</v>
      </c>
      <c r="I1416" s="1" t="s">
        <v>975</v>
      </c>
      <c r="J1416" s="1" t="s">
        <v>939</v>
      </c>
      <c r="K1416" s="1" t="s">
        <v>983</v>
      </c>
      <c r="L1416" s="1" t="s">
        <v>984</v>
      </c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25">
      <c r="A1417" s="8" t="s">
        <v>9248</v>
      </c>
      <c r="C1417" s="7" t="s">
        <v>10273</v>
      </c>
      <c r="D1417">
        <f t="shared" si="22"/>
        <v>1</v>
      </c>
      <c r="I1417" s="1" t="s">
        <v>999</v>
      </c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25">
      <c r="A1418" s="7" t="s">
        <v>2553</v>
      </c>
      <c r="C1418" s="8" t="s">
        <v>9875</v>
      </c>
      <c r="D1418">
        <f t="shared" si="22"/>
        <v>1</v>
      </c>
      <c r="I1418" s="1" t="s">
        <v>1001</v>
      </c>
      <c r="J1418" s="1" t="s">
        <v>1019</v>
      </c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25">
      <c r="A1419" s="7" t="s">
        <v>2343</v>
      </c>
      <c r="C1419" s="7" t="s">
        <v>10556</v>
      </c>
      <c r="D1419">
        <f t="shared" si="22"/>
        <v>1</v>
      </c>
      <c r="I1419" s="1" t="s">
        <v>10934</v>
      </c>
      <c r="J1419" s="1" t="s">
        <v>2927</v>
      </c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25">
      <c r="A1420" s="7" t="s">
        <v>2343</v>
      </c>
      <c r="C1420" s="8" t="s">
        <v>10604</v>
      </c>
      <c r="D1420">
        <f t="shared" si="22"/>
        <v>1</v>
      </c>
      <c r="I1420" s="1" t="s">
        <v>50</v>
      </c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25">
      <c r="A1421" s="7" t="s">
        <v>2343</v>
      </c>
      <c r="C1421" s="7" t="s">
        <v>9732</v>
      </c>
      <c r="D1421">
        <f t="shared" si="22"/>
        <v>1</v>
      </c>
      <c r="I1421" s="1" t="s">
        <v>2927</v>
      </c>
      <c r="J1421" s="1" t="s">
        <v>998</v>
      </c>
      <c r="K1421" s="1" t="s">
        <v>933</v>
      </c>
      <c r="L1421" s="1" t="s">
        <v>994</v>
      </c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25">
      <c r="A1422" s="7" t="s">
        <v>2343</v>
      </c>
      <c r="C1422" s="7" t="s">
        <v>9722</v>
      </c>
      <c r="D1422">
        <f t="shared" si="22"/>
        <v>1</v>
      </c>
      <c r="I1422" s="1" t="s">
        <v>922</v>
      </c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25">
      <c r="A1423" s="7" t="s">
        <v>2343</v>
      </c>
      <c r="C1423" s="8" t="s">
        <v>9785</v>
      </c>
      <c r="D1423">
        <f t="shared" si="22"/>
        <v>1</v>
      </c>
      <c r="I1423" s="1" t="s">
        <v>4726</v>
      </c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25">
      <c r="A1424" s="7" t="s">
        <v>2343</v>
      </c>
      <c r="C1424" s="8" t="s">
        <v>10211</v>
      </c>
      <c r="D1424">
        <f t="shared" si="22"/>
        <v>1</v>
      </c>
      <c r="I1424" s="1" t="s">
        <v>998</v>
      </c>
      <c r="J1424" s="1" t="s">
        <v>1086</v>
      </c>
      <c r="K1424" s="1" t="s">
        <v>933</v>
      </c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25">
      <c r="A1425" s="7" t="s">
        <v>2343</v>
      </c>
      <c r="C1425" s="7" t="s">
        <v>10460</v>
      </c>
      <c r="D1425">
        <f t="shared" si="22"/>
        <v>1</v>
      </c>
      <c r="I1425" s="1" t="s">
        <v>933</v>
      </c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25">
      <c r="A1426" s="7" t="s">
        <v>2343</v>
      </c>
      <c r="C1426" s="8" t="s">
        <v>10507</v>
      </c>
      <c r="D1426">
        <f t="shared" si="22"/>
        <v>1</v>
      </c>
      <c r="I1426" s="1" t="s">
        <v>50</v>
      </c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25">
      <c r="A1427" s="7" t="s">
        <v>2343</v>
      </c>
      <c r="C1427" s="7" t="s">
        <v>4772</v>
      </c>
      <c r="D1427">
        <f t="shared" si="22"/>
        <v>1</v>
      </c>
      <c r="I1427" s="1" t="s">
        <v>923</v>
      </c>
      <c r="J1427" s="1" t="s">
        <v>998</v>
      </c>
      <c r="K1427" s="1" t="s">
        <v>1053</v>
      </c>
      <c r="L1427" s="1" t="s">
        <v>1086</v>
      </c>
      <c r="M1427" s="1" t="s">
        <v>933</v>
      </c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25">
      <c r="A1428" s="7" t="s">
        <v>2343</v>
      </c>
      <c r="C1428" s="7" t="s">
        <v>9445</v>
      </c>
      <c r="D1428">
        <f t="shared" si="22"/>
        <v>1</v>
      </c>
      <c r="I1428" s="1" t="s">
        <v>992</v>
      </c>
      <c r="J1428" s="1" t="s">
        <v>996</v>
      </c>
      <c r="K1428" s="1" t="s">
        <v>2541</v>
      </c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25">
      <c r="A1429" s="7" t="s">
        <v>2343</v>
      </c>
      <c r="C1429" s="8" t="s">
        <v>9446</v>
      </c>
      <c r="D1429">
        <f t="shared" si="22"/>
        <v>1</v>
      </c>
      <c r="I1429" s="1" t="s">
        <v>996</v>
      </c>
      <c r="J1429" s="1" t="s">
        <v>1053</v>
      </c>
      <c r="K1429" s="1" t="s">
        <v>1086</v>
      </c>
      <c r="L1429" s="1" t="s">
        <v>933</v>
      </c>
      <c r="M1429" s="1" t="s">
        <v>2541</v>
      </c>
      <c r="N1429" s="1" t="s">
        <v>10935</v>
      </c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25">
      <c r="A1430" s="7" t="s">
        <v>2343</v>
      </c>
      <c r="C1430" s="7" t="s">
        <v>10488</v>
      </c>
      <c r="D1430">
        <f t="shared" si="22"/>
        <v>1</v>
      </c>
      <c r="I1430" s="1" t="s">
        <v>918</v>
      </c>
      <c r="J1430" s="1" t="s">
        <v>927</v>
      </c>
      <c r="K1430" s="1" t="s">
        <v>919</v>
      </c>
      <c r="L1430" s="1" t="s">
        <v>936</v>
      </c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25">
      <c r="A1431" s="7" t="s">
        <v>2343</v>
      </c>
      <c r="C1431" s="8" t="s">
        <v>9746</v>
      </c>
      <c r="D1431">
        <f t="shared" si="22"/>
        <v>1</v>
      </c>
      <c r="I1431" s="1" t="s">
        <v>981</v>
      </c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25">
      <c r="A1432" s="8" t="s">
        <v>2343</v>
      </c>
      <c r="C1432" s="7" t="s">
        <v>5651</v>
      </c>
      <c r="D1432">
        <f t="shared" si="22"/>
        <v>1</v>
      </c>
      <c r="I1432" s="1" t="s">
        <v>50</v>
      </c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25">
      <c r="A1433" s="8" t="s">
        <v>2343</v>
      </c>
      <c r="C1433" s="7" t="s">
        <v>2685</v>
      </c>
      <c r="D1433">
        <f t="shared" si="22"/>
        <v>1</v>
      </c>
      <c r="I1433" s="1" t="s">
        <v>1086</v>
      </c>
      <c r="J1433" s="1" t="s">
        <v>933</v>
      </c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25">
      <c r="A1434" s="8" t="s">
        <v>10052</v>
      </c>
      <c r="C1434" s="7" t="s">
        <v>10310</v>
      </c>
      <c r="D1434">
        <f t="shared" si="22"/>
        <v>1</v>
      </c>
      <c r="I1434" s="1" t="s">
        <v>25</v>
      </c>
      <c r="J1434" s="1" t="s">
        <v>954</v>
      </c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25">
      <c r="A1435" s="8" t="s">
        <v>9145</v>
      </c>
      <c r="C1435" s="8" t="s">
        <v>9104</v>
      </c>
      <c r="D1435">
        <f t="shared" si="22"/>
        <v>1</v>
      </c>
      <c r="I1435" s="1" t="s">
        <v>933</v>
      </c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25">
      <c r="A1436" s="7" t="s">
        <v>2096</v>
      </c>
      <c r="C1436" s="8" t="s">
        <v>10470</v>
      </c>
      <c r="D1436">
        <f t="shared" si="22"/>
        <v>1</v>
      </c>
      <c r="I1436" s="1" t="s">
        <v>1069</v>
      </c>
      <c r="J1436" s="1" t="s">
        <v>933</v>
      </c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25">
      <c r="A1437" s="7" t="s">
        <v>2096</v>
      </c>
      <c r="C1437" s="8" t="s">
        <v>9151</v>
      </c>
      <c r="D1437">
        <f t="shared" si="22"/>
        <v>1</v>
      </c>
      <c r="I1437" s="1" t="s">
        <v>1053</v>
      </c>
      <c r="J1437" s="1" t="s">
        <v>2541</v>
      </c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25">
      <c r="A1438" s="7" t="s">
        <v>2096</v>
      </c>
      <c r="C1438" s="8" t="s">
        <v>10585</v>
      </c>
      <c r="D1438">
        <f t="shared" si="22"/>
        <v>1</v>
      </c>
      <c r="I1438" s="1" t="s">
        <v>933</v>
      </c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25">
      <c r="A1439" s="7" t="s">
        <v>2096</v>
      </c>
      <c r="C1439" s="7" t="s">
        <v>8850</v>
      </c>
      <c r="D1439">
        <f t="shared" si="22"/>
        <v>1</v>
      </c>
      <c r="I1439" s="1" t="s">
        <v>964</v>
      </c>
      <c r="J1439" s="1" t="s">
        <v>840</v>
      </c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25">
      <c r="A1440" s="7" t="s">
        <v>2096</v>
      </c>
      <c r="C1440" s="7" t="s">
        <v>9984</v>
      </c>
      <c r="D1440">
        <f t="shared" si="22"/>
        <v>1</v>
      </c>
      <c r="I1440" s="1" t="s">
        <v>933</v>
      </c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25">
      <c r="A1441" s="7" t="s">
        <v>9082</v>
      </c>
      <c r="C1441" s="8" t="s">
        <v>10001</v>
      </c>
      <c r="D1441">
        <f t="shared" si="22"/>
        <v>1</v>
      </c>
      <c r="I1441" s="1" t="s">
        <v>2541</v>
      </c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25">
      <c r="A1442" s="7" t="s">
        <v>9082</v>
      </c>
      <c r="C1442" s="7" t="s">
        <v>4708</v>
      </c>
      <c r="D1442">
        <f t="shared" si="22"/>
        <v>1</v>
      </c>
      <c r="I1442" s="1" t="s">
        <v>1001</v>
      </c>
      <c r="J1442" s="1" t="s">
        <v>10936</v>
      </c>
      <c r="K1442" s="1" t="s">
        <v>927</v>
      </c>
      <c r="L1442" s="1" t="s">
        <v>981</v>
      </c>
      <c r="M1442" s="1" t="s">
        <v>919</v>
      </c>
      <c r="N1442" s="1" t="s">
        <v>25</v>
      </c>
      <c r="O1442" s="1" t="s">
        <v>997</v>
      </c>
      <c r="P1442" s="1"/>
      <c r="Q1442" s="1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25">
      <c r="A1443" s="7" t="s">
        <v>557</v>
      </c>
      <c r="C1443" s="8" t="s">
        <v>9440</v>
      </c>
      <c r="D1443">
        <f t="shared" si="22"/>
        <v>1</v>
      </c>
      <c r="I1443" s="1" t="s">
        <v>948</v>
      </c>
      <c r="J1443" s="1" t="s">
        <v>1166</v>
      </c>
      <c r="K1443" s="1" t="s">
        <v>1149</v>
      </c>
      <c r="L1443" s="1" t="s">
        <v>25</v>
      </c>
      <c r="M1443" s="1" t="s">
        <v>997</v>
      </c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25">
      <c r="A1444" s="8" t="s">
        <v>10186</v>
      </c>
      <c r="C1444" s="8" t="s">
        <v>9484</v>
      </c>
      <c r="D1444">
        <f t="shared" si="22"/>
        <v>1</v>
      </c>
      <c r="I1444" s="1" t="s">
        <v>949</v>
      </c>
      <c r="J1444" s="1" t="s">
        <v>1053</v>
      </c>
      <c r="K1444" s="1" t="s">
        <v>1141</v>
      </c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25">
      <c r="A1445" s="8" t="s">
        <v>10186</v>
      </c>
      <c r="C1445" s="8" t="s">
        <v>10012</v>
      </c>
      <c r="D1445">
        <f t="shared" si="22"/>
        <v>1</v>
      </c>
      <c r="I1445" s="1" t="s">
        <v>50</v>
      </c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25">
      <c r="A1446" s="8" t="s">
        <v>10186</v>
      </c>
      <c r="C1446" s="8" t="s">
        <v>9326</v>
      </c>
      <c r="D1446">
        <f t="shared" si="22"/>
        <v>1</v>
      </c>
      <c r="I1446" s="1" t="s">
        <v>918</v>
      </c>
      <c r="J1446" s="1" t="s">
        <v>25</v>
      </c>
      <c r="K1446" s="1" t="s">
        <v>997</v>
      </c>
      <c r="L1446" s="1" t="s">
        <v>919</v>
      </c>
      <c r="M1446" s="1" t="s">
        <v>920</v>
      </c>
      <c r="N1446" s="1" t="s">
        <v>924</v>
      </c>
      <c r="O1446" s="1" t="s">
        <v>927</v>
      </c>
      <c r="P1446" s="1"/>
      <c r="Q1446" s="1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25">
      <c r="A1447" s="7" t="s">
        <v>173</v>
      </c>
      <c r="C1447" s="8" t="s">
        <v>10400</v>
      </c>
      <c r="D1447">
        <f t="shared" si="22"/>
        <v>1</v>
      </c>
      <c r="I1447" s="1" t="s">
        <v>2541</v>
      </c>
      <c r="J1447" s="1" t="s">
        <v>10805</v>
      </c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25">
      <c r="A1448" s="7" t="s">
        <v>173</v>
      </c>
      <c r="C1448" s="8" t="s">
        <v>10643</v>
      </c>
      <c r="D1448">
        <f t="shared" si="22"/>
        <v>1</v>
      </c>
      <c r="I1448" s="1" t="s">
        <v>933</v>
      </c>
      <c r="J1448" s="1" t="s">
        <v>10719</v>
      </c>
      <c r="K1448" s="1" t="s">
        <v>10937</v>
      </c>
      <c r="L1448" s="1" t="s">
        <v>923</v>
      </c>
      <c r="M1448" s="1" t="s">
        <v>973</v>
      </c>
      <c r="N1448" s="1" t="s">
        <v>1141</v>
      </c>
      <c r="O1448" s="1" t="s">
        <v>10938</v>
      </c>
      <c r="P1448" s="1"/>
      <c r="Q1448" s="1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25">
      <c r="A1449" s="7" t="s">
        <v>173</v>
      </c>
      <c r="C1449" s="7" t="s">
        <v>10490</v>
      </c>
      <c r="D1449">
        <f t="shared" si="22"/>
        <v>1</v>
      </c>
      <c r="I1449" s="1" t="s">
        <v>1069</v>
      </c>
      <c r="J1449" s="1" t="s">
        <v>25</v>
      </c>
      <c r="K1449" s="1" t="s">
        <v>923</v>
      </c>
      <c r="L1449" s="1" t="s">
        <v>920</v>
      </c>
      <c r="M1449" s="1" t="s">
        <v>933</v>
      </c>
      <c r="N1449" s="1" t="s">
        <v>954</v>
      </c>
      <c r="O1449" s="1" t="s">
        <v>974</v>
      </c>
      <c r="P1449" s="1" t="s">
        <v>921</v>
      </c>
      <c r="Q1449" s="1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25">
      <c r="A1450" s="8" t="s">
        <v>173</v>
      </c>
      <c r="C1450" s="7" t="s">
        <v>10280</v>
      </c>
      <c r="D1450">
        <f t="shared" si="22"/>
        <v>1</v>
      </c>
      <c r="I1450" s="1" t="s">
        <v>1053</v>
      </c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25">
      <c r="A1451" s="8" t="s">
        <v>173</v>
      </c>
      <c r="C1451" s="7" t="s">
        <v>9187</v>
      </c>
      <c r="D1451">
        <f t="shared" si="22"/>
        <v>1</v>
      </c>
      <c r="I1451" s="1" t="s">
        <v>948</v>
      </c>
      <c r="J1451" s="1" t="s">
        <v>1051</v>
      </c>
      <c r="K1451" s="1" t="s">
        <v>25</v>
      </c>
      <c r="L1451" s="1" t="s">
        <v>923</v>
      </c>
      <c r="M1451" s="1" t="s">
        <v>1053</v>
      </c>
      <c r="N1451" s="1" t="s">
        <v>1086</v>
      </c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25">
      <c r="A1452" s="8" t="s">
        <v>173</v>
      </c>
      <c r="C1452" s="8" t="s">
        <v>10427</v>
      </c>
      <c r="D1452">
        <f t="shared" si="22"/>
        <v>1</v>
      </c>
      <c r="I1452" s="1" t="s">
        <v>1004</v>
      </c>
      <c r="J1452" s="1" t="s">
        <v>1006</v>
      </c>
      <c r="K1452" s="1" t="s">
        <v>1007</v>
      </c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25">
      <c r="A1453" s="8" t="s">
        <v>8898</v>
      </c>
      <c r="C1453" s="8" t="s">
        <v>10420</v>
      </c>
      <c r="D1453">
        <f t="shared" si="22"/>
        <v>1</v>
      </c>
      <c r="I1453" s="1" t="s">
        <v>1004</v>
      </c>
      <c r="J1453" s="1" t="s">
        <v>1043</v>
      </c>
      <c r="K1453" s="1" t="s">
        <v>1006</v>
      </c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25">
      <c r="A1454" s="8" t="s">
        <v>8898</v>
      </c>
      <c r="C1454" s="7" t="s">
        <v>5490</v>
      </c>
      <c r="D1454">
        <f t="shared" si="22"/>
        <v>1</v>
      </c>
      <c r="I1454" s="1" t="s">
        <v>1004</v>
      </c>
      <c r="J1454" s="1" t="s">
        <v>1043</v>
      </c>
      <c r="K1454" s="1" t="s">
        <v>1006</v>
      </c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25">
      <c r="A1455" s="8" t="s">
        <v>8898</v>
      </c>
      <c r="C1455" s="7" t="s">
        <v>9400</v>
      </c>
      <c r="D1455">
        <f t="shared" si="22"/>
        <v>1</v>
      </c>
      <c r="I1455" s="1" t="s">
        <v>10936</v>
      </c>
      <c r="J1455" s="1" t="s">
        <v>1011</v>
      </c>
      <c r="K1455" s="1" t="s">
        <v>933</v>
      </c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25">
      <c r="A1456" s="7" t="s">
        <v>6044</v>
      </c>
      <c r="C1456" s="8" t="s">
        <v>9727</v>
      </c>
      <c r="D1456">
        <f t="shared" si="22"/>
        <v>1</v>
      </c>
      <c r="I1456" s="1" t="s">
        <v>964</v>
      </c>
      <c r="J1456" s="1" t="s">
        <v>90</v>
      </c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25">
      <c r="A1457" s="7" t="s">
        <v>6044</v>
      </c>
      <c r="C1457" s="8" t="s">
        <v>10289</v>
      </c>
      <c r="D1457">
        <f t="shared" si="22"/>
        <v>1</v>
      </c>
      <c r="I1457" s="1" t="s">
        <v>1066</v>
      </c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25">
      <c r="A1458" s="7" t="s">
        <v>6044</v>
      </c>
      <c r="C1458" s="7" t="s">
        <v>5316</v>
      </c>
      <c r="D1458">
        <f t="shared" si="22"/>
        <v>1</v>
      </c>
      <c r="I1458" s="1" t="s">
        <v>934</v>
      </c>
      <c r="J1458" s="1" t="s">
        <v>948</v>
      </c>
      <c r="K1458" s="1" t="s">
        <v>918</v>
      </c>
      <c r="L1458" s="1" t="s">
        <v>949</v>
      </c>
      <c r="M1458" s="1" t="s">
        <v>25</v>
      </c>
      <c r="N1458" s="1" t="s">
        <v>916</v>
      </c>
      <c r="O1458" s="1" t="s">
        <v>919</v>
      </c>
      <c r="P1458" s="1" t="s">
        <v>920</v>
      </c>
      <c r="Q1458" s="1" t="s">
        <v>328</v>
      </c>
      <c r="R1458" s="1" t="s">
        <v>950</v>
      </c>
      <c r="S1458" s="1" t="s">
        <v>921</v>
      </c>
      <c r="T1458" s="1" t="s">
        <v>923</v>
      </c>
      <c r="U1458" s="1" t="s">
        <v>973</v>
      </c>
      <c r="V1458" s="1" t="s">
        <v>954</v>
      </c>
      <c r="W1458" s="1" t="s">
        <v>974</v>
      </c>
      <c r="X1458" s="1"/>
      <c r="Y1458" s="1"/>
    </row>
    <row r="1459" spans="1:25" x14ac:dyDescent="0.25">
      <c r="A1459" s="7" t="s">
        <v>6044</v>
      </c>
      <c r="C1459" s="7" t="s">
        <v>6009</v>
      </c>
      <c r="D1459">
        <f t="shared" si="22"/>
        <v>1</v>
      </c>
      <c r="I1459" s="1" t="s">
        <v>996</v>
      </c>
      <c r="J1459" s="1" t="s">
        <v>1149</v>
      </c>
      <c r="K1459" s="1" t="s">
        <v>1053</v>
      </c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25">
      <c r="A1460" s="8" t="s">
        <v>6044</v>
      </c>
      <c r="C1460" s="7" t="s">
        <v>10065</v>
      </c>
      <c r="D1460">
        <f t="shared" si="22"/>
        <v>1</v>
      </c>
      <c r="I1460" s="1" t="s">
        <v>1149</v>
      </c>
      <c r="J1460" s="1" t="s">
        <v>25</v>
      </c>
      <c r="K1460" s="1" t="s">
        <v>923</v>
      </c>
      <c r="L1460" s="1" t="s">
        <v>997</v>
      </c>
      <c r="M1460" s="1" t="s">
        <v>1150</v>
      </c>
      <c r="N1460" s="1" t="s">
        <v>1086</v>
      </c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25">
      <c r="A1461" s="8" t="s">
        <v>10467</v>
      </c>
      <c r="C1461" s="8" t="s">
        <v>10354</v>
      </c>
      <c r="D1461">
        <f t="shared" si="22"/>
        <v>1</v>
      </c>
      <c r="I1461" s="1" t="s">
        <v>50</v>
      </c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25">
      <c r="A1462" s="7" t="s">
        <v>10067</v>
      </c>
      <c r="C1462" s="8" t="s">
        <v>9246</v>
      </c>
      <c r="D1462">
        <f t="shared" si="22"/>
        <v>1</v>
      </c>
      <c r="I1462" s="1" t="s">
        <v>50</v>
      </c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25">
      <c r="A1463" s="7" t="s">
        <v>9921</v>
      </c>
      <c r="C1463" s="7" t="s">
        <v>9327</v>
      </c>
      <c r="D1463">
        <f t="shared" si="22"/>
        <v>1</v>
      </c>
      <c r="I1463" s="1" t="s">
        <v>25</v>
      </c>
      <c r="J1463" s="1" t="s">
        <v>923</v>
      </c>
      <c r="K1463" s="1" t="s">
        <v>920</v>
      </c>
      <c r="L1463" s="1" t="s">
        <v>933</v>
      </c>
      <c r="M1463" s="1" t="s">
        <v>921</v>
      </c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25">
      <c r="A1464" s="7" t="s">
        <v>9921</v>
      </c>
      <c r="C1464" s="7" t="s">
        <v>5341</v>
      </c>
      <c r="D1464">
        <f t="shared" si="22"/>
        <v>1</v>
      </c>
      <c r="I1464" s="1" t="s">
        <v>1070</v>
      </c>
      <c r="J1464" s="1" t="s">
        <v>976</v>
      </c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25">
      <c r="A1465" s="7" t="s">
        <v>467</v>
      </c>
      <c r="C1465" s="8" t="s">
        <v>9648</v>
      </c>
      <c r="D1465">
        <f t="shared" si="22"/>
        <v>1</v>
      </c>
      <c r="I1465" s="1" t="s">
        <v>927</v>
      </c>
      <c r="J1465" s="1" t="s">
        <v>981</v>
      </c>
      <c r="K1465" s="1" t="s">
        <v>999</v>
      </c>
      <c r="L1465" s="1" t="s">
        <v>921</v>
      </c>
      <c r="M1465" s="1" t="s">
        <v>993</v>
      </c>
      <c r="N1465" s="1" t="s">
        <v>10722</v>
      </c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25">
      <c r="A1466" s="7" t="s">
        <v>2375</v>
      </c>
      <c r="C1466" s="8" t="s">
        <v>9232</v>
      </c>
      <c r="D1466">
        <f t="shared" si="22"/>
        <v>1</v>
      </c>
      <c r="I1466" s="1" t="s">
        <v>981</v>
      </c>
      <c r="J1466" s="1" t="s">
        <v>993</v>
      </c>
      <c r="K1466" s="1" t="s">
        <v>927</v>
      </c>
      <c r="L1466" s="1" t="s">
        <v>960</v>
      </c>
      <c r="M1466" s="1" t="s">
        <v>961</v>
      </c>
      <c r="N1466" s="1" t="s">
        <v>1147</v>
      </c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25">
      <c r="A1467" s="7" t="s">
        <v>2375</v>
      </c>
      <c r="C1467" s="7" t="s">
        <v>9822</v>
      </c>
      <c r="D1467">
        <f t="shared" si="22"/>
        <v>1</v>
      </c>
      <c r="I1467" s="1" t="s">
        <v>25</v>
      </c>
      <c r="J1467" s="1" t="s">
        <v>923</v>
      </c>
      <c r="K1467" s="1" t="s">
        <v>920</v>
      </c>
      <c r="L1467" s="1" t="s">
        <v>948</v>
      </c>
      <c r="M1467" s="1" t="s">
        <v>1069</v>
      </c>
      <c r="N1467" s="1" t="s">
        <v>1070</v>
      </c>
      <c r="O1467" s="1" t="s">
        <v>916</v>
      </c>
      <c r="P1467" s="1" t="s">
        <v>1078</v>
      </c>
      <c r="Q1467" s="1" t="s">
        <v>980</v>
      </c>
      <c r="R1467" s="1" t="s">
        <v>919</v>
      </c>
      <c r="S1467" s="1" t="s">
        <v>921</v>
      </c>
      <c r="T1467" s="1" t="s">
        <v>927</v>
      </c>
      <c r="U1467" s="1"/>
      <c r="V1467" s="1"/>
      <c r="W1467" s="1"/>
      <c r="X1467" s="1"/>
      <c r="Y1467" s="1"/>
    </row>
    <row r="1468" spans="1:25" x14ac:dyDescent="0.25">
      <c r="A1468" s="7" t="s">
        <v>2375</v>
      </c>
      <c r="C1468" s="7" t="s">
        <v>4364</v>
      </c>
      <c r="D1468">
        <f t="shared" si="22"/>
        <v>1</v>
      </c>
      <c r="I1468" s="1" t="s">
        <v>25</v>
      </c>
      <c r="J1468" s="1" t="s">
        <v>923</v>
      </c>
      <c r="K1468" s="1" t="s">
        <v>920</v>
      </c>
      <c r="L1468" s="1" t="s">
        <v>948</v>
      </c>
      <c r="M1468" s="1" t="s">
        <v>1069</v>
      </c>
      <c r="N1468" s="1" t="s">
        <v>1070</v>
      </c>
      <c r="O1468" s="1" t="s">
        <v>916</v>
      </c>
      <c r="P1468" s="1" t="s">
        <v>1078</v>
      </c>
      <c r="Q1468" s="1" t="s">
        <v>980</v>
      </c>
      <c r="R1468" s="1" t="s">
        <v>919</v>
      </c>
      <c r="S1468" s="1" t="s">
        <v>921</v>
      </c>
      <c r="T1468" s="1" t="s">
        <v>927</v>
      </c>
      <c r="U1468" s="1" t="s">
        <v>933</v>
      </c>
      <c r="V1468" s="1"/>
      <c r="W1468" s="1"/>
      <c r="X1468" s="1"/>
      <c r="Y1468" s="1"/>
    </row>
    <row r="1469" spans="1:25" x14ac:dyDescent="0.25">
      <c r="A1469" s="7" t="s">
        <v>2375</v>
      </c>
      <c r="C1469" s="7" t="s">
        <v>9592</v>
      </c>
      <c r="D1469">
        <f t="shared" si="22"/>
        <v>1</v>
      </c>
      <c r="I1469" s="1" t="s">
        <v>1052</v>
      </c>
      <c r="J1469" s="1" t="s">
        <v>25</v>
      </c>
      <c r="K1469" s="1" t="s">
        <v>923</v>
      </c>
      <c r="L1469" s="1" t="s">
        <v>1086</v>
      </c>
      <c r="M1469" s="1" t="s">
        <v>948</v>
      </c>
      <c r="N1469" s="1" t="s">
        <v>1069</v>
      </c>
      <c r="O1469" s="1" t="s">
        <v>1070</v>
      </c>
      <c r="P1469" s="1"/>
      <c r="Q1469" s="1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25">
      <c r="A1470" s="7" t="s">
        <v>2375</v>
      </c>
      <c r="C1470" s="8" t="s">
        <v>10442</v>
      </c>
      <c r="D1470">
        <f t="shared" si="22"/>
        <v>1</v>
      </c>
      <c r="I1470" s="1" t="s">
        <v>918</v>
      </c>
      <c r="J1470" s="1" t="s">
        <v>927</v>
      </c>
      <c r="K1470" s="1" t="s">
        <v>10774</v>
      </c>
      <c r="L1470" s="1" t="s">
        <v>928</v>
      </c>
      <c r="M1470" s="1" t="s">
        <v>1059</v>
      </c>
      <c r="N1470" s="1" t="s">
        <v>10821</v>
      </c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25">
      <c r="A1471" s="7" t="s">
        <v>2375</v>
      </c>
      <c r="C1471" s="8" t="s">
        <v>10104</v>
      </c>
      <c r="D1471">
        <f t="shared" si="22"/>
        <v>1</v>
      </c>
      <c r="I1471" s="1" t="s">
        <v>918</v>
      </c>
      <c r="J1471" s="1" t="s">
        <v>927</v>
      </c>
      <c r="K1471" s="1" t="s">
        <v>1136</v>
      </c>
      <c r="L1471" s="1" t="s">
        <v>1137</v>
      </c>
      <c r="M1471" s="1" t="s">
        <v>960</v>
      </c>
      <c r="N1471" s="1" t="s">
        <v>961</v>
      </c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25">
      <c r="A1472" s="7" t="s">
        <v>2375</v>
      </c>
      <c r="C1472" s="8" t="s">
        <v>10103</v>
      </c>
      <c r="D1472">
        <f t="shared" si="22"/>
        <v>1</v>
      </c>
      <c r="I1472" s="1" t="s">
        <v>1004</v>
      </c>
      <c r="J1472" s="1" t="s">
        <v>1043</v>
      </c>
      <c r="K1472" s="1" t="s">
        <v>1006</v>
      </c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25">
      <c r="A1473" s="7" t="s">
        <v>2375</v>
      </c>
      <c r="C1473" s="7" t="s">
        <v>10583</v>
      </c>
      <c r="D1473">
        <f t="shared" si="22"/>
        <v>1</v>
      </c>
      <c r="I1473" s="1" t="s">
        <v>1004</v>
      </c>
      <c r="J1473" s="1" t="s">
        <v>1043</v>
      </c>
      <c r="K1473" s="1" t="s">
        <v>1006</v>
      </c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25">
      <c r="A1474" s="7" t="s">
        <v>2375</v>
      </c>
      <c r="C1474" s="8" t="s">
        <v>9121</v>
      </c>
      <c r="D1474">
        <f t="shared" ref="D1474:D1537" si="23">COUNTIF(A:A,C1474)</f>
        <v>1</v>
      </c>
      <c r="I1474" s="1" t="s">
        <v>25</v>
      </c>
      <c r="J1474" s="1" t="s">
        <v>927</v>
      </c>
      <c r="K1474" s="1" t="s">
        <v>919</v>
      </c>
      <c r="L1474" s="1" t="s">
        <v>920</v>
      </c>
      <c r="M1474" s="1" t="s">
        <v>921</v>
      </c>
      <c r="N1474" s="1" t="s">
        <v>925</v>
      </c>
      <c r="O1474" s="1" t="s">
        <v>918</v>
      </c>
      <c r="P1474" s="1" t="s">
        <v>10813</v>
      </c>
      <c r="Q1474" s="1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25">
      <c r="A1475" s="7" t="s">
        <v>2375</v>
      </c>
      <c r="C1475" s="8" t="s">
        <v>9724</v>
      </c>
      <c r="D1475">
        <f t="shared" si="23"/>
        <v>1</v>
      </c>
      <c r="I1475" s="1" t="s">
        <v>918</v>
      </c>
      <c r="J1475" s="1" t="s">
        <v>919</v>
      </c>
      <c r="K1475" s="1" t="s">
        <v>929</v>
      </c>
      <c r="L1475" s="1" t="s">
        <v>1002</v>
      </c>
      <c r="M1475" s="1" t="s">
        <v>1048</v>
      </c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25">
      <c r="A1476" s="7" t="s">
        <v>2375</v>
      </c>
      <c r="C1476" s="8" t="s">
        <v>9250</v>
      </c>
      <c r="D1476">
        <f t="shared" si="23"/>
        <v>1</v>
      </c>
      <c r="I1476" s="1" t="s">
        <v>918</v>
      </c>
      <c r="J1476" s="1" t="s">
        <v>919</v>
      </c>
      <c r="K1476" s="1" t="s">
        <v>929</v>
      </c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25">
      <c r="A1477" s="7" t="s">
        <v>2375</v>
      </c>
      <c r="C1477" s="8" t="s">
        <v>9617</v>
      </c>
      <c r="D1477">
        <f t="shared" si="23"/>
        <v>1</v>
      </c>
      <c r="I1477" s="1" t="s">
        <v>918</v>
      </c>
      <c r="J1477" s="1" t="s">
        <v>919</v>
      </c>
      <c r="K1477" s="1" t="s">
        <v>929</v>
      </c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25">
      <c r="A1478" s="7" t="s">
        <v>2375</v>
      </c>
      <c r="C1478" s="8" t="s">
        <v>9251</v>
      </c>
      <c r="D1478">
        <f t="shared" si="23"/>
        <v>1</v>
      </c>
      <c r="I1478" s="1" t="s">
        <v>918</v>
      </c>
      <c r="J1478" s="1" t="s">
        <v>919</v>
      </c>
      <c r="K1478" s="1" t="s">
        <v>929</v>
      </c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25">
      <c r="A1479" s="7" t="s">
        <v>2375</v>
      </c>
      <c r="C1479" s="8" t="s">
        <v>9411</v>
      </c>
      <c r="D1479">
        <f t="shared" si="23"/>
        <v>1</v>
      </c>
      <c r="I1479" s="1" t="s">
        <v>1066</v>
      </c>
      <c r="J1479" s="1" t="s">
        <v>10939</v>
      </c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25">
      <c r="A1480" s="7" t="s">
        <v>2375</v>
      </c>
      <c r="C1480" s="8" t="s">
        <v>10637</v>
      </c>
      <c r="D1480">
        <f t="shared" si="23"/>
        <v>1</v>
      </c>
      <c r="I1480" s="1" t="s">
        <v>927</v>
      </c>
      <c r="J1480" s="1" t="s">
        <v>919</v>
      </c>
      <c r="K1480" s="1" t="s">
        <v>1001</v>
      </c>
      <c r="L1480" s="1" t="s">
        <v>981</v>
      </c>
      <c r="M1480" s="1" t="s">
        <v>921</v>
      </c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25">
      <c r="A1481" s="7" t="s">
        <v>2375</v>
      </c>
      <c r="C1481" s="7" t="s">
        <v>9374</v>
      </c>
      <c r="D1481">
        <f t="shared" si="23"/>
        <v>1</v>
      </c>
      <c r="I1481" s="1" t="s">
        <v>923</v>
      </c>
      <c r="J1481" s="1" t="s">
        <v>1053</v>
      </c>
      <c r="K1481" s="1" t="s">
        <v>933</v>
      </c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25">
      <c r="A1482" s="7" t="s">
        <v>2375</v>
      </c>
      <c r="C1482" s="7" t="s">
        <v>9487</v>
      </c>
      <c r="D1482">
        <f t="shared" si="23"/>
        <v>1</v>
      </c>
      <c r="I1482" s="1" t="s">
        <v>996</v>
      </c>
      <c r="J1482" s="1" t="s">
        <v>1149</v>
      </c>
      <c r="K1482" s="1" t="s">
        <v>1053</v>
      </c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25">
      <c r="A1483" s="7" t="s">
        <v>2375</v>
      </c>
      <c r="C1483" s="8" t="s">
        <v>9553</v>
      </c>
      <c r="D1483">
        <f t="shared" si="23"/>
        <v>1</v>
      </c>
      <c r="I1483" s="1" t="s">
        <v>50</v>
      </c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25">
      <c r="A1484" s="7" t="s">
        <v>2375</v>
      </c>
      <c r="C1484" s="8" t="s">
        <v>9308</v>
      </c>
      <c r="D1484">
        <f t="shared" si="23"/>
        <v>1</v>
      </c>
      <c r="I1484" s="1" t="s">
        <v>927</v>
      </c>
      <c r="J1484" s="1" t="s">
        <v>981</v>
      </c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25">
      <c r="A1485" s="7" t="s">
        <v>2375</v>
      </c>
      <c r="C1485" s="8" t="s">
        <v>9525</v>
      </c>
      <c r="D1485">
        <f t="shared" si="23"/>
        <v>1</v>
      </c>
      <c r="I1485" s="1" t="s">
        <v>1053</v>
      </c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25">
      <c r="A1486" s="7" t="s">
        <v>2375</v>
      </c>
      <c r="C1486" s="7" t="s">
        <v>124</v>
      </c>
      <c r="D1486">
        <f t="shared" si="23"/>
        <v>1</v>
      </c>
      <c r="I1486" s="1" t="s">
        <v>981</v>
      </c>
      <c r="J1486" s="1" t="s">
        <v>1019</v>
      </c>
      <c r="K1486" s="1" t="s">
        <v>983</v>
      </c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25">
      <c r="A1487" s="8" t="s">
        <v>2375</v>
      </c>
      <c r="C1487" s="8" t="s">
        <v>7456</v>
      </c>
      <c r="D1487">
        <f t="shared" si="23"/>
        <v>1</v>
      </c>
      <c r="I1487" s="1" t="s">
        <v>933</v>
      </c>
      <c r="J1487" s="1" t="s">
        <v>1001</v>
      </c>
      <c r="K1487" s="1" t="s">
        <v>927</v>
      </c>
      <c r="L1487" s="1" t="s">
        <v>992</v>
      </c>
      <c r="M1487" s="1" t="s">
        <v>978</v>
      </c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25">
      <c r="A1488" s="8" t="s">
        <v>2375</v>
      </c>
      <c r="C1488" s="7" t="s">
        <v>8372</v>
      </c>
      <c r="D1488">
        <f t="shared" si="23"/>
        <v>1</v>
      </c>
      <c r="I1488" s="1" t="s">
        <v>933</v>
      </c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25">
      <c r="A1489" s="8" t="s">
        <v>2375</v>
      </c>
      <c r="C1489" s="8" t="s">
        <v>10689</v>
      </c>
      <c r="D1489">
        <f t="shared" si="23"/>
        <v>1</v>
      </c>
      <c r="I1489" s="1" t="s">
        <v>25</v>
      </c>
      <c r="J1489" s="1" t="s">
        <v>927</v>
      </c>
      <c r="K1489" s="1" t="s">
        <v>981</v>
      </c>
      <c r="L1489" s="1" t="s">
        <v>920</v>
      </c>
      <c r="M1489" s="1" t="s">
        <v>933</v>
      </c>
      <c r="N1489" s="1" t="s">
        <v>921</v>
      </c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25">
      <c r="A1490" s="7" t="s">
        <v>8152</v>
      </c>
      <c r="C1490" s="7" t="s">
        <v>9710</v>
      </c>
      <c r="D1490">
        <f t="shared" si="23"/>
        <v>1</v>
      </c>
      <c r="I1490" s="1" t="s">
        <v>50</v>
      </c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25">
      <c r="A1491" s="7" t="s">
        <v>8152</v>
      </c>
      <c r="C1491" s="8" t="s">
        <v>9390</v>
      </c>
      <c r="D1491">
        <f t="shared" si="23"/>
        <v>1</v>
      </c>
      <c r="I1491" s="1" t="s">
        <v>1030</v>
      </c>
      <c r="J1491" s="1" t="s">
        <v>1013</v>
      </c>
      <c r="K1491" s="1" t="s">
        <v>919</v>
      </c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25">
      <c r="A1492" s="7" t="s">
        <v>3496</v>
      </c>
      <c r="C1492" s="7" t="s">
        <v>10544</v>
      </c>
      <c r="D1492">
        <f t="shared" si="23"/>
        <v>1</v>
      </c>
      <c r="I1492" s="1" t="s">
        <v>1030</v>
      </c>
      <c r="J1492" s="1" t="s">
        <v>1013</v>
      </c>
      <c r="K1492" s="1" t="s">
        <v>919</v>
      </c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25">
      <c r="A1493" s="7" t="s">
        <v>3496</v>
      </c>
      <c r="C1493" s="7" t="s">
        <v>9101</v>
      </c>
      <c r="D1493">
        <f t="shared" si="23"/>
        <v>1</v>
      </c>
      <c r="I1493" s="1" t="s">
        <v>50</v>
      </c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25">
      <c r="A1494" s="7" t="s">
        <v>3496</v>
      </c>
      <c r="C1494" s="8" t="s">
        <v>9216</v>
      </c>
      <c r="D1494">
        <f t="shared" si="23"/>
        <v>1</v>
      </c>
      <c r="I1494" s="1" t="s">
        <v>992</v>
      </c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25">
      <c r="A1495" s="7" t="s">
        <v>3496</v>
      </c>
      <c r="C1495" s="8" t="s">
        <v>10615</v>
      </c>
      <c r="D1495">
        <f t="shared" si="23"/>
        <v>1</v>
      </c>
      <c r="I1495" s="1" t="s">
        <v>50</v>
      </c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25">
      <c r="A1496" s="7" t="s">
        <v>3496</v>
      </c>
      <c r="C1496" s="7" t="s">
        <v>9219</v>
      </c>
      <c r="D1496">
        <f t="shared" si="23"/>
        <v>1</v>
      </c>
      <c r="I1496" s="1" t="s">
        <v>931</v>
      </c>
      <c r="J1496" s="1" t="s">
        <v>948</v>
      </c>
      <c r="K1496" s="1" t="s">
        <v>25</v>
      </c>
      <c r="L1496" s="1" t="s">
        <v>923</v>
      </c>
      <c r="M1496" s="1" t="s">
        <v>997</v>
      </c>
      <c r="N1496" s="1" t="s">
        <v>920</v>
      </c>
      <c r="O1496" s="1" t="s">
        <v>994</v>
      </c>
      <c r="P1496" s="1" t="s">
        <v>918</v>
      </c>
      <c r="Q1496" s="1" t="s">
        <v>1148</v>
      </c>
      <c r="R1496" s="1" t="s">
        <v>927</v>
      </c>
      <c r="S1496" s="1" t="s">
        <v>1086</v>
      </c>
      <c r="T1496" s="1"/>
      <c r="U1496" s="1"/>
      <c r="V1496" s="1"/>
      <c r="W1496" s="1"/>
      <c r="X1496" s="1"/>
      <c r="Y1496" s="1"/>
    </row>
    <row r="1497" spans="1:25" x14ac:dyDescent="0.25">
      <c r="A1497" s="7" t="s">
        <v>3496</v>
      </c>
      <c r="C1497" s="8" t="s">
        <v>10607</v>
      </c>
      <c r="D1497">
        <f t="shared" si="23"/>
        <v>1</v>
      </c>
      <c r="I1497" s="1" t="s">
        <v>4887</v>
      </c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25">
      <c r="A1498" s="7" t="s">
        <v>3496</v>
      </c>
      <c r="C1498" s="8" t="s">
        <v>9290</v>
      </c>
      <c r="D1498">
        <f t="shared" si="23"/>
        <v>1</v>
      </c>
      <c r="I1498" s="1" t="s">
        <v>1053</v>
      </c>
      <c r="J1498" s="1" t="s">
        <v>1086</v>
      </c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25">
      <c r="A1499" s="7" t="s">
        <v>3496</v>
      </c>
      <c r="C1499" s="8" t="s">
        <v>10160</v>
      </c>
      <c r="D1499">
        <f t="shared" si="23"/>
        <v>1</v>
      </c>
      <c r="I1499" s="1" t="s">
        <v>948</v>
      </c>
      <c r="J1499" s="1" t="s">
        <v>932</v>
      </c>
      <c r="K1499" s="1" t="s">
        <v>25</v>
      </c>
      <c r="L1499" s="1" t="s">
        <v>923</v>
      </c>
      <c r="M1499" s="1" t="s">
        <v>916</v>
      </c>
      <c r="N1499" s="1" t="s">
        <v>933</v>
      </c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25">
      <c r="A1500" s="7" t="s">
        <v>3496</v>
      </c>
      <c r="C1500" s="7" t="s">
        <v>9673</v>
      </c>
      <c r="D1500">
        <f t="shared" si="23"/>
        <v>1</v>
      </c>
      <c r="I1500" s="1" t="s">
        <v>933</v>
      </c>
      <c r="J1500" s="1" t="s">
        <v>25</v>
      </c>
      <c r="K1500" s="1" t="s">
        <v>927</v>
      </c>
      <c r="L1500" s="1" t="s">
        <v>920</v>
      </c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25">
      <c r="A1501" s="7" t="s">
        <v>3496</v>
      </c>
      <c r="C1501" s="8" t="s">
        <v>10533</v>
      </c>
      <c r="D1501">
        <f t="shared" si="23"/>
        <v>1</v>
      </c>
      <c r="I1501" s="1" t="s">
        <v>1086</v>
      </c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25">
      <c r="A1502" s="7" t="s">
        <v>3496</v>
      </c>
      <c r="C1502" s="7" t="s">
        <v>9653</v>
      </c>
      <c r="D1502">
        <f t="shared" si="23"/>
        <v>1</v>
      </c>
      <c r="I1502" s="1" t="s">
        <v>996</v>
      </c>
      <c r="J1502" s="1" t="s">
        <v>1053</v>
      </c>
      <c r="K1502" s="1" t="s">
        <v>2541</v>
      </c>
      <c r="L1502" s="1" t="s">
        <v>10940</v>
      </c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25">
      <c r="A1503" s="7" t="s">
        <v>3496</v>
      </c>
      <c r="C1503" s="7" t="s">
        <v>40</v>
      </c>
      <c r="D1503">
        <f t="shared" si="23"/>
        <v>1</v>
      </c>
      <c r="I1503" s="1" t="s">
        <v>10941</v>
      </c>
      <c r="J1503" s="1" t="s">
        <v>10942</v>
      </c>
      <c r="K1503" s="1" t="s">
        <v>10943</v>
      </c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25">
      <c r="A1504" s="7" t="s">
        <v>3496</v>
      </c>
      <c r="C1504" s="8" t="s">
        <v>8847</v>
      </c>
      <c r="D1504">
        <f t="shared" si="23"/>
        <v>1</v>
      </c>
      <c r="I1504" s="1" t="s">
        <v>981</v>
      </c>
      <c r="J1504" s="1" t="s">
        <v>939</v>
      </c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25">
      <c r="A1505" s="7" t="s">
        <v>3496</v>
      </c>
      <c r="C1505" s="7" t="s">
        <v>10414</v>
      </c>
      <c r="D1505">
        <f t="shared" si="23"/>
        <v>1</v>
      </c>
      <c r="I1505" s="1" t="s">
        <v>981</v>
      </c>
      <c r="J1505" s="1" t="s">
        <v>939</v>
      </c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25">
      <c r="A1506" s="8" t="s">
        <v>3496</v>
      </c>
      <c r="C1506" s="7" t="s">
        <v>9751</v>
      </c>
      <c r="D1506">
        <f t="shared" si="23"/>
        <v>1</v>
      </c>
      <c r="I1506" s="1" t="s">
        <v>2214</v>
      </c>
      <c r="J1506" s="1" t="s">
        <v>10784</v>
      </c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25">
      <c r="A1507" s="8" t="s">
        <v>3496</v>
      </c>
      <c r="C1507" s="7" t="s">
        <v>10286</v>
      </c>
      <c r="D1507">
        <f t="shared" si="23"/>
        <v>1</v>
      </c>
      <c r="I1507" s="1" t="s">
        <v>971</v>
      </c>
      <c r="J1507" s="1" t="s">
        <v>1011</v>
      </c>
      <c r="K1507" s="1" t="s">
        <v>10819</v>
      </c>
      <c r="L1507" s="1" t="s">
        <v>920</v>
      </c>
      <c r="M1507" s="1" t="s">
        <v>921</v>
      </c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25">
      <c r="A1508" s="8" t="s">
        <v>3496</v>
      </c>
      <c r="C1508" s="7" t="s">
        <v>2600</v>
      </c>
      <c r="D1508">
        <f t="shared" si="23"/>
        <v>1</v>
      </c>
      <c r="I1508" s="1" t="s">
        <v>971</v>
      </c>
      <c r="J1508" s="1" t="s">
        <v>1011</v>
      </c>
      <c r="K1508" s="1" t="s">
        <v>10819</v>
      </c>
      <c r="L1508" s="1" t="s">
        <v>920</v>
      </c>
      <c r="M1508" s="1" t="s">
        <v>921</v>
      </c>
      <c r="N1508" s="1" t="s">
        <v>1019</v>
      </c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25">
      <c r="A1509" s="8" t="s">
        <v>3496</v>
      </c>
      <c r="C1509" s="8" t="s">
        <v>9132</v>
      </c>
      <c r="D1509">
        <f t="shared" si="23"/>
        <v>1</v>
      </c>
      <c r="I1509" s="1" t="s">
        <v>1041</v>
      </c>
      <c r="J1509" s="1" t="s">
        <v>1091</v>
      </c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25">
      <c r="A1510" s="8" t="s">
        <v>3496</v>
      </c>
      <c r="C1510" s="8" t="s">
        <v>10361</v>
      </c>
      <c r="D1510">
        <f t="shared" si="23"/>
        <v>1</v>
      </c>
      <c r="I1510" s="1" t="s">
        <v>1061</v>
      </c>
      <c r="J1510" s="1" t="s">
        <v>10944</v>
      </c>
      <c r="K1510" s="1" t="s">
        <v>1020</v>
      </c>
      <c r="L1510" s="1" t="s">
        <v>10732</v>
      </c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25">
      <c r="A1511" s="8" t="s">
        <v>3496</v>
      </c>
      <c r="C1511" s="8" t="s">
        <v>9311</v>
      </c>
      <c r="D1511">
        <f t="shared" si="23"/>
        <v>1</v>
      </c>
      <c r="I1511" s="1" t="s">
        <v>1041</v>
      </c>
      <c r="J1511" s="1" t="s">
        <v>1091</v>
      </c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25">
      <c r="A1512" s="8" t="s">
        <v>3496</v>
      </c>
      <c r="C1512" s="8" t="s">
        <v>9109</v>
      </c>
      <c r="D1512">
        <f t="shared" si="23"/>
        <v>1</v>
      </c>
      <c r="I1512" s="1" t="s">
        <v>925</v>
      </c>
      <c r="J1512" s="1" t="s">
        <v>918</v>
      </c>
      <c r="K1512" s="1" t="s">
        <v>927</v>
      </c>
      <c r="L1512" s="1" t="s">
        <v>928</v>
      </c>
      <c r="M1512" s="1" t="s">
        <v>8195</v>
      </c>
      <c r="N1512" s="1" t="s">
        <v>919</v>
      </c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25">
      <c r="A1513" s="8" t="s">
        <v>3496</v>
      </c>
      <c r="C1513" s="8" t="s">
        <v>8927</v>
      </c>
      <c r="D1513">
        <f t="shared" si="23"/>
        <v>1</v>
      </c>
      <c r="I1513" s="1" t="s">
        <v>925</v>
      </c>
      <c r="J1513" s="1" t="s">
        <v>918</v>
      </c>
      <c r="K1513" s="1" t="s">
        <v>927</v>
      </c>
      <c r="L1513" s="1" t="s">
        <v>928</v>
      </c>
      <c r="M1513" s="1" t="s">
        <v>8195</v>
      </c>
      <c r="N1513" s="1" t="s">
        <v>919</v>
      </c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25">
      <c r="A1514" s="7" t="s">
        <v>2991</v>
      </c>
      <c r="C1514" s="8" t="s">
        <v>9345</v>
      </c>
      <c r="D1514">
        <f t="shared" si="23"/>
        <v>1</v>
      </c>
      <c r="I1514" s="1" t="s">
        <v>50</v>
      </c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25">
      <c r="A1515" s="7" t="s">
        <v>2991</v>
      </c>
      <c r="C1515" s="8" t="s">
        <v>10180</v>
      </c>
      <c r="D1515">
        <f t="shared" si="23"/>
        <v>1</v>
      </c>
      <c r="I1515" s="1" t="s">
        <v>25</v>
      </c>
      <c r="J1515" s="1" t="s">
        <v>923</v>
      </c>
      <c r="K1515" s="1" t="s">
        <v>927</v>
      </c>
      <c r="L1515" s="1" t="s">
        <v>919</v>
      </c>
      <c r="M1515" s="1" t="s">
        <v>920</v>
      </c>
      <c r="N1515" s="1" t="s">
        <v>921</v>
      </c>
      <c r="O1515" s="1" t="s">
        <v>1001</v>
      </c>
      <c r="P1515" s="1" t="s">
        <v>998</v>
      </c>
      <c r="Q1515" s="1" t="s">
        <v>992</v>
      </c>
      <c r="R1515" s="1" t="s">
        <v>981</v>
      </c>
      <c r="S1515" s="1" t="s">
        <v>939</v>
      </c>
      <c r="T1515" s="1" t="s">
        <v>1066</v>
      </c>
      <c r="U1515" s="1" t="s">
        <v>993</v>
      </c>
      <c r="V1515" s="1" t="s">
        <v>994</v>
      </c>
      <c r="W1515" s="1"/>
      <c r="X1515" s="1"/>
      <c r="Y1515" s="1"/>
    </row>
    <row r="1516" spans="1:25" x14ac:dyDescent="0.25">
      <c r="A1516" s="7" t="s">
        <v>2991</v>
      </c>
      <c r="C1516" s="7" t="s">
        <v>3686</v>
      </c>
      <c r="D1516">
        <f t="shared" si="23"/>
        <v>1</v>
      </c>
      <c r="I1516" s="1" t="s">
        <v>925</v>
      </c>
      <c r="J1516" s="1" t="s">
        <v>918</v>
      </c>
      <c r="K1516" s="1" t="s">
        <v>927</v>
      </c>
      <c r="L1516" s="1" t="s">
        <v>928</v>
      </c>
      <c r="M1516" s="1" t="s">
        <v>8195</v>
      </c>
      <c r="N1516" s="1" t="s">
        <v>919</v>
      </c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25">
      <c r="A1517" s="7" t="s">
        <v>2991</v>
      </c>
      <c r="C1517" s="7" t="s">
        <v>9630</v>
      </c>
      <c r="D1517">
        <f t="shared" si="23"/>
        <v>1</v>
      </c>
      <c r="I1517" s="1" t="s">
        <v>925</v>
      </c>
      <c r="J1517" s="1" t="s">
        <v>918</v>
      </c>
      <c r="K1517" s="1" t="s">
        <v>927</v>
      </c>
      <c r="L1517" s="1" t="s">
        <v>928</v>
      </c>
      <c r="M1517" s="1" t="s">
        <v>8195</v>
      </c>
      <c r="N1517" s="1" t="s">
        <v>919</v>
      </c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25">
      <c r="A1518" s="8" t="s">
        <v>2991</v>
      </c>
      <c r="C1518" s="7" t="s">
        <v>10635</v>
      </c>
      <c r="D1518">
        <f t="shared" si="23"/>
        <v>1</v>
      </c>
      <c r="I1518" s="1" t="s">
        <v>925</v>
      </c>
      <c r="J1518" s="1" t="s">
        <v>918</v>
      </c>
      <c r="K1518" s="1" t="s">
        <v>927</v>
      </c>
      <c r="L1518" s="1" t="s">
        <v>928</v>
      </c>
      <c r="M1518" s="1" t="s">
        <v>8195</v>
      </c>
      <c r="N1518" s="1" t="s">
        <v>919</v>
      </c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25">
      <c r="A1519" s="8" t="s">
        <v>2991</v>
      </c>
      <c r="C1519" s="7" t="s">
        <v>4474</v>
      </c>
      <c r="D1519">
        <f t="shared" si="23"/>
        <v>1</v>
      </c>
      <c r="I1519" s="1" t="s">
        <v>925</v>
      </c>
      <c r="J1519" s="1" t="s">
        <v>918</v>
      </c>
      <c r="K1519" s="1" t="s">
        <v>927</v>
      </c>
      <c r="L1519" s="1" t="s">
        <v>928</v>
      </c>
      <c r="M1519" s="1" t="s">
        <v>8195</v>
      </c>
      <c r="N1519" s="1" t="s">
        <v>919</v>
      </c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25">
      <c r="A1520" s="8" t="s">
        <v>8968</v>
      </c>
      <c r="C1520" s="7" t="s">
        <v>2157</v>
      </c>
      <c r="D1520">
        <f t="shared" si="23"/>
        <v>1</v>
      </c>
      <c r="I1520" s="1" t="s">
        <v>971</v>
      </c>
      <c r="J1520" s="1" t="s">
        <v>1011</v>
      </c>
      <c r="K1520" s="1" t="s">
        <v>10819</v>
      </c>
      <c r="L1520" s="1" t="s">
        <v>920</v>
      </c>
      <c r="M1520" s="1" t="s">
        <v>921</v>
      </c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25">
      <c r="A1521" s="8" t="s">
        <v>9766</v>
      </c>
      <c r="C1521" s="8" t="s">
        <v>9344</v>
      </c>
      <c r="D1521">
        <f t="shared" si="23"/>
        <v>1</v>
      </c>
      <c r="I1521" s="1" t="s">
        <v>4272</v>
      </c>
      <c r="J1521" s="1" t="s">
        <v>940</v>
      </c>
      <c r="K1521" s="1" t="s">
        <v>921</v>
      </c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25">
      <c r="A1522" s="7" t="s">
        <v>9899</v>
      </c>
      <c r="C1522" s="8" t="s">
        <v>9873</v>
      </c>
      <c r="D1522">
        <f t="shared" si="23"/>
        <v>1</v>
      </c>
      <c r="I1522" s="1" t="s">
        <v>4272</v>
      </c>
      <c r="J1522" s="1" t="s">
        <v>940</v>
      </c>
      <c r="K1522" s="1" t="s">
        <v>921</v>
      </c>
      <c r="L1522" s="1" t="s">
        <v>1097</v>
      </c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25">
      <c r="A1523" s="7" t="s">
        <v>7394</v>
      </c>
      <c r="C1523" s="7" t="s">
        <v>9555</v>
      </c>
      <c r="D1523">
        <f t="shared" si="23"/>
        <v>1</v>
      </c>
      <c r="I1523" s="1" t="s">
        <v>1069</v>
      </c>
      <c r="J1523" s="1" t="s">
        <v>918</v>
      </c>
      <c r="K1523" s="1" t="s">
        <v>25</v>
      </c>
      <c r="L1523" s="1" t="s">
        <v>923</v>
      </c>
      <c r="M1523" s="1" t="s">
        <v>927</v>
      </c>
      <c r="N1523" s="1" t="s">
        <v>10761</v>
      </c>
      <c r="O1523" s="1" t="s">
        <v>919</v>
      </c>
      <c r="P1523" s="1" t="s">
        <v>920</v>
      </c>
      <c r="Q1523" s="1" t="s">
        <v>924</v>
      </c>
      <c r="R1523" s="1" t="s">
        <v>921</v>
      </c>
      <c r="S1523" s="1" t="s">
        <v>933</v>
      </c>
      <c r="T1523" s="1" t="s">
        <v>10945</v>
      </c>
      <c r="U1523" s="1" t="s">
        <v>961</v>
      </c>
      <c r="V1523" s="1" t="s">
        <v>10946</v>
      </c>
      <c r="W1523" s="1"/>
      <c r="X1523" s="1"/>
      <c r="Y1523" s="1"/>
    </row>
    <row r="1524" spans="1:25" x14ac:dyDescent="0.25">
      <c r="A1524" s="7" t="s">
        <v>7394</v>
      </c>
      <c r="C1524" s="7" t="s">
        <v>10271</v>
      </c>
      <c r="D1524">
        <f t="shared" si="23"/>
        <v>1</v>
      </c>
      <c r="I1524" s="1" t="s">
        <v>918</v>
      </c>
      <c r="J1524" s="1" t="s">
        <v>927</v>
      </c>
      <c r="K1524" s="1" t="s">
        <v>10774</v>
      </c>
      <c r="L1524" s="1" t="s">
        <v>928</v>
      </c>
      <c r="M1524" s="1" t="s">
        <v>1059</v>
      </c>
      <c r="N1524" s="1" t="s">
        <v>10821</v>
      </c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25">
      <c r="A1525" s="7" t="s">
        <v>7394</v>
      </c>
      <c r="C1525" s="7" t="s">
        <v>2657</v>
      </c>
      <c r="D1525">
        <f t="shared" si="23"/>
        <v>1</v>
      </c>
      <c r="I1525" s="1" t="s">
        <v>918</v>
      </c>
      <c r="J1525" s="1" t="s">
        <v>927</v>
      </c>
      <c r="K1525" s="1" t="s">
        <v>10774</v>
      </c>
      <c r="L1525" s="1" t="s">
        <v>928</v>
      </c>
      <c r="M1525" s="1" t="s">
        <v>1059</v>
      </c>
      <c r="N1525" s="1" t="s">
        <v>10821</v>
      </c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25">
      <c r="A1526" s="7" t="s">
        <v>7394</v>
      </c>
      <c r="C1526" s="8" t="s">
        <v>10620</v>
      </c>
      <c r="D1526">
        <f t="shared" si="23"/>
        <v>1</v>
      </c>
      <c r="I1526" s="1" t="s">
        <v>918</v>
      </c>
      <c r="J1526" s="1" t="s">
        <v>927</v>
      </c>
      <c r="K1526" s="1" t="s">
        <v>10774</v>
      </c>
      <c r="L1526" s="1" t="s">
        <v>928</v>
      </c>
      <c r="M1526" s="1" t="s">
        <v>1059</v>
      </c>
      <c r="N1526" s="1" t="s">
        <v>10821</v>
      </c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25">
      <c r="A1527" s="7" t="s">
        <v>7394</v>
      </c>
      <c r="C1527" s="7" t="s">
        <v>2555</v>
      </c>
      <c r="D1527">
        <f t="shared" si="23"/>
        <v>1</v>
      </c>
      <c r="I1527" s="1" t="s">
        <v>750</v>
      </c>
      <c r="J1527" s="1" t="s">
        <v>761</v>
      </c>
      <c r="K1527" s="1" t="s">
        <v>1121</v>
      </c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25">
      <c r="A1528" s="8" t="s">
        <v>7394</v>
      </c>
      <c r="C1528" s="7" t="s">
        <v>10609</v>
      </c>
      <c r="D1528">
        <f t="shared" si="23"/>
        <v>1</v>
      </c>
      <c r="I1528" s="1" t="s">
        <v>750</v>
      </c>
      <c r="J1528" s="1" t="s">
        <v>761</v>
      </c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25">
      <c r="A1529" s="8" t="s">
        <v>10377</v>
      </c>
      <c r="C1529" s="7" t="s">
        <v>10002</v>
      </c>
      <c r="D1529">
        <f t="shared" si="23"/>
        <v>1</v>
      </c>
      <c r="I1529" s="1" t="s">
        <v>750</v>
      </c>
      <c r="J1529" s="1" t="s">
        <v>25</v>
      </c>
      <c r="K1529" s="1" t="s">
        <v>923</v>
      </c>
      <c r="L1529" s="1" t="s">
        <v>1129</v>
      </c>
      <c r="M1529" s="1" t="s">
        <v>920</v>
      </c>
      <c r="N1529" s="1" t="s">
        <v>954</v>
      </c>
      <c r="O1529" s="1" t="s">
        <v>949</v>
      </c>
      <c r="P1529" s="1"/>
      <c r="Q1529" s="1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25">
      <c r="A1530" s="7" t="s">
        <v>9803</v>
      </c>
      <c r="C1530" s="8" t="s">
        <v>9223</v>
      </c>
      <c r="D1530">
        <f t="shared" si="23"/>
        <v>1</v>
      </c>
      <c r="I1530" s="1" t="s">
        <v>934</v>
      </c>
      <c r="J1530" s="1" t="s">
        <v>918</v>
      </c>
      <c r="K1530" s="1" t="s">
        <v>25</v>
      </c>
      <c r="L1530" s="1" t="s">
        <v>919</v>
      </c>
      <c r="M1530" s="1" t="s">
        <v>920</v>
      </c>
      <c r="N1530" s="1" t="s">
        <v>924</v>
      </c>
      <c r="O1530" s="1" t="s">
        <v>750</v>
      </c>
      <c r="P1530" s="1" t="s">
        <v>923</v>
      </c>
      <c r="Q1530" s="1" t="s">
        <v>1129</v>
      </c>
      <c r="R1530" s="1" t="s">
        <v>954</v>
      </c>
      <c r="S1530" s="1" t="s">
        <v>964</v>
      </c>
      <c r="T1530" s="1"/>
      <c r="U1530" s="1"/>
      <c r="V1530" s="1"/>
      <c r="W1530" s="1"/>
      <c r="X1530" s="1"/>
      <c r="Y1530" s="1"/>
    </row>
    <row r="1531" spans="1:25" x14ac:dyDescent="0.25">
      <c r="A1531" s="8" t="s">
        <v>9803</v>
      </c>
      <c r="C1531" s="8" t="s">
        <v>8956</v>
      </c>
      <c r="D1531">
        <f t="shared" si="23"/>
        <v>1</v>
      </c>
      <c r="I1531" s="1" t="s">
        <v>750</v>
      </c>
      <c r="J1531" s="1" t="s">
        <v>1129</v>
      </c>
      <c r="K1531" s="1" t="s">
        <v>840</v>
      </c>
      <c r="L1531" s="1" t="s">
        <v>761</v>
      </c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25">
      <c r="A1532" s="7" t="s">
        <v>10078</v>
      </c>
      <c r="C1532" s="7" t="s">
        <v>10412</v>
      </c>
      <c r="D1532">
        <f t="shared" si="23"/>
        <v>1</v>
      </c>
      <c r="I1532" s="1" t="s">
        <v>971</v>
      </c>
      <c r="J1532" s="1" t="s">
        <v>1011</v>
      </c>
      <c r="K1532" s="1" t="s">
        <v>10819</v>
      </c>
      <c r="L1532" s="1" t="s">
        <v>920</v>
      </c>
      <c r="M1532" s="1" t="s">
        <v>921</v>
      </c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25">
      <c r="A1533" s="7" t="s">
        <v>10078</v>
      </c>
      <c r="C1533" s="8" t="s">
        <v>10665</v>
      </c>
      <c r="D1533">
        <f t="shared" si="23"/>
        <v>1</v>
      </c>
      <c r="I1533" s="1" t="s">
        <v>256</v>
      </c>
      <c r="J1533" s="1" t="s">
        <v>1049</v>
      </c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25">
      <c r="A1534" s="8" t="s">
        <v>10078</v>
      </c>
      <c r="C1534" s="7" t="s">
        <v>9927</v>
      </c>
      <c r="D1534">
        <f t="shared" si="23"/>
        <v>1</v>
      </c>
      <c r="I1534" s="1" t="s">
        <v>998</v>
      </c>
      <c r="J1534" s="1" t="s">
        <v>994</v>
      </c>
      <c r="K1534" s="1" t="s">
        <v>927</v>
      </c>
      <c r="L1534" s="1" t="s">
        <v>992</v>
      </c>
      <c r="M1534" s="1" t="s">
        <v>981</v>
      </c>
      <c r="N1534" s="1" t="s">
        <v>933</v>
      </c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25">
      <c r="A1535" s="7" t="s">
        <v>2216</v>
      </c>
      <c r="C1535" s="8" t="s">
        <v>9435</v>
      </c>
      <c r="D1535">
        <f t="shared" si="23"/>
        <v>1</v>
      </c>
      <c r="I1535" s="1" t="s">
        <v>1053</v>
      </c>
      <c r="J1535" s="1" t="s">
        <v>933</v>
      </c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25">
      <c r="A1536" s="7" t="s">
        <v>9903</v>
      </c>
      <c r="C1536" s="7" t="s">
        <v>2732</v>
      </c>
      <c r="D1536">
        <f t="shared" si="23"/>
        <v>1</v>
      </c>
      <c r="I1536" s="1" t="s">
        <v>996</v>
      </c>
      <c r="J1536" s="1" t="s">
        <v>997</v>
      </c>
      <c r="K1536" s="1" t="s">
        <v>994</v>
      </c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25">
      <c r="A1537" s="8" t="s">
        <v>8947</v>
      </c>
      <c r="C1537" s="7" t="s">
        <v>9540</v>
      </c>
      <c r="D1537">
        <f t="shared" si="23"/>
        <v>1</v>
      </c>
      <c r="I1537" s="1" t="s">
        <v>25</v>
      </c>
      <c r="J1537" s="1" t="s">
        <v>997</v>
      </c>
      <c r="K1537" s="1" t="s">
        <v>927</v>
      </c>
      <c r="L1537" s="1" t="s">
        <v>998</v>
      </c>
      <c r="M1537" s="1" t="s">
        <v>920</v>
      </c>
      <c r="N1537" s="1" t="s">
        <v>933</v>
      </c>
      <c r="O1537" s="1" t="s">
        <v>994</v>
      </c>
      <c r="P1537" s="1"/>
      <c r="Q1537" s="1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25">
      <c r="A1538" s="7" t="s">
        <v>9566</v>
      </c>
      <c r="C1538" s="8" t="s">
        <v>9421</v>
      </c>
      <c r="D1538">
        <f t="shared" ref="D1538:D1601" si="24">COUNTIF(A:A,C1538)</f>
        <v>1</v>
      </c>
      <c r="I1538" s="1" t="s">
        <v>298</v>
      </c>
      <c r="J1538" s="1" t="s">
        <v>25</v>
      </c>
      <c r="K1538" s="1" t="s">
        <v>923</v>
      </c>
      <c r="L1538" s="1" t="s">
        <v>997</v>
      </c>
      <c r="M1538" s="1" t="s">
        <v>927</v>
      </c>
      <c r="N1538" s="1" t="s">
        <v>998</v>
      </c>
      <c r="O1538" s="1" t="s">
        <v>992</v>
      </c>
      <c r="P1538" s="1" t="s">
        <v>1086</v>
      </c>
      <c r="Q1538" s="1" t="s">
        <v>920</v>
      </c>
      <c r="R1538" s="1" t="s">
        <v>933</v>
      </c>
      <c r="S1538" s="1" t="s">
        <v>994</v>
      </c>
      <c r="T1538" s="1" t="s">
        <v>10825</v>
      </c>
      <c r="U1538" s="1" t="s">
        <v>10826</v>
      </c>
      <c r="V1538" s="1" t="s">
        <v>955</v>
      </c>
      <c r="W1538" s="1" t="s">
        <v>995</v>
      </c>
      <c r="X1538" s="1" t="s">
        <v>1014</v>
      </c>
      <c r="Y1538" s="1" t="s">
        <v>10797</v>
      </c>
    </row>
    <row r="1539" spans="1:25" x14ac:dyDescent="0.25">
      <c r="A1539" s="8" t="s">
        <v>10175</v>
      </c>
      <c r="C1539" s="7" t="s">
        <v>9217</v>
      </c>
      <c r="D1539">
        <f t="shared" si="24"/>
        <v>1</v>
      </c>
      <c r="I1539" s="1" t="s">
        <v>996</v>
      </c>
      <c r="J1539" s="1" t="s">
        <v>25</v>
      </c>
      <c r="K1539" s="1" t="s">
        <v>923</v>
      </c>
      <c r="L1539" s="1" t="s">
        <v>997</v>
      </c>
      <c r="M1539" s="1" t="s">
        <v>920</v>
      </c>
      <c r="N1539" s="1" t="s">
        <v>994</v>
      </c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25">
      <c r="A1540" s="7" t="s">
        <v>10223</v>
      </c>
      <c r="C1540" s="8" t="s">
        <v>9351</v>
      </c>
      <c r="D1540">
        <f t="shared" si="24"/>
        <v>1</v>
      </c>
      <c r="I1540" s="1" t="s">
        <v>931</v>
      </c>
      <c r="J1540" s="1" t="s">
        <v>25</v>
      </c>
      <c r="K1540" s="1" t="s">
        <v>923</v>
      </c>
      <c r="L1540" s="1" t="s">
        <v>997</v>
      </c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25">
      <c r="A1541" s="8" t="s">
        <v>10223</v>
      </c>
      <c r="C1541" s="8" t="s">
        <v>10468</v>
      </c>
      <c r="D1541">
        <f t="shared" si="24"/>
        <v>1</v>
      </c>
      <c r="I1541" s="1" t="s">
        <v>50</v>
      </c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25">
      <c r="A1542" s="8" t="s">
        <v>10219</v>
      </c>
      <c r="C1542" s="8" t="s">
        <v>9481</v>
      </c>
      <c r="D1542">
        <f t="shared" si="24"/>
        <v>1</v>
      </c>
      <c r="I1542" s="1" t="s">
        <v>256</v>
      </c>
      <c r="J1542" s="1" t="s">
        <v>1049</v>
      </c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25">
      <c r="A1543" s="8" t="s">
        <v>9584</v>
      </c>
      <c r="C1543" s="7" t="s">
        <v>10613</v>
      </c>
      <c r="D1543">
        <f t="shared" si="24"/>
        <v>1</v>
      </c>
      <c r="I1543" s="1" t="s">
        <v>50</v>
      </c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25">
      <c r="A1544" s="7" t="s">
        <v>9680</v>
      </c>
      <c r="C1544" s="8" t="s">
        <v>9240</v>
      </c>
      <c r="D1544">
        <f t="shared" si="24"/>
        <v>1</v>
      </c>
      <c r="I1544" s="1" t="s">
        <v>918</v>
      </c>
      <c r="J1544" s="1" t="s">
        <v>25</v>
      </c>
      <c r="K1544" s="1" t="s">
        <v>920</v>
      </c>
      <c r="L1544" s="1" t="s">
        <v>933</v>
      </c>
      <c r="M1544" s="1" t="s">
        <v>921</v>
      </c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25">
      <c r="A1545" s="8" t="s">
        <v>9680</v>
      </c>
      <c r="C1545" s="8" t="s">
        <v>10561</v>
      </c>
      <c r="D1545">
        <f t="shared" si="24"/>
        <v>1</v>
      </c>
      <c r="I1545" s="1" t="s">
        <v>298</v>
      </c>
      <c r="J1545" s="1" t="s">
        <v>25</v>
      </c>
      <c r="K1545" s="1" t="s">
        <v>927</v>
      </c>
      <c r="L1545" s="1" t="s">
        <v>998</v>
      </c>
      <c r="M1545" s="1" t="s">
        <v>1086</v>
      </c>
      <c r="N1545" s="1" t="s">
        <v>920</v>
      </c>
      <c r="O1545" s="1" t="s">
        <v>933</v>
      </c>
      <c r="P1545" s="1" t="s">
        <v>937</v>
      </c>
      <c r="Q1545" s="1" t="s">
        <v>10860</v>
      </c>
      <c r="R1545" s="1"/>
      <c r="S1545" s="1"/>
      <c r="T1545" s="1"/>
      <c r="U1545" s="1"/>
      <c r="V1545" s="1"/>
      <c r="W1545" s="1"/>
      <c r="X1545" s="1"/>
      <c r="Y1545" s="1"/>
    </row>
    <row r="1546" spans="1:25" x14ac:dyDescent="0.25">
      <c r="A1546" s="7" t="s">
        <v>9850</v>
      </c>
      <c r="C1546" s="8" t="s">
        <v>8965</v>
      </c>
      <c r="D1546">
        <f t="shared" si="24"/>
        <v>1</v>
      </c>
      <c r="I1546" s="1" t="s">
        <v>1001</v>
      </c>
      <c r="J1546" s="1" t="s">
        <v>992</v>
      </c>
      <c r="K1546" s="1" t="s">
        <v>10774</v>
      </c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25">
      <c r="A1547" s="7" t="s">
        <v>396</v>
      </c>
      <c r="C1547" s="8" t="s">
        <v>10084</v>
      </c>
      <c r="D1547">
        <f t="shared" si="24"/>
        <v>1</v>
      </c>
      <c r="I1547" s="1" t="s">
        <v>1001</v>
      </c>
      <c r="J1547" s="1" t="s">
        <v>927</v>
      </c>
      <c r="K1547" s="1" t="s">
        <v>992</v>
      </c>
      <c r="L1547" s="1" t="s">
        <v>981</v>
      </c>
      <c r="M1547" s="1" t="s">
        <v>1066</v>
      </c>
      <c r="N1547" s="1" t="s">
        <v>919</v>
      </c>
      <c r="O1547" s="1" t="s">
        <v>993</v>
      </c>
      <c r="P1547" s="1"/>
      <c r="Q1547" s="1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25">
      <c r="A1548" s="7" t="s">
        <v>2029</v>
      </c>
      <c r="C1548" s="7" t="s">
        <v>6491</v>
      </c>
      <c r="D1548">
        <f t="shared" si="24"/>
        <v>1</v>
      </c>
      <c r="I1548" s="1" t="s">
        <v>1001</v>
      </c>
      <c r="J1548" s="1" t="s">
        <v>919</v>
      </c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25">
      <c r="A1549" s="8" t="s">
        <v>9950</v>
      </c>
      <c r="C1549" s="8" t="s">
        <v>10433</v>
      </c>
      <c r="D1549">
        <f t="shared" si="24"/>
        <v>1</v>
      </c>
      <c r="I1549" s="1" t="s">
        <v>1149</v>
      </c>
      <c r="J1549" s="1" t="s">
        <v>25</v>
      </c>
      <c r="K1549" s="1" t="s">
        <v>923</v>
      </c>
      <c r="L1549" s="1" t="s">
        <v>998</v>
      </c>
      <c r="M1549" s="1" t="s">
        <v>1086</v>
      </c>
      <c r="N1549" s="1" t="s">
        <v>920</v>
      </c>
      <c r="O1549" s="1" t="s">
        <v>933</v>
      </c>
      <c r="P1549" s="1" t="s">
        <v>10719</v>
      </c>
      <c r="Q1549" s="1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25">
      <c r="A1550" s="7" t="s">
        <v>8766</v>
      </c>
      <c r="C1550" s="7" t="s">
        <v>9935</v>
      </c>
      <c r="D1550">
        <f t="shared" si="24"/>
        <v>1</v>
      </c>
      <c r="I1550" s="1" t="s">
        <v>3439</v>
      </c>
      <c r="J1550" s="1" t="s">
        <v>1108</v>
      </c>
      <c r="K1550" s="1" t="s">
        <v>10947</v>
      </c>
      <c r="L1550" s="1" t="s">
        <v>1147</v>
      </c>
      <c r="M1550" s="1" t="s">
        <v>918</v>
      </c>
      <c r="N1550" s="1" t="s">
        <v>25</v>
      </c>
      <c r="O1550" s="1" t="s">
        <v>923</v>
      </c>
      <c r="P1550" s="1" t="s">
        <v>965</v>
      </c>
      <c r="Q1550" s="1" t="s">
        <v>840</v>
      </c>
      <c r="R1550" s="1" t="s">
        <v>920</v>
      </c>
      <c r="S1550" s="1" t="s">
        <v>954</v>
      </c>
      <c r="T1550" s="1"/>
      <c r="U1550" s="1"/>
      <c r="V1550" s="1"/>
      <c r="W1550" s="1"/>
      <c r="X1550" s="1"/>
      <c r="Y1550" s="1"/>
    </row>
    <row r="1551" spans="1:25" x14ac:dyDescent="0.25">
      <c r="A1551" s="7" t="s">
        <v>8766</v>
      </c>
      <c r="C1551" s="8" t="s">
        <v>9706</v>
      </c>
      <c r="D1551">
        <f t="shared" si="24"/>
        <v>1</v>
      </c>
      <c r="I1551" s="1" t="s">
        <v>918</v>
      </c>
      <c r="J1551" s="1" t="s">
        <v>25</v>
      </c>
      <c r="K1551" s="1" t="s">
        <v>923</v>
      </c>
      <c r="L1551" s="1" t="s">
        <v>1078</v>
      </c>
      <c r="M1551" s="1" t="s">
        <v>919</v>
      </c>
      <c r="N1551" s="1" t="s">
        <v>920</v>
      </c>
      <c r="O1551" s="1" t="s">
        <v>924</v>
      </c>
      <c r="P1551" s="1" t="s">
        <v>921</v>
      </c>
      <c r="Q1551" s="1" t="s">
        <v>916</v>
      </c>
      <c r="R1551" s="1" t="s">
        <v>955</v>
      </c>
      <c r="S1551" s="1" t="s">
        <v>930</v>
      </c>
      <c r="T1551" s="1" t="s">
        <v>944</v>
      </c>
      <c r="U1551" s="1" t="s">
        <v>956</v>
      </c>
      <c r="V1551" s="1" t="s">
        <v>957</v>
      </c>
      <c r="W1551" s="1" t="s">
        <v>10948</v>
      </c>
      <c r="X1551" s="1" t="s">
        <v>1044</v>
      </c>
      <c r="Y1551" s="1" t="s">
        <v>1088</v>
      </c>
    </row>
    <row r="1552" spans="1:25" x14ac:dyDescent="0.25">
      <c r="A1552" s="7" t="s">
        <v>8766</v>
      </c>
      <c r="C1552" s="7" t="s">
        <v>4812</v>
      </c>
      <c r="D1552">
        <f t="shared" si="24"/>
        <v>1</v>
      </c>
      <c r="I1552" s="1" t="s">
        <v>918</v>
      </c>
      <c r="J1552" s="1" t="s">
        <v>924</v>
      </c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25">
      <c r="A1553" s="7" t="s">
        <v>8766</v>
      </c>
      <c r="C1553" s="7" t="s">
        <v>9761</v>
      </c>
      <c r="D1553">
        <f t="shared" si="24"/>
        <v>1</v>
      </c>
      <c r="I1553" s="1" t="s">
        <v>1107</v>
      </c>
      <c r="J1553" s="1" t="s">
        <v>918</v>
      </c>
      <c r="K1553" s="1" t="s">
        <v>919</v>
      </c>
      <c r="L1553" s="1" t="s">
        <v>945</v>
      </c>
      <c r="M1553" s="1" t="s">
        <v>1012</v>
      </c>
      <c r="N1553" s="1" t="s">
        <v>1013</v>
      </c>
      <c r="O1553" s="1" t="s">
        <v>955</v>
      </c>
      <c r="P1553" s="1" t="s">
        <v>1014</v>
      </c>
      <c r="Q1553" s="1" t="s">
        <v>1015</v>
      </c>
      <c r="R1553" s="1" t="s">
        <v>1110</v>
      </c>
      <c r="S1553" s="1" t="s">
        <v>25</v>
      </c>
      <c r="T1553" s="1" t="s">
        <v>923</v>
      </c>
      <c r="U1553" s="1" t="s">
        <v>920</v>
      </c>
      <c r="V1553" s="1" t="s">
        <v>954</v>
      </c>
      <c r="W1553" s="1" t="s">
        <v>328</v>
      </c>
      <c r="X1553" s="1" t="s">
        <v>921</v>
      </c>
      <c r="Y1553" s="1"/>
    </row>
    <row r="1554" spans="1:25" x14ac:dyDescent="0.25">
      <c r="A1554" s="7" t="s">
        <v>8766</v>
      </c>
      <c r="C1554" s="8" t="s">
        <v>9302</v>
      </c>
      <c r="D1554">
        <f t="shared" si="24"/>
        <v>1</v>
      </c>
      <c r="I1554" s="1" t="s">
        <v>1149</v>
      </c>
      <c r="J1554" s="1" t="s">
        <v>25</v>
      </c>
      <c r="K1554" s="1" t="s">
        <v>923</v>
      </c>
      <c r="L1554" s="1" t="s">
        <v>998</v>
      </c>
      <c r="M1554" s="1" t="s">
        <v>1086</v>
      </c>
      <c r="N1554" s="1" t="s">
        <v>920</v>
      </c>
      <c r="O1554" s="1" t="s">
        <v>933</v>
      </c>
      <c r="P1554" s="1" t="s">
        <v>10719</v>
      </c>
      <c r="Q1554" s="1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25">
      <c r="A1555" s="7" t="s">
        <v>2404</v>
      </c>
      <c r="C1555" s="8" t="s">
        <v>10200</v>
      </c>
      <c r="D1555">
        <f t="shared" si="24"/>
        <v>1</v>
      </c>
      <c r="I1555" s="1" t="s">
        <v>992</v>
      </c>
      <c r="J1555" s="1" t="s">
        <v>993</v>
      </c>
      <c r="K1555" s="1" t="s">
        <v>994</v>
      </c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25">
      <c r="A1556" s="7" t="s">
        <v>2404</v>
      </c>
      <c r="C1556" s="7" t="s">
        <v>9946</v>
      </c>
      <c r="D1556">
        <f t="shared" si="24"/>
        <v>1</v>
      </c>
      <c r="I1556" s="1" t="s">
        <v>298</v>
      </c>
      <c r="J1556" s="1" t="s">
        <v>25</v>
      </c>
      <c r="K1556" s="1" t="s">
        <v>923</v>
      </c>
      <c r="L1556" s="1" t="s">
        <v>927</v>
      </c>
      <c r="M1556" s="1" t="s">
        <v>981</v>
      </c>
      <c r="N1556" s="1" t="s">
        <v>920</v>
      </c>
      <c r="O1556" s="1" t="s">
        <v>933</v>
      </c>
      <c r="P1556" s="1" t="s">
        <v>921</v>
      </c>
      <c r="Q1556" s="1" t="s">
        <v>10896</v>
      </c>
      <c r="R1556" s="1" t="s">
        <v>1013</v>
      </c>
      <c r="S1556" s="1"/>
      <c r="T1556" s="1"/>
      <c r="U1556" s="1"/>
      <c r="V1556" s="1"/>
      <c r="W1556" s="1"/>
      <c r="X1556" s="1"/>
      <c r="Y1556" s="1"/>
    </row>
    <row r="1557" spans="1:25" x14ac:dyDescent="0.25">
      <c r="A1557" s="7" t="s">
        <v>2404</v>
      </c>
      <c r="C1557" s="8" t="s">
        <v>9965</v>
      </c>
      <c r="D1557">
        <f t="shared" si="24"/>
        <v>1</v>
      </c>
      <c r="I1557" s="1" t="s">
        <v>927</v>
      </c>
      <c r="J1557" s="1" t="s">
        <v>953</v>
      </c>
      <c r="K1557" s="1" t="s">
        <v>943</v>
      </c>
      <c r="L1557" s="1" t="s">
        <v>983</v>
      </c>
      <c r="M1557" s="1" t="s">
        <v>919</v>
      </c>
      <c r="N1557" s="1" t="s">
        <v>984</v>
      </c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25">
      <c r="A1558" s="7" t="s">
        <v>2404</v>
      </c>
      <c r="C1558" s="8" t="s">
        <v>10097</v>
      </c>
      <c r="D1558">
        <f t="shared" si="24"/>
        <v>1</v>
      </c>
      <c r="I1558" s="1" t="s">
        <v>10930</v>
      </c>
      <c r="J1558" s="1" t="s">
        <v>10931</v>
      </c>
      <c r="K1558" s="1" t="s">
        <v>2772</v>
      </c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25">
      <c r="A1559" s="7" t="s">
        <v>2404</v>
      </c>
      <c r="C1559" s="8" t="s">
        <v>9982</v>
      </c>
      <c r="D1559">
        <f t="shared" si="24"/>
        <v>1</v>
      </c>
      <c r="I1559" s="1" t="s">
        <v>10930</v>
      </c>
      <c r="J1559" s="1" t="s">
        <v>10931</v>
      </c>
      <c r="K1559" s="1" t="s">
        <v>2772</v>
      </c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25">
      <c r="A1560" s="7" t="s">
        <v>2404</v>
      </c>
      <c r="C1560" s="7" t="s">
        <v>9993</v>
      </c>
      <c r="D1560">
        <f t="shared" si="24"/>
        <v>1</v>
      </c>
      <c r="I1560" s="1" t="s">
        <v>1081</v>
      </c>
      <c r="J1560" s="1" t="s">
        <v>918</v>
      </c>
      <c r="K1560" s="1" t="s">
        <v>943</v>
      </c>
      <c r="L1560" s="1" t="s">
        <v>919</v>
      </c>
      <c r="M1560" s="1" t="s">
        <v>924</v>
      </c>
      <c r="N1560" s="1" t="s">
        <v>936</v>
      </c>
      <c r="O1560" s="1" t="s">
        <v>25</v>
      </c>
      <c r="P1560" s="1" t="s">
        <v>921</v>
      </c>
      <c r="Q1560" s="1" t="s">
        <v>929</v>
      </c>
      <c r="R1560" s="1"/>
      <c r="S1560" s="1"/>
      <c r="T1560" s="1"/>
      <c r="U1560" s="1"/>
      <c r="V1560" s="1"/>
      <c r="W1560" s="1"/>
      <c r="X1560" s="1"/>
      <c r="Y1560" s="1"/>
    </row>
    <row r="1561" spans="1:25" x14ac:dyDescent="0.25">
      <c r="A1561" s="7" t="s">
        <v>2404</v>
      </c>
      <c r="C1561" s="8" t="s">
        <v>10259</v>
      </c>
      <c r="D1561">
        <f t="shared" si="24"/>
        <v>1</v>
      </c>
      <c r="I1561" s="1" t="s">
        <v>996</v>
      </c>
      <c r="J1561" s="1" t="s">
        <v>2541</v>
      </c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25">
      <c r="A1562" s="7" t="s">
        <v>2404</v>
      </c>
      <c r="C1562" s="8" t="s">
        <v>9214</v>
      </c>
      <c r="D1562">
        <f t="shared" si="24"/>
        <v>1</v>
      </c>
      <c r="I1562" s="1" t="s">
        <v>934</v>
      </c>
      <c r="J1562" s="1" t="s">
        <v>918</v>
      </c>
      <c r="K1562" s="1" t="s">
        <v>25</v>
      </c>
      <c r="L1562" s="1" t="s">
        <v>919</v>
      </c>
      <c r="M1562" s="1" t="s">
        <v>920</v>
      </c>
      <c r="N1562" s="1" t="s">
        <v>924</v>
      </c>
      <c r="O1562" s="1" t="s">
        <v>955</v>
      </c>
      <c r="P1562" s="1" t="s">
        <v>1071</v>
      </c>
      <c r="Q1562" s="1" t="s">
        <v>1014</v>
      </c>
      <c r="R1562" s="1"/>
      <c r="S1562" s="1"/>
      <c r="T1562" s="1"/>
      <c r="U1562" s="1"/>
      <c r="V1562" s="1"/>
      <c r="W1562" s="1"/>
      <c r="X1562" s="1"/>
      <c r="Y1562" s="1"/>
    </row>
    <row r="1563" spans="1:25" x14ac:dyDescent="0.25">
      <c r="A1563" s="7" t="s">
        <v>2404</v>
      </c>
      <c r="C1563" s="7" t="s">
        <v>3906</v>
      </c>
      <c r="D1563">
        <f t="shared" si="24"/>
        <v>1</v>
      </c>
      <c r="I1563" s="1" t="s">
        <v>998</v>
      </c>
      <c r="J1563" s="1" t="s">
        <v>25</v>
      </c>
      <c r="K1563" s="1" t="s">
        <v>933</v>
      </c>
      <c r="L1563" s="1" t="s">
        <v>994</v>
      </c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25">
      <c r="A1564" s="7" t="s">
        <v>2404</v>
      </c>
      <c r="C1564" s="8" t="s">
        <v>10149</v>
      </c>
      <c r="D1564">
        <f t="shared" si="24"/>
        <v>1</v>
      </c>
      <c r="I1564" s="1" t="s">
        <v>50</v>
      </c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25">
      <c r="A1565" s="7" t="s">
        <v>2404</v>
      </c>
      <c r="C1565" s="8" t="s">
        <v>10421</v>
      </c>
      <c r="D1565">
        <f t="shared" si="24"/>
        <v>1</v>
      </c>
      <c r="I1565" s="1" t="s">
        <v>996</v>
      </c>
      <c r="J1565" s="1" t="s">
        <v>997</v>
      </c>
      <c r="K1565" s="1" t="s">
        <v>998</v>
      </c>
      <c r="L1565" s="1" t="s">
        <v>6421</v>
      </c>
      <c r="M1565" s="1" t="s">
        <v>2541</v>
      </c>
      <c r="N1565" s="1" t="s">
        <v>994</v>
      </c>
      <c r="O1565" s="1" t="s">
        <v>10949</v>
      </c>
      <c r="P1565" s="1"/>
      <c r="Q1565" s="1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25">
      <c r="A1566" s="8" t="s">
        <v>2404</v>
      </c>
      <c r="C1566" s="8" t="s">
        <v>9135</v>
      </c>
      <c r="D1566">
        <f t="shared" si="24"/>
        <v>1</v>
      </c>
      <c r="I1566" s="1" t="s">
        <v>1053</v>
      </c>
      <c r="J1566" s="1" t="s">
        <v>1086</v>
      </c>
      <c r="K1566" s="1" t="s">
        <v>927</v>
      </c>
      <c r="L1566" s="1" t="s">
        <v>919</v>
      </c>
      <c r="M1566" s="1" t="s">
        <v>924</v>
      </c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25">
      <c r="A1567" s="8" t="s">
        <v>2404</v>
      </c>
      <c r="C1567" s="8" t="s">
        <v>10068</v>
      </c>
      <c r="D1567">
        <f t="shared" si="24"/>
        <v>1</v>
      </c>
      <c r="I1567" s="1" t="s">
        <v>50</v>
      </c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25">
      <c r="A1568" s="8" t="s">
        <v>2404</v>
      </c>
      <c r="C1568" s="8" t="s">
        <v>9731</v>
      </c>
      <c r="D1568">
        <f t="shared" si="24"/>
        <v>1</v>
      </c>
      <c r="I1568" s="1" t="s">
        <v>996</v>
      </c>
      <c r="J1568" s="1" t="s">
        <v>25</v>
      </c>
      <c r="K1568" s="1" t="s">
        <v>997</v>
      </c>
      <c r="L1568" s="1" t="s">
        <v>927</v>
      </c>
      <c r="M1568" s="1" t="s">
        <v>998</v>
      </c>
      <c r="N1568" s="1" t="s">
        <v>994</v>
      </c>
      <c r="O1568" s="1" t="s">
        <v>933</v>
      </c>
      <c r="P1568" s="1"/>
      <c r="Q1568" s="1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25">
      <c r="A1569" s="7" t="s">
        <v>7697</v>
      </c>
      <c r="C1569" s="8" t="s">
        <v>10432</v>
      </c>
      <c r="D1569">
        <f t="shared" si="24"/>
        <v>1</v>
      </c>
      <c r="I1569" s="1" t="s">
        <v>996</v>
      </c>
      <c r="J1569" s="1" t="s">
        <v>25</v>
      </c>
      <c r="K1569" s="1" t="s">
        <v>997</v>
      </c>
      <c r="L1569" s="1" t="s">
        <v>927</v>
      </c>
      <c r="M1569" s="1" t="s">
        <v>998</v>
      </c>
      <c r="N1569" s="1" t="s">
        <v>994</v>
      </c>
      <c r="O1569" s="1" t="s">
        <v>933</v>
      </c>
      <c r="P1569" s="1"/>
      <c r="Q1569" s="1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25">
      <c r="A1570" s="7" t="s">
        <v>2004</v>
      </c>
      <c r="C1570" s="7" t="s">
        <v>4170</v>
      </c>
      <c r="D1570">
        <f t="shared" si="24"/>
        <v>1</v>
      </c>
      <c r="I1570" s="1" t="s">
        <v>925</v>
      </c>
      <c r="J1570" s="1" t="s">
        <v>918</v>
      </c>
      <c r="K1570" s="1" t="s">
        <v>10813</v>
      </c>
      <c r="L1570" s="1" t="s">
        <v>927</v>
      </c>
      <c r="M1570" s="1" t="s">
        <v>919</v>
      </c>
      <c r="N1570" s="1" t="s">
        <v>921</v>
      </c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25">
      <c r="A1571" s="7" t="s">
        <v>2004</v>
      </c>
      <c r="C1571" s="8" t="s">
        <v>10658</v>
      </c>
      <c r="D1571">
        <f t="shared" si="24"/>
        <v>1</v>
      </c>
      <c r="I1571" s="1" t="s">
        <v>934</v>
      </c>
      <c r="J1571" s="1" t="s">
        <v>918</v>
      </c>
      <c r="K1571" s="1" t="s">
        <v>25</v>
      </c>
      <c r="L1571" s="1" t="s">
        <v>919</v>
      </c>
      <c r="M1571" s="1" t="s">
        <v>920</v>
      </c>
      <c r="N1571" s="1" t="s">
        <v>924</v>
      </c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25">
      <c r="A1572" s="8" t="s">
        <v>2004</v>
      </c>
      <c r="C1572" s="8" t="s">
        <v>10685</v>
      </c>
      <c r="D1572">
        <f t="shared" si="24"/>
        <v>1</v>
      </c>
      <c r="I1572" s="1" t="s">
        <v>50</v>
      </c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25">
      <c r="A1573" s="7" t="s">
        <v>8849</v>
      </c>
      <c r="C1573" s="8" t="s">
        <v>8907</v>
      </c>
      <c r="D1573">
        <f t="shared" si="24"/>
        <v>1</v>
      </c>
      <c r="I1573" s="1" t="s">
        <v>50</v>
      </c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25">
      <c r="A1574" s="7" t="s">
        <v>6040</v>
      </c>
      <c r="C1574" s="8" t="s">
        <v>10138</v>
      </c>
      <c r="D1574">
        <f t="shared" si="24"/>
        <v>1</v>
      </c>
      <c r="I1574" s="1" t="s">
        <v>1001</v>
      </c>
      <c r="J1574" s="1" t="s">
        <v>927</v>
      </c>
      <c r="K1574" s="1" t="s">
        <v>919</v>
      </c>
      <c r="L1574" s="1" t="s">
        <v>10841</v>
      </c>
      <c r="M1574" s="1" t="s">
        <v>993</v>
      </c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25">
      <c r="A1575" s="7" t="s">
        <v>6040</v>
      </c>
      <c r="C1575" s="8" t="s">
        <v>9769</v>
      </c>
      <c r="D1575">
        <f t="shared" si="24"/>
        <v>1</v>
      </c>
      <c r="I1575" s="1" t="s">
        <v>10807</v>
      </c>
      <c r="J1575" s="1" t="s">
        <v>996</v>
      </c>
      <c r="K1575" s="1" t="s">
        <v>2541</v>
      </c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25">
      <c r="A1576" s="7" t="s">
        <v>6040</v>
      </c>
      <c r="C1576" s="7" t="s">
        <v>9818</v>
      </c>
      <c r="D1576">
        <f t="shared" si="24"/>
        <v>1</v>
      </c>
      <c r="I1576" s="1" t="s">
        <v>996</v>
      </c>
      <c r="J1576" s="1" t="s">
        <v>1053</v>
      </c>
      <c r="K1576" s="1" t="s">
        <v>1086</v>
      </c>
      <c r="L1576" s="1" t="s">
        <v>2541</v>
      </c>
      <c r="M1576" s="1" t="s">
        <v>6421</v>
      </c>
      <c r="N1576" s="1" t="s">
        <v>1066</v>
      </c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25">
      <c r="A1577" s="7" t="s">
        <v>6040</v>
      </c>
      <c r="C1577" s="7" t="s">
        <v>4990</v>
      </c>
      <c r="D1577">
        <f t="shared" si="24"/>
        <v>1</v>
      </c>
      <c r="I1577" s="1" t="s">
        <v>50</v>
      </c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25">
      <c r="A1578" s="7" t="s">
        <v>6040</v>
      </c>
      <c r="C1578" s="7" t="s">
        <v>2466</v>
      </c>
      <c r="D1578">
        <f t="shared" si="24"/>
        <v>1</v>
      </c>
      <c r="I1578" s="1" t="s">
        <v>1000</v>
      </c>
      <c r="J1578" s="1" t="s">
        <v>1001</v>
      </c>
      <c r="K1578" s="1" t="s">
        <v>10731</v>
      </c>
      <c r="L1578" s="1" t="s">
        <v>927</v>
      </c>
      <c r="M1578" s="1" t="s">
        <v>992</v>
      </c>
      <c r="N1578" s="1" t="s">
        <v>10774</v>
      </c>
      <c r="O1578" s="1" t="s">
        <v>981</v>
      </c>
      <c r="P1578" s="1" t="s">
        <v>919</v>
      </c>
      <c r="Q1578" s="1" t="s">
        <v>10841</v>
      </c>
      <c r="R1578" s="1" t="s">
        <v>998</v>
      </c>
      <c r="S1578" s="1" t="s">
        <v>994</v>
      </c>
      <c r="T1578" s="1"/>
      <c r="U1578" s="1"/>
      <c r="V1578" s="1"/>
      <c r="W1578" s="1"/>
      <c r="X1578" s="1"/>
      <c r="Y1578" s="1"/>
    </row>
    <row r="1579" spans="1:25" x14ac:dyDescent="0.25">
      <c r="A1579" s="7" t="s">
        <v>6040</v>
      </c>
      <c r="C1579" s="7" t="s">
        <v>6171</v>
      </c>
      <c r="D1579">
        <f t="shared" si="24"/>
        <v>1</v>
      </c>
      <c r="I1579" s="1" t="s">
        <v>933</v>
      </c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25">
      <c r="A1580" s="7" t="s">
        <v>6040</v>
      </c>
      <c r="C1580" s="8" t="s">
        <v>9414</v>
      </c>
      <c r="D1580">
        <f t="shared" si="24"/>
        <v>1</v>
      </c>
      <c r="I1580" s="1" t="s">
        <v>1086</v>
      </c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25">
      <c r="A1581" s="7" t="s">
        <v>6040</v>
      </c>
      <c r="C1581" s="8" t="s">
        <v>9304</v>
      </c>
      <c r="D1581">
        <f t="shared" si="24"/>
        <v>1</v>
      </c>
      <c r="I1581" s="1" t="s">
        <v>996</v>
      </c>
      <c r="J1581" s="1" t="s">
        <v>998</v>
      </c>
      <c r="K1581" s="1" t="s">
        <v>933</v>
      </c>
      <c r="L1581" s="1" t="s">
        <v>2541</v>
      </c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25">
      <c r="A1582" s="7" t="s">
        <v>6040</v>
      </c>
      <c r="C1582" s="8" t="s">
        <v>10386</v>
      </c>
      <c r="D1582">
        <f t="shared" si="24"/>
        <v>1</v>
      </c>
      <c r="I1582" s="1" t="s">
        <v>933</v>
      </c>
      <c r="J1582" s="1" t="s">
        <v>328</v>
      </c>
      <c r="K1582" s="1" t="s">
        <v>1013</v>
      </c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25">
      <c r="A1583" s="7" t="s">
        <v>6040</v>
      </c>
      <c r="C1583" s="8" t="s">
        <v>10555</v>
      </c>
      <c r="D1583">
        <f t="shared" si="24"/>
        <v>1</v>
      </c>
      <c r="I1583" s="1" t="s">
        <v>996</v>
      </c>
      <c r="J1583" s="1" t="s">
        <v>2541</v>
      </c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25">
      <c r="A1584" s="7" t="s">
        <v>6040</v>
      </c>
      <c r="C1584" s="8" t="s">
        <v>10430</v>
      </c>
      <c r="D1584">
        <f t="shared" si="24"/>
        <v>1</v>
      </c>
      <c r="I1584" s="1" t="s">
        <v>50</v>
      </c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25">
      <c r="A1585" s="7" t="s">
        <v>6040</v>
      </c>
      <c r="C1585" s="8" t="s">
        <v>9285</v>
      </c>
      <c r="D1585">
        <f t="shared" si="24"/>
        <v>1</v>
      </c>
      <c r="I1585" s="1" t="s">
        <v>923</v>
      </c>
      <c r="J1585" s="1" t="s">
        <v>1053</v>
      </c>
      <c r="K1585" s="1" t="s">
        <v>933</v>
      </c>
      <c r="L1585" s="1" t="s">
        <v>2927</v>
      </c>
      <c r="M1585" s="1" t="s">
        <v>1011</v>
      </c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25">
      <c r="A1586" s="8" t="s">
        <v>6040</v>
      </c>
      <c r="C1586" s="8" t="s">
        <v>9357</v>
      </c>
      <c r="D1586">
        <f t="shared" si="24"/>
        <v>1</v>
      </c>
      <c r="I1586" s="1" t="s">
        <v>981</v>
      </c>
      <c r="J1586" s="1" t="s">
        <v>1019</v>
      </c>
      <c r="K1586" s="1" t="s">
        <v>983</v>
      </c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25">
      <c r="A1587" s="8" t="s">
        <v>9022</v>
      </c>
      <c r="C1587" s="7" t="s">
        <v>9997</v>
      </c>
      <c r="D1587">
        <f t="shared" si="24"/>
        <v>1</v>
      </c>
      <c r="I1587" s="1" t="s">
        <v>25</v>
      </c>
      <c r="J1587" s="1" t="s">
        <v>1086</v>
      </c>
      <c r="K1587" s="1" t="s">
        <v>919</v>
      </c>
      <c r="L1587" s="1" t="s">
        <v>920</v>
      </c>
      <c r="M1587" s="1" t="s">
        <v>921</v>
      </c>
      <c r="N1587" s="1" t="s">
        <v>298</v>
      </c>
      <c r="O1587" s="1" t="s">
        <v>927</v>
      </c>
      <c r="P1587" s="1" t="s">
        <v>998</v>
      </c>
      <c r="Q1587" s="1" t="s">
        <v>933</v>
      </c>
      <c r="R1587" s="1" t="s">
        <v>10896</v>
      </c>
      <c r="S1587" s="1" t="s">
        <v>1013</v>
      </c>
      <c r="T1587" s="1" t="s">
        <v>981</v>
      </c>
      <c r="U1587" s="1"/>
      <c r="V1587" s="1"/>
      <c r="W1587" s="1"/>
      <c r="X1587" s="1"/>
      <c r="Y1587" s="1"/>
    </row>
    <row r="1588" spans="1:25" x14ac:dyDescent="0.25">
      <c r="A1588" s="7" t="s">
        <v>9228</v>
      </c>
      <c r="C1588" s="7" t="s">
        <v>4953</v>
      </c>
      <c r="D1588">
        <f t="shared" si="24"/>
        <v>1</v>
      </c>
      <c r="I1588" s="1" t="s">
        <v>1000</v>
      </c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25">
      <c r="A1589" s="8" t="s">
        <v>10454</v>
      </c>
      <c r="C1589" s="8" t="s">
        <v>9505</v>
      </c>
      <c r="D1589">
        <f t="shared" si="24"/>
        <v>1</v>
      </c>
      <c r="I1589" s="1" t="s">
        <v>996</v>
      </c>
      <c r="J1589" s="1" t="s">
        <v>2541</v>
      </c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25">
      <c r="A1590" s="8" t="s">
        <v>9996</v>
      </c>
      <c r="C1590" s="8" t="s">
        <v>10320</v>
      </c>
      <c r="D1590">
        <f t="shared" si="24"/>
        <v>1</v>
      </c>
      <c r="I1590" s="1" t="s">
        <v>981</v>
      </c>
      <c r="J1590" s="1" t="s">
        <v>983</v>
      </c>
      <c r="K1590" s="1" t="s">
        <v>10821</v>
      </c>
      <c r="L1590" s="1" t="s">
        <v>996</v>
      </c>
      <c r="M1590" s="1" t="s">
        <v>948</v>
      </c>
      <c r="N1590" s="1" t="s">
        <v>25</v>
      </c>
      <c r="O1590" s="1" t="s">
        <v>923</v>
      </c>
      <c r="P1590" s="1" t="s">
        <v>997</v>
      </c>
      <c r="Q1590" s="1" t="s">
        <v>920</v>
      </c>
      <c r="R1590" s="1"/>
      <c r="S1590" s="1"/>
      <c r="T1590" s="1"/>
      <c r="U1590" s="1"/>
      <c r="V1590" s="1"/>
      <c r="W1590" s="1"/>
      <c r="X1590" s="1"/>
      <c r="Y1590" s="1"/>
    </row>
    <row r="1591" spans="1:25" x14ac:dyDescent="0.25">
      <c r="A1591" s="7" t="s">
        <v>4422</v>
      </c>
      <c r="C1591" s="8" t="s">
        <v>9194</v>
      </c>
      <c r="D1591">
        <f t="shared" si="24"/>
        <v>1</v>
      </c>
      <c r="I1591" s="1" t="s">
        <v>996</v>
      </c>
      <c r="J1591" s="1" t="s">
        <v>1053</v>
      </c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25">
      <c r="A1592" s="7" t="s">
        <v>9477</v>
      </c>
      <c r="C1592" s="8" t="s">
        <v>9148</v>
      </c>
      <c r="D1592">
        <f t="shared" si="24"/>
        <v>1</v>
      </c>
      <c r="I1592" s="1" t="s">
        <v>927</v>
      </c>
      <c r="J1592" s="1" t="s">
        <v>992</v>
      </c>
      <c r="K1592" s="1" t="s">
        <v>981</v>
      </c>
      <c r="L1592" s="1" t="s">
        <v>933</v>
      </c>
      <c r="M1592" s="1" t="s">
        <v>25</v>
      </c>
      <c r="N1592" s="1" t="s">
        <v>920</v>
      </c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25">
      <c r="A1593" s="7" t="s">
        <v>9477</v>
      </c>
      <c r="C1593" s="8" t="s">
        <v>9206</v>
      </c>
      <c r="D1593">
        <f t="shared" si="24"/>
        <v>1</v>
      </c>
      <c r="I1593" s="1" t="s">
        <v>948</v>
      </c>
      <c r="J1593" s="1" t="s">
        <v>918</v>
      </c>
      <c r="K1593" s="1" t="s">
        <v>25</v>
      </c>
      <c r="L1593" s="1" t="s">
        <v>919</v>
      </c>
      <c r="M1593" s="1" t="s">
        <v>920</v>
      </c>
      <c r="N1593" s="1" t="s">
        <v>954</v>
      </c>
      <c r="O1593" s="1" t="s">
        <v>996</v>
      </c>
      <c r="P1593" s="1" t="s">
        <v>10788</v>
      </c>
      <c r="Q1593" s="1" t="s">
        <v>923</v>
      </c>
      <c r="R1593" s="1" t="s">
        <v>997</v>
      </c>
      <c r="S1593" s="1" t="s">
        <v>1086</v>
      </c>
      <c r="T1593" s="1" t="s">
        <v>1001</v>
      </c>
      <c r="U1593" s="1" t="s">
        <v>927</v>
      </c>
      <c r="V1593" s="1" t="s">
        <v>998</v>
      </c>
      <c r="W1593" s="1" t="s">
        <v>992</v>
      </c>
      <c r="X1593" s="1" t="s">
        <v>981</v>
      </c>
      <c r="Y1593" s="1" t="s">
        <v>939</v>
      </c>
    </row>
    <row r="1594" spans="1:25" x14ac:dyDescent="0.25">
      <c r="A1594" s="7" t="s">
        <v>9477</v>
      </c>
      <c r="C1594" s="8" t="s">
        <v>10394</v>
      </c>
      <c r="D1594">
        <f t="shared" si="24"/>
        <v>1</v>
      </c>
      <c r="I1594" s="1" t="s">
        <v>1086</v>
      </c>
      <c r="J1594" s="1" t="s">
        <v>2541</v>
      </c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25">
      <c r="A1595" s="7" t="s">
        <v>9477</v>
      </c>
      <c r="C1595" s="7" t="s">
        <v>9847</v>
      </c>
      <c r="D1595">
        <f t="shared" si="24"/>
        <v>1</v>
      </c>
      <c r="I1595" s="1" t="s">
        <v>50</v>
      </c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25">
      <c r="A1596" s="7" t="s">
        <v>9477</v>
      </c>
      <c r="C1596" s="7" t="s">
        <v>6480</v>
      </c>
      <c r="D1596">
        <f t="shared" si="24"/>
        <v>1</v>
      </c>
      <c r="I1596" s="1" t="s">
        <v>10781</v>
      </c>
      <c r="J1596" s="1" t="s">
        <v>1085</v>
      </c>
      <c r="K1596" s="1" t="s">
        <v>955</v>
      </c>
      <c r="L1596" s="1" t="s">
        <v>1014</v>
      </c>
      <c r="M1596" s="1" t="s">
        <v>10740</v>
      </c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25">
      <c r="A1597" s="7" t="s">
        <v>9477</v>
      </c>
      <c r="C1597" s="8" t="s">
        <v>10633</v>
      </c>
      <c r="D1597">
        <f t="shared" si="24"/>
        <v>1</v>
      </c>
      <c r="I1597" s="1" t="s">
        <v>1041</v>
      </c>
      <c r="J1597" s="1" t="s">
        <v>1156</v>
      </c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25">
      <c r="A1598" s="7" t="s">
        <v>9477</v>
      </c>
      <c r="C1598" s="7" t="s">
        <v>9596</v>
      </c>
      <c r="D1598">
        <f t="shared" si="24"/>
        <v>1</v>
      </c>
      <c r="I1598" s="1" t="s">
        <v>10950</v>
      </c>
      <c r="J1598" s="1" t="s">
        <v>919</v>
      </c>
      <c r="K1598" s="1" t="s">
        <v>10729</v>
      </c>
      <c r="L1598" s="1" t="s">
        <v>929</v>
      </c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25">
      <c r="A1599" s="8" t="s">
        <v>9477</v>
      </c>
      <c r="C1599" s="7" t="s">
        <v>5040</v>
      </c>
      <c r="D1599">
        <f t="shared" si="24"/>
        <v>1</v>
      </c>
      <c r="I1599" s="1" t="s">
        <v>10950</v>
      </c>
      <c r="J1599" s="1" t="s">
        <v>919</v>
      </c>
      <c r="K1599" s="1" t="s">
        <v>10729</v>
      </c>
      <c r="L1599" s="1" t="s">
        <v>929</v>
      </c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25">
      <c r="A1600" s="8" t="s">
        <v>9477</v>
      </c>
      <c r="C1600" s="7" t="s">
        <v>9463</v>
      </c>
      <c r="D1600">
        <f t="shared" si="24"/>
        <v>1</v>
      </c>
      <c r="I1600" s="1" t="s">
        <v>10950</v>
      </c>
      <c r="J1600" s="1" t="s">
        <v>919</v>
      </c>
      <c r="K1600" s="1" t="s">
        <v>10729</v>
      </c>
      <c r="L1600" s="1" t="s">
        <v>929</v>
      </c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25">
      <c r="A1601" s="7" t="s">
        <v>10401</v>
      </c>
      <c r="C1601" s="7" t="s">
        <v>9870</v>
      </c>
      <c r="D1601">
        <f t="shared" si="24"/>
        <v>1</v>
      </c>
      <c r="I1601" s="1" t="s">
        <v>996</v>
      </c>
      <c r="J1601" s="1" t="s">
        <v>8391</v>
      </c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25">
      <c r="A1602" s="8" t="s">
        <v>9237</v>
      </c>
      <c r="C1602" s="7" t="s">
        <v>9694</v>
      </c>
      <c r="D1602">
        <f t="shared" ref="D1602:D1665" si="25">COUNTIF(A:A,C1602)</f>
        <v>1</v>
      </c>
      <c r="I1602" s="1" t="s">
        <v>996</v>
      </c>
      <c r="J1602" s="1" t="s">
        <v>933</v>
      </c>
      <c r="K1602" s="1" t="s">
        <v>994</v>
      </c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25">
      <c r="A1603" s="8" t="s">
        <v>10664</v>
      </c>
      <c r="C1603" s="7" t="s">
        <v>8843</v>
      </c>
      <c r="D1603">
        <f t="shared" si="25"/>
        <v>1</v>
      </c>
      <c r="I1603" s="1" t="s">
        <v>996</v>
      </c>
      <c r="J1603" s="1" t="s">
        <v>25</v>
      </c>
      <c r="K1603" s="1" t="s">
        <v>997</v>
      </c>
      <c r="L1603" s="1" t="s">
        <v>927</v>
      </c>
      <c r="M1603" s="1" t="s">
        <v>998</v>
      </c>
      <c r="N1603" s="1" t="s">
        <v>992</v>
      </c>
      <c r="O1603" s="1" t="s">
        <v>933</v>
      </c>
      <c r="P1603" s="1" t="s">
        <v>994</v>
      </c>
      <c r="Q1603" s="1" t="s">
        <v>10951</v>
      </c>
      <c r="R1603" s="1"/>
      <c r="S1603" s="1"/>
      <c r="T1603" s="1"/>
      <c r="U1603" s="1"/>
      <c r="V1603" s="1"/>
      <c r="W1603" s="1"/>
      <c r="X1603" s="1"/>
      <c r="Y1603" s="1"/>
    </row>
    <row r="1604" spans="1:25" x14ac:dyDescent="0.25">
      <c r="A1604" s="7" t="s">
        <v>6879</v>
      </c>
      <c r="C1604" s="7" t="s">
        <v>4460</v>
      </c>
      <c r="D1604">
        <f t="shared" si="25"/>
        <v>1</v>
      </c>
      <c r="I1604" s="1" t="s">
        <v>1000</v>
      </c>
      <c r="J1604" s="1" t="s">
        <v>1001</v>
      </c>
      <c r="K1604" s="1" t="s">
        <v>927</v>
      </c>
      <c r="L1604" s="1" t="s">
        <v>992</v>
      </c>
      <c r="M1604" s="1" t="s">
        <v>981</v>
      </c>
      <c r="N1604" s="1" t="s">
        <v>919</v>
      </c>
      <c r="O1604" s="1" t="s">
        <v>998</v>
      </c>
      <c r="P1604" s="1" t="s">
        <v>993</v>
      </c>
      <c r="Q1604" s="1" t="s">
        <v>994</v>
      </c>
      <c r="R1604" s="1"/>
      <c r="S1604" s="1"/>
      <c r="T1604" s="1"/>
      <c r="U1604" s="1"/>
      <c r="V1604" s="1"/>
      <c r="W1604" s="1"/>
      <c r="X1604" s="1"/>
      <c r="Y1604" s="1"/>
    </row>
    <row r="1605" spans="1:25" x14ac:dyDescent="0.25">
      <c r="A1605" s="7" t="s">
        <v>9663</v>
      </c>
      <c r="C1605" s="7" t="s">
        <v>9572</v>
      </c>
      <c r="D1605">
        <f t="shared" si="25"/>
        <v>1</v>
      </c>
      <c r="I1605" s="1" t="s">
        <v>25</v>
      </c>
      <c r="J1605" s="1" t="s">
        <v>927</v>
      </c>
      <c r="K1605" s="1" t="s">
        <v>10837</v>
      </c>
      <c r="L1605" s="1" t="s">
        <v>981</v>
      </c>
      <c r="M1605" s="1" t="s">
        <v>994</v>
      </c>
      <c r="N1605" s="1" t="s">
        <v>925</v>
      </c>
      <c r="O1605" s="1" t="s">
        <v>10952</v>
      </c>
      <c r="P1605" s="1" t="s">
        <v>1056</v>
      </c>
      <c r="Q1605" s="1" t="s">
        <v>10774</v>
      </c>
      <c r="R1605" s="1" t="s">
        <v>939</v>
      </c>
      <c r="S1605" s="1" t="s">
        <v>928</v>
      </c>
      <c r="T1605" s="1" t="s">
        <v>8195</v>
      </c>
      <c r="U1605" s="1" t="s">
        <v>919</v>
      </c>
      <c r="V1605" s="1" t="s">
        <v>993</v>
      </c>
      <c r="W1605" s="1"/>
      <c r="X1605" s="1"/>
      <c r="Y1605" s="1"/>
    </row>
    <row r="1606" spans="1:25" x14ac:dyDescent="0.25">
      <c r="A1606" s="7" t="s">
        <v>9663</v>
      </c>
      <c r="C1606" s="8" t="s">
        <v>9188</v>
      </c>
      <c r="D1606">
        <f t="shared" si="25"/>
        <v>1</v>
      </c>
      <c r="I1606" s="1" t="s">
        <v>1000</v>
      </c>
      <c r="J1606" s="1" t="s">
        <v>964</v>
      </c>
      <c r="K1606" s="1" t="s">
        <v>918</v>
      </c>
      <c r="L1606" s="1" t="s">
        <v>927</v>
      </c>
      <c r="M1606" s="1" t="s">
        <v>981</v>
      </c>
      <c r="N1606" s="1" t="s">
        <v>928</v>
      </c>
      <c r="O1606" s="1" t="s">
        <v>919</v>
      </c>
      <c r="P1606" s="1"/>
      <c r="Q1606" s="1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25">
      <c r="A1607" s="7" t="s">
        <v>9663</v>
      </c>
      <c r="C1607" s="7" t="s">
        <v>9454</v>
      </c>
      <c r="D1607">
        <f t="shared" si="25"/>
        <v>1</v>
      </c>
      <c r="I1607" s="1" t="s">
        <v>1000</v>
      </c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25">
      <c r="A1608" s="8" t="s">
        <v>9663</v>
      </c>
      <c r="C1608" s="8" t="s">
        <v>9384</v>
      </c>
      <c r="D1608">
        <f t="shared" si="25"/>
        <v>1</v>
      </c>
      <c r="I1608" s="1" t="s">
        <v>1000</v>
      </c>
      <c r="J1608" s="1" t="s">
        <v>997</v>
      </c>
      <c r="K1608" s="1" t="s">
        <v>998</v>
      </c>
      <c r="L1608" s="1" t="s">
        <v>994</v>
      </c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25">
      <c r="A1609" s="7" t="s">
        <v>9100</v>
      </c>
      <c r="C1609" s="8" t="s">
        <v>9332</v>
      </c>
      <c r="D1609">
        <f t="shared" si="25"/>
        <v>1</v>
      </c>
      <c r="I1609" s="1" t="s">
        <v>1000</v>
      </c>
      <c r="J1609" s="1" t="s">
        <v>1001</v>
      </c>
      <c r="K1609" s="1" t="s">
        <v>927</v>
      </c>
      <c r="L1609" s="1" t="s">
        <v>992</v>
      </c>
      <c r="M1609" s="1" t="s">
        <v>981</v>
      </c>
      <c r="N1609" s="1" t="s">
        <v>919</v>
      </c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25">
      <c r="A1610" s="8" t="s">
        <v>9100</v>
      </c>
      <c r="C1610" s="8" t="s">
        <v>10589</v>
      </c>
      <c r="D1610">
        <f t="shared" si="25"/>
        <v>1</v>
      </c>
      <c r="I1610" s="1" t="s">
        <v>1000</v>
      </c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25">
      <c r="A1611" s="8" t="s">
        <v>9100</v>
      </c>
      <c r="C1611" s="8" t="s">
        <v>10516</v>
      </c>
      <c r="D1611">
        <f t="shared" si="25"/>
        <v>1</v>
      </c>
      <c r="I1611" s="1" t="s">
        <v>1001</v>
      </c>
      <c r="J1611" s="1" t="s">
        <v>927</v>
      </c>
      <c r="K1611" s="1" t="s">
        <v>992</v>
      </c>
      <c r="L1611" s="1" t="s">
        <v>981</v>
      </c>
      <c r="M1611" s="1" t="s">
        <v>993</v>
      </c>
      <c r="N1611" s="1" t="s">
        <v>996</v>
      </c>
      <c r="O1611" s="1" t="s">
        <v>998</v>
      </c>
      <c r="P1611" s="1" t="s">
        <v>2541</v>
      </c>
      <c r="Q1611" s="1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25">
      <c r="A1612" s="8" t="s">
        <v>9987</v>
      </c>
      <c r="C1612" s="7" t="s">
        <v>8829</v>
      </c>
      <c r="D1612">
        <f t="shared" si="25"/>
        <v>1</v>
      </c>
      <c r="I1612" s="1" t="s">
        <v>996</v>
      </c>
      <c r="J1612" s="1" t="s">
        <v>1149</v>
      </c>
      <c r="K1612" s="1" t="s">
        <v>923</v>
      </c>
      <c r="L1612" s="1" t="s">
        <v>997</v>
      </c>
      <c r="M1612" s="1" t="s">
        <v>994</v>
      </c>
      <c r="N1612" s="1" t="s">
        <v>992</v>
      </c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25">
      <c r="A1613" s="8" t="s">
        <v>10682</v>
      </c>
      <c r="C1613" s="7" t="s">
        <v>5686</v>
      </c>
      <c r="D1613">
        <f t="shared" si="25"/>
        <v>1</v>
      </c>
      <c r="I1613" s="1" t="s">
        <v>948</v>
      </c>
      <c r="J1613" s="1" t="s">
        <v>10788</v>
      </c>
      <c r="K1613" s="1" t="s">
        <v>1149</v>
      </c>
      <c r="L1613" s="1" t="s">
        <v>25</v>
      </c>
      <c r="M1613" s="1" t="s">
        <v>923</v>
      </c>
      <c r="N1613" s="1" t="s">
        <v>997</v>
      </c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25">
      <c r="A1614" s="8" t="s">
        <v>10344</v>
      </c>
      <c r="C1614" s="8" t="s">
        <v>9530</v>
      </c>
      <c r="D1614">
        <f t="shared" si="25"/>
        <v>1</v>
      </c>
      <c r="I1614" s="1" t="s">
        <v>298</v>
      </c>
      <c r="J1614" s="1" t="s">
        <v>2541</v>
      </c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25">
      <c r="A1615" s="8" t="s">
        <v>9324</v>
      </c>
      <c r="C1615" s="7" t="s">
        <v>2204</v>
      </c>
      <c r="D1615">
        <f t="shared" si="25"/>
        <v>1</v>
      </c>
      <c r="I1615" s="1" t="s">
        <v>50</v>
      </c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25">
      <c r="A1616" s="8" t="s">
        <v>9324</v>
      </c>
      <c r="C1616" s="8" t="s">
        <v>10333</v>
      </c>
      <c r="D1616">
        <f t="shared" si="25"/>
        <v>1</v>
      </c>
      <c r="I1616" s="1" t="s">
        <v>50</v>
      </c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25">
      <c r="A1617" s="8" t="s">
        <v>9093</v>
      </c>
      <c r="C1617" s="8" t="s">
        <v>8977</v>
      </c>
      <c r="D1617">
        <f t="shared" si="25"/>
        <v>1</v>
      </c>
      <c r="I1617" s="1" t="s">
        <v>934</v>
      </c>
      <c r="J1617" s="1" t="s">
        <v>25</v>
      </c>
      <c r="K1617" s="1" t="s">
        <v>923</v>
      </c>
      <c r="L1617" s="1" t="s">
        <v>6421</v>
      </c>
      <c r="M1617" s="1" t="s">
        <v>920</v>
      </c>
      <c r="N1617" s="1" t="s">
        <v>328</v>
      </c>
      <c r="O1617" s="1" t="s">
        <v>921</v>
      </c>
      <c r="P1617" s="1"/>
      <c r="Q1617" s="1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25">
      <c r="A1618" s="8" t="s">
        <v>9933</v>
      </c>
      <c r="C1618" s="7" t="s">
        <v>10106</v>
      </c>
      <c r="D1618">
        <f t="shared" si="25"/>
        <v>1</v>
      </c>
      <c r="I1618" s="1" t="s">
        <v>934</v>
      </c>
      <c r="J1618" s="1" t="s">
        <v>948</v>
      </c>
      <c r="K1618" s="1" t="s">
        <v>918</v>
      </c>
      <c r="L1618" s="1" t="s">
        <v>949</v>
      </c>
      <c r="M1618" s="1" t="s">
        <v>25</v>
      </c>
      <c r="N1618" s="1" t="s">
        <v>916</v>
      </c>
      <c r="O1618" s="1" t="s">
        <v>919</v>
      </c>
      <c r="P1618" s="1" t="s">
        <v>920</v>
      </c>
      <c r="Q1618" s="1" t="s">
        <v>328</v>
      </c>
      <c r="R1618" s="1" t="s">
        <v>950</v>
      </c>
      <c r="S1618" s="1" t="s">
        <v>921</v>
      </c>
      <c r="T1618" s="1" t="s">
        <v>923</v>
      </c>
      <c r="U1618" s="1" t="s">
        <v>6421</v>
      </c>
      <c r="V1618" s="1" t="s">
        <v>964</v>
      </c>
      <c r="W1618" s="1"/>
      <c r="X1618" s="1"/>
      <c r="Y1618" s="1"/>
    </row>
    <row r="1619" spans="1:25" x14ac:dyDescent="0.25">
      <c r="A1619" s="7" t="s">
        <v>9966</v>
      </c>
      <c r="C1619" s="8" t="s">
        <v>9020</v>
      </c>
      <c r="D1619">
        <f t="shared" si="25"/>
        <v>1</v>
      </c>
      <c r="I1619" s="1" t="s">
        <v>918</v>
      </c>
      <c r="J1619" s="1" t="s">
        <v>1110</v>
      </c>
      <c r="K1619" s="1" t="s">
        <v>25</v>
      </c>
      <c r="L1619" s="1" t="s">
        <v>923</v>
      </c>
      <c r="M1619" s="1" t="s">
        <v>919</v>
      </c>
      <c r="N1619" s="1" t="s">
        <v>920</v>
      </c>
      <c r="O1619" s="1" t="s">
        <v>954</v>
      </c>
      <c r="P1619" s="1" t="s">
        <v>328</v>
      </c>
      <c r="Q1619" s="1" t="s">
        <v>921</v>
      </c>
      <c r="R1619" s="1" t="s">
        <v>750</v>
      </c>
      <c r="S1619" s="1" t="s">
        <v>1129</v>
      </c>
      <c r="T1619" s="1" t="s">
        <v>840</v>
      </c>
      <c r="U1619" s="1" t="s">
        <v>761</v>
      </c>
      <c r="V1619" s="1"/>
      <c r="W1619" s="1"/>
      <c r="X1619" s="1"/>
      <c r="Y1619" s="1"/>
    </row>
    <row r="1620" spans="1:25" x14ac:dyDescent="0.25">
      <c r="A1620" s="8" t="s">
        <v>8842</v>
      </c>
      <c r="C1620" s="8" t="s">
        <v>10648</v>
      </c>
      <c r="D1620">
        <f t="shared" si="25"/>
        <v>1</v>
      </c>
      <c r="I1620" s="1" t="s">
        <v>750</v>
      </c>
      <c r="J1620" s="1" t="s">
        <v>1129</v>
      </c>
      <c r="K1620" s="1" t="s">
        <v>840</v>
      </c>
      <c r="L1620" s="1" t="s">
        <v>761</v>
      </c>
      <c r="M1620" s="1" t="s">
        <v>934</v>
      </c>
      <c r="N1620" s="1" t="s">
        <v>25</v>
      </c>
      <c r="O1620" s="1" t="s">
        <v>923</v>
      </c>
      <c r="P1620" s="1" t="s">
        <v>6421</v>
      </c>
      <c r="Q1620" s="1" t="s">
        <v>920</v>
      </c>
      <c r="R1620" s="1" t="s">
        <v>328</v>
      </c>
      <c r="S1620" s="1" t="s">
        <v>921</v>
      </c>
      <c r="T1620" s="1"/>
      <c r="U1620" s="1"/>
      <c r="V1620" s="1"/>
      <c r="W1620" s="1"/>
      <c r="X1620" s="1"/>
      <c r="Y1620" s="1"/>
    </row>
    <row r="1621" spans="1:25" x14ac:dyDescent="0.25">
      <c r="A1621" s="8" t="s">
        <v>8842</v>
      </c>
      <c r="C1621" s="7" t="s">
        <v>2875</v>
      </c>
      <c r="D1621">
        <f t="shared" si="25"/>
        <v>1</v>
      </c>
      <c r="I1621" s="1" t="s">
        <v>25</v>
      </c>
      <c r="J1621" s="1" t="s">
        <v>1086</v>
      </c>
      <c r="K1621" s="1" t="s">
        <v>919</v>
      </c>
      <c r="L1621" s="1" t="s">
        <v>920</v>
      </c>
      <c r="M1621" s="1" t="s">
        <v>921</v>
      </c>
      <c r="N1621" s="1" t="s">
        <v>10953</v>
      </c>
      <c r="O1621" s="1" t="s">
        <v>10835</v>
      </c>
      <c r="P1621" s="1" t="s">
        <v>10954</v>
      </c>
      <c r="Q1621" s="1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25">
      <c r="A1622" s="7" t="s">
        <v>9271</v>
      </c>
      <c r="C1622" s="8" t="s">
        <v>9737</v>
      </c>
      <c r="D1622">
        <f t="shared" si="25"/>
        <v>1</v>
      </c>
      <c r="I1622" s="1" t="s">
        <v>1107</v>
      </c>
      <c r="J1622" s="1" t="s">
        <v>918</v>
      </c>
      <c r="K1622" s="1" t="s">
        <v>919</v>
      </c>
      <c r="L1622" s="1" t="s">
        <v>945</v>
      </c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25">
      <c r="A1623" s="8" t="s">
        <v>9271</v>
      </c>
      <c r="C1623" s="8" t="s">
        <v>9097</v>
      </c>
      <c r="D1623">
        <f t="shared" si="25"/>
        <v>1</v>
      </c>
      <c r="I1623" s="1" t="s">
        <v>1107</v>
      </c>
      <c r="J1623" s="1" t="s">
        <v>918</v>
      </c>
      <c r="K1623" s="1" t="s">
        <v>919</v>
      </c>
      <c r="L1623" s="1" t="s">
        <v>945</v>
      </c>
      <c r="M1623" s="1" t="s">
        <v>1012</v>
      </c>
      <c r="N1623" s="1" t="s">
        <v>1013</v>
      </c>
      <c r="O1623" s="1" t="s">
        <v>955</v>
      </c>
      <c r="P1623" s="1" t="s">
        <v>1014</v>
      </c>
      <c r="Q1623" s="1" t="s">
        <v>1015</v>
      </c>
      <c r="R1623" s="1"/>
      <c r="S1623" s="1"/>
      <c r="T1623" s="1"/>
      <c r="U1623" s="1"/>
      <c r="V1623" s="1"/>
      <c r="W1623" s="1"/>
      <c r="X1623" s="1"/>
      <c r="Y1623" s="1"/>
    </row>
    <row r="1624" spans="1:25" x14ac:dyDescent="0.25">
      <c r="A1624" s="8" t="s">
        <v>9415</v>
      </c>
      <c r="C1624" s="8" t="s">
        <v>9416</v>
      </c>
      <c r="D1624">
        <f t="shared" si="25"/>
        <v>1</v>
      </c>
      <c r="I1624" s="1" t="s">
        <v>1107</v>
      </c>
      <c r="J1624" s="1" t="s">
        <v>918</v>
      </c>
      <c r="K1624" s="1" t="s">
        <v>919</v>
      </c>
      <c r="L1624" s="1" t="s">
        <v>945</v>
      </c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25">
      <c r="A1625" s="7" t="s">
        <v>6030</v>
      </c>
      <c r="C1625" s="8" t="s">
        <v>10234</v>
      </c>
      <c r="D1625">
        <f t="shared" si="25"/>
        <v>1</v>
      </c>
      <c r="I1625" s="1" t="s">
        <v>25</v>
      </c>
      <c r="J1625" s="1" t="s">
        <v>1086</v>
      </c>
      <c r="K1625" s="1" t="s">
        <v>919</v>
      </c>
      <c r="L1625" s="1" t="s">
        <v>920</v>
      </c>
      <c r="M1625" s="1" t="s">
        <v>921</v>
      </c>
      <c r="N1625" s="1" t="s">
        <v>2927</v>
      </c>
      <c r="O1625" s="1" t="s">
        <v>1149</v>
      </c>
      <c r="P1625" s="1" t="s">
        <v>923</v>
      </c>
      <c r="Q1625" s="1" t="s">
        <v>998</v>
      </c>
      <c r="R1625" s="1" t="s">
        <v>1053</v>
      </c>
      <c r="S1625" s="1" t="s">
        <v>933</v>
      </c>
      <c r="T1625" s="1"/>
      <c r="U1625" s="1"/>
      <c r="V1625" s="1"/>
      <c r="W1625" s="1"/>
      <c r="X1625" s="1"/>
      <c r="Y1625" s="1"/>
    </row>
    <row r="1626" spans="1:25" x14ac:dyDescent="0.25">
      <c r="A1626" s="7" t="s">
        <v>6030</v>
      </c>
      <c r="C1626" s="8" t="s">
        <v>8883</v>
      </c>
      <c r="D1626">
        <f t="shared" si="25"/>
        <v>1</v>
      </c>
      <c r="I1626" s="1" t="s">
        <v>918</v>
      </c>
      <c r="J1626" s="1" t="s">
        <v>25</v>
      </c>
      <c r="K1626" s="1" t="s">
        <v>927</v>
      </c>
      <c r="L1626" s="1" t="s">
        <v>919</v>
      </c>
      <c r="M1626" s="1" t="s">
        <v>920</v>
      </c>
      <c r="N1626" s="1" t="s">
        <v>921</v>
      </c>
      <c r="O1626" s="1" t="s">
        <v>1086</v>
      </c>
      <c r="P1626" s="1" t="s">
        <v>1001</v>
      </c>
      <c r="Q1626" s="1" t="s">
        <v>1013</v>
      </c>
      <c r="R1626" s="1"/>
      <c r="S1626" s="1"/>
      <c r="T1626" s="1"/>
      <c r="U1626" s="1"/>
      <c r="V1626" s="1"/>
      <c r="W1626" s="1"/>
      <c r="X1626" s="1"/>
      <c r="Y1626" s="1"/>
    </row>
    <row r="1627" spans="1:25" x14ac:dyDescent="0.25">
      <c r="A1627" s="7" t="s">
        <v>6030</v>
      </c>
      <c r="C1627" s="8" t="s">
        <v>10489</v>
      </c>
      <c r="D1627">
        <f t="shared" si="25"/>
        <v>1</v>
      </c>
      <c r="I1627" s="1" t="s">
        <v>918</v>
      </c>
      <c r="J1627" s="1" t="s">
        <v>25</v>
      </c>
      <c r="K1627" s="1" t="s">
        <v>927</v>
      </c>
      <c r="L1627" s="1" t="s">
        <v>919</v>
      </c>
      <c r="M1627" s="1" t="s">
        <v>920</v>
      </c>
      <c r="N1627" s="1" t="s">
        <v>921</v>
      </c>
      <c r="O1627" s="1" t="s">
        <v>936</v>
      </c>
      <c r="P1627" s="1"/>
      <c r="Q1627" s="1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25">
      <c r="A1628" s="7" t="s">
        <v>6030</v>
      </c>
      <c r="C1628" s="8" t="s">
        <v>10023</v>
      </c>
      <c r="D1628">
        <f t="shared" si="25"/>
        <v>1</v>
      </c>
      <c r="I1628" s="1" t="s">
        <v>964</v>
      </c>
      <c r="J1628" s="1" t="s">
        <v>1109</v>
      </c>
      <c r="K1628" s="1" t="s">
        <v>919</v>
      </c>
      <c r="L1628" s="1" t="s">
        <v>918</v>
      </c>
      <c r="M1628" s="1" t="s">
        <v>10849</v>
      </c>
      <c r="N1628" s="1" t="s">
        <v>924</v>
      </c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25">
      <c r="A1629" s="7" t="s">
        <v>6030</v>
      </c>
      <c r="C1629" s="7" t="s">
        <v>9554</v>
      </c>
      <c r="D1629">
        <f t="shared" si="25"/>
        <v>1</v>
      </c>
      <c r="I1629" s="1" t="s">
        <v>964</v>
      </c>
      <c r="J1629" s="1" t="s">
        <v>1109</v>
      </c>
      <c r="K1629" s="1" t="s">
        <v>919</v>
      </c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25">
      <c r="A1630" s="7" t="s">
        <v>6030</v>
      </c>
      <c r="C1630" s="8" t="s">
        <v>9111</v>
      </c>
      <c r="D1630">
        <f t="shared" si="25"/>
        <v>1</v>
      </c>
      <c r="I1630" s="1" t="s">
        <v>918</v>
      </c>
      <c r="J1630" s="1" t="s">
        <v>919</v>
      </c>
      <c r="K1630" s="1" t="s">
        <v>936</v>
      </c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25">
      <c r="A1631" s="8" t="s">
        <v>6030</v>
      </c>
      <c r="C1631" s="8" t="s">
        <v>9306</v>
      </c>
      <c r="D1631">
        <f t="shared" si="25"/>
        <v>1</v>
      </c>
      <c r="I1631" s="1" t="s">
        <v>1040</v>
      </c>
      <c r="J1631" s="1" t="s">
        <v>919</v>
      </c>
      <c r="K1631" s="1" t="s">
        <v>10729</v>
      </c>
      <c r="L1631" s="1" t="s">
        <v>930</v>
      </c>
      <c r="M1631" s="1" t="s">
        <v>945</v>
      </c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25">
      <c r="A1632" s="7" t="s">
        <v>9472</v>
      </c>
      <c r="C1632" s="8" t="s">
        <v>9756</v>
      </c>
      <c r="D1632">
        <f t="shared" si="25"/>
        <v>1</v>
      </c>
      <c r="I1632" s="1" t="s">
        <v>918</v>
      </c>
      <c r="J1632" s="1" t="s">
        <v>25</v>
      </c>
      <c r="K1632" s="1" t="s">
        <v>919</v>
      </c>
      <c r="L1632" s="1" t="s">
        <v>920</v>
      </c>
      <c r="M1632" s="1" t="s">
        <v>924</v>
      </c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25">
      <c r="A1633" s="8" t="s">
        <v>9472</v>
      </c>
      <c r="C1633" s="8" t="s">
        <v>9664</v>
      </c>
      <c r="D1633">
        <f t="shared" si="25"/>
        <v>1</v>
      </c>
      <c r="I1633" s="1" t="s">
        <v>918</v>
      </c>
      <c r="J1633" s="1" t="s">
        <v>919</v>
      </c>
      <c r="K1633" s="1" t="s">
        <v>936</v>
      </c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25">
      <c r="A1634" s="8" t="s">
        <v>9472</v>
      </c>
      <c r="C1634" s="8" t="s">
        <v>10584</v>
      </c>
      <c r="D1634">
        <f t="shared" si="25"/>
        <v>1</v>
      </c>
      <c r="I1634" s="1" t="s">
        <v>918</v>
      </c>
      <c r="J1634" s="1" t="s">
        <v>25</v>
      </c>
      <c r="K1634" s="1" t="s">
        <v>919</v>
      </c>
      <c r="L1634" s="1" t="s">
        <v>920</v>
      </c>
      <c r="M1634" s="1" t="s">
        <v>924</v>
      </c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25">
      <c r="A1635" s="8" t="s">
        <v>9472</v>
      </c>
      <c r="C1635" s="8" t="s">
        <v>10326</v>
      </c>
      <c r="D1635">
        <f t="shared" si="25"/>
        <v>1</v>
      </c>
      <c r="I1635" s="1" t="s">
        <v>918</v>
      </c>
      <c r="J1635" s="1" t="s">
        <v>25</v>
      </c>
      <c r="K1635" s="1" t="s">
        <v>919</v>
      </c>
      <c r="L1635" s="1" t="s">
        <v>920</v>
      </c>
      <c r="M1635" s="1" t="s">
        <v>924</v>
      </c>
      <c r="N1635" s="1" t="s">
        <v>961</v>
      </c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25">
      <c r="A1636" s="8" t="s">
        <v>9472</v>
      </c>
      <c r="C1636" s="8" t="s">
        <v>10429</v>
      </c>
      <c r="D1636">
        <f t="shared" si="25"/>
        <v>1</v>
      </c>
      <c r="I1636" s="1" t="s">
        <v>918</v>
      </c>
      <c r="J1636" s="1" t="s">
        <v>25</v>
      </c>
      <c r="K1636" s="1" t="s">
        <v>919</v>
      </c>
      <c r="L1636" s="1" t="s">
        <v>920</v>
      </c>
      <c r="M1636" s="1" t="s">
        <v>924</v>
      </c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25">
      <c r="A1637" s="8" t="s">
        <v>9472</v>
      </c>
      <c r="C1637" s="7" t="s">
        <v>8114</v>
      </c>
      <c r="D1637">
        <f t="shared" si="25"/>
        <v>1</v>
      </c>
      <c r="I1637" s="1" t="s">
        <v>918</v>
      </c>
      <c r="J1637" s="1" t="s">
        <v>25</v>
      </c>
      <c r="K1637" s="1" t="s">
        <v>919</v>
      </c>
      <c r="L1637" s="1" t="s">
        <v>920</v>
      </c>
      <c r="M1637" s="1" t="s">
        <v>924</v>
      </c>
      <c r="N1637" s="1" t="s">
        <v>923</v>
      </c>
      <c r="O1637" s="1" t="s">
        <v>916</v>
      </c>
      <c r="P1637" s="1" t="s">
        <v>921</v>
      </c>
      <c r="Q1637" s="1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25">
      <c r="A1638" s="7" t="s">
        <v>4980</v>
      </c>
      <c r="C1638" s="8" t="s">
        <v>9087</v>
      </c>
      <c r="D1638">
        <f t="shared" si="25"/>
        <v>1</v>
      </c>
      <c r="I1638" s="1" t="s">
        <v>918</v>
      </c>
      <c r="J1638" s="1" t="s">
        <v>25</v>
      </c>
      <c r="K1638" s="1" t="s">
        <v>919</v>
      </c>
      <c r="L1638" s="1" t="s">
        <v>920</v>
      </c>
      <c r="M1638" s="1" t="s">
        <v>924</v>
      </c>
      <c r="N1638" s="1" t="s">
        <v>936</v>
      </c>
      <c r="O1638" s="1" t="s">
        <v>921</v>
      </c>
      <c r="P1638" s="1" t="s">
        <v>929</v>
      </c>
      <c r="Q1638" s="1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25">
      <c r="A1639" s="8" t="s">
        <v>4980</v>
      </c>
      <c r="C1639" s="7" t="s">
        <v>9740</v>
      </c>
      <c r="D1639">
        <f t="shared" si="25"/>
        <v>1</v>
      </c>
      <c r="I1639" s="1" t="s">
        <v>2927</v>
      </c>
      <c r="J1639" s="1" t="s">
        <v>998</v>
      </c>
      <c r="K1639" s="1" t="s">
        <v>933</v>
      </c>
      <c r="L1639" s="1" t="s">
        <v>994</v>
      </c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25">
      <c r="A1640" s="8" t="s">
        <v>4980</v>
      </c>
      <c r="C1640" s="8" t="s">
        <v>9926</v>
      </c>
      <c r="D1640">
        <f t="shared" si="25"/>
        <v>1</v>
      </c>
      <c r="I1640" s="1" t="s">
        <v>918</v>
      </c>
      <c r="J1640" s="1" t="s">
        <v>25</v>
      </c>
      <c r="K1640" s="1" t="s">
        <v>987</v>
      </c>
      <c r="L1640" s="1" t="s">
        <v>919</v>
      </c>
      <c r="M1640" s="1" t="s">
        <v>920</v>
      </c>
      <c r="N1640" s="1" t="s">
        <v>921</v>
      </c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25">
      <c r="A1641" s="7" t="s">
        <v>3192</v>
      </c>
      <c r="C1641" s="8" t="s">
        <v>9166</v>
      </c>
      <c r="D1641">
        <f t="shared" si="25"/>
        <v>1</v>
      </c>
      <c r="I1641" s="1" t="s">
        <v>918</v>
      </c>
      <c r="J1641" s="1" t="s">
        <v>25</v>
      </c>
      <c r="K1641" s="1" t="s">
        <v>987</v>
      </c>
      <c r="L1641" s="1" t="s">
        <v>919</v>
      </c>
      <c r="M1641" s="1" t="s">
        <v>920</v>
      </c>
      <c r="N1641" s="1" t="s">
        <v>921</v>
      </c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25">
      <c r="A1642" s="7" t="s">
        <v>3192</v>
      </c>
      <c r="C1642" s="8" t="s">
        <v>9360</v>
      </c>
      <c r="D1642">
        <f t="shared" si="25"/>
        <v>1</v>
      </c>
      <c r="I1642" s="1" t="s">
        <v>322</v>
      </c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25">
      <c r="A1643" s="7" t="s">
        <v>3192</v>
      </c>
      <c r="C1643" s="7" t="s">
        <v>10365</v>
      </c>
      <c r="D1643">
        <f t="shared" si="25"/>
        <v>1</v>
      </c>
      <c r="I1643" s="1" t="s">
        <v>918</v>
      </c>
      <c r="J1643" s="1" t="s">
        <v>25</v>
      </c>
      <c r="K1643" s="1" t="s">
        <v>923</v>
      </c>
      <c r="L1643" s="1" t="s">
        <v>1000</v>
      </c>
      <c r="M1643" s="1" t="s">
        <v>919</v>
      </c>
      <c r="N1643" s="1" t="s">
        <v>920</v>
      </c>
      <c r="O1643" s="1" t="s">
        <v>933</v>
      </c>
      <c r="P1643" s="1" t="s">
        <v>921</v>
      </c>
      <c r="Q1643" s="1" t="s">
        <v>10955</v>
      </c>
      <c r="R1643" s="1"/>
      <c r="S1643" s="1"/>
      <c r="T1643" s="1"/>
      <c r="U1643" s="1"/>
      <c r="V1643" s="1"/>
      <c r="W1643" s="1"/>
      <c r="X1643" s="1"/>
      <c r="Y1643" s="1"/>
    </row>
    <row r="1644" spans="1:25" x14ac:dyDescent="0.25">
      <c r="A1644" s="7" t="s">
        <v>3192</v>
      </c>
      <c r="C1644" s="8" t="s">
        <v>9478</v>
      </c>
      <c r="D1644">
        <f t="shared" si="25"/>
        <v>1</v>
      </c>
      <c r="I1644" s="1" t="s">
        <v>999</v>
      </c>
      <c r="J1644" s="1" t="s">
        <v>1073</v>
      </c>
      <c r="K1644" s="1" t="s">
        <v>921</v>
      </c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25">
      <c r="A1645" s="7" t="s">
        <v>3192</v>
      </c>
      <c r="C1645" s="8" t="s">
        <v>10514</v>
      </c>
      <c r="D1645">
        <f t="shared" si="25"/>
        <v>1</v>
      </c>
      <c r="I1645" s="1" t="s">
        <v>50</v>
      </c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25">
      <c r="A1646" s="7" t="s">
        <v>3192</v>
      </c>
      <c r="C1646" s="8" t="s">
        <v>10029</v>
      </c>
      <c r="D1646">
        <f t="shared" si="25"/>
        <v>1</v>
      </c>
      <c r="I1646" s="1" t="s">
        <v>918</v>
      </c>
      <c r="J1646" s="1" t="s">
        <v>25</v>
      </c>
      <c r="K1646" s="1" t="s">
        <v>927</v>
      </c>
      <c r="L1646" s="1" t="s">
        <v>939</v>
      </c>
      <c r="M1646" s="1" t="s">
        <v>928</v>
      </c>
      <c r="N1646" s="1" t="s">
        <v>919</v>
      </c>
      <c r="O1646" s="1" t="s">
        <v>929</v>
      </c>
      <c r="P1646" s="1"/>
      <c r="Q1646" s="1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25">
      <c r="A1647" s="7" t="s">
        <v>3192</v>
      </c>
      <c r="C1647" s="7" t="s">
        <v>10644</v>
      </c>
      <c r="D1647">
        <f t="shared" si="25"/>
        <v>1</v>
      </c>
      <c r="I1647" s="1" t="s">
        <v>975</v>
      </c>
      <c r="J1647" s="1" t="s">
        <v>1023</v>
      </c>
      <c r="K1647" s="1" t="s">
        <v>10956</v>
      </c>
      <c r="L1647" s="1" t="s">
        <v>1029</v>
      </c>
      <c r="M1647" s="1" t="s">
        <v>983</v>
      </c>
      <c r="N1647" s="1" t="s">
        <v>1060</v>
      </c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25">
      <c r="A1648" s="7" t="s">
        <v>3192</v>
      </c>
      <c r="C1648" s="8" t="s">
        <v>10434</v>
      </c>
      <c r="D1648">
        <f t="shared" si="25"/>
        <v>1</v>
      </c>
      <c r="I1648" s="1" t="s">
        <v>10810</v>
      </c>
      <c r="J1648" s="1" t="s">
        <v>1058</v>
      </c>
      <c r="K1648" s="1" t="s">
        <v>948</v>
      </c>
      <c r="L1648" s="1" t="s">
        <v>298</v>
      </c>
      <c r="M1648" s="1" t="s">
        <v>1149</v>
      </c>
      <c r="N1648" s="1" t="s">
        <v>25</v>
      </c>
      <c r="O1648" s="1" t="s">
        <v>923</v>
      </c>
      <c r="P1648" s="1" t="s">
        <v>997</v>
      </c>
      <c r="Q1648" s="1" t="s">
        <v>954</v>
      </c>
      <c r="R1648" s="1" t="s">
        <v>994</v>
      </c>
      <c r="S1648" s="1"/>
      <c r="T1648" s="1"/>
      <c r="U1648" s="1"/>
      <c r="V1648" s="1"/>
      <c r="W1648" s="1"/>
      <c r="X1648" s="1"/>
      <c r="Y1648" s="1"/>
    </row>
    <row r="1649" spans="1:25" x14ac:dyDescent="0.25">
      <c r="A1649" s="8" t="s">
        <v>3192</v>
      </c>
      <c r="C1649" s="8" t="s">
        <v>9265</v>
      </c>
      <c r="D1649">
        <f t="shared" si="25"/>
        <v>1</v>
      </c>
      <c r="I1649" s="1" t="s">
        <v>2927</v>
      </c>
      <c r="J1649" s="1" t="s">
        <v>1051</v>
      </c>
      <c r="K1649" s="1" t="s">
        <v>1052</v>
      </c>
      <c r="L1649" s="1" t="s">
        <v>10852</v>
      </c>
      <c r="M1649" s="1" t="s">
        <v>1100</v>
      </c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25">
      <c r="A1650" s="8" t="s">
        <v>3192</v>
      </c>
      <c r="C1650" s="8" t="s">
        <v>10579</v>
      </c>
      <c r="D1650">
        <f t="shared" si="25"/>
        <v>1</v>
      </c>
      <c r="I1650" s="1" t="s">
        <v>925</v>
      </c>
      <c r="J1650" s="1" t="s">
        <v>918</v>
      </c>
      <c r="K1650" s="1" t="s">
        <v>927</v>
      </c>
      <c r="L1650" s="1" t="s">
        <v>928</v>
      </c>
      <c r="M1650" s="1" t="s">
        <v>919</v>
      </c>
      <c r="N1650" s="1" t="s">
        <v>960</v>
      </c>
      <c r="O1650" s="1" t="s">
        <v>961</v>
      </c>
      <c r="P1650" s="1" t="s">
        <v>1147</v>
      </c>
      <c r="Q1650" s="1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25">
      <c r="A1651" s="8" t="s">
        <v>3192</v>
      </c>
      <c r="C1651" s="8" t="s">
        <v>9156</v>
      </c>
      <c r="D1651">
        <f t="shared" si="25"/>
        <v>1</v>
      </c>
      <c r="I1651" s="1" t="s">
        <v>1110</v>
      </c>
      <c r="J1651" s="1" t="s">
        <v>1131</v>
      </c>
      <c r="K1651" s="1" t="s">
        <v>1151</v>
      </c>
      <c r="L1651" s="1" t="s">
        <v>918</v>
      </c>
      <c r="M1651" s="1" t="s">
        <v>919</v>
      </c>
      <c r="N1651" s="1" t="s">
        <v>936</v>
      </c>
      <c r="O1651" s="1" t="s">
        <v>929</v>
      </c>
      <c r="P1651" s="1"/>
      <c r="Q1651" s="1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25">
      <c r="A1652" s="8" t="s">
        <v>3192</v>
      </c>
      <c r="C1652" s="8" t="s">
        <v>10563</v>
      </c>
      <c r="D1652">
        <f t="shared" si="25"/>
        <v>1</v>
      </c>
      <c r="I1652" s="1" t="s">
        <v>25</v>
      </c>
      <c r="J1652" s="1" t="s">
        <v>998</v>
      </c>
      <c r="K1652" s="1" t="s">
        <v>933</v>
      </c>
      <c r="L1652" s="1" t="s">
        <v>994</v>
      </c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25">
      <c r="A1653" s="8" t="s">
        <v>3192</v>
      </c>
      <c r="C1653" s="8" t="s">
        <v>10678</v>
      </c>
      <c r="D1653">
        <f t="shared" si="25"/>
        <v>1</v>
      </c>
      <c r="I1653" s="1" t="s">
        <v>1001</v>
      </c>
      <c r="J1653" s="1" t="s">
        <v>10722</v>
      </c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25">
      <c r="A1654" s="8" t="s">
        <v>3192</v>
      </c>
      <c r="C1654" s="8" t="s">
        <v>10178</v>
      </c>
      <c r="D1654">
        <f t="shared" si="25"/>
        <v>1</v>
      </c>
      <c r="I1654" s="1" t="s">
        <v>921</v>
      </c>
      <c r="J1654" s="1" t="s">
        <v>25</v>
      </c>
      <c r="K1654" s="1" t="s">
        <v>923</v>
      </c>
      <c r="L1654" s="1" t="s">
        <v>916</v>
      </c>
      <c r="M1654" s="1" t="s">
        <v>1078</v>
      </c>
      <c r="N1654" s="1" t="s">
        <v>980</v>
      </c>
      <c r="O1654" s="1" t="s">
        <v>919</v>
      </c>
      <c r="P1654" s="1" t="s">
        <v>920</v>
      </c>
      <c r="Q1654" s="1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25">
      <c r="A1655" s="7" t="s">
        <v>10218</v>
      </c>
      <c r="C1655" s="8" t="s">
        <v>1600</v>
      </c>
      <c r="D1655">
        <f t="shared" si="25"/>
        <v>1</v>
      </c>
      <c r="I1655" s="1" t="s">
        <v>2927</v>
      </c>
      <c r="J1655" s="1" t="s">
        <v>1149</v>
      </c>
      <c r="K1655" s="1" t="s">
        <v>25</v>
      </c>
      <c r="L1655" s="1" t="s">
        <v>923</v>
      </c>
      <c r="M1655" s="1" t="s">
        <v>998</v>
      </c>
      <c r="N1655" s="1" t="s">
        <v>1053</v>
      </c>
      <c r="O1655" s="1" t="s">
        <v>1086</v>
      </c>
      <c r="P1655" s="1" t="s">
        <v>920</v>
      </c>
      <c r="Q1655" s="1" t="s">
        <v>933</v>
      </c>
      <c r="R1655" s="1"/>
      <c r="S1655" s="1"/>
      <c r="T1655" s="1"/>
      <c r="U1655" s="1"/>
      <c r="V1655" s="1"/>
      <c r="W1655" s="1"/>
      <c r="X1655" s="1"/>
      <c r="Y1655" s="1"/>
    </row>
    <row r="1656" spans="1:25" x14ac:dyDescent="0.25">
      <c r="A1656" s="8" t="s">
        <v>9876</v>
      </c>
      <c r="C1656" s="8" t="s">
        <v>9912</v>
      </c>
      <c r="D1656">
        <f t="shared" si="25"/>
        <v>1</v>
      </c>
      <c r="I1656" s="1" t="s">
        <v>996</v>
      </c>
      <c r="J1656" s="1" t="s">
        <v>25</v>
      </c>
      <c r="K1656" s="1" t="s">
        <v>997</v>
      </c>
      <c r="L1656" s="1" t="s">
        <v>927</v>
      </c>
      <c r="M1656" s="1" t="s">
        <v>998</v>
      </c>
      <c r="N1656" s="1" t="s">
        <v>933</v>
      </c>
      <c r="O1656" s="1" t="s">
        <v>993</v>
      </c>
      <c r="P1656" s="1" t="s">
        <v>994</v>
      </c>
      <c r="Q1656" s="1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25">
      <c r="A1657" s="8" t="s">
        <v>9876</v>
      </c>
      <c r="C1657" s="8" t="s">
        <v>9681</v>
      </c>
      <c r="D1657">
        <f t="shared" si="25"/>
        <v>1</v>
      </c>
      <c r="I1657" s="1" t="s">
        <v>918</v>
      </c>
      <c r="J1657" s="1" t="s">
        <v>25</v>
      </c>
      <c r="K1657" s="1" t="s">
        <v>1148</v>
      </c>
      <c r="L1657" s="1" t="s">
        <v>923</v>
      </c>
      <c r="M1657" s="1" t="s">
        <v>927</v>
      </c>
      <c r="N1657" s="1" t="s">
        <v>1086</v>
      </c>
      <c r="O1657" s="1" t="s">
        <v>920</v>
      </c>
      <c r="P1657" s="1"/>
      <c r="Q1657" s="1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25">
      <c r="A1658" s="8" t="s">
        <v>10132</v>
      </c>
      <c r="C1658" s="8" t="s">
        <v>10484</v>
      </c>
      <c r="D1658">
        <f t="shared" si="25"/>
        <v>1</v>
      </c>
      <c r="I1658" s="1" t="s">
        <v>918</v>
      </c>
      <c r="J1658" s="1" t="s">
        <v>927</v>
      </c>
      <c r="K1658" s="1" t="s">
        <v>919</v>
      </c>
      <c r="L1658" s="1" t="s">
        <v>936</v>
      </c>
      <c r="M1658" s="1" t="s">
        <v>1037</v>
      </c>
      <c r="N1658" s="1" t="s">
        <v>996</v>
      </c>
      <c r="O1658" s="1" t="s">
        <v>1053</v>
      </c>
      <c r="P1658" s="1"/>
      <c r="Q1658" s="1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25">
      <c r="A1659" s="7" t="s">
        <v>9684</v>
      </c>
      <c r="C1659" s="8" t="s">
        <v>9252</v>
      </c>
      <c r="D1659">
        <f t="shared" si="25"/>
        <v>1</v>
      </c>
      <c r="I1659" s="1" t="s">
        <v>256</v>
      </c>
      <c r="J1659" s="1" t="s">
        <v>1013</v>
      </c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25">
      <c r="A1660" s="7" t="s">
        <v>9684</v>
      </c>
      <c r="C1660" s="7" t="s">
        <v>9205</v>
      </c>
      <c r="D1660">
        <f t="shared" si="25"/>
        <v>1</v>
      </c>
      <c r="I1660" s="1" t="s">
        <v>1053</v>
      </c>
      <c r="J1660" s="1" t="s">
        <v>328</v>
      </c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25">
      <c r="A1661" s="7" t="s">
        <v>9594</v>
      </c>
      <c r="C1661" s="8" t="s">
        <v>10590</v>
      </c>
      <c r="D1661">
        <f t="shared" si="25"/>
        <v>1</v>
      </c>
      <c r="I1661" s="1" t="s">
        <v>25</v>
      </c>
      <c r="J1661" s="1" t="s">
        <v>919</v>
      </c>
      <c r="K1661" s="1" t="s">
        <v>920</v>
      </c>
      <c r="L1661" s="1" t="s">
        <v>921</v>
      </c>
      <c r="M1661" s="1" t="s">
        <v>1062</v>
      </c>
      <c r="N1661" s="1" t="s">
        <v>983</v>
      </c>
      <c r="O1661" s="1" t="s">
        <v>1020</v>
      </c>
      <c r="P1661" s="1"/>
      <c r="Q1661" s="1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25">
      <c r="A1662" s="7" t="s">
        <v>9594</v>
      </c>
      <c r="C1662" s="8" t="s">
        <v>8859</v>
      </c>
      <c r="D1662">
        <f t="shared" si="25"/>
        <v>1</v>
      </c>
      <c r="I1662" s="1" t="s">
        <v>989</v>
      </c>
      <c r="J1662" s="1" t="s">
        <v>990</v>
      </c>
      <c r="K1662" s="1" t="s">
        <v>991</v>
      </c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25">
      <c r="A1663" s="8" t="s">
        <v>9594</v>
      </c>
      <c r="C1663" s="8" t="s">
        <v>9370</v>
      </c>
      <c r="D1663">
        <f t="shared" si="25"/>
        <v>1</v>
      </c>
      <c r="I1663" s="1" t="s">
        <v>4152</v>
      </c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25">
      <c r="A1664" s="8" t="s">
        <v>9594</v>
      </c>
      <c r="C1664" s="8" t="s">
        <v>9763</v>
      </c>
      <c r="D1664">
        <f t="shared" si="25"/>
        <v>1</v>
      </c>
      <c r="I1664" s="1" t="s">
        <v>4152</v>
      </c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25">
      <c r="A1665" s="8" t="s">
        <v>10297</v>
      </c>
      <c r="C1665" s="8" t="s">
        <v>10215</v>
      </c>
      <c r="D1665">
        <f t="shared" si="25"/>
        <v>1</v>
      </c>
      <c r="I1665" s="1" t="s">
        <v>4152</v>
      </c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25">
      <c r="A1666" s="7" t="s">
        <v>3093</v>
      </c>
      <c r="C1666" s="8" t="s">
        <v>10448</v>
      </c>
      <c r="D1666">
        <f t="shared" ref="D1666:D1729" si="26">COUNTIF(A:A,C1666)</f>
        <v>1</v>
      </c>
      <c r="I1666" s="1" t="s">
        <v>918</v>
      </c>
      <c r="J1666" s="1" t="s">
        <v>919</v>
      </c>
      <c r="K1666" s="1" t="s">
        <v>924</v>
      </c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25">
      <c r="A1667" s="7" t="s">
        <v>3093</v>
      </c>
      <c r="C1667" s="7" t="s">
        <v>9879</v>
      </c>
      <c r="D1667">
        <f t="shared" si="26"/>
        <v>1</v>
      </c>
      <c r="I1667" s="1" t="s">
        <v>918</v>
      </c>
      <c r="J1667" s="1" t="s">
        <v>25</v>
      </c>
      <c r="K1667" s="1" t="s">
        <v>927</v>
      </c>
      <c r="L1667" s="1" t="s">
        <v>919</v>
      </c>
      <c r="M1667" s="1" t="s">
        <v>920</v>
      </c>
      <c r="N1667" s="1" t="s">
        <v>936</v>
      </c>
      <c r="O1667" s="1" t="s">
        <v>1108</v>
      </c>
      <c r="P1667" s="1" t="s">
        <v>960</v>
      </c>
      <c r="Q1667" s="1" t="s">
        <v>961</v>
      </c>
      <c r="R1667" s="1" t="s">
        <v>921</v>
      </c>
      <c r="S1667" s="1" t="s">
        <v>1001</v>
      </c>
      <c r="T1667" s="1"/>
      <c r="U1667" s="1"/>
      <c r="V1667" s="1"/>
      <c r="W1667" s="1"/>
      <c r="X1667" s="1"/>
      <c r="Y1667" s="1"/>
    </row>
    <row r="1668" spans="1:25" x14ac:dyDescent="0.25">
      <c r="A1668" s="8" t="s">
        <v>3093</v>
      </c>
      <c r="C1668" s="7" t="s">
        <v>9155</v>
      </c>
      <c r="D1668">
        <f t="shared" si="26"/>
        <v>1</v>
      </c>
      <c r="I1668" s="1" t="s">
        <v>25</v>
      </c>
      <c r="J1668" s="1" t="s">
        <v>919</v>
      </c>
      <c r="K1668" s="1" t="s">
        <v>920</v>
      </c>
      <c r="L1668" s="1" t="s">
        <v>921</v>
      </c>
      <c r="M1668" s="1" t="s">
        <v>918</v>
      </c>
      <c r="N1668" s="1" t="s">
        <v>945</v>
      </c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25">
      <c r="A1669" s="8" t="s">
        <v>3093</v>
      </c>
      <c r="C1669" s="8" t="s">
        <v>9314</v>
      </c>
      <c r="D1669">
        <f t="shared" si="26"/>
        <v>1</v>
      </c>
      <c r="I1669" s="1" t="s">
        <v>918</v>
      </c>
      <c r="J1669" s="1" t="s">
        <v>919</v>
      </c>
      <c r="K1669" s="1" t="s">
        <v>936</v>
      </c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25">
      <c r="A1670" s="8" t="s">
        <v>3093</v>
      </c>
      <c r="C1670" s="7" t="s">
        <v>9708</v>
      </c>
      <c r="D1670">
        <f t="shared" si="26"/>
        <v>1</v>
      </c>
      <c r="I1670" s="1" t="s">
        <v>918</v>
      </c>
      <c r="J1670" s="1" t="s">
        <v>919</v>
      </c>
      <c r="K1670" s="1" t="s">
        <v>936</v>
      </c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25">
      <c r="A1671" s="8" t="s">
        <v>3093</v>
      </c>
      <c r="C1671" s="8" t="s">
        <v>10022</v>
      </c>
      <c r="D1671">
        <f t="shared" si="26"/>
        <v>1</v>
      </c>
      <c r="I1671" s="1" t="s">
        <v>918</v>
      </c>
      <c r="J1671" s="1" t="s">
        <v>919</v>
      </c>
      <c r="K1671" s="1" t="s">
        <v>936</v>
      </c>
      <c r="L1671" s="1" t="s">
        <v>958</v>
      </c>
      <c r="M1671" s="1" t="s">
        <v>941</v>
      </c>
      <c r="N1671" s="1" t="s">
        <v>955</v>
      </c>
      <c r="O1671" s="1" t="s">
        <v>1034</v>
      </c>
      <c r="P1671" s="1" t="s">
        <v>930</v>
      </c>
      <c r="Q1671" s="1" t="s">
        <v>1014</v>
      </c>
      <c r="R1671" s="1" t="s">
        <v>956</v>
      </c>
      <c r="S1671" s="1"/>
      <c r="T1671" s="1"/>
      <c r="U1671" s="1"/>
      <c r="V1671" s="1"/>
      <c r="W1671" s="1"/>
      <c r="X1671" s="1"/>
      <c r="Y1671" s="1"/>
    </row>
    <row r="1672" spans="1:25" x14ac:dyDescent="0.25">
      <c r="A1672" s="8" t="s">
        <v>3093</v>
      </c>
      <c r="C1672" s="8" t="s">
        <v>9657</v>
      </c>
      <c r="D1672">
        <f t="shared" si="26"/>
        <v>1</v>
      </c>
      <c r="I1672" s="1" t="s">
        <v>918</v>
      </c>
      <c r="J1672" s="1" t="s">
        <v>25</v>
      </c>
      <c r="K1672" s="1" t="s">
        <v>923</v>
      </c>
      <c r="L1672" s="1" t="s">
        <v>973</v>
      </c>
      <c r="M1672" s="1" t="s">
        <v>916</v>
      </c>
      <c r="N1672" s="1" t="s">
        <v>920</v>
      </c>
      <c r="O1672" s="1" t="s">
        <v>954</v>
      </c>
      <c r="P1672" s="1" t="s">
        <v>974</v>
      </c>
      <c r="Q1672" s="1" t="s">
        <v>921</v>
      </c>
      <c r="R1672" s="1" t="s">
        <v>298</v>
      </c>
      <c r="S1672" s="1" t="s">
        <v>933</v>
      </c>
      <c r="T1672" s="1" t="s">
        <v>1001</v>
      </c>
      <c r="U1672" s="1" t="s">
        <v>937</v>
      </c>
      <c r="V1672" s="1"/>
      <c r="W1672" s="1"/>
      <c r="X1672" s="1"/>
      <c r="Y1672" s="1"/>
    </row>
    <row r="1673" spans="1:25" x14ac:dyDescent="0.25">
      <c r="A1673" s="8" t="s">
        <v>3093</v>
      </c>
      <c r="C1673" s="8" t="s">
        <v>9399</v>
      </c>
      <c r="D1673">
        <f t="shared" si="26"/>
        <v>1</v>
      </c>
      <c r="I1673" s="1" t="s">
        <v>1016</v>
      </c>
      <c r="J1673" s="1" t="s">
        <v>1019</v>
      </c>
      <c r="K1673" s="1" t="s">
        <v>983</v>
      </c>
      <c r="L1673" s="1" t="s">
        <v>10697</v>
      </c>
      <c r="M1673" s="1" t="s">
        <v>984</v>
      </c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25">
      <c r="A1674" s="7" t="s">
        <v>10010</v>
      </c>
      <c r="C1674" s="8" t="s">
        <v>9348</v>
      </c>
      <c r="D1674">
        <f t="shared" si="26"/>
        <v>1</v>
      </c>
      <c r="I1674" s="1" t="s">
        <v>1016</v>
      </c>
      <c r="J1674" s="1" t="s">
        <v>1019</v>
      </c>
      <c r="K1674" s="1" t="s">
        <v>983</v>
      </c>
      <c r="L1674" s="1" t="s">
        <v>10697</v>
      </c>
      <c r="M1674" s="1" t="s">
        <v>984</v>
      </c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25">
      <c r="A1675" s="7" t="s">
        <v>8966</v>
      </c>
      <c r="C1675" s="8" t="s">
        <v>10358</v>
      </c>
      <c r="D1675">
        <f t="shared" si="26"/>
        <v>1</v>
      </c>
      <c r="I1675" s="1" t="s">
        <v>1016</v>
      </c>
      <c r="J1675" s="1" t="s">
        <v>1019</v>
      </c>
      <c r="K1675" s="1" t="s">
        <v>983</v>
      </c>
      <c r="L1675" s="1" t="s">
        <v>10697</v>
      </c>
      <c r="M1675" s="1" t="s">
        <v>984</v>
      </c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25">
      <c r="A1676" s="7" t="s">
        <v>6401</v>
      </c>
      <c r="C1676" s="8" t="s">
        <v>10680</v>
      </c>
      <c r="D1676">
        <f t="shared" si="26"/>
        <v>1</v>
      </c>
      <c r="I1676" s="1" t="s">
        <v>1019</v>
      </c>
      <c r="J1676" s="1" t="s">
        <v>983</v>
      </c>
      <c r="K1676" s="1" t="s">
        <v>984</v>
      </c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25">
      <c r="A1677" s="7" t="s">
        <v>6401</v>
      </c>
      <c r="C1677" s="8" t="s">
        <v>9676</v>
      </c>
      <c r="D1677">
        <f t="shared" si="26"/>
        <v>1</v>
      </c>
      <c r="I1677" s="1" t="s">
        <v>1019</v>
      </c>
      <c r="J1677" s="1" t="s">
        <v>983</v>
      </c>
      <c r="K1677" s="1" t="s">
        <v>984</v>
      </c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25">
      <c r="A1678" s="7" t="s">
        <v>6401</v>
      </c>
      <c r="C1678" s="8" t="s">
        <v>10080</v>
      </c>
      <c r="D1678">
        <f t="shared" si="26"/>
        <v>1</v>
      </c>
      <c r="I1678" s="1" t="s">
        <v>1019</v>
      </c>
      <c r="J1678" s="1" t="s">
        <v>983</v>
      </c>
      <c r="K1678" s="1" t="s">
        <v>984</v>
      </c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25">
      <c r="A1679" s="8" t="s">
        <v>6401</v>
      </c>
      <c r="C1679" s="7" t="s">
        <v>10339</v>
      </c>
      <c r="D1679">
        <f t="shared" si="26"/>
        <v>1</v>
      </c>
      <c r="I1679" s="1" t="s">
        <v>1016</v>
      </c>
      <c r="J1679" s="1" t="s">
        <v>1019</v>
      </c>
      <c r="K1679" s="1" t="s">
        <v>10697</v>
      </c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25">
      <c r="A1680" s="8" t="s">
        <v>6401</v>
      </c>
      <c r="C1680" s="8" t="s">
        <v>10209</v>
      </c>
      <c r="D1680">
        <f t="shared" si="26"/>
        <v>1</v>
      </c>
      <c r="I1680" s="1" t="s">
        <v>1016</v>
      </c>
      <c r="J1680" s="1" t="s">
        <v>1019</v>
      </c>
      <c r="K1680" s="1" t="s">
        <v>10697</v>
      </c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25">
      <c r="A1681" s="8" t="s">
        <v>6401</v>
      </c>
      <c r="C1681" s="8" t="s">
        <v>9447</v>
      </c>
      <c r="D1681">
        <f t="shared" si="26"/>
        <v>1</v>
      </c>
      <c r="I1681" s="1" t="s">
        <v>1011</v>
      </c>
      <c r="J1681" s="1" t="s">
        <v>25</v>
      </c>
      <c r="K1681" s="1" t="s">
        <v>927</v>
      </c>
      <c r="L1681" s="1" t="s">
        <v>998</v>
      </c>
      <c r="M1681" s="1" t="s">
        <v>992</v>
      </c>
      <c r="N1681" s="1" t="s">
        <v>981</v>
      </c>
      <c r="O1681" s="1" t="s">
        <v>920</v>
      </c>
      <c r="P1681" s="1" t="s">
        <v>933</v>
      </c>
      <c r="Q1681" s="1" t="s">
        <v>994</v>
      </c>
      <c r="R1681" s="1" t="s">
        <v>1019</v>
      </c>
      <c r="S1681" s="1" t="s">
        <v>983</v>
      </c>
      <c r="T1681" s="1" t="s">
        <v>10697</v>
      </c>
      <c r="U1681" s="1"/>
      <c r="V1681" s="1"/>
      <c r="W1681" s="1"/>
      <c r="X1681" s="1"/>
      <c r="Y1681" s="1"/>
    </row>
    <row r="1682" spans="1:25" x14ac:dyDescent="0.25">
      <c r="A1682" s="7" t="s">
        <v>9872</v>
      </c>
      <c r="C1682" s="7" t="s">
        <v>6627</v>
      </c>
      <c r="D1682">
        <f t="shared" si="26"/>
        <v>1</v>
      </c>
      <c r="I1682" s="1" t="s">
        <v>1019</v>
      </c>
      <c r="J1682" s="1" t="s">
        <v>983</v>
      </c>
      <c r="K1682" s="1" t="s">
        <v>984</v>
      </c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25">
      <c r="A1683" s="7" t="s">
        <v>9969</v>
      </c>
      <c r="C1683" s="8" t="s">
        <v>9692</v>
      </c>
      <c r="D1683">
        <f t="shared" si="26"/>
        <v>1</v>
      </c>
      <c r="I1683" s="1" t="s">
        <v>981</v>
      </c>
      <c r="J1683" s="1" t="s">
        <v>1066</v>
      </c>
      <c r="K1683" s="1" t="s">
        <v>5407</v>
      </c>
      <c r="L1683" s="1" t="s">
        <v>10739</v>
      </c>
      <c r="M1683" s="1" t="s">
        <v>10734</v>
      </c>
      <c r="N1683" s="1" t="s">
        <v>10735</v>
      </c>
      <c r="O1683" s="1" t="s">
        <v>955</v>
      </c>
      <c r="P1683" s="1" t="s">
        <v>944</v>
      </c>
      <c r="Q1683" s="1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25">
      <c r="A1684" s="8" t="s">
        <v>10532</v>
      </c>
      <c r="C1684" s="8" t="s">
        <v>10455</v>
      </c>
      <c r="D1684">
        <f t="shared" si="26"/>
        <v>1</v>
      </c>
      <c r="I1684" s="1" t="s">
        <v>1107</v>
      </c>
      <c r="J1684" s="1" t="s">
        <v>918</v>
      </c>
      <c r="K1684" s="1" t="s">
        <v>919</v>
      </c>
      <c r="L1684" s="1" t="s">
        <v>945</v>
      </c>
      <c r="M1684" s="1" t="s">
        <v>25</v>
      </c>
      <c r="N1684" s="1" t="s">
        <v>923</v>
      </c>
      <c r="O1684" s="1" t="s">
        <v>916</v>
      </c>
      <c r="P1684" s="1" t="s">
        <v>924</v>
      </c>
      <c r="Q1684" s="1" t="s">
        <v>974</v>
      </c>
      <c r="R1684" s="1" t="s">
        <v>922</v>
      </c>
      <c r="S1684" s="1"/>
      <c r="T1684" s="1"/>
      <c r="U1684" s="1"/>
      <c r="V1684" s="1"/>
      <c r="W1684" s="1"/>
      <c r="X1684" s="1"/>
      <c r="Y1684" s="1"/>
    </row>
    <row r="1685" spans="1:25" x14ac:dyDescent="0.25">
      <c r="A1685" s="8" t="s">
        <v>10532</v>
      </c>
      <c r="C1685" s="7" t="s">
        <v>10478</v>
      </c>
      <c r="D1685">
        <f t="shared" si="26"/>
        <v>1</v>
      </c>
      <c r="I1685" s="1" t="s">
        <v>918</v>
      </c>
      <c r="J1685" s="1" t="s">
        <v>919</v>
      </c>
      <c r="K1685" s="1" t="s">
        <v>924</v>
      </c>
      <c r="L1685" s="1" t="s">
        <v>1131</v>
      </c>
      <c r="M1685" s="1" t="s">
        <v>927</v>
      </c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25">
      <c r="A1686" s="8" t="s">
        <v>10595</v>
      </c>
      <c r="C1686" s="8" t="s">
        <v>10598</v>
      </c>
      <c r="D1686">
        <f t="shared" si="26"/>
        <v>1</v>
      </c>
      <c r="I1686" s="1" t="s">
        <v>918</v>
      </c>
      <c r="J1686" s="1" t="s">
        <v>919</v>
      </c>
      <c r="K1686" s="1" t="s">
        <v>924</v>
      </c>
      <c r="L1686" s="1" t="s">
        <v>1013</v>
      </c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25">
      <c r="A1687" s="8" t="s">
        <v>9833</v>
      </c>
      <c r="C1687" s="8" t="s">
        <v>9059</v>
      </c>
      <c r="D1687">
        <f t="shared" si="26"/>
        <v>1</v>
      </c>
      <c r="I1687" s="1" t="s">
        <v>918</v>
      </c>
      <c r="J1687" s="1" t="s">
        <v>919</v>
      </c>
      <c r="K1687" s="1" t="s">
        <v>924</v>
      </c>
      <c r="L1687" s="1" t="s">
        <v>936</v>
      </c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25">
      <c r="A1688" s="8" t="s">
        <v>10660</v>
      </c>
      <c r="C1688" s="7" t="s">
        <v>9564</v>
      </c>
      <c r="D1688">
        <f t="shared" si="26"/>
        <v>1</v>
      </c>
      <c r="I1688" s="1" t="s">
        <v>1107</v>
      </c>
      <c r="J1688" s="1" t="s">
        <v>918</v>
      </c>
      <c r="K1688" s="1" t="s">
        <v>919</v>
      </c>
      <c r="L1688" s="1" t="s">
        <v>945</v>
      </c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25">
      <c r="A1689" s="8" t="s">
        <v>9793</v>
      </c>
      <c r="C1689" s="7" t="s">
        <v>9671</v>
      </c>
      <c r="D1689">
        <f t="shared" si="26"/>
        <v>1</v>
      </c>
      <c r="I1689" s="1" t="s">
        <v>996</v>
      </c>
      <c r="J1689" s="1" t="s">
        <v>997</v>
      </c>
      <c r="K1689" s="1" t="s">
        <v>998</v>
      </c>
      <c r="L1689" s="1" t="s">
        <v>992</v>
      </c>
      <c r="M1689" s="1" t="s">
        <v>933</v>
      </c>
      <c r="N1689" s="1" t="s">
        <v>994</v>
      </c>
      <c r="O1689" s="1" t="s">
        <v>927</v>
      </c>
      <c r="P1689" s="1" t="s">
        <v>953</v>
      </c>
      <c r="Q1689" s="1" t="s">
        <v>943</v>
      </c>
      <c r="R1689" s="1" t="s">
        <v>983</v>
      </c>
      <c r="S1689" s="1" t="s">
        <v>919</v>
      </c>
      <c r="T1689" s="1" t="s">
        <v>984</v>
      </c>
      <c r="U1689" s="1"/>
      <c r="V1689" s="1"/>
      <c r="W1689" s="1"/>
      <c r="X1689" s="1"/>
      <c r="Y1689" s="1"/>
    </row>
    <row r="1690" spans="1:25" x14ac:dyDescent="0.25">
      <c r="A1690" s="8" t="s">
        <v>8953</v>
      </c>
      <c r="C1690" s="7" t="s">
        <v>5382</v>
      </c>
      <c r="D1690">
        <f t="shared" si="26"/>
        <v>1</v>
      </c>
      <c r="I1690" s="1" t="s">
        <v>25</v>
      </c>
      <c r="J1690" s="1" t="s">
        <v>919</v>
      </c>
      <c r="K1690" s="1" t="s">
        <v>920</v>
      </c>
      <c r="L1690" s="1" t="s">
        <v>921</v>
      </c>
      <c r="M1690" s="1" t="s">
        <v>10957</v>
      </c>
      <c r="N1690" s="1" t="s">
        <v>10958</v>
      </c>
      <c r="O1690" s="1" t="s">
        <v>10767</v>
      </c>
      <c r="P1690" s="1"/>
      <c r="Q1690" s="1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25">
      <c r="A1691" s="7" t="s">
        <v>9211</v>
      </c>
      <c r="C1691" s="7" t="s">
        <v>9176</v>
      </c>
      <c r="D1691">
        <f t="shared" si="26"/>
        <v>1</v>
      </c>
      <c r="I1691" s="1" t="s">
        <v>918</v>
      </c>
      <c r="J1691" s="1" t="s">
        <v>919</v>
      </c>
      <c r="K1691" s="1" t="s">
        <v>936</v>
      </c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25">
      <c r="A1692" s="8" t="s">
        <v>9211</v>
      </c>
      <c r="C1692" s="8" t="s">
        <v>9333</v>
      </c>
      <c r="D1692">
        <f t="shared" si="26"/>
        <v>1</v>
      </c>
      <c r="I1692" s="1" t="s">
        <v>50</v>
      </c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25">
      <c r="A1693" s="8" t="s">
        <v>9211</v>
      </c>
      <c r="C1693" s="7" t="s">
        <v>4767</v>
      </c>
      <c r="D1693">
        <f t="shared" si="26"/>
        <v>1</v>
      </c>
      <c r="I1693" s="1" t="s">
        <v>3439</v>
      </c>
      <c r="J1693" s="1" t="s">
        <v>1108</v>
      </c>
      <c r="K1693" s="1" t="s">
        <v>10947</v>
      </c>
      <c r="L1693" s="1" t="s">
        <v>1147</v>
      </c>
      <c r="M1693" s="1" t="s">
        <v>918</v>
      </c>
      <c r="N1693" s="1" t="s">
        <v>25</v>
      </c>
      <c r="O1693" s="1" t="s">
        <v>923</v>
      </c>
      <c r="P1693" s="1" t="s">
        <v>965</v>
      </c>
      <c r="Q1693" s="1" t="s">
        <v>840</v>
      </c>
      <c r="R1693" s="1" t="s">
        <v>920</v>
      </c>
      <c r="S1693" s="1" t="s">
        <v>954</v>
      </c>
      <c r="T1693" s="1"/>
      <c r="U1693" s="1"/>
      <c r="V1693" s="1"/>
      <c r="W1693" s="1"/>
      <c r="X1693" s="1"/>
      <c r="Y1693" s="1"/>
    </row>
    <row r="1694" spans="1:25" x14ac:dyDescent="0.25">
      <c r="A1694" s="8" t="s">
        <v>9211</v>
      </c>
      <c r="C1694" s="8" t="s">
        <v>9159</v>
      </c>
      <c r="D1694">
        <f t="shared" si="26"/>
        <v>1</v>
      </c>
      <c r="I1694" s="1" t="s">
        <v>298</v>
      </c>
      <c r="J1694" s="1" t="s">
        <v>933</v>
      </c>
      <c r="K1694" s="1" t="s">
        <v>918</v>
      </c>
      <c r="L1694" s="1" t="s">
        <v>25</v>
      </c>
      <c r="M1694" s="1" t="s">
        <v>1148</v>
      </c>
      <c r="N1694" s="1" t="s">
        <v>923</v>
      </c>
      <c r="O1694" s="1" t="s">
        <v>927</v>
      </c>
      <c r="P1694" s="1" t="s">
        <v>1086</v>
      </c>
      <c r="Q1694" s="1" t="s">
        <v>920</v>
      </c>
      <c r="R1694" s="1"/>
      <c r="S1694" s="1"/>
      <c r="T1694" s="1"/>
      <c r="U1694" s="1"/>
      <c r="V1694" s="1"/>
      <c r="W1694" s="1"/>
      <c r="X1694" s="1"/>
      <c r="Y1694" s="1"/>
    </row>
    <row r="1695" spans="1:25" x14ac:dyDescent="0.25">
      <c r="A1695" s="8" t="s">
        <v>9211</v>
      </c>
      <c r="C1695" s="8" t="s">
        <v>10005</v>
      </c>
      <c r="D1695">
        <f t="shared" si="26"/>
        <v>1</v>
      </c>
      <c r="I1695" s="1" t="s">
        <v>50</v>
      </c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25">
      <c r="A1696" s="8" t="s">
        <v>10671</v>
      </c>
      <c r="C1696" s="8" t="s">
        <v>10030</v>
      </c>
      <c r="D1696">
        <f t="shared" si="26"/>
        <v>1</v>
      </c>
      <c r="I1696" s="1" t="s">
        <v>50</v>
      </c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25">
      <c r="A1697" s="8" t="s">
        <v>9691</v>
      </c>
      <c r="C1697" s="7" t="s">
        <v>9434</v>
      </c>
      <c r="D1697">
        <f t="shared" si="26"/>
        <v>1</v>
      </c>
      <c r="I1697" s="1" t="s">
        <v>981</v>
      </c>
      <c r="J1697" s="1" t="s">
        <v>1066</v>
      </c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25">
      <c r="A1698" s="7" t="s">
        <v>8658</v>
      </c>
      <c r="C1698" s="7" t="s">
        <v>6309</v>
      </c>
      <c r="D1698">
        <f t="shared" si="26"/>
        <v>1</v>
      </c>
      <c r="I1698" s="1" t="s">
        <v>933</v>
      </c>
      <c r="J1698" s="1" t="s">
        <v>328</v>
      </c>
      <c r="K1698" s="1" t="s">
        <v>992</v>
      </c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25">
      <c r="A1699" s="8" t="s">
        <v>8658</v>
      </c>
      <c r="C1699" s="8" t="s">
        <v>9459</v>
      </c>
      <c r="D1699">
        <f t="shared" si="26"/>
        <v>1</v>
      </c>
      <c r="I1699" s="1" t="s">
        <v>1066</v>
      </c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25">
      <c r="A1700" s="8" t="s">
        <v>10270</v>
      </c>
      <c r="C1700" s="7" t="s">
        <v>10085</v>
      </c>
      <c r="D1700">
        <f t="shared" si="26"/>
        <v>1</v>
      </c>
      <c r="I1700" s="1" t="s">
        <v>981</v>
      </c>
      <c r="J1700" s="1" t="s">
        <v>1019</v>
      </c>
      <c r="K1700" s="1" t="s">
        <v>983</v>
      </c>
      <c r="L1700" s="1" t="s">
        <v>10697</v>
      </c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25">
      <c r="A1701" s="8" t="s">
        <v>10270</v>
      </c>
      <c r="C1701" s="8" t="s">
        <v>9687</v>
      </c>
      <c r="D1701">
        <f t="shared" si="26"/>
        <v>1</v>
      </c>
      <c r="I1701" s="1" t="s">
        <v>840</v>
      </c>
      <c r="J1701" s="1" t="s">
        <v>10959</v>
      </c>
      <c r="K1701" s="1" t="s">
        <v>918</v>
      </c>
      <c r="L1701" s="1" t="s">
        <v>25</v>
      </c>
      <c r="M1701" s="1" t="s">
        <v>997</v>
      </c>
      <c r="N1701" s="1" t="s">
        <v>920</v>
      </c>
      <c r="O1701" s="1" t="s">
        <v>924</v>
      </c>
      <c r="P1701" s="1" t="s">
        <v>921</v>
      </c>
      <c r="Q1701" s="1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25">
      <c r="A1702" s="8" t="s">
        <v>10270</v>
      </c>
      <c r="C1702" s="8" t="s">
        <v>9052</v>
      </c>
      <c r="D1702">
        <f t="shared" si="26"/>
        <v>1</v>
      </c>
      <c r="I1702" s="1" t="s">
        <v>925</v>
      </c>
      <c r="J1702" s="1" t="s">
        <v>927</v>
      </c>
      <c r="K1702" s="1" t="s">
        <v>919</v>
      </c>
      <c r="L1702" s="1" t="s">
        <v>960</v>
      </c>
      <c r="M1702" s="1" t="s">
        <v>10928</v>
      </c>
      <c r="N1702" s="1" t="s">
        <v>961</v>
      </c>
      <c r="O1702" s="1" t="s">
        <v>951</v>
      </c>
      <c r="P1702" s="1" t="s">
        <v>940</v>
      </c>
      <c r="Q1702" s="1" t="s">
        <v>25</v>
      </c>
      <c r="R1702" s="1" t="s">
        <v>916</v>
      </c>
      <c r="S1702" s="1" t="s">
        <v>920</v>
      </c>
      <c r="T1702" s="1" t="s">
        <v>921</v>
      </c>
      <c r="U1702" s="1"/>
      <c r="V1702" s="1"/>
      <c r="W1702" s="1"/>
      <c r="X1702" s="1"/>
      <c r="Y1702" s="1"/>
    </row>
    <row r="1703" spans="1:25" x14ac:dyDescent="0.25">
      <c r="A1703" s="8" t="s">
        <v>10390</v>
      </c>
      <c r="C1703" s="7" t="s">
        <v>10210</v>
      </c>
      <c r="D1703">
        <f t="shared" si="26"/>
        <v>1</v>
      </c>
      <c r="I1703" s="1" t="s">
        <v>933</v>
      </c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25">
      <c r="A1704" s="7" t="s">
        <v>2259</v>
      </c>
      <c r="C1704" s="8" t="s">
        <v>9493</v>
      </c>
      <c r="D1704">
        <f t="shared" si="26"/>
        <v>1</v>
      </c>
      <c r="I1704" s="1" t="s">
        <v>298</v>
      </c>
      <c r="J1704" s="1" t="s">
        <v>25</v>
      </c>
      <c r="K1704" s="1" t="s">
        <v>927</v>
      </c>
      <c r="L1704" s="1" t="s">
        <v>998</v>
      </c>
      <c r="M1704" s="1" t="s">
        <v>1086</v>
      </c>
      <c r="N1704" s="1" t="s">
        <v>920</v>
      </c>
      <c r="O1704" s="1" t="s">
        <v>933</v>
      </c>
      <c r="P1704" s="1" t="s">
        <v>1030</v>
      </c>
      <c r="Q1704" s="1" t="s">
        <v>1061</v>
      </c>
      <c r="R1704" s="1"/>
      <c r="S1704" s="1"/>
      <c r="T1704" s="1"/>
      <c r="U1704" s="1"/>
      <c r="V1704" s="1"/>
      <c r="W1704" s="1"/>
      <c r="X1704" s="1"/>
      <c r="Y1704" s="1"/>
    </row>
    <row r="1705" spans="1:25" x14ac:dyDescent="0.25">
      <c r="A1705" s="7" t="s">
        <v>2259</v>
      </c>
      <c r="C1705" s="8" t="s">
        <v>9754</v>
      </c>
      <c r="D1705">
        <f t="shared" si="26"/>
        <v>1</v>
      </c>
      <c r="I1705" s="1" t="s">
        <v>983</v>
      </c>
      <c r="J1705" s="1" t="s">
        <v>984</v>
      </c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25">
      <c r="A1706" s="7" t="s">
        <v>2259</v>
      </c>
      <c r="C1706" s="7" t="s">
        <v>2511</v>
      </c>
      <c r="D1706">
        <f t="shared" si="26"/>
        <v>1</v>
      </c>
      <c r="I1706" s="1" t="s">
        <v>918</v>
      </c>
      <c r="J1706" s="1" t="s">
        <v>25</v>
      </c>
      <c r="K1706" s="1" t="s">
        <v>919</v>
      </c>
      <c r="L1706" s="1" t="s">
        <v>920</v>
      </c>
      <c r="M1706" s="1" t="s">
        <v>924</v>
      </c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25">
      <c r="A1707" s="7" t="s">
        <v>2259</v>
      </c>
      <c r="C1707" s="8" t="s">
        <v>10191</v>
      </c>
      <c r="D1707">
        <f t="shared" si="26"/>
        <v>1</v>
      </c>
      <c r="I1707" s="1" t="s">
        <v>50</v>
      </c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25">
      <c r="A1708" s="7" t="s">
        <v>2259</v>
      </c>
      <c r="C1708" s="8" t="s">
        <v>9371</v>
      </c>
      <c r="D1708">
        <f t="shared" si="26"/>
        <v>1</v>
      </c>
      <c r="I1708" s="1" t="s">
        <v>1136</v>
      </c>
      <c r="J1708" s="1" t="s">
        <v>1137</v>
      </c>
      <c r="K1708" s="1" t="s">
        <v>1032</v>
      </c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25">
      <c r="A1709" s="7" t="s">
        <v>2259</v>
      </c>
      <c r="C1709" s="8" t="s">
        <v>10107</v>
      </c>
      <c r="D1709">
        <f t="shared" si="26"/>
        <v>1</v>
      </c>
      <c r="I1709" s="1" t="s">
        <v>918</v>
      </c>
      <c r="J1709" s="1" t="s">
        <v>25</v>
      </c>
      <c r="K1709" s="1" t="s">
        <v>920</v>
      </c>
      <c r="L1709" s="1" t="s">
        <v>933</v>
      </c>
      <c r="M1709" s="1" t="s">
        <v>921</v>
      </c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25">
      <c r="A1710" s="7" t="s">
        <v>2259</v>
      </c>
      <c r="C1710" s="8" t="s">
        <v>10111</v>
      </c>
      <c r="D1710">
        <f t="shared" si="26"/>
        <v>1</v>
      </c>
      <c r="I1710" s="1" t="s">
        <v>25</v>
      </c>
      <c r="J1710" s="1" t="s">
        <v>923</v>
      </c>
      <c r="K1710" s="1" t="s">
        <v>920</v>
      </c>
      <c r="L1710" s="1" t="s">
        <v>933</v>
      </c>
      <c r="M1710" s="1" t="s">
        <v>328</v>
      </c>
      <c r="N1710" s="1" t="s">
        <v>921</v>
      </c>
      <c r="O1710" s="1" t="s">
        <v>934</v>
      </c>
      <c r="P1710" s="1" t="s">
        <v>918</v>
      </c>
      <c r="Q1710" s="1" t="s">
        <v>1110</v>
      </c>
      <c r="R1710" s="1" t="s">
        <v>924</v>
      </c>
      <c r="S1710" s="1" t="s">
        <v>974</v>
      </c>
      <c r="T1710" s="1"/>
      <c r="U1710" s="1"/>
      <c r="V1710" s="1"/>
      <c r="W1710" s="1"/>
      <c r="X1710" s="1"/>
      <c r="Y1710" s="1"/>
    </row>
    <row r="1711" spans="1:25" x14ac:dyDescent="0.25">
      <c r="A1711" s="7" t="s">
        <v>2259</v>
      </c>
      <c r="C1711" s="7" t="s">
        <v>10184</v>
      </c>
      <c r="D1711">
        <f t="shared" si="26"/>
        <v>1</v>
      </c>
      <c r="I1711" s="1" t="s">
        <v>840</v>
      </c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25">
      <c r="A1712" s="7" t="s">
        <v>2259</v>
      </c>
      <c r="C1712" s="7" t="s">
        <v>9957</v>
      </c>
      <c r="D1712">
        <f t="shared" si="26"/>
        <v>1</v>
      </c>
      <c r="I1712" s="1" t="s">
        <v>940</v>
      </c>
      <c r="J1712" s="1" t="s">
        <v>920</v>
      </c>
      <c r="K1712" s="1" t="s">
        <v>933</v>
      </c>
      <c r="L1712" s="1" t="s">
        <v>921</v>
      </c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25">
      <c r="A1713" s="7" t="s">
        <v>2259</v>
      </c>
      <c r="C1713" s="8" t="s">
        <v>9567</v>
      </c>
      <c r="D1713">
        <f t="shared" si="26"/>
        <v>1</v>
      </c>
      <c r="I1713" s="1" t="s">
        <v>1002</v>
      </c>
      <c r="J1713" s="1" t="s">
        <v>1003</v>
      </c>
      <c r="K1713" s="1" t="s">
        <v>10743</v>
      </c>
      <c r="L1713" s="1" t="s">
        <v>84</v>
      </c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25">
      <c r="A1714" s="7" t="s">
        <v>2259</v>
      </c>
      <c r="C1714" s="7" t="s">
        <v>3847</v>
      </c>
      <c r="D1714">
        <f t="shared" si="26"/>
        <v>1</v>
      </c>
      <c r="I1714" s="1" t="s">
        <v>5332</v>
      </c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25">
      <c r="A1715" s="7" t="s">
        <v>2259</v>
      </c>
      <c r="C1715" s="8" t="s">
        <v>9771</v>
      </c>
      <c r="D1715">
        <f t="shared" si="26"/>
        <v>1</v>
      </c>
      <c r="I1715" s="1" t="s">
        <v>84</v>
      </c>
      <c r="J1715" s="1" t="s">
        <v>1168</v>
      </c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25">
      <c r="A1716" s="7" t="s">
        <v>2259</v>
      </c>
      <c r="C1716" s="8" t="s">
        <v>10538</v>
      </c>
      <c r="D1716">
        <f t="shared" si="26"/>
        <v>1</v>
      </c>
      <c r="I1716" s="1" t="s">
        <v>25</v>
      </c>
      <c r="J1716" s="1" t="s">
        <v>919</v>
      </c>
      <c r="K1716" s="1" t="s">
        <v>920</v>
      </c>
      <c r="L1716" s="1" t="s">
        <v>946</v>
      </c>
      <c r="M1716" s="1" t="s">
        <v>921</v>
      </c>
      <c r="N1716" s="1" t="s">
        <v>918</v>
      </c>
      <c r="O1716" s="1" t="s">
        <v>922</v>
      </c>
      <c r="P1716" s="1"/>
      <c r="Q1716" s="1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25">
      <c r="A1717" s="7" t="s">
        <v>2259</v>
      </c>
      <c r="C1717" s="8" t="s">
        <v>10629</v>
      </c>
      <c r="D1717">
        <f t="shared" si="26"/>
        <v>1</v>
      </c>
      <c r="I1717" s="1" t="s">
        <v>2541</v>
      </c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25">
      <c r="A1718" s="7" t="s">
        <v>2259</v>
      </c>
      <c r="C1718" s="8" t="s">
        <v>10641</v>
      </c>
      <c r="D1718">
        <f t="shared" si="26"/>
        <v>1</v>
      </c>
      <c r="I1718" s="1" t="s">
        <v>328</v>
      </c>
      <c r="J1718" s="1" t="s">
        <v>934</v>
      </c>
      <c r="K1718" s="1" t="s">
        <v>25</v>
      </c>
      <c r="L1718" s="1" t="s">
        <v>923</v>
      </c>
      <c r="M1718" s="1" t="s">
        <v>920</v>
      </c>
      <c r="N1718" s="1" t="s">
        <v>933</v>
      </c>
      <c r="O1718" s="1" t="s">
        <v>954</v>
      </c>
      <c r="P1718" s="1"/>
      <c r="Q1718" s="1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25">
      <c r="A1719" s="7" t="s">
        <v>2259</v>
      </c>
      <c r="C1719" s="8" t="s">
        <v>9672</v>
      </c>
      <c r="D1719">
        <f t="shared" si="26"/>
        <v>1</v>
      </c>
      <c r="I1719" s="1" t="s">
        <v>25</v>
      </c>
      <c r="J1719" s="1" t="s">
        <v>1118</v>
      </c>
      <c r="K1719" s="1" t="s">
        <v>335</v>
      </c>
      <c r="L1719" s="1" t="s">
        <v>920</v>
      </c>
      <c r="M1719" s="1" t="s">
        <v>921</v>
      </c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25">
      <c r="A1720" s="8" t="s">
        <v>2259</v>
      </c>
      <c r="C1720" s="8" t="s">
        <v>10263</v>
      </c>
      <c r="D1720">
        <f t="shared" si="26"/>
        <v>1</v>
      </c>
      <c r="I1720" s="1" t="s">
        <v>328</v>
      </c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25">
      <c r="A1721" s="8" t="s">
        <v>2259</v>
      </c>
      <c r="C1721" s="8" t="s">
        <v>10201</v>
      </c>
      <c r="D1721">
        <f t="shared" si="26"/>
        <v>1</v>
      </c>
      <c r="I1721" s="1" t="s">
        <v>918</v>
      </c>
      <c r="J1721" s="1" t="s">
        <v>919</v>
      </c>
      <c r="K1721" s="1" t="s">
        <v>936</v>
      </c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25">
      <c r="A1722" s="7" t="s">
        <v>9191</v>
      </c>
      <c r="C1722" s="8" t="s">
        <v>10357</v>
      </c>
      <c r="D1722">
        <f t="shared" si="26"/>
        <v>1</v>
      </c>
      <c r="I1722" s="1" t="s">
        <v>918</v>
      </c>
      <c r="J1722" s="1" t="s">
        <v>919</v>
      </c>
      <c r="K1722" s="1" t="s">
        <v>936</v>
      </c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25">
      <c r="A1723" s="7" t="s">
        <v>9191</v>
      </c>
      <c r="C1723" s="8" t="s">
        <v>10108</v>
      </c>
      <c r="D1723">
        <f t="shared" si="26"/>
        <v>1</v>
      </c>
      <c r="I1723" s="1" t="s">
        <v>25</v>
      </c>
      <c r="J1723" s="1" t="s">
        <v>920</v>
      </c>
      <c r="K1723" s="1" t="s">
        <v>954</v>
      </c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25">
      <c r="A1724" s="8" t="s">
        <v>10459</v>
      </c>
      <c r="C1724" s="8" t="s">
        <v>10536</v>
      </c>
      <c r="D1724">
        <f t="shared" si="26"/>
        <v>1</v>
      </c>
      <c r="I1724" s="1" t="s">
        <v>998</v>
      </c>
      <c r="J1724" s="1" t="s">
        <v>3528</v>
      </c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25">
      <c r="A1725" s="8" t="s">
        <v>10004</v>
      </c>
      <c r="C1725" s="7" t="s">
        <v>9511</v>
      </c>
      <c r="D1725">
        <f t="shared" si="26"/>
        <v>1</v>
      </c>
      <c r="I1725" s="1" t="s">
        <v>1126</v>
      </c>
      <c r="J1725" s="1" t="s">
        <v>917</v>
      </c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25">
      <c r="A1726" s="8" t="s">
        <v>10004</v>
      </c>
      <c r="C1726" s="8" t="s">
        <v>9077</v>
      </c>
      <c r="D1726">
        <f t="shared" si="26"/>
        <v>1</v>
      </c>
      <c r="I1726" s="1" t="s">
        <v>1150</v>
      </c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25">
      <c r="A1727" s="8" t="s">
        <v>10548</v>
      </c>
      <c r="C1727" s="8" t="s">
        <v>10601</v>
      </c>
      <c r="D1727">
        <f t="shared" si="26"/>
        <v>1</v>
      </c>
      <c r="I1727" s="1" t="s">
        <v>10930</v>
      </c>
      <c r="J1727" s="1" t="s">
        <v>10931</v>
      </c>
      <c r="K1727" s="1" t="s">
        <v>2772</v>
      </c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25">
      <c r="A1728" s="8" t="s">
        <v>10133</v>
      </c>
      <c r="C1728" s="8" t="s">
        <v>8876</v>
      </c>
      <c r="D1728">
        <f t="shared" si="26"/>
        <v>1</v>
      </c>
      <c r="I1728" s="1" t="s">
        <v>10930</v>
      </c>
      <c r="J1728" s="1" t="s">
        <v>10931</v>
      </c>
      <c r="K1728" s="1" t="s">
        <v>2772</v>
      </c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25">
      <c r="A1729" s="8" t="s">
        <v>9158</v>
      </c>
      <c r="C1729" s="8" t="s">
        <v>9102</v>
      </c>
      <c r="D1729">
        <f t="shared" si="26"/>
        <v>1</v>
      </c>
      <c r="I1729" s="1" t="s">
        <v>10930</v>
      </c>
      <c r="J1729" s="1" t="s">
        <v>10931</v>
      </c>
      <c r="K1729" s="1" t="s">
        <v>2772</v>
      </c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25">
      <c r="A1730" s="8" t="s">
        <v>9595</v>
      </c>
      <c r="C1730" s="8" t="s">
        <v>10694</v>
      </c>
      <c r="D1730">
        <f t="shared" ref="D1730:D1793" si="27">COUNTIF(A:A,C1730)</f>
        <v>1</v>
      </c>
      <c r="I1730" s="1" t="s">
        <v>10930</v>
      </c>
      <c r="J1730" s="1" t="s">
        <v>10931</v>
      </c>
      <c r="K1730" s="1" t="s">
        <v>2772</v>
      </c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25">
      <c r="A1731" s="8" t="s">
        <v>9130</v>
      </c>
      <c r="C1731" s="8" t="s">
        <v>9954</v>
      </c>
      <c r="D1731">
        <f t="shared" si="27"/>
        <v>1</v>
      </c>
      <c r="I1731" s="1" t="s">
        <v>934</v>
      </c>
      <c r="J1731" s="1" t="s">
        <v>1090</v>
      </c>
      <c r="K1731" s="1" t="s">
        <v>25</v>
      </c>
      <c r="L1731" s="1" t="s">
        <v>920</v>
      </c>
      <c r="M1731" s="1" t="s">
        <v>974</v>
      </c>
      <c r="N1731" s="1" t="s">
        <v>950</v>
      </c>
      <c r="O1731" s="1" t="s">
        <v>10720</v>
      </c>
      <c r="P1731" s="1" t="s">
        <v>10805</v>
      </c>
      <c r="Q1731" s="1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25">
      <c r="A1732" s="8" t="s">
        <v>10550</v>
      </c>
      <c r="C1732" s="8" t="s">
        <v>10529</v>
      </c>
      <c r="D1732">
        <f t="shared" si="27"/>
        <v>1</v>
      </c>
      <c r="I1732" s="1" t="s">
        <v>1149</v>
      </c>
      <c r="J1732" s="1" t="s">
        <v>25</v>
      </c>
      <c r="K1732" s="1" t="s">
        <v>923</v>
      </c>
      <c r="L1732" s="1" t="s">
        <v>998</v>
      </c>
      <c r="M1732" s="1" t="s">
        <v>1086</v>
      </c>
      <c r="N1732" s="1" t="s">
        <v>920</v>
      </c>
      <c r="O1732" s="1" t="s">
        <v>933</v>
      </c>
      <c r="P1732" s="1" t="s">
        <v>10719</v>
      </c>
      <c r="Q1732" s="1" t="s">
        <v>298</v>
      </c>
      <c r="R1732" s="1" t="s">
        <v>927</v>
      </c>
      <c r="S1732" s="1"/>
      <c r="T1732" s="1"/>
      <c r="U1732" s="1"/>
      <c r="V1732" s="1"/>
      <c r="W1732" s="1"/>
      <c r="X1732" s="1"/>
      <c r="Y1732" s="1"/>
    </row>
    <row r="1733" spans="1:25" x14ac:dyDescent="0.25">
      <c r="A1733" s="7" t="s">
        <v>8937</v>
      </c>
      <c r="C1733" s="8" t="s">
        <v>9906</v>
      </c>
      <c r="D1733">
        <f t="shared" si="27"/>
        <v>1</v>
      </c>
      <c r="I1733" s="1" t="s">
        <v>918</v>
      </c>
      <c r="J1733" s="1" t="s">
        <v>949</v>
      </c>
      <c r="K1733" s="1" t="s">
        <v>25</v>
      </c>
      <c r="L1733" s="1" t="s">
        <v>923</v>
      </c>
      <c r="M1733" s="1" t="s">
        <v>919</v>
      </c>
      <c r="N1733" s="1" t="s">
        <v>920</v>
      </c>
      <c r="O1733" s="1" t="s">
        <v>974</v>
      </c>
      <c r="P1733" s="1" t="s">
        <v>921</v>
      </c>
      <c r="Q1733" s="1" t="s">
        <v>934</v>
      </c>
      <c r="R1733" s="1" t="s">
        <v>948</v>
      </c>
      <c r="S1733" s="1" t="s">
        <v>916</v>
      </c>
      <c r="T1733" s="1" t="s">
        <v>328</v>
      </c>
      <c r="U1733" s="1" t="s">
        <v>950</v>
      </c>
      <c r="V1733" s="1"/>
      <c r="W1733" s="1"/>
      <c r="X1733" s="1"/>
      <c r="Y1733" s="1"/>
    </row>
    <row r="1734" spans="1:25" x14ac:dyDescent="0.25">
      <c r="A1734" s="7" t="s">
        <v>8937</v>
      </c>
      <c r="C1734" s="8" t="s">
        <v>10042</v>
      </c>
      <c r="D1734">
        <f t="shared" si="27"/>
        <v>1</v>
      </c>
      <c r="I1734" s="1" t="s">
        <v>932</v>
      </c>
      <c r="J1734" s="1" t="s">
        <v>916</v>
      </c>
      <c r="K1734" s="1" t="s">
        <v>920</v>
      </c>
      <c r="L1734" s="1" t="s">
        <v>921</v>
      </c>
      <c r="M1734" s="1" t="s">
        <v>922</v>
      </c>
      <c r="N1734" s="1" t="s">
        <v>918</v>
      </c>
      <c r="O1734" s="1" t="s">
        <v>919</v>
      </c>
      <c r="P1734" s="1" t="s">
        <v>936</v>
      </c>
      <c r="Q1734" s="1" t="s">
        <v>929</v>
      </c>
      <c r="R1734" s="1"/>
      <c r="S1734" s="1"/>
      <c r="T1734" s="1"/>
      <c r="U1734" s="1"/>
      <c r="V1734" s="1"/>
      <c r="W1734" s="1"/>
      <c r="X1734" s="1"/>
      <c r="Y1734" s="1"/>
    </row>
    <row r="1735" spans="1:25" x14ac:dyDescent="0.25">
      <c r="A1735" s="8" t="s">
        <v>8937</v>
      </c>
      <c r="C1735" s="8" t="s">
        <v>10415</v>
      </c>
      <c r="D1735">
        <f t="shared" si="27"/>
        <v>1</v>
      </c>
      <c r="I1735" s="1" t="s">
        <v>1090</v>
      </c>
      <c r="J1735" s="1" t="s">
        <v>25</v>
      </c>
      <c r="K1735" s="1" t="s">
        <v>923</v>
      </c>
      <c r="L1735" s="1" t="s">
        <v>916</v>
      </c>
      <c r="M1735" s="1" t="s">
        <v>920</v>
      </c>
      <c r="N1735" s="1" t="s">
        <v>954</v>
      </c>
      <c r="O1735" s="1" t="s">
        <v>974</v>
      </c>
      <c r="P1735" s="1" t="s">
        <v>950</v>
      </c>
      <c r="Q1735" s="1" t="s">
        <v>918</v>
      </c>
      <c r="R1735" s="1" t="s">
        <v>949</v>
      </c>
      <c r="S1735" s="1" t="s">
        <v>919</v>
      </c>
      <c r="T1735" s="1" t="s">
        <v>921</v>
      </c>
      <c r="U1735" s="1" t="s">
        <v>298</v>
      </c>
      <c r="V1735" s="1" t="s">
        <v>933</v>
      </c>
      <c r="W1735" s="1" t="s">
        <v>328</v>
      </c>
      <c r="X1735" s="1" t="s">
        <v>1013</v>
      </c>
      <c r="Y1735" s="1" t="s">
        <v>10960</v>
      </c>
    </row>
    <row r="1736" spans="1:25" x14ac:dyDescent="0.25">
      <c r="A1736" s="7" t="s">
        <v>9604</v>
      </c>
      <c r="C1736" s="8" t="s">
        <v>9028</v>
      </c>
      <c r="D1736">
        <f t="shared" si="27"/>
        <v>1</v>
      </c>
      <c r="I1736" s="1" t="s">
        <v>927</v>
      </c>
      <c r="J1736" s="1" t="s">
        <v>933</v>
      </c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25">
      <c r="A1737" s="7" t="s">
        <v>2270</v>
      </c>
      <c r="C1737" s="7" t="s">
        <v>10603</v>
      </c>
      <c r="D1737">
        <f t="shared" si="27"/>
        <v>1</v>
      </c>
      <c r="I1737" s="1" t="s">
        <v>918</v>
      </c>
      <c r="J1737" s="1" t="s">
        <v>25</v>
      </c>
      <c r="K1737" s="1" t="s">
        <v>923</v>
      </c>
      <c r="L1737" s="1" t="s">
        <v>973</v>
      </c>
      <c r="M1737" s="1" t="s">
        <v>916</v>
      </c>
      <c r="N1737" s="1" t="s">
        <v>920</v>
      </c>
      <c r="O1737" s="1" t="s">
        <v>954</v>
      </c>
      <c r="P1737" s="1" t="s">
        <v>974</v>
      </c>
      <c r="Q1737" s="1" t="s">
        <v>921</v>
      </c>
      <c r="R1737" s="1"/>
      <c r="S1737" s="1"/>
      <c r="T1737" s="1"/>
      <c r="U1737" s="1"/>
      <c r="V1737" s="1"/>
      <c r="W1737" s="1"/>
      <c r="X1737" s="1"/>
      <c r="Y1737" s="1"/>
    </row>
    <row r="1738" spans="1:25" x14ac:dyDescent="0.25">
      <c r="A1738" s="7" t="s">
        <v>2270</v>
      </c>
      <c r="C1738" s="7" t="s">
        <v>4028</v>
      </c>
      <c r="D1738">
        <f t="shared" si="27"/>
        <v>1</v>
      </c>
      <c r="I1738" s="1" t="s">
        <v>918</v>
      </c>
      <c r="J1738" s="1" t="s">
        <v>25</v>
      </c>
      <c r="K1738" s="1" t="s">
        <v>923</v>
      </c>
      <c r="L1738" s="1" t="s">
        <v>916</v>
      </c>
      <c r="M1738" s="1" t="s">
        <v>919</v>
      </c>
      <c r="N1738" s="1" t="s">
        <v>924</v>
      </c>
      <c r="O1738" s="1" t="s">
        <v>974</v>
      </c>
      <c r="P1738" s="1" t="s">
        <v>922</v>
      </c>
      <c r="Q1738" s="1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25">
      <c r="A1739" s="8" t="s">
        <v>9931</v>
      </c>
      <c r="C1739" s="7" t="s">
        <v>9231</v>
      </c>
      <c r="D1739">
        <f t="shared" si="27"/>
        <v>1</v>
      </c>
      <c r="I1739" s="1" t="s">
        <v>25</v>
      </c>
      <c r="J1739" s="1" t="s">
        <v>923</v>
      </c>
      <c r="K1739" s="1" t="s">
        <v>920</v>
      </c>
      <c r="L1739" s="1" t="s">
        <v>933</v>
      </c>
      <c r="M1739" s="1" t="s">
        <v>954</v>
      </c>
      <c r="N1739" s="1" t="s">
        <v>921</v>
      </c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25">
      <c r="A1740" s="8" t="s">
        <v>9931</v>
      </c>
      <c r="C1740" s="8" t="s">
        <v>10046</v>
      </c>
      <c r="D1740">
        <f t="shared" si="27"/>
        <v>1</v>
      </c>
      <c r="I1740" s="1" t="s">
        <v>25</v>
      </c>
      <c r="J1740" s="1" t="s">
        <v>923</v>
      </c>
      <c r="K1740" s="1" t="s">
        <v>997</v>
      </c>
      <c r="L1740" s="1" t="s">
        <v>927</v>
      </c>
      <c r="M1740" s="1" t="s">
        <v>10924</v>
      </c>
      <c r="N1740" s="1" t="s">
        <v>920</v>
      </c>
      <c r="O1740" s="1" t="s">
        <v>933</v>
      </c>
      <c r="P1740" s="1" t="s">
        <v>954</v>
      </c>
      <c r="Q1740" s="1" t="s">
        <v>974</v>
      </c>
      <c r="R1740" s="1" t="s">
        <v>921</v>
      </c>
      <c r="S1740" s="1" t="s">
        <v>1000</v>
      </c>
      <c r="T1740" s="1"/>
      <c r="U1740" s="1"/>
      <c r="V1740" s="1"/>
      <c r="W1740" s="1"/>
      <c r="X1740" s="1"/>
      <c r="Y1740" s="1"/>
    </row>
    <row r="1741" spans="1:25" x14ac:dyDescent="0.25">
      <c r="A1741" s="8" t="s">
        <v>10661</v>
      </c>
      <c r="C1741" s="7" t="s">
        <v>9236</v>
      </c>
      <c r="D1741">
        <f t="shared" si="27"/>
        <v>1</v>
      </c>
      <c r="I1741" s="1" t="s">
        <v>996</v>
      </c>
      <c r="J1741" s="1" t="s">
        <v>1053</v>
      </c>
      <c r="K1741" s="1" t="s">
        <v>1086</v>
      </c>
      <c r="L1741" s="1" t="s">
        <v>933</v>
      </c>
      <c r="M1741" s="1" t="s">
        <v>2541</v>
      </c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25">
      <c r="A1742" s="7" t="s">
        <v>401</v>
      </c>
      <c r="C1742" s="7" t="s">
        <v>9792</v>
      </c>
      <c r="D1742">
        <f t="shared" si="27"/>
        <v>1</v>
      </c>
      <c r="I1742" s="1" t="s">
        <v>1148</v>
      </c>
      <c r="J1742" s="1" t="s">
        <v>998</v>
      </c>
      <c r="K1742" s="1" t="s">
        <v>1086</v>
      </c>
      <c r="L1742" s="1" t="s">
        <v>933</v>
      </c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25">
      <c r="A1743" s="7" t="s">
        <v>401</v>
      </c>
      <c r="C1743" s="8" t="s">
        <v>9888</v>
      </c>
      <c r="D1743">
        <f t="shared" si="27"/>
        <v>1</v>
      </c>
      <c r="I1743" s="1" t="s">
        <v>918</v>
      </c>
      <c r="J1743" s="1" t="s">
        <v>919</v>
      </c>
      <c r="K1743" s="1" t="s">
        <v>936</v>
      </c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25">
      <c r="A1744" s="7" t="s">
        <v>401</v>
      </c>
      <c r="C1744" s="8" t="s">
        <v>9516</v>
      </c>
      <c r="D1744">
        <f t="shared" si="27"/>
        <v>1</v>
      </c>
      <c r="I1744" s="1" t="s">
        <v>918</v>
      </c>
      <c r="J1744" s="1" t="s">
        <v>919</v>
      </c>
      <c r="K1744" s="1" t="s">
        <v>936</v>
      </c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25">
      <c r="A1745" s="8" t="s">
        <v>9524</v>
      </c>
      <c r="C1745" s="7" t="s">
        <v>9297</v>
      </c>
      <c r="D1745">
        <f t="shared" si="27"/>
        <v>1</v>
      </c>
      <c r="I1745" s="1" t="s">
        <v>918</v>
      </c>
      <c r="J1745" s="1" t="s">
        <v>919</v>
      </c>
      <c r="K1745" s="1" t="s">
        <v>936</v>
      </c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25">
      <c r="A1746" s="8" t="s">
        <v>10331</v>
      </c>
      <c r="C1746" s="8" t="s">
        <v>9638</v>
      </c>
      <c r="D1746">
        <f t="shared" si="27"/>
        <v>1</v>
      </c>
      <c r="I1746" s="1" t="s">
        <v>918</v>
      </c>
      <c r="J1746" s="1" t="s">
        <v>919</v>
      </c>
      <c r="K1746" s="1" t="s">
        <v>936</v>
      </c>
      <c r="L1746" s="1" t="s">
        <v>1142</v>
      </c>
      <c r="M1746" s="1" t="s">
        <v>1143</v>
      </c>
      <c r="N1746" s="1" t="s">
        <v>1085</v>
      </c>
      <c r="O1746" s="1" t="s">
        <v>955</v>
      </c>
      <c r="P1746" s="1" t="s">
        <v>10961</v>
      </c>
      <c r="Q1746" s="1" t="s">
        <v>924</v>
      </c>
      <c r="R1746" s="1" t="s">
        <v>1014</v>
      </c>
      <c r="S1746" s="1" t="s">
        <v>944</v>
      </c>
      <c r="T1746" s="1" t="s">
        <v>956</v>
      </c>
      <c r="U1746" s="1"/>
      <c r="V1746" s="1"/>
      <c r="W1746" s="1"/>
      <c r="X1746" s="1"/>
      <c r="Y1746" s="1"/>
    </row>
    <row r="1747" spans="1:25" x14ac:dyDescent="0.25">
      <c r="A1747" s="8" t="s">
        <v>10369</v>
      </c>
      <c r="C1747" s="8" t="s">
        <v>9047</v>
      </c>
      <c r="D1747">
        <f t="shared" si="27"/>
        <v>1</v>
      </c>
      <c r="I1747" s="1" t="s">
        <v>919</v>
      </c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25">
      <c r="A1748" s="8" t="s">
        <v>9438</v>
      </c>
      <c r="C1748" s="7" t="s">
        <v>5354</v>
      </c>
      <c r="D1748">
        <f t="shared" si="27"/>
        <v>1</v>
      </c>
      <c r="I1748" s="1" t="s">
        <v>918</v>
      </c>
      <c r="J1748" s="1" t="s">
        <v>919</v>
      </c>
      <c r="K1748" s="1" t="s">
        <v>936</v>
      </c>
      <c r="L1748" s="1" t="s">
        <v>955</v>
      </c>
      <c r="M1748" s="1" t="s">
        <v>1071</v>
      </c>
      <c r="N1748" s="1" t="s">
        <v>1014</v>
      </c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25">
      <c r="A1749" s="7" t="s">
        <v>5450</v>
      </c>
      <c r="C1749" s="7" t="s">
        <v>3146</v>
      </c>
      <c r="D1749">
        <f t="shared" si="27"/>
        <v>1</v>
      </c>
      <c r="I1749" s="1" t="s">
        <v>918</v>
      </c>
      <c r="J1749" s="1" t="s">
        <v>25</v>
      </c>
      <c r="K1749" s="1" t="s">
        <v>919</v>
      </c>
      <c r="L1749" s="1" t="s">
        <v>920</v>
      </c>
      <c r="M1749" s="1" t="s">
        <v>921</v>
      </c>
      <c r="N1749" s="1" t="s">
        <v>933</v>
      </c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25">
      <c r="A1750" s="7" t="s">
        <v>8949</v>
      </c>
      <c r="C1750" s="7" t="s">
        <v>4889</v>
      </c>
      <c r="D1750">
        <f t="shared" si="27"/>
        <v>1</v>
      </c>
      <c r="I1750" s="1" t="s">
        <v>10726</v>
      </c>
      <c r="J1750" s="1" t="s">
        <v>10962</v>
      </c>
      <c r="K1750" s="1" t="s">
        <v>919</v>
      </c>
      <c r="L1750" s="1" t="s">
        <v>924</v>
      </c>
      <c r="M1750" s="1" t="s">
        <v>1014</v>
      </c>
      <c r="N1750" s="1" t="s">
        <v>958</v>
      </c>
      <c r="O1750" s="1" t="s">
        <v>918</v>
      </c>
      <c r="P1750" s="1" t="s">
        <v>930</v>
      </c>
      <c r="Q1750" s="1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25">
      <c r="A1751" s="8" t="s">
        <v>10262</v>
      </c>
      <c r="C1751" s="7" t="s">
        <v>9514</v>
      </c>
      <c r="D1751">
        <f t="shared" si="27"/>
        <v>1</v>
      </c>
      <c r="I1751" s="1" t="s">
        <v>50</v>
      </c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25">
      <c r="A1752" s="8" t="s">
        <v>10562</v>
      </c>
      <c r="C1752" s="8" t="s">
        <v>10652</v>
      </c>
      <c r="D1752">
        <f t="shared" si="27"/>
        <v>1</v>
      </c>
      <c r="I1752" s="1" t="s">
        <v>1013</v>
      </c>
      <c r="J1752" s="1" t="s">
        <v>918</v>
      </c>
      <c r="K1752" s="1" t="s">
        <v>927</v>
      </c>
      <c r="L1752" s="1" t="s">
        <v>919</v>
      </c>
      <c r="M1752" s="1" t="s">
        <v>936</v>
      </c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25">
      <c r="A1753" s="8" t="s">
        <v>9045</v>
      </c>
      <c r="C1753" s="8" t="s">
        <v>9992</v>
      </c>
      <c r="D1753">
        <f t="shared" si="27"/>
        <v>1</v>
      </c>
      <c r="I1753" s="1" t="s">
        <v>983</v>
      </c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25">
      <c r="A1754" s="8" t="s">
        <v>9690</v>
      </c>
      <c r="C1754" s="8" t="s">
        <v>9490</v>
      </c>
      <c r="D1754">
        <f t="shared" si="27"/>
        <v>1</v>
      </c>
      <c r="I1754" s="1" t="s">
        <v>50</v>
      </c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25">
      <c r="A1755" s="8" t="s">
        <v>9163</v>
      </c>
      <c r="C1755" s="7" t="s">
        <v>10043</v>
      </c>
      <c r="D1755">
        <f t="shared" si="27"/>
        <v>1</v>
      </c>
      <c r="I1755" s="1" t="s">
        <v>5407</v>
      </c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25">
      <c r="A1756" s="7" t="s">
        <v>10621</v>
      </c>
      <c r="C1756" s="8" t="s">
        <v>10690</v>
      </c>
      <c r="D1756">
        <f t="shared" si="27"/>
        <v>1</v>
      </c>
      <c r="I1756" s="1" t="s">
        <v>5407</v>
      </c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25">
      <c r="A1757" s="8" t="s">
        <v>10051</v>
      </c>
      <c r="C1757" s="8" t="s">
        <v>10038</v>
      </c>
      <c r="D1757">
        <f t="shared" si="27"/>
        <v>1</v>
      </c>
      <c r="I1757" s="1" t="s">
        <v>25</v>
      </c>
      <c r="J1757" s="1" t="s">
        <v>1086</v>
      </c>
      <c r="K1757" s="1" t="s">
        <v>919</v>
      </c>
      <c r="L1757" s="1" t="s">
        <v>920</v>
      </c>
      <c r="M1757" s="1" t="s">
        <v>921</v>
      </c>
      <c r="N1757" s="1" t="s">
        <v>1066</v>
      </c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25">
      <c r="A1758" s="7" t="s">
        <v>3328</v>
      </c>
      <c r="C1758" s="7" t="s">
        <v>6881</v>
      </c>
      <c r="D1758">
        <f t="shared" si="27"/>
        <v>1</v>
      </c>
      <c r="I1758" s="1" t="s">
        <v>926</v>
      </c>
      <c r="J1758" s="1" t="s">
        <v>918</v>
      </c>
      <c r="K1758" s="1" t="s">
        <v>25</v>
      </c>
      <c r="L1758" s="1" t="s">
        <v>927</v>
      </c>
      <c r="M1758" s="1" t="s">
        <v>928</v>
      </c>
      <c r="N1758" s="1" t="s">
        <v>919</v>
      </c>
      <c r="O1758" s="1" t="s">
        <v>920</v>
      </c>
      <c r="P1758" s="1" t="s">
        <v>960</v>
      </c>
      <c r="Q1758" s="1" t="s">
        <v>1147</v>
      </c>
      <c r="R1758" s="1" t="s">
        <v>925</v>
      </c>
      <c r="S1758" s="1" t="s">
        <v>929</v>
      </c>
      <c r="T1758" s="1"/>
      <c r="U1758" s="1"/>
      <c r="V1758" s="1"/>
      <c r="W1758" s="1"/>
      <c r="X1758" s="1"/>
      <c r="Y1758" s="1"/>
    </row>
    <row r="1759" spans="1:25" x14ac:dyDescent="0.25">
      <c r="A1759" s="7" t="s">
        <v>3328</v>
      </c>
      <c r="C1759" s="7" t="s">
        <v>8226</v>
      </c>
      <c r="D1759">
        <f t="shared" si="27"/>
        <v>1</v>
      </c>
      <c r="I1759" s="1" t="s">
        <v>10963</v>
      </c>
      <c r="J1759" s="1" t="s">
        <v>10913</v>
      </c>
      <c r="K1759" s="1" t="s">
        <v>10917</v>
      </c>
      <c r="L1759" s="1" t="s">
        <v>1034</v>
      </c>
      <c r="M1759" s="1" t="s">
        <v>956</v>
      </c>
      <c r="N1759" s="1" t="s">
        <v>919</v>
      </c>
      <c r="O1759" s="1" t="s">
        <v>1114</v>
      </c>
      <c r="P1759" s="1"/>
      <c r="Q1759" s="1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25">
      <c r="A1760" s="7" t="s">
        <v>3328</v>
      </c>
      <c r="C1760" s="7" t="s">
        <v>3610</v>
      </c>
      <c r="D1760">
        <f t="shared" si="27"/>
        <v>1</v>
      </c>
      <c r="I1760" s="1" t="s">
        <v>918</v>
      </c>
      <c r="J1760" s="1" t="s">
        <v>25</v>
      </c>
      <c r="K1760" s="1" t="s">
        <v>919</v>
      </c>
      <c r="L1760" s="1" t="s">
        <v>920</v>
      </c>
      <c r="M1760" s="1" t="s">
        <v>921</v>
      </c>
      <c r="N1760" s="1" t="s">
        <v>922</v>
      </c>
      <c r="O1760" s="1" t="s">
        <v>10964</v>
      </c>
      <c r="P1760" s="1" t="s">
        <v>936</v>
      </c>
      <c r="Q1760" s="1" t="s">
        <v>929</v>
      </c>
      <c r="R1760" s="1" t="s">
        <v>10746</v>
      </c>
      <c r="S1760" s="1" t="s">
        <v>924</v>
      </c>
      <c r="T1760" s="1"/>
      <c r="U1760" s="1"/>
      <c r="V1760" s="1"/>
      <c r="W1760" s="1"/>
      <c r="X1760" s="1"/>
      <c r="Y1760" s="1"/>
    </row>
    <row r="1761" spans="1:25" x14ac:dyDescent="0.25">
      <c r="A1761" s="8" t="s">
        <v>3328</v>
      </c>
      <c r="C1761" s="8" t="s">
        <v>9051</v>
      </c>
      <c r="D1761">
        <f t="shared" si="27"/>
        <v>1</v>
      </c>
      <c r="I1761" s="1" t="s">
        <v>1086</v>
      </c>
      <c r="J1761" s="1" t="s">
        <v>933</v>
      </c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25">
      <c r="A1762" s="8" t="s">
        <v>9128</v>
      </c>
      <c r="C1762" s="8" t="s">
        <v>8971</v>
      </c>
      <c r="D1762">
        <f t="shared" si="27"/>
        <v>1</v>
      </c>
      <c r="I1762" s="1" t="s">
        <v>50</v>
      </c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25">
      <c r="A1763" s="8" t="s">
        <v>10204</v>
      </c>
      <c r="C1763" s="8" t="s">
        <v>10662</v>
      </c>
      <c r="D1763">
        <f t="shared" si="27"/>
        <v>1</v>
      </c>
      <c r="I1763" s="1" t="s">
        <v>50</v>
      </c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25">
      <c r="A1764" s="8" t="s">
        <v>9354</v>
      </c>
      <c r="C1764" s="8" t="s">
        <v>10410</v>
      </c>
      <c r="D1764">
        <f t="shared" si="27"/>
        <v>1</v>
      </c>
      <c r="I1764" s="1" t="s">
        <v>25</v>
      </c>
      <c r="J1764" s="1" t="s">
        <v>923</v>
      </c>
      <c r="K1764" s="1" t="s">
        <v>920</v>
      </c>
      <c r="L1764" s="1" t="s">
        <v>933</v>
      </c>
      <c r="M1764" s="1" t="s">
        <v>954</v>
      </c>
      <c r="N1764" s="1" t="s">
        <v>921</v>
      </c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25">
      <c r="A1765" s="7" t="s">
        <v>4109</v>
      </c>
      <c r="C1765" s="7" t="s">
        <v>9029</v>
      </c>
      <c r="D1765">
        <f t="shared" si="27"/>
        <v>1</v>
      </c>
      <c r="I1765" s="1" t="s">
        <v>50</v>
      </c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25">
      <c r="A1766" s="7" t="s">
        <v>1636</v>
      </c>
      <c r="C1766" s="8" t="s">
        <v>10456</v>
      </c>
      <c r="D1766">
        <f t="shared" si="27"/>
        <v>1</v>
      </c>
      <c r="I1766" s="1" t="s">
        <v>918</v>
      </c>
      <c r="J1766" s="1" t="s">
        <v>25</v>
      </c>
      <c r="K1766" s="1" t="s">
        <v>916</v>
      </c>
      <c r="L1766" s="1" t="s">
        <v>919</v>
      </c>
      <c r="M1766" s="1" t="s">
        <v>920</v>
      </c>
      <c r="N1766" s="1" t="s">
        <v>921</v>
      </c>
      <c r="O1766" s="1" t="s">
        <v>922</v>
      </c>
      <c r="P1766" s="1" t="s">
        <v>10964</v>
      </c>
      <c r="Q1766" s="1" t="s">
        <v>972</v>
      </c>
      <c r="R1766" s="1" t="s">
        <v>929</v>
      </c>
      <c r="S1766" s="1" t="s">
        <v>933</v>
      </c>
      <c r="T1766" s="1"/>
      <c r="U1766" s="1"/>
      <c r="V1766" s="1"/>
      <c r="W1766" s="1"/>
      <c r="X1766" s="1"/>
      <c r="Y1766" s="1"/>
    </row>
    <row r="1767" spans="1:25" x14ac:dyDescent="0.25">
      <c r="A1767" s="8" t="s">
        <v>10054</v>
      </c>
      <c r="C1767" s="7" t="s">
        <v>9641</v>
      </c>
      <c r="D1767">
        <f t="shared" si="27"/>
        <v>1</v>
      </c>
      <c r="I1767" s="1" t="s">
        <v>1149</v>
      </c>
      <c r="J1767" s="1" t="s">
        <v>25</v>
      </c>
      <c r="K1767" s="1" t="s">
        <v>923</v>
      </c>
      <c r="L1767" s="1" t="s">
        <v>998</v>
      </c>
      <c r="M1767" s="1" t="s">
        <v>1086</v>
      </c>
      <c r="N1767" s="1" t="s">
        <v>920</v>
      </c>
      <c r="O1767" s="1" t="s">
        <v>933</v>
      </c>
      <c r="P1767" s="1" t="s">
        <v>10719</v>
      </c>
      <c r="Q1767" s="1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25">
      <c r="A1768" s="7" t="s">
        <v>8930</v>
      </c>
      <c r="C1768" s="7" t="s">
        <v>2892</v>
      </c>
      <c r="D1768">
        <f t="shared" si="27"/>
        <v>1</v>
      </c>
      <c r="I1768" s="1" t="s">
        <v>1074</v>
      </c>
      <c r="J1768" s="1" t="s">
        <v>955</v>
      </c>
      <c r="K1768" s="1" t="s">
        <v>1034</v>
      </c>
      <c r="L1768" s="1" t="s">
        <v>995</v>
      </c>
      <c r="M1768" s="1" t="s">
        <v>1014</v>
      </c>
      <c r="N1768" s="1" t="s">
        <v>956</v>
      </c>
      <c r="O1768" s="1" t="s">
        <v>985</v>
      </c>
      <c r="P1768" s="1" t="s">
        <v>1075</v>
      </c>
      <c r="Q1768" s="1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25">
      <c r="A1769" s="7" t="s">
        <v>8930</v>
      </c>
      <c r="C1769" s="8" t="s">
        <v>9728</v>
      </c>
      <c r="D1769">
        <f t="shared" si="27"/>
        <v>1</v>
      </c>
      <c r="I1769" s="1" t="s">
        <v>25</v>
      </c>
      <c r="J1769" s="1" t="s">
        <v>927</v>
      </c>
      <c r="K1769" s="1" t="s">
        <v>981</v>
      </c>
      <c r="L1769" s="1" t="s">
        <v>920</v>
      </c>
      <c r="M1769" s="1" t="s">
        <v>933</v>
      </c>
      <c r="N1769" s="1" t="s">
        <v>921</v>
      </c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25">
      <c r="A1770" s="7" t="s">
        <v>8930</v>
      </c>
      <c r="C1770" s="8" t="s">
        <v>10018</v>
      </c>
      <c r="D1770">
        <f t="shared" si="27"/>
        <v>1</v>
      </c>
      <c r="I1770" s="1" t="s">
        <v>10842</v>
      </c>
      <c r="J1770" s="1" t="s">
        <v>10843</v>
      </c>
      <c r="K1770" s="1" t="s">
        <v>927</v>
      </c>
      <c r="L1770" s="1" t="s">
        <v>933</v>
      </c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25">
      <c r="A1771" s="7" t="s">
        <v>8930</v>
      </c>
      <c r="C1771" s="8" t="s">
        <v>9536</v>
      </c>
      <c r="D1771">
        <f t="shared" si="27"/>
        <v>1</v>
      </c>
      <c r="I1771" s="1" t="s">
        <v>934</v>
      </c>
      <c r="J1771" s="1" t="s">
        <v>25</v>
      </c>
      <c r="K1771" s="1" t="s">
        <v>923</v>
      </c>
      <c r="L1771" s="1" t="s">
        <v>6421</v>
      </c>
      <c r="M1771" s="1" t="s">
        <v>920</v>
      </c>
      <c r="N1771" s="1" t="s">
        <v>328</v>
      </c>
      <c r="O1771" s="1" t="s">
        <v>921</v>
      </c>
      <c r="P1771" s="1"/>
      <c r="Q1771" s="1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25">
      <c r="A1772" s="7" t="s">
        <v>8930</v>
      </c>
      <c r="C1772" s="8" t="s">
        <v>9533</v>
      </c>
      <c r="D1772">
        <f t="shared" si="27"/>
        <v>1</v>
      </c>
      <c r="I1772" s="1" t="s">
        <v>298</v>
      </c>
      <c r="J1772" s="1" t="s">
        <v>25</v>
      </c>
      <c r="K1772" s="1" t="s">
        <v>927</v>
      </c>
      <c r="L1772" s="1" t="s">
        <v>998</v>
      </c>
      <c r="M1772" s="1" t="s">
        <v>1086</v>
      </c>
      <c r="N1772" s="1" t="s">
        <v>920</v>
      </c>
      <c r="O1772" s="1" t="s">
        <v>933</v>
      </c>
      <c r="P1772" s="1"/>
      <c r="Q1772" s="1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25">
      <c r="A1773" s="8" t="s">
        <v>8930</v>
      </c>
      <c r="C1773" s="8" t="s">
        <v>9531</v>
      </c>
      <c r="D1773">
        <f t="shared" si="27"/>
        <v>1</v>
      </c>
      <c r="I1773" s="1" t="s">
        <v>1001</v>
      </c>
      <c r="J1773" s="1" t="s">
        <v>10697</v>
      </c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25">
      <c r="A1774" s="8" t="s">
        <v>8930</v>
      </c>
      <c r="C1774" s="8" t="s">
        <v>9808</v>
      </c>
      <c r="D1774">
        <f t="shared" si="27"/>
        <v>1</v>
      </c>
      <c r="I1774" s="1" t="s">
        <v>981</v>
      </c>
      <c r="J1774" s="1" t="s">
        <v>993</v>
      </c>
      <c r="K1774" s="1" t="s">
        <v>927</v>
      </c>
      <c r="L1774" s="1" t="s">
        <v>998</v>
      </c>
      <c r="M1774" s="1" t="s">
        <v>992</v>
      </c>
      <c r="N1774" s="1" t="s">
        <v>1086</v>
      </c>
      <c r="O1774" s="1" t="s">
        <v>933</v>
      </c>
      <c r="P1774" s="1" t="s">
        <v>994</v>
      </c>
      <c r="Q1774" s="1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25">
      <c r="A1775" s="8" t="s">
        <v>8930</v>
      </c>
      <c r="C1775" s="8" t="s">
        <v>9633</v>
      </c>
      <c r="D1775">
        <f t="shared" si="27"/>
        <v>1</v>
      </c>
      <c r="I1775" s="1" t="s">
        <v>918</v>
      </c>
      <c r="J1775" s="1" t="s">
        <v>25</v>
      </c>
      <c r="K1775" s="1" t="s">
        <v>927</v>
      </c>
      <c r="L1775" s="1" t="s">
        <v>919</v>
      </c>
      <c r="M1775" s="1" t="s">
        <v>920</v>
      </c>
      <c r="N1775" s="1" t="s">
        <v>936</v>
      </c>
      <c r="O1775" s="1" t="s">
        <v>1108</v>
      </c>
      <c r="P1775" s="1" t="s">
        <v>960</v>
      </c>
      <c r="Q1775" s="1" t="s">
        <v>961</v>
      </c>
      <c r="R1775" s="1" t="s">
        <v>921</v>
      </c>
      <c r="S1775" s="1"/>
      <c r="T1775" s="1"/>
      <c r="U1775" s="1"/>
      <c r="V1775" s="1"/>
      <c r="W1775" s="1"/>
      <c r="X1775" s="1"/>
      <c r="Y1775" s="1"/>
    </row>
    <row r="1776" spans="1:25" x14ac:dyDescent="0.25">
      <c r="A1776" s="8" t="s">
        <v>8930</v>
      </c>
      <c r="C1776" s="8" t="s">
        <v>10382</v>
      </c>
      <c r="D1776">
        <f t="shared" si="27"/>
        <v>1</v>
      </c>
      <c r="I1776" s="1" t="s">
        <v>1016</v>
      </c>
      <c r="J1776" s="1" t="s">
        <v>1019</v>
      </c>
      <c r="K1776" s="1" t="s">
        <v>983</v>
      </c>
      <c r="L1776" s="1" t="s">
        <v>10697</v>
      </c>
      <c r="M1776" s="1" t="s">
        <v>984</v>
      </c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25">
      <c r="A1777" s="8" t="s">
        <v>10007</v>
      </c>
      <c r="C1777" s="8" t="s">
        <v>9389</v>
      </c>
      <c r="D1777">
        <f t="shared" si="27"/>
        <v>1</v>
      </c>
      <c r="I1777" s="1" t="s">
        <v>1053</v>
      </c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25">
      <c r="A1778" s="7" t="s">
        <v>5314</v>
      </c>
      <c r="C1778" s="8" t="s">
        <v>9602</v>
      </c>
      <c r="D1778">
        <f t="shared" si="27"/>
        <v>1</v>
      </c>
      <c r="I1778" s="1" t="s">
        <v>50</v>
      </c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25">
      <c r="A1779" s="8" t="s">
        <v>8970</v>
      </c>
      <c r="C1779" s="8" t="s">
        <v>9037</v>
      </c>
      <c r="D1779">
        <f t="shared" si="27"/>
        <v>1</v>
      </c>
      <c r="I1779" s="1" t="s">
        <v>996</v>
      </c>
      <c r="J1779" s="1" t="s">
        <v>2541</v>
      </c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25">
      <c r="A1780" s="7" t="s">
        <v>9891</v>
      </c>
      <c r="C1780" s="8" t="s">
        <v>9918</v>
      </c>
      <c r="D1780">
        <f t="shared" si="27"/>
        <v>1</v>
      </c>
      <c r="I1780" s="1" t="s">
        <v>996</v>
      </c>
      <c r="J1780" s="1" t="s">
        <v>2541</v>
      </c>
      <c r="K1780" s="1" t="s">
        <v>1066</v>
      </c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25">
      <c r="A1781" s="8" t="s">
        <v>9099</v>
      </c>
      <c r="C1781" s="8" t="s">
        <v>10482</v>
      </c>
      <c r="D1781">
        <f t="shared" si="27"/>
        <v>1</v>
      </c>
      <c r="I1781" s="1" t="s">
        <v>50</v>
      </c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25">
      <c r="A1782" s="8" t="s">
        <v>9470</v>
      </c>
      <c r="C1782" s="8" t="s">
        <v>9519</v>
      </c>
      <c r="D1782">
        <f t="shared" si="27"/>
        <v>1</v>
      </c>
      <c r="I1782" s="1" t="s">
        <v>50</v>
      </c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25">
      <c r="A1783" s="7" t="s">
        <v>10672</v>
      </c>
      <c r="C1783" s="8" t="s">
        <v>10522</v>
      </c>
      <c r="D1783">
        <f t="shared" si="27"/>
        <v>1</v>
      </c>
      <c r="I1783" s="1" t="s">
        <v>25</v>
      </c>
      <c r="J1783" s="1" t="s">
        <v>923</v>
      </c>
      <c r="K1783" s="1" t="s">
        <v>927</v>
      </c>
      <c r="L1783" s="1" t="s">
        <v>919</v>
      </c>
      <c r="M1783" s="1" t="s">
        <v>920</v>
      </c>
      <c r="N1783" s="1" t="s">
        <v>921</v>
      </c>
      <c r="O1783" s="1" t="s">
        <v>926</v>
      </c>
      <c r="P1783" s="1" t="s">
        <v>918</v>
      </c>
      <c r="Q1783" s="1" t="s">
        <v>928</v>
      </c>
      <c r="R1783" s="1" t="s">
        <v>960</v>
      </c>
      <c r="S1783" s="1" t="s">
        <v>1147</v>
      </c>
      <c r="T1783" s="1"/>
      <c r="U1783" s="1"/>
      <c r="V1783" s="1"/>
      <c r="W1783" s="1"/>
      <c r="X1783" s="1"/>
      <c r="Y1783" s="1"/>
    </row>
    <row r="1784" spans="1:25" x14ac:dyDescent="0.25">
      <c r="A1784" s="8" t="s">
        <v>10199</v>
      </c>
      <c r="C1784" s="7" t="s">
        <v>10325</v>
      </c>
      <c r="D1784">
        <f t="shared" si="27"/>
        <v>1</v>
      </c>
      <c r="I1784" s="1" t="s">
        <v>25</v>
      </c>
      <c r="J1784" s="1" t="s">
        <v>923</v>
      </c>
      <c r="K1784" s="1" t="s">
        <v>927</v>
      </c>
      <c r="L1784" s="1" t="s">
        <v>919</v>
      </c>
      <c r="M1784" s="1" t="s">
        <v>920</v>
      </c>
      <c r="N1784" s="1" t="s">
        <v>921</v>
      </c>
      <c r="O1784" s="1" t="s">
        <v>926</v>
      </c>
      <c r="P1784" s="1" t="s">
        <v>918</v>
      </c>
      <c r="Q1784" s="1" t="s">
        <v>928</v>
      </c>
      <c r="R1784" s="1" t="s">
        <v>960</v>
      </c>
      <c r="S1784" s="1" t="s">
        <v>1147</v>
      </c>
      <c r="T1784" s="1"/>
      <c r="U1784" s="1"/>
      <c r="V1784" s="1"/>
      <c r="W1784" s="1"/>
      <c r="X1784" s="1"/>
      <c r="Y1784" s="1"/>
    </row>
    <row r="1785" spans="1:25" x14ac:dyDescent="0.25">
      <c r="A1785" s="7" t="s">
        <v>9352</v>
      </c>
      <c r="C1785" s="8" t="s">
        <v>10335</v>
      </c>
      <c r="D1785">
        <f t="shared" si="27"/>
        <v>1</v>
      </c>
      <c r="I1785" s="1" t="s">
        <v>25</v>
      </c>
      <c r="J1785" s="1" t="s">
        <v>927</v>
      </c>
      <c r="K1785" s="1" t="s">
        <v>981</v>
      </c>
      <c r="L1785" s="1" t="s">
        <v>920</v>
      </c>
      <c r="M1785" s="1" t="s">
        <v>933</v>
      </c>
      <c r="N1785" s="1" t="s">
        <v>921</v>
      </c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25">
      <c r="A1786" s="7" t="s">
        <v>9352</v>
      </c>
      <c r="C1786" s="8" t="s">
        <v>9772</v>
      </c>
      <c r="D1786">
        <f t="shared" si="27"/>
        <v>1</v>
      </c>
      <c r="I1786" s="1" t="s">
        <v>25</v>
      </c>
      <c r="J1786" s="1" t="s">
        <v>927</v>
      </c>
      <c r="K1786" s="1" t="s">
        <v>981</v>
      </c>
      <c r="L1786" s="1" t="s">
        <v>920</v>
      </c>
      <c r="M1786" s="1" t="s">
        <v>933</v>
      </c>
      <c r="N1786" s="1" t="s">
        <v>921</v>
      </c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25">
      <c r="A1787" s="7" t="s">
        <v>3310</v>
      </c>
      <c r="C1787" s="7" t="s">
        <v>7770</v>
      </c>
      <c r="D1787">
        <f t="shared" si="27"/>
        <v>1</v>
      </c>
      <c r="I1787" s="1" t="s">
        <v>50</v>
      </c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25">
      <c r="A1788" s="7" t="s">
        <v>3310</v>
      </c>
      <c r="C1788" s="7" t="s">
        <v>10057</v>
      </c>
      <c r="D1788">
        <f t="shared" si="27"/>
        <v>1</v>
      </c>
      <c r="I1788" s="1" t="s">
        <v>918</v>
      </c>
      <c r="J1788" s="1" t="s">
        <v>25</v>
      </c>
      <c r="K1788" s="1" t="s">
        <v>923</v>
      </c>
      <c r="L1788" s="1" t="s">
        <v>927</v>
      </c>
      <c r="M1788" s="1" t="s">
        <v>10768</v>
      </c>
      <c r="N1788" s="1" t="s">
        <v>919</v>
      </c>
      <c r="O1788" s="1" t="s">
        <v>920</v>
      </c>
      <c r="P1788" s="1" t="s">
        <v>933</v>
      </c>
      <c r="Q1788" s="1" t="s">
        <v>921</v>
      </c>
      <c r="R1788" s="1"/>
      <c r="S1788" s="1"/>
      <c r="T1788" s="1"/>
      <c r="U1788" s="1"/>
      <c r="V1788" s="1"/>
      <c r="W1788" s="1"/>
      <c r="X1788" s="1"/>
      <c r="Y1788" s="1"/>
    </row>
    <row r="1789" spans="1:25" x14ac:dyDescent="0.25">
      <c r="A1789" s="7" t="s">
        <v>3310</v>
      </c>
      <c r="C1789" s="7" t="s">
        <v>1567</v>
      </c>
      <c r="D1789">
        <f t="shared" si="27"/>
        <v>1</v>
      </c>
      <c r="I1789" s="1" t="s">
        <v>952</v>
      </c>
      <c r="J1789" s="1" t="s">
        <v>919</v>
      </c>
      <c r="K1789" s="1" t="s">
        <v>1037</v>
      </c>
      <c r="L1789" s="1" t="s">
        <v>1069</v>
      </c>
      <c r="M1789" s="1" t="s">
        <v>918</v>
      </c>
      <c r="N1789" s="1" t="s">
        <v>25</v>
      </c>
      <c r="O1789" s="1" t="s">
        <v>923</v>
      </c>
      <c r="P1789" s="1" t="s">
        <v>927</v>
      </c>
      <c r="Q1789" s="1" t="s">
        <v>10761</v>
      </c>
      <c r="R1789" s="1" t="s">
        <v>920</v>
      </c>
      <c r="S1789" s="1" t="s">
        <v>924</v>
      </c>
      <c r="T1789" s="1" t="s">
        <v>921</v>
      </c>
      <c r="U1789" s="1"/>
      <c r="V1789" s="1"/>
      <c r="W1789" s="1"/>
      <c r="X1789" s="1"/>
      <c r="Y1789" s="1"/>
    </row>
    <row r="1790" spans="1:25" x14ac:dyDescent="0.25">
      <c r="A1790" s="7" t="s">
        <v>7887</v>
      </c>
      <c r="C1790" s="7" t="s">
        <v>9652</v>
      </c>
      <c r="D1790">
        <f t="shared" si="27"/>
        <v>1</v>
      </c>
      <c r="I1790" s="1" t="s">
        <v>2927</v>
      </c>
      <c r="J1790" s="1" t="s">
        <v>1149</v>
      </c>
      <c r="K1790" s="1" t="s">
        <v>25</v>
      </c>
      <c r="L1790" s="1" t="s">
        <v>923</v>
      </c>
      <c r="M1790" s="1" t="s">
        <v>998</v>
      </c>
      <c r="N1790" s="1" t="s">
        <v>1053</v>
      </c>
      <c r="O1790" s="1" t="s">
        <v>1086</v>
      </c>
      <c r="P1790" s="1" t="s">
        <v>920</v>
      </c>
      <c r="Q1790" s="1" t="s">
        <v>933</v>
      </c>
      <c r="R1790" s="1"/>
      <c r="S1790" s="1"/>
      <c r="T1790" s="1"/>
      <c r="U1790" s="1"/>
      <c r="V1790" s="1"/>
      <c r="W1790" s="1"/>
      <c r="X1790" s="1"/>
      <c r="Y1790" s="1"/>
    </row>
    <row r="1791" spans="1:25" x14ac:dyDescent="0.25">
      <c r="A1791" s="7" t="s">
        <v>7887</v>
      </c>
      <c r="C1791" s="7" t="s">
        <v>2592</v>
      </c>
      <c r="D1791">
        <f t="shared" si="27"/>
        <v>1</v>
      </c>
      <c r="I1791" s="1" t="s">
        <v>1017</v>
      </c>
      <c r="J1791" s="1" t="s">
        <v>1037</v>
      </c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25">
      <c r="A1792" s="7" t="s">
        <v>7887</v>
      </c>
      <c r="C1792" s="8" t="s">
        <v>9828</v>
      </c>
      <c r="D1792">
        <f t="shared" si="27"/>
        <v>1</v>
      </c>
      <c r="I1792" s="1" t="s">
        <v>50</v>
      </c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25">
      <c r="A1793" s="8" t="s">
        <v>7887</v>
      </c>
      <c r="C1793" s="8" t="s">
        <v>10100</v>
      </c>
      <c r="D1793">
        <f t="shared" si="27"/>
        <v>1</v>
      </c>
      <c r="I1793" s="1" t="s">
        <v>923</v>
      </c>
      <c r="J1793" s="1" t="s">
        <v>1053</v>
      </c>
      <c r="K1793" s="1" t="s">
        <v>933</v>
      </c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25">
      <c r="A1794" s="8" t="s">
        <v>9432</v>
      </c>
      <c r="C1794" s="8" t="s">
        <v>9417</v>
      </c>
      <c r="D1794">
        <f t="shared" ref="D1794:D1857" si="28">COUNTIF(A:A,C1794)</f>
        <v>1</v>
      </c>
      <c r="I1794" s="1" t="s">
        <v>50</v>
      </c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25">
      <c r="A1795" s="7" t="s">
        <v>9491</v>
      </c>
      <c r="C1795" s="8" t="s">
        <v>9689</v>
      </c>
      <c r="D1795">
        <f t="shared" si="28"/>
        <v>1</v>
      </c>
      <c r="I1795" s="1" t="s">
        <v>1160</v>
      </c>
      <c r="J1795" s="1" t="s">
        <v>998</v>
      </c>
      <c r="K1795" s="1" t="s">
        <v>1053</v>
      </c>
      <c r="L1795" s="1" t="s">
        <v>933</v>
      </c>
      <c r="M1795" s="1" t="s">
        <v>1013</v>
      </c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25">
      <c r="A1796" s="7" t="s">
        <v>2780</v>
      </c>
      <c r="C1796" s="8" t="s">
        <v>10582</v>
      </c>
      <c r="D1796">
        <f t="shared" si="28"/>
        <v>1</v>
      </c>
      <c r="I1796" s="1" t="s">
        <v>50</v>
      </c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25">
      <c r="A1797" s="8" t="s">
        <v>9286</v>
      </c>
      <c r="C1797" s="7" t="s">
        <v>3882</v>
      </c>
      <c r="D1797">
        <f t="shared" si="28"/>
        <v>1</v>
      </c>
      <c r="I1797" s="1" t="s">
        <v>2214</v>
      </c>
      <c r="J1797" s="1" t="s">
        <v>2541</v>
      </c>
      <c r="K1797" s="1" t="s">
        <v>994</v>
      </c>
      <c r="L1797" s="1" t="s">
        <v>10784</v>
      </c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25">
      <c r="A1798" s="7" t="s">
        <v>10268</v>
      </c>
      <c r="C1798" s="7" t="s">
        <v>4342</v>
      </c>
      <c r="D1798">
        <f t="shared" si="28"/>
        <v>1</v>
      </c>
      <c r="I1798" s="1" t="s">
        <v>298</v>
      </c>
      <c r="J1798" s="1" t="s">
        <v>25</v>
      </c>
      <c r="K1798" s="1" t="s">
        <v>927</v>
      </c>
      <c r="L1798" s="1" t="s">
        <v>998</v>
      </c>
      <c r="M1798" s="1" t="s">
        <v>1086</v>
      </c>
      <c r="N1798" s="1" t="s">
        <v>920</v>
      </c>
      <c r="O1798" s="1" t="s">
        <v>933</v>
      </c>
      <c r="P1798" s="1"/>
      <c r="Q1798" s="1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25">
      <c r="A1799" s="7" t="s">
        <v>10268</v>
      </c>
      <c r="C1799" s="8" t="s">
        <v>10066</v>
      </c>
      <c r="D1799">
        <f t="shared" si="28"/>
        <v>1</v>
      </c>
      <c r="I1799" s="1" t="s">
        <v>918</v>
      </c>
      <c r="J1799" s="1" t="s">
        <v>10849</v>
      </c>
      <c r="K1799" s="1" t="s">
        <v>919</v>
      </c>
      <c r="L1799" s="1" t="s">
        <v>924</v>
      </c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25">
      <c r="A1800" s="7" t="s">
        <v>10268</v>
      </c>
      <c r="C1800" s="8" t="s">
        <v>10307</v>
      </c>
      <c r="D1800">
        <f t="shared" si="28"/>
        <v>1</v>
      </c>
      <c r="I1800" s="1" t="s">
        <v>992</v>
      </c>
      <c r="J1800" s="1" t="s">
        <v>993</v>
      </c>
      <c r="K1800" s="1" t="s">
        <v>994</v>
      </c>
      <c r="L1800" s="1" t="s">
        <v>1001</v>
      </c>
      <c r="M1800" s="1" t="s">
        <v>10936</v>
      </c>
      <c r="N1800" s="1" t="s">
        <v>927</v>
      </c>
      <c r="O1800" s="1" t="s">
        <v>981</v>
      </c>
      <c r="P1800" s="1" t="s">
        <v>919</v>
      </c>
      <c r="Q1800" s="1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25">
      <c r="A1801" s="7" t="s">
        <v>10268</v>
      </c>
      <c r="C1801" s="7" t="s">
        <v>118</v>
      </c>
      <c r="D1801">
        <f t="shared" si="28"/>
        <v>1</v>
      </c>
      <c r="I1801" s="1" t="s">
        <v>992</v>
      </c>
      <c r="J1801" s="1" t="s">
        <v>993</v>
      </c>
      <c r="K1801" s="1" t="s">
        <v>994</v>
      </c>
      <c r="L1801" s="1" t="s">
        <v>1066</v>
      </c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25">
      <c r="A1802" s="8" t="s">
        <v>10268</v>
      </c>
      <c r="C1802" s="8" t="s">
        <v>10093</v>
      </c>
      <c r="D1802">
        <f t="shared" si="28"/>
        <v>1</v>
      </c>
      <c r="I1802" s="1" t="s">
        <v>992</v>
      </c>
      <c r="J1802" s="1" t="s">
        <v>993</v>
      </c>
      <c r="K1802" s="1" t="s">
        <v>994</v>
      </c>
      <c r="L1802" s="1" t="s">
        <v>10755</v>
      </c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25">
      <c r="A1803" s="7" t="s">
        <v>5381</v>
      </c>
      <c r="C1803" s="8" t="s">
        <v>10679</v>
      </c>
      <c r="D1803">
        <f t="shared" si="28"/>
        <v>1</v>
      </c>
      <c r="I1803" s="1" t="s">
        <v>992</v>
      </c>
      <c r="J1803" s="1" t="s">
        <v>993</v>
      </c>
      <c r="K1803" s="1" t="s">
        <v>994</v>
      </c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25">
      <c r="A1804" s="7" t="s">
        <v>5381</v>
      </c>
      <c r="C1804" s="7" t="s">
        <v>5095</v>
      </c>
      <c r="D1804">
        <f t="shared" si="28"/>
        <v>1</v>
      </c>
      <c r="I1804" s="1" t="s">
        <v>1001</v>
      </c>
      <c r="J1804" s="1" t="s">
        <v>925</v>
      </c>
      <c r="K1804" s="1" t="s">
        <v>937</v>
      </c>
      <c r="L1804" s="1" t="s">
        <v>1013</v>
      </c>
      <c r="M1804" s="1" t="s">
        <v>918</v>
      </c>
      <c r="N1804" s="1" t="s">
        <v>10731</v>
      </c>
      <c r="O1804" s="1" t="s">
        <v>927</v>
      </c>
      <c r="P1804" s="1" t="s">
        <v>953</v>
      </c>
      <c r="Q1804" s="1" t="s">
        <v>981</v>
      </c>
      <c r="R1804" s="1" t="s">
        <v>928</v>
      </c>
      <c r="S1804" s="1" t="s">
        <v>919</v>
      </c>
      <c r="T1804" s="1" t="s">
        <v>936</v>
      </c>
      <c r="U1804" s="1" t="s">
        <v>921</v>
      </c>
      <c r="V1804" s="1" t="s">
        <v>993</v>
      </c>
      <c r="W1804" s="1"/>
      <c r="X1804" s="1"/>
      <c r="Y1804" s="1"/>
    </row>
    <row r="1805" spans="1:25" x14ac:dyDescent="0.25">
      <c r="A1805" s="7" t="s">
        <v>5381</v>
      </c>
      <c r="C1805" s="8" t="s">
        <v>9496</v>
      </c>
      <c r="D1805">
        <f t="shared" si="28"/>
        <v>1</v>
      </c>
      <c r="I1805" s="1" t="s">
        <v>298</v>
      </c>
      <c r="J1805" s="1" t="s">
        <v>25</v>
      </c>
      <c r="K1805" s="1" t="s">
        <v>927</v>
      </c>
      <c r="L1805" s="1" t="s">
        <v>998</v>
      </c>
      <c r="M1805" s="1" t="s">
        <v>1086</v>
      </c>
      <c r="N1805" s="1" t="s">
        <v>920</v>
      </c>
      <c r="O1805" s="1" t="s">
        <v>933</v>
      </c>
      <c r="P1805" s="1" t="s">
        <v>1030</v>
      </c>
      <c r="Q1805" s="1" t="s">
        <v>1061</v>
      </c>
      <c r="R1805" s="1"/>
      <c r="S1805" s="1"/>
      <c r="T1805" s="1"/>
      <c r="U1805" s="1"/>
      <c r="V1805" s="1"/>
      <c r="W1805" s="1"/>
      <c r="X1805" s="1"/>
      <c r="Y1805" s="1"/>
    </row>
    <row r="1806" spans="1:25" x14ac:dyDescent="0.25">
      <c r="A1806" s="7" t="s">
        <v>5381</v>
      </c>
      <c r="C1806" s="8" t="s">
        <v>10347</v>
      </c>
      <c r="D1806">
        <f t="shared" si="28"/>
        <v>1</v>
      </c>
      <c r="I1806" s="1" t="s">
        <v>1001</v>
      </c>
      <c r="J1806" s="1" t="s">
        <v>918</v>
      </c>
      <c r="K1806" s="1" t="s">
        <v>25</v>
      </c>
      <c r="L1806" s="1" t="s">
        <v>927</v>
      </c>
      <c r="M1806" s="1" t="s">
        <v>919</v>
      </c>
      <c r="N1806" s="1" t="s">
        <v>920</v>
      </c>
      <c r="O1806" s="1" t="s">
        <v>936</v>
      </c>
      <c r="P1806" s="1" t="s">
        <v>921</v>
      </c>
      <c r="Q1806" s="1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25">
      <c r="A1807" s="7" t="s">
        <v>5381</v>
      </c>
      <c r="C1807" s="7" t="s">
        <v>9224</v>
      </c>
      <c r="D1807">
        <f t="shared" si="28"/>
        <v>1</v>
      </c>
      <c r="I1807" s="1" t="s">
        <v>1001</v>
      </c>
      <c r="J1807" s="1" t="s">
        <v>918</v>
      </c>
      <c r="K1807" s="1" t="s">
        <v>25</v>
      </c>
      <c r="L1807" s="1" t="s">
        <v>927</v>
      </c>
      <c r="M1807" s="1" t="s">
        <v>919</v>
      </c>
      <c r="N1807" s="1" t="s">
        <v>920</v>
      </c>
      <c r="O1807" s="1" t="s">
        <v>936</v>
      </c>
      <c r="P1807" s="1" t="s">
        <v>921</v>
      </c>
      <c r="Q1807" s="1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25">
      <c r="A1808" s="8" t="s">
        <v>5381</v>
      </c>
      <c r="C1808" s="7" t="s">
        <v>10392</v>
      </c>
      <c r="D1808">
        <f t="shared" si="28"/>
        <v>1</v>
      </c>
      <c r="I1808" s="1" t="s">
        <v>1001</v>
      </c>
      <c r="J1808" s="1" t="s">
        <v>918</v>
      </c>
      <c r="K1808" s="1" t="s">
        <v>25</v>
      </c>
      <c r="L1808" s="1" t="s">
        <v>927</v>
      </c>
      <c r="M1808" s="1" t="s">
        <v>919</v>
      </c>
      <c r="N1808" s="1" t="s">
        <v>920</v>
      </c>
      <c r="O1808" s="1" t="s">
        <v>936</v>
      </c>
      <c r="P1808" s="1" t="s">
        <v>921</v>
      </c>
      <c r="Q1808" s="1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25">
      <c r="A1809" s="8" t="s">
        <v>5381</v>
      </c>
      <c r="C1809" s="8" t="s">
        <v>10608</v>
      </c>
      <c r="D1809">
        <f t="shared" si="28"/>
        <v>1</v>
      </c>
      <c r="I1809" s="1" t="s">
        <v>1069</v>
      </c>
      <c r="J1809" s="1" t="s">
        <v>918</v>
      </c>
      <c r="K1809" s="1" t="s">
        <v>25</v>
      </c>
      <c r="L1809" s="1" t="s">
        <v>923</v>
      </c>
      <c r="M1809" s="1" t="s">
        <v>927</v>
      </c>
      <c r="N1809" s="1" t="s">
        <v>10761</v>
      </c>
      <c r="O1809" s="1" t="s">
        <v>919</v>
      </c>
      <c r="P1809" s="1" t="s">
        <v>920</v>
      </c>
      <c r="Q1809" s="1" t="s">
        <v>924</v>
      </c>
      <c r="R1809" s="1" t="s">
        <v>921</v>
      </c>
      <c r="S1809" s="1" t="s">
        <v>925</v>
      </c>
      <c r="T1809" s="1" t="s">
        <v>10774</v>
      </c>
      <c r="U1809" s="1"/>
      <c r="V1809" s="1"/>
      <c r="W1809" s="1"/>
      <c r="X1809" s="1"/>
      <c r="Y1809" s="1"/>
    </row>
    <row r="1810" spans="1:25" x14ac:dyDescent="0.25">
      <c r="A1810" s="7" t="s">
        <v>4457</v>
      </c>
      <c r="C1810" s="7" t="s">
        <v>10546</v>
      </c>
      <c r="D1810">
        <f t="shared" si="28"/>
        <v>1</v>
      </c>
      <c r="I1810" s="1" t="s">
        <v>50</v>
      </c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25">
      <c r="A1811" s="7" t="s">
        <v>4457</v>
      </c>
      <c r="C1811" s="8" t="s">
        <v>9474</v>
      </c>
      <c r="D1811">
        <f t="shared" si="28"/>
        <v>1</v>
      </c>
      <c r="I1811" s="1" t="s">
        <v>981</v>
      </c>
      <c r="J1811" s="1" t="s">
        <v>1066</v>
      </c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25">
      <c r="A1812" s="7" t="s">
        <v>4457</v>
      </c>
      <c r="C1812" s="8" t="s">
        <v>9593</v>
      </c>
      <c r="D1812">
        <f t="shared" si="28"/>
        <v>1</v>
      </c>
      <c r="I1812" s="1" t="s">
        <v>25</v>
      </c>
      <c r="J1812" s="1" t="s">
        <v>998</v>
      </c>
      <c r="K1812" s="1" t="s">
        <v>933</v>
      </c>
      <c r="L1812" s="1" t="s">
        <v>994</v>
      </c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25">
      <c r="A1813" s="7" t="s">
        <v>9607</v>
      </c>
      <c r="C1813" s="8" t="s">
        <v>8894</v>
      </c>
      <c r="D1813">
        <f t="shared" si="28"/>
        <v>1</v>
      </c>
      <c r="I1813" s="1" t="s">
        <v>50</v>
      </c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25">
      <c r="A1814" s="7" t="s">
        <v>363</v>
      </c>
      <c r="C1814" s="8" t="s">
        <v>9025</v>
      </c>
      <c r="D1814">
        <f t="shared" si="28"/>
        <v>1</v>
      </c>
      <c r="I1814" s="1" t="s">
        <v>996</v>
      </c>
      <c r="J1814" s="1" t="s">
        <v>2541</v>
      </c>
      <c r="K1814" s="1" t="s">
        <v>1066</v>
      </c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25">
      <c r="A1815" s="7" t="s">
        <v>363</v>
      </c>
      <c r="C1815" s="8" t="s">
        <v>9723</v>
      </c>
      <c r="D1815">
        <f t="shared" si="28"/>
        <v>1</v>
      </c>
      <c r="I1815" s="1" t="s">
        <v>1141</v>
      </c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25">
      <c r="A1816" s="7" t="s">
        <v>363</v>
      </c>
      <c r="C1816" s="8" t="s">
        <v>10666</v>
      </c>
      <c r="D1816">
        <f t="shared" si="28"/>
        <v>1</v>
      </c>
      <c r="I1816" s="1" t="s">
        <v>998</v>
      </c>
      <c r="J1816" s="1" t="s">
        <v>1053</v>
      </c>
      <c r="K1816" s="1" t="s">
        <v>1086</v>
      </c>
      <c r="L1816" s="1" t="s">
        <v>933</v>
      </c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25">
      <c r="A1817" s="8" t="s">
        <v>363</v>
      </c>
      <c r="C1817" s="8" t="s">
        <v>9600</v>
      </c>
      <c r="D1817">
        <f t="shared" si="28"/>
        <v>1</v>
      </c>
      <c r="I1817" s="1" t="s">
        <v>1149</v>
      </c>
      <c r="J1817" s="1" t="s">
        <v>25</v>
      </c>
      <c r="K1817" s="1" t="s">
        <v>923</v>
      </c>
      <c r="L1817" s="1" t="s">
        <v>998</v>
      </c>
      <c r="M1817" s="1" t="s">
        <v>1086</v>
      </c>
      <c r="N1817" s="1" t="s">
        <v>920</v>
      </c>
      <c r="O1817" s="1" t="s">
        <v>933</v>
      </c>
      <c r="P1817" s="1" t="s">
        <v>10719</v>
      </c>
      <c r="Q1817" s="1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25">
      <c r="A1818" s="7" t="s">
        <v>10273</v>
      </c>
      <c r="C1818" s="8" t="s">
        <v>9443</v>
      </c>
      <c r="D1818">
        <f t="shared" si="28"/>
        <v>1</v>
      </c>
      <c r="I1818" s="1" t="s">
        <v>256</v>
      </c>
      <c r="J1818" s="1" t="s">
        <v>2927</v>
      </c>
      <c r="K1818" s="1" t="s">
        <v>933</v>
      </c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25">
      <c r="A1819" s="8" t="s">
        <v>9875</v>
      </c>
      <c r="C1819" s="7" t="s">
        <v>9932</v>
      </c>
      <c r="D1819">
        <f t="shared" si="28"/>
        <v>1</v>
      </c>
      <c r="I1819" s="1" t="s">
        <v>958</v>
      </c>
      <c r="J1819" s="1" t="s">
        <v>1034</v>
      </c>
      <c r="K1819" s="1" t="s">
        <v>919</v>
      </c>
      <c r="L1819" s="1" t="s">
        <v>924</v>
      </c>
      <c r="M1819" s="1" t="s">
        <v>918</v>
      </c>
      <c r="N1819" s="1" t="s">
        <v>936</v>
      </c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25">
      <c r="A1820" s="8" t="s">
        <v>8903</v>
      </c>
      <c r="C1820" s="8" t="s">
        <v>10237</v>
      </c>
      <c r="D1820">
        <f t="shared" si="28"/>
        <v>1</v>
      </c>
      <c r="I1820" s="1" t="s">
        <v>1069</v>
      </c>
      <c r="J1820" s="1" t="s">
        <v>918</v>
      </c>
      <c r="K1820" s="1" t="s">
        <v>25</v>
      </c>
      <c r="L1820" s="1" t="s">
        <v>923</v>
      </c>
      <c r="M1820" s="1" t="s">
        <v>927</v>
      </c>
      <c r="N1820" s="1" t="s">
        <v>10761</v>
      </c>
      <c r="O1820" s="1" t="s">
        <v>919</v>
      </c>
      <c r="P1820" s="1" t="s">
        <v>920</v>
      </c>
      <c r="Q1820" s="1" t="s">
        <v>924</v>
      </c>
      <c r="R1820" s="1" t="s">
        <v>921</v>
      </c>
      <c r="S1820" s="1" t="s">
        <v>952</v>
      </c>
      <c r="T1820" s="1" t="s">
        <v>1037</v>
      </c>
      <c r="U1820" s="1"/>
      <c r="V1820" s="1"/>
      <c r="W1820" s="1"/>
      <c r="X1820" s="1"/>
      <c r="Y1820" s="1"/>
    </row>
    <row r="1821" spans="1:25" x14ac:dyDescent="0.25">
      <c r="A1821" s="8" t="s">
        <v>8903</v>
      </c>
      <c r="C1821" s="8" t="s">
        <v>9621</v>
      </c>
      <c r="D1821">
        <f t="shared" si="28"/>
        <v>1</v>
      </c>
      <c r="I1821" s="1" t="s">
        <v>25</v>
      </c>
      <c r="J1821" s="1" t="s">
        <v>1086</v>
      </c>
      <c r="K1821" s="1" t="s">
        <v>919</v>
      </c>
      <c r="L1821" s="1" t="s">
        <v>920</v>
      </c>
      <c r="M1821" s="1" t="s">
        <v>921</v>
      </c>
      <c r="N1821" s="1" t="s">
        <v>1001</v>
      </c>
      <c r="O1821" s="1" t="s">
        <v>1066</v>
      </c>
      <c r="P1821" s="1"/>
      <c r="Q1821" s="1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25">
      <c r="A1822" s="7" t="s">
        <v>6188</v>
      </c>
      <c r="C1822" s="7" t="s">
        <v>4906</v>
      </c>
      <c r="D1822">
        <f t="shared" si="28"/>
        <v>1</v>
      </c>
      <c r="I1822" s="1" t="s">
        <v>1053</v>
      </c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25">
      <c r="A1823" s="7" t="s">
        <v>6188</v>
      </c>
      <c r="C1823" s="7" t="s">
        <v>8164</v>
      </c>
      <c r="D1823">
        <f t="shared" si="28"/>
        <v>1</v>
      </c>
      <c r="I1823" s="1" t="s">
        <v>5548</v>
      </c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25">
      <c r="A1824" s="8" t="s">
        <v>6188</v>
      </c>
      <c r="C1824" s="8" t="s">
        <v>9227</v>
      </c>
      <c r="D1824">
        <f t="shared" si="28"/>
        <v>1</v>
      </c>
      <c r="I1824" s="1" t="s">
        <v>1053</v>
      </c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25">
      <c r="A1825" s="7" t="s">
        <v>484</v>
      </c>
      <c r="C1825" s="8" t="s">
        <v>9765</v>
      </c>
      <c r="D1825">
        <f t="shared" si="28"/>
        <v>1</v>
      </c>
      <c r="I1825" s="1" t="s">
        <v>996</v>
      </c>
      <c r="J1825" s="1" t="s">
        <v>25</v>
      </c>
      <c r="K1825" s="1" t="s">
        <v>997</v>
      </c>
      <c r="L1825" s="1" t="s">
        <v>927</v>
      </c>
      <c r="M1825" s="1" t="s">
        <v>998</v>
      </c>
      <c r="N1825" s="1" t="s">
        <v>933</v>
      </c>
      <c r="O1825" s="1" t="s">
        <v>993</v>
      </c>
      <c r="P1825" s="1" t="s">
        <v>994</v>
      </c>
      <c r="Q1825" s="1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25">
      <c r="A1826" s="7" t="s">
        <v>484</v>
      </c>
      <c r="C1826" s="8" t="s">
        <v>10681</v>
      </c>
      <c r="D1826">
        <f t="shared" si="28"/>
        <v>1</v>
      </c>
      <c r="I1826" s="1" t="s">
        <v>996</v>
      </c>
      <c r="J1826" s="1" t="s">
        <v>25</v>
      </c>
      <c r="K1826" s="1" t="s">
        <v>997</v>
      </c>
      <c r="L1826" s="1" t="s">
        <v>927</v>
      </c>
      <c r="M1826" s="1" t="s">
        <v>998</v>
      </c>
      <c r="N1826" s="1" t="s">
        <v>933</v>
      </c>
      <c r="O1826" s="1" t="s">
        <v>993</v>
      </c>
      <c r="P1826" s="1" t="s">
        <v>994</v>
      </c>
      <c r="Q1826" s="1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25">
      <c r="A1827" s="7" t="s">
        <v>484</v>
      </c>
      <c r="C1827" s="7" t="s">
        <v>10535</v>
      </c>
      <c r="D1827">
        <f t="shared" si="28"/>
        <v>1</v>
      </c>
      <c r="I1827" s="1" t="s">
        <v>996</v>
      </c>
      <c r="J1827" s="1" t="s">
        <v>25</v>
      </c>
      <c r="K1827" s="1" t="s">
        <v>997</v>
      </c>
      <c r="L1827" s="1" t="s">
        <v>927</v>
      </c>
      <c r="M1827" s="1" t="s">
        <v>998</v>
      </c>
      <c r="N1827" s="1" t="s">
        <v>933</v>
      </c>
      <c r="O1827" s="1" t="s">
        <v>993</v>
      </c>
      <c r="P1827" s="1" t="s">
        <v>994</v>
      </c>
      <c r="Q1827" s="1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25">
      <c r="A1828" s="7" t="s">
        <v>484</v>
      </c>
      <c r="C1828" s="7" t="s">
        <v>9647</v>
      </c>
      <c r="D1828">
        <f t="shared" si="28"/>
        <v>1</v>
      </c>
      <c r="I1828" s="1" t="s">
        <v>996</v>
      </c>
      <c r="J1828" s="1" t="s">
        <v>25</v>
      </c>
      <c r="K1828" s="1" t="s">
        <v>997</v>
      </c>
      <c r="L1828" s="1" t="s">
        <v>927</v>
      </c>
      <c r="M1828" s="1" t="s">
        <v>998</v>
      </c>
      <c r="N1828" s="1" t="s">
        <v>933</v>
      </c>
      <c r="O1828" s="1" t="s">
        <v>993</v>
      </c>
      <c r="P1828" s="1" t="s">
        <v>994</v>
      </c>
      <c r="Q1828" s="1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25">
      <c r="A1829" s="7" t="s">
        <v>484</v>
      </c>
      <c r="C1829" s="8" t="s">
        <v>10416</v>
      </c>
      <c r="D1829">
        <f t="shared" si="28"/>
        <v>1</v>
      </c>
      <c r="I1829" s="1" t="s">
        <v>996</v>
      </c>
      <c r="J1829" s="1" t="s">
        <v>25</v>
      </c>
      <c r="K1829" s="1" t="s">
        <v>997</v>
      </c>
      <c r="L1829" s="1" t="s">
        <v>927</v>
      </c>
      <c r="M1829" s="1" t="s">
        <v>998</v>
      </c>
      <c r="N1829" s="1" t="s">
        <v>933</v>
      </c>
      <c r="O1829" s="1" t="s">
        <v>993</v>
      </c>
      <c r="P1829" s="1" t="s">
        <v>994</v>
      </c>
      <c r="Q1829" s="1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25">
      <c r="A1830" s="7" t="s">
        <v>484</v>
      </c>
      <c r="C1830" s="7" t="s">
        <v>9522</v>
      </c>
      <c r="D1830">
        <f t="shared" si="28"/>
        <v>1</v>
      </c>
      <c r="I1830" s="1" t="s">
        <v>996</v>
      </c>
      <c r="J1830" s="1" t="s">
        <v>25</v>
      </c>
      <c r="K1830" s="1" t="s">
        <v>997</v>
      </c>
      <c r="L1830" s="1" t="s">
        <v>927</v>
      </c>
      <c r="M1830" s="1" t="s">
        <v>998</v>
      </c>
      <c r="N1830" s="1" t="s">
        <v>933</v>
      </c>
      <c r="O1830" s="1" t="s">
        <v>993</v>
      </c>
      <c r="P1830" s="1" t="s">
        <v>994</v>
      </c>
      <c r="Q1830" s="1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25">
      <c r="A1831" s="7" t="s">
        <v>10556</v>
      </c>
      <c r="C1831" s="8" t="s">
        <v>10115</v>
      </c>
      <c r="D1831">
        <f t="shared" si="28"/>
        <v>1</v>
      </c>
      <c r="I1831" s="1" t="s">
        <v>1109</v>
      </c>
      <c r="J1831" s="1" t="s">
        <v>919</v>
      </c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25">
      <c r="A1832" s="8" t="s">
        <v>10604</v>
      </c>
      <c r="C1832" s="7" t="s">
        <v>4853</v>
      </c>
      <c r="D1832">
        <f t="shared" si="28"/>
        <v>1</v>
      </c>
      <c r="I1832" s="1" t="s">
        <v>933</v>
      </c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25">
      <c r="A1833" s="7" t="s">
        <v>3257</v>
      </c>
      <c r="C1833" s="8" t="s">
        <v>9034</v>
      </c>
      <c r="D1833">
        <f t="shared" si="28"/>
        <v>1</v>
      </c>
      <c r="I1833" s="1" t="s">
        <v>1041</v>
      </c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25">
      <c r="A1834" s="7" t="s">
        <v>3257</v>
      </c>
      <c r="C1834" s="8" t="s">
        <v>9576</v>
      </c>
      <c r="D1834">
        <f t="shared" si="28"/>
        <v>1</v>
      </c>
      <c r="I1834" s="1" t="s">
        <v>1041</v>
      </c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25">
      <c r="A1835" s="7" t="s">
        <v>3257</v>
      </c>
      <c r="C1835" s="8" t="s">
        <v>9788</v>
      </c>
      <c r="D1835">
        <f t="shared" si="28"/>
        <v>1</v>
      </c>
      <c r="I1835" s="1" t="s">
        <v>1007</v>
      </c>
      <c r="J1835" s="1" t="s">
        <v>1004</v>
      </c>
      <c r="K1835" s="1" t="s">
        <v>1005</v>
      </c>
      <c r="L1835" s="1" t="s">
        <v>1008</v>
      </c>
      <c r="M1835" s="1" t="s">
        <v>1006</v>
      </c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25">
      <c r="A1836" s="7" t="s">
        <v>3257</v>
      </c>
      <c r="C1836" s="8" t="s">
        <v>10407</v>
      </c>
      <c r="D1836">
        <f t="shared" si="28"/>
        <v>1</v>
      </c>
      <c r="I1836" s="1" t="s">
        <v>1007</v>
      </c>
      <c r="J1836" s="1" t="s">
        <v>1004</v>
      </c>
      <c r="K1836" s="1" t="s">
        <v>1005</v>
      </c>
      <c r="L1836" s="1" t="s">
        <v>1008</v>
      </c>
      <c r="M1836" s="1" t="s">
        <v>1006</v>
      </c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25">
      <c r="A1837" s="7" t="s">
        <v>3257</v>
      </c>
      <c r="C1837" s="8" t="s">
        <v>9066</v>
      </c>
      <c r="D1837">
        <f t="shared" si="28"/>
        <v>1</v>
      </c>
      <c r="I1837" s="1" t="s">
        <v>1004</v>
      </c>
      <c r="J1837" s="1" t="s">
        <v>1006</v>
      </c>
      <c r="K1837" s="1" t="s">
        <v>1007</v>
      </c>
      <c r="L1837" s="1" t="s">
        <v>1005</v>
      </c>
      <c r="M1837" s="1" t="s">
        <v>1008</v>
      </c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25">
      <c r="A1838" s="7" t="s">
        <v>3257</v>
      </c>
      <c r="C1838" s="7" t="s">
        <v>2840</v>
      </c>
      <c r="D1838">
        <f t="shared" si="28"/>
        <v>1</v>
      </c>
      <c r="I1838" s="1" t="s">
        <v>1004</v>
      </c>
      <c r="J1838" s="1" t="s">
        <v>1006</v>
      </c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25">
      <c r="A1839" s="7" t="s">
        <v>3257</v>
      </c>
      <c r="C1839" s="8" t="s">
        <v>8885</v>
      </c>
      <c r="D1839">
        <f t="shared" si="28"/>
        <v>1</v>
      </c>
      <c r="I1839" s="1" t="s">
        <v>1004</v>
      </c>
      <c r="J1839" s="1" t="s">
        <v>1006</v>
      </c>
      <c r="K1839" s="1" t="s">
        <v>1045</v>
      </c>
      <c r="L1839" s="1" t="s">
        <v>1042</v>
      </c>
      <c r="M1839" s="1" t="s">
        <v>1005</v>
      </c>
      <c r="N1839" s="1" t="s">
        <v>1009</v>
      </c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25">
      <c r="A1840" s="7" t="s">
        <v>3257</v>
      </c>
      <c r="C1840" s="7" t="s">
        <v>4034</v>
      </c>
      <c r="D1840">
        <f t="shared" si="28"/>
        <v>1</v>
      </c>
      <c r="I1840" s="1" t="s">
        <v>1004</v>
      </c>
      <c r="J1840" s="1" t="s">
        <v>1006</v>
      </c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25">
      <c r="A1841" s="7" t="s">
        <v>9732</v>
      </c>
      <c r="C1841" s="7" t="s">
        <v>9448</v>
      </c>
      <c r="D1841">
        <f t="shared" si="28"/>
        <v>1</v>
      </c>
      <c r="I1841" s="1" t="s">
        <v>1004</v>
      </c>
      <c r="J1841" s="1" t="s">
        <v>1006</v>
      </c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25">
      <c r="A1842" s="8" t="s">
        <v>9260</v>
      </c>
      <c r="C1842" s="8" t="s">
        <v>10037</v>
      </c>
      <c r="D1842">
        <f t="shared" si="28"/>
        <v>1</v>
      </c>
      <c r="I1842" s="1" t="s">
        <v>933</v>
      </c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25">
      <c r="A1843" s="8" t="s">
        <v>9260</v>
      </c>
      <c r="C1843" s="7" t="s">
        <v>3597</v>
      </c>
      <c r="D1843">
        <f t="shared" si="28"/>
        <v>1</v>
      </c>
      <c r="I1843" s="1" t="s">
        <v>948</v>
      </c>
      <c r="J1843" s="1" t="s">
        <v>918</v>
      </c>
      <c r="K1843" s="1" t="s">
        <v>25</v>
      </c>
      <c r="L1843" s="1" t="s">
        <v>919</v>
      </c>
      <c r="M1843" s="1" t="s">
        <v>920</v>
      </c>
      <c r="N1843" s="1" t="s">
        <v>954</v>
      </c>
      <c r="O1843" s="1" t="s">
        <v>10965</v>
      </c>
      <c r="P1843" s="1" t="s">
        <v>983</v>
      </c>
      <c r="Q1843" s="1" t="s">
        <v>984</v>
      </c>
      <c r="R1843" s="1" t="s">
        <v>927</v>
      </c>
      <c r="S1843" s="1" t="s">
        <v>924</v>
      </c>
      <c r="T1843" s="1" t="s">
        <v>922</v>
      </c>
      <c r="U1843" s="1"/>
      <c r="V1843" s="1"/>
      <c r="W1843" s="1"/>
      <c r="X1843" s="1"/>
      <c r="Y1843" s="1"/>
    </row>
    <row r="1844" spans="1:25" x14ac:dyDescent="0.25">
      <c r="A1844" s="7" t="s">
        <v>9590</v>
      </c>
      <c r="C1844" s="7" t="s">
        <v>10571</v>
      </c>
      <c r="D1844">
        <f t="shared" si="28"/>
        <v>1</v>
      </c>
      <c r="I1844" s="1" t="s">
        <v>25</v>
      </c>
      <c r="J1844" s="1" t="s">
        <v>923</v>
      </c>
      <c r="K1844" s="1" t="s">
        <v>920</v>
      </c>
      <c r="L1844" s="1" t="s">
        <v>948</v>
      </c>
      <c r="M1844" s="1" t="s">
        <v>1069</v>
      </c>
      <c r="N1844" s="1" t="s">
        <v>1070</v>
      </c>
      <c r="O1844" s="1" t="s">
        <v>916</v>
      </c>
      <c r="P1844" s="1" t="s">
        <v>1078</v>
      </c>
      <c r="Q1844" s="1" t="s">
        <v>980</v>
      </c>
      <c r="R1844" s="1" t="s">
        <v>919</v>
      </c>
      <c r="S1844" s="1" t="s">
        <v>921</v>
      </c>
      <c r="T1844" s="1" t="s">
        <v>927</v>
      </c>
      <c r="U1844" s="1" t="s">
        <v>975</v>
      </c>
      <c r="V1844" s="1" t="s">
        <v>976</v>
      </c>
      <c r="W1844" s="1" t="s">
        <v>982</v>
      </c>
      <c r="X1844" s="1"/>
      <c r="Y1844" s="1"/>
    </row>
    <row r="1845" spans="1:25" x14ac:dyDescent="0.25">
      <c r="A1845" s="7" t="s">
        <v>9590</v>
      </c>
      <c r="C1845" s="8" t="s">
        <v>9118</v>
      </c>
      <c r="D1845">
        <f t="shared" si="28"/>
        <v>1</v>
      </c>
      <c r="I1845" s="1" t="s">
        <v>1149</v>
      </c>
      <c r="J1845" s="1" t="s">
        <v>25</v>
      </c>
      <c r="K1845" s="1" t="s">
        <v>998</v>
      </c>
      <c r="L1845" s="1" t="s">
        <v>1086</v>
      </c>
      <c r="M1845" s="1" t="s">
        <v>920</v>
      </c>
      <c r="N1845" s="1" t="s">
        <v>933</v>
      </c>
      <c r="O1845" s="1" t="s">
        <v>974</v>
      </c>
      <c r="P1845" s="1" t="s">
        <v>10719</v>
      </c>
      <c r="Q1845" s="1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25">
      <c r="A1846" s="7" t="s">
        <v>9590</v>
      </c>
      <c r="C1846" s="7" t="s">
        <v>10062</v>
      </c>
      <c r="D1846">
        <f t="shared" si="28"/>
        <v>1</v>
      </c>
      <c r="I1846" s="1" t="s">
        <v>2927</v>
      </c>
      <c r="J1846" s="1" t="s">
        <v>25</v>
      </c>
      <c r="K1846" s="1" t="s">
        <v>1167</v>
      </c>
      <c r="L1846" s="1" t="s">
        <v>998</v>
      </c>
      <c r="M1846" s="1" t="s">
        <v>1086</v>
      </c>
      <c r="N1846" s="1" t="s">
        <v>920</v>
      </c>
      <c r="O1846" s="1" t="s">
        <v>933</v>
      </c>
      <c r="P1846" s="1"/>
      <c r="Q1846" s="1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25">
      <c r="A1847" s="7" t="s">
        <v>8854</v>
      </c>
      <c r="C1847" s="8" t="s">
        <v>9739</v>
      </c>
      <c r="D1847">
        <f t="shared" si="28"/>
        <v>1</v>
      </c>
      <c r="I1847" s="1" t="s">
        <v>996</v>
      </c>
      <c r="J1847" s="1" t="s">
        <v>25</v>
      </c>
      <c r="K1847" s="1" t="s">
        <v>923</v>
      </c>
      <c r="L1847" s="1" t="s">
        <v>997</v>
      </c>
      <c r="M1847" s="1" t="s">
        <v>10918</v>
      </c>
      <c r="N1847" s="1" t="s">
        <v>994</v>
      </c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25">
      <c r="A1848" s="8" t="s">
        <v>8854</v>
      </c>
      <c r="C1848" s="7" t="s">
        <v>6709</v>
      </c>
      <c r="D1848">
        <f t="shared" si="28"/>
        <v>1</v>
      </c>
      <c r="I1848" s="1" t="s">
        <v>947</v>
      </c>
      <c r="J1848" s="1" t="s">
        <v>328</v>
      </c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25">
      <c r="A1849" s="8" t="s">
        <v>8854</v>
      </c>
      <c r="C1849" s="8" t="s">
        <v>10580</v>
      </c>
      <c r="D1849">
        <f t="shared" si="28"/>
        <v>1</v>
      </c>
      <c r="I1849" s="1" t="s">
        <v>947</v>
      </c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25">
      <c r="A1850" s="8" t="s">
        <v>8854</v>
      </c>
      <c r="C1850" s="8" t="s">
        <v>10591</v>
      </c>
      <c r="D1850">
        <f t="shared" si="28"/>
        <v>1</v>
      </c>
      <c r="I1850" s="1" t="s">
        <v>947</v>
      </c>
      <c r="J1850" s="1" t="s">
        <v>1017</v>
      </c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25">
      <c r="A1851" s="7" t="s">
        <v>9722</v>
      </c>
      <c r="C1851" s="7" t="s">
        <v>259</v>
      </c>
      <c r="D1851">
        <f t="shared" si="28"/>
        <v>1</v>
      </c>
      <c r="I1851" s="1" t="s">
        <v>918</v>
      </c>
      <c r="J1851" s="1" t="s">
        <v>25</v>
      </c>
      <c r="K1851" s="1" t="s">
        <v>923</v>
      </c>
      <c r="L1851" s="1" t="s">
        <v>1078</v>
      </c>
      <c r="M1851" s="1" t="s">
        <v>919</v>
      </c>
      <c r="N1851" s="1" t="s">
        <v>920</v>
      </c>
      <c r="O1851" s="1" t="s">
        <v>924</v>
      </c>
      <c r="P1851" s="1" t="s">
        <v>921</v>
      </c>
      <c r="Q1851" s="1" t="s">
        <v>925</v>
      </c>
      <c r="R1851" s="1" t="s">
        <v>10813</v>
      </c>
      <c r="S1851" s="1" t="s">
        <v>927</v>
      </c>
      <c r="T1851" s="1" t="s">
        <v>997</v>
      </c>
      <c r="U1851" s="1"/>
      <c r="V1851" s="1"/>
      <c r="W1851" s="1"/>
      <c r="X1851" s="1"/>
      <c r="Y1851" s="1"/>
    </row>
    <row r="1852" spans="1:25" x14ac:dyDescent="0.25">
      <c r="A1852" s="8" t="s">
        <v>9001</v>
      </c>
      <c r="C1852" s="8" t="s">
        <v>10692</v>
      </c>
      <c r="D1852">
        <f t="shared" si="28"/>
        <v>1</v>
      </c>
      <c r="I1852" s="1" t="s">
        <v>1013</v>
      </c>
      <c r="J1852" s="1" t="s">
        <v>919</v>
      </c>
      <c r="K1852" s="1" t="s">
        <v>1037</v>
      </c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25">
      <c r="A1853" s="8" t="s">
        <v>9001</v>
      </c>
      <c r="C1853" s="7" t="s">
        <v>10322</v>
      </c>
      <c r="D1853">
        <f t="shared" si="28"/>
        <v>1</v>
      </c>
      <c r="I1853" s="1" t="s">
        <v>1013</v>
      </c>
      <c r="J1853" s="1" t="s">
        <v>919</v>
      </c>
      <c r="K1853" s="1" t="s">
        <v>1037</v>
      </c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25">
      <c r="A1854" s="8" t="s">
        <v>9785</v>
      </c>
      <c r="C1854" s="7" t="s">
        <v>9994</v>
      </c>
      <c r="D1854">
        <f t="shared" si="28"/>
        <v>1</v>
      </c>
      <c r="I1854" s="1" t="s">
        <v>1013</v>
      </c>
      <c r="J1854" s="1" t="s">
        <v>919</v>
      </c>
      <c r="K1854" s="1" t="s">
        <v>1037</v>
      </c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25">
      <c r="A1855" s="8" t="s">
        <v>10211</v>
      </c>
      <c r="C1855" s="7" t="s">
        <v>9734</v>
      </c>
      <c r="D1855">
        <f t="shared" si="28"/>
        <v>1</v>
      </c>
      <c r="I1855" s="1" t="s">
        <v>918</v>
      </c>
      <c r="J1855" s="1" t="s">
        <v>919</v>
      </c>
      <c r="K1855" s="1" t="s">
        <v>1037</v>
      </c>
      <c r="L1855" s="1" t="s">
        <v>936</v>
      </c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25">
      <c r="A1856" s="7" t="s">
        <v>10460</v>
      </c>
      <c r="C1856" s="8" t="s">
        <v>10639</v>
      </c>
      <c r="D1856">
        <f t="shared" si="28"/>
        <v>1</v>
      </c>
      <c r="I1856" s="1" t="s">
        <v>996</v>
      </c>
      <c r="J1856" s="1" t="s">
        <v>2541</v>
      </c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25">
      <c r="A1857" s="8" t="s">
        <v>9153</v>
      </c>
      <c r="C1857" s="7" t="s">
        <v>9718</v>
      </c>
      <c r="D1857">
        <f t="shared" si="28"/>
        <v>1</v>
      </c>
      <c r="I1857" s="1" t="s">
        <v>1000</v>
      </c>
      <c r="J1857" s="1" t="s">
        <v>921</v>
      </c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25">
      <c r="A1858" s="8" t="s">
        <v>9153</v>
      </c>
      <c r="C1858" s="8" t="s">
        <v>10193</v>
      </c>
      <c r="D1858">
        <f t="shared" ref="D1858:D1921" si="29">COUNTIF(A:A,C1858)</f>
        <v>1</v>
      </c>
      <c r="I1858" s="1" t="s">
        <v>946</v>
      </c>
      <c r="J1858" s="1" t="s">
        <v>947</v>
      </c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25">
      <c r="A1859" s="8" t="s">
        <v>9153</v>
      </c>
      <c r="C1859" s="7" t="s">
        <v>8959</v>
      </c>
      <c r="D1859">
        <f t="shared" si="29"/>
        <v>1</v>
      </c>
      <c r="I1859" s="1" t="s">
        <v>50</v>
      </c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25">
      <c r="A1860" s="8" t="s">
        <v>10507</v>
      </c>
      <c r="C1860" s="8" t="s">
        <v>9249</v>
      </c>
      <c r="D1860">
        <f t="shared" si="29"/>
        <v>1</v>
      </c>
      <c r="I1860" s="1" t="s">
        <v>975</v>
      </c>
      <c r="J1860" s="1" t="s">
        <v>1023</v>
      </c>
      <c r="K1860" s="1" t="s">
        <v>10956</v>
      </c>
      <c r="L1860" s="1" t="s">
        <v>1029</v>
      </c>
      <c r="M1860" s="1" t="s">
        <v>983</v>
      </c>
      <c r="N1860" s="1" t="s">
        <v>1060</v>
      </c>
      <c r="O1860" s="1" t="s">
        <v>298</v>
      </c>
      <c r="P1860" s="1" t="s">
        <v>1031</v>
      </c>
      <c r="Q1860" s="1" t="s">
        <v>25</v>
      </c>
      <c r="R1860" s="1" t="s">
        <v>923</v>
      </c>
      <c r="S1860" s="1" t="s">
        <v>997</v>
      </c>
      <c r="T1860" s="1" t="s">
        <v>10966</v>
      </c>
      <c r="U1860" s="1"/>
      <c r="V1860" s="1"/>
      <c r="W1860" s="1"/>
      <c r="X1860" s="1"/>
      <c r="Y1860" s="1"/>
    </row>
    <row r="1861" spans="1:25" x14ac:dyDescent="0.25">
      <c r="A1861" s="7" t="s">
        <v>4772</v>
      </c>
      <c r="C1861" s="7" t="s">
        <v>9341</v>
      </c>
      <c r="D1861">
        <f t="shared" si="29"/>
        <v>1</v>
      </c>
      <c r="I1861" s="1" t="s">
        <v>997</v>
      </c>
      <c r="J1861" s="1" t="s">
        <v>996</v>
      </c>
      <c r="K1861" s="1" t="s">
        <v>998</v>
      </c>
      <c r="L1861" s="1" t="s">
        <v>933</v>
      </c>
      <c r="M1861" s="1" t="s">
        <v>2541</v>
      </c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25">
      <c r="A1862" s="7" t="s">
        <v>9445</v>
      </c>
      <c r="C1862" s="7" t="s">
        <v>9044</v>
      </c>
      <c r="D1862">
        <f t="shared" si="29"/>
        <v>1</v>
      </c>
      <c r="I1862" s="1" t="s">
        <v>50</v>
      </c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25">
      <c r="A1863" s="8" t="s">
        <v>9446</v>
      </c>
      <c r="C1863" s="8" t="s">
        <v>10572</v>
      </c>
      <c r="D1863">
        <f t="shared" si="29"/>
        <v>1</v>
      </c>
      <c r="I1863" s="1" t="s">
        <v>978</v>
      </c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25">
      <c r="A1864" s="7" t="s">
        <v>10488</v>
      </c>
      <c r="C1864" s="7" t="s">
        <v>828</v>
      </c>
      <c r="D1864">
        <f t="shared" si="29"/>
        <v>1</v>
      </c>
      <c r="I1864" s="1" t="s">
        <v>933</v>
      </c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25">
      <c r="A1865" s="8" t="s">
        <v>9746</v>
      </c>
      <c r="C1865" s="7" t="s">
        <v>6670</v>
      </c>
      <c r="D1865">
        <f t="shared" si="29"/>
        <v>1</v>
      </c>
      <c r="I1865" s="1" t="s">
        <v>918</v>
      </c>
      <c r="J1865" s="1" t="s">
        <v>25</v>
      </c>
      <c r="K1865" s="1" t="s">
        <v>923</v>
      </c>
      <c r="L1865" s="1" t="s">
        <v>1078</v>
      </c>
      <c r="M1865" s="1" t="s">
        <v>919</v>
      </c>
      <c r="N1865" s="1" t="s">
        <v>920</v>
      </c>
      <c r="O1865" s="1" t="s">
        <v>924</v>
      </c>
      <c r="P1865" s="1" t="s">
        <v>921</v>
      </c>
      <c r="Q1865" s="1" t="s">
        <v>927</v>
      </c>
      <c r="R1865" s="1" t="s">
        <v>939</v>
      </c>
      <c r="S1865" s="1" t="s">
        <v>928</v>
      </c>
      <c r="T1865" s="1" t="s">
        <v>929</v>
      </c>
      <c r="U1865" s="1" t="s">
        <v>10849</v>
      </c>
      <c r="V1865" s="1" t="s">
        <v>10967</v>
      </c>
      <c r="W1865" s="1" t="s">
        <v>10968</v>
      </c>
      <c r="X1865" s="1" t="s">
        <v>10969</v>
      </c>
      <c r="Y1865" s="1" t="s">
        <v>10970</v>
      </c>
    </row>
    <row r="1866" spans="1:25" x14ac:dyDescent="0.25">
      <c r="A1866" s="7" t="s">
        <v>5651</v>
      </c>
      <c r="C1866" s="8" t="s">
        <v>9340</v>
      </c>
      <c r="D1866">
        <f t="shared" si="29"/>
        <v>1</v>
      </c>
      <c r="I1866" s="1" t="s">
        <v>298</v>
      </c>
      <c r="J1866" s="1" t="s">
        <v>25</v>
      </c>
      <c r="K1866" s="1" t="s">
        <v>927</v>
      </c>
      <c r="L1866" s="1" t="s">
        <v>998</v>
      </c>
      <c r="M1866" s="1" t="s">
        <v>1086</v>
      </c>
      <c r="N1866" s="1" t="s">
        <v>920</v>
      </c>
      <c r="O1866" s="1" t="s">
        <v>933</v>
      </c>
      <c r="P1866" s="1"/>
      <c r="Q1866" s="1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25">
      <c r="A1867" s="7" t="s">
        <v>2685</v>
      </c>
      <c r="C1867" s="8" t="s">
        <v>9009</v>
      </c>
      <c r="D1867">
        <f t="shared" si="29"/>
        <v>1</v>
      </c>
      <c r="I1867" s="1" t="s">
        <v>933</v>
      </c>
      <c r="J1867" s="1" t="s">
        <v>981</v>
      </c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25">
      <c r="A1868" s="7" t="s">
        <v>8300</v>
      </c>
      <c r="C1868" s="7" t="s">
        <v>9794</v>
      </c>
      <c r="D1868">
        <f t="shared" si="29"/>
        <v>1</v>
      </c>
      <c r="I1868" s="1" t="s">
        <v>1110</v>
      </c>
      <c r="J1868" s="1" t="s">
        <v>923</v>
      </c>
      <c r="K1868" s="1" t="s">
        <v>954</v>
      </c>
      <c r="L1868" s="1" t="s">
        <v>10971</v>
      </c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25">
      <c r="A1869" s="7" t="s">
        <v>8300</v>
      </c>
      <c r="C1869" s="8" t="s">
        <v>10577</v>
      </c>
      <c r="D1869">
        <f t="shared" si="29"/>
        <v>1</v>
      </c>
      <c r="I1869" s="1" t="s">
        <v>50</v>
      </c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25">
      <c r="A1870" s="7" t="s">
        <v>8300</v>
      </c>
      <c r="C1870" s="8" t="s">
        <v>9578</v>
      </c>
      <c r="D1870">
        <f t="shared" si="29"/>
        <v>1</v>
      </c>
      <c r="I1870" s="1" t="s">
        <v>840</v>
      </c>
      <c r="J1870" s="1" t="s">
        <v>923</v>
      </c>
      <c r="K1870" s="1" t="s">
        <v>954</v>
      </c>
      <c r="L1870" s="1" t="s">
        <v>1141</v>
      </c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25">
      <c r="A1871" s="7" t="s">
        <v>8300</v>
      </c>
      <c r="C1871" s="8" t="s">
        <v>10480</v>
      </c>
      <c r="D1871">
        <f t="shared" si="29"/>
        <v>1</v>
      </c>
      <c r="I1871" s="1" t="s">
        <v>996</v>
      </c>
      <c r="J1871" s="1" t="s">
        <v>997</v>
      </c>
      <c r="K1871" s="1" t="s">
        <v>2541</v>
      </c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25">
      <c r="A1872" s="7" t="s">
        <v>8300</v>
      </c>
      <c r="C1872" s="8" t="s">
        <v>9410</v>
      </c>
      <c r="D1872">
        <f t="shared" si="29"/>
        <v>1</v>
      </c>
      <c r="I1872" s="1" t="s">
        <v>996</v>
      </c>
      <c r="J1872" s="1" t="s">
        <v>2541</v>
      </c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25">
      <c r="A1873" s="7" t="s">
        <v>8300</v>
      </c>
      <c r="C1873" s="8" t="s">
        <v>9904</v>
      </c>
      <c r="D1873">
        <f t="shared" si="29"/>
        <v>1</v>
      </c>
      <c r="I1873" s="1" t="s">
        <v>925</v>
      </c>
      <c r="J1873" s="1" t="s">
        <v>918</v>
      </c>
      <c r="K1873" s="1" t="s">
        <v>927</v>
      </c>
      <c r="L1873" s="1" t="s">
        <v>981</v>
      </c>
      <c r="M1873" s="1" t="s">
        <v>928</v>
      </c>
      <c r="N1873" s="1" t="s">
        <v>921</v>
      </c>
      <c r="O1873" s="1" t="s">
        <v>929</v>
      </c>
      <c r="P1873" s="1" t="s">
        <v>948</v>
      </c>
      <c r="Q1873" s="1" t="s">
        <v>298</v>
      </c>
      <c r="R1873" s="1" t="s">
        <v>25</v>
      </c>
      <c r="S1873" s="1" t="s">
        <v>923</v>
      </c>
      <c r="T1873" s="1" t="s">
        <v>997</v>
      </c>
      <c r="U1873" s="1" t="s">
        <v>1167</v>
      </c>
      <c r="V1873" s="1" t="s">
        <v>998</v>
      </c>
      <c r="W1873" s="1" t="s">
        <v>1086</v>
      </c>
      <c r="X1873" s="1" t="s">
        <v>920</v>
      </c>
      <c r="Y1873" s="1" t="s">
        <v>933</v>
      </c>
    </row>
    <row r="1874" spans="1:25" x14ac:dyDescent="0.25">
      <c r="A1874" s="8" t="s">
        <v>8300</v>
      </c>
      <c r="C1874" s="8" t="s">
        <v>8924</v>
      </c>
      <c r="D1874">
        <f t="shared" si="29"/>
        <v>1</v>
      </c>
      <c r="I1874" s="1" t="s">
        <v>975</v>
      </c>
      <c r="J1874" s="1" t="s">
        <v>90</v>
      </c>
      <c r="K1874" s="1" t="s">
        <v>964</v>
      </c>
      <c r="L1874" s="1" t="s">
        <v>10830</v>
      </c>
      <c r="M1874" s="1" t="s">
        <v>982</v>
      </c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25">
      <c r="A1875" s="7" t="s">
        <v>10310</v>
      </c>
      <c r="C1875" s="7" t="s">
        <v>10150</v>
      </c>
      <c r="D1875">
        <f t="shared" si="29"/>
        <v>1</v>
      </c>
      <c r="I1875" s="1" t="s">
        <v>948</v>
      </c>
      <c r="J1875" s="1" t="s">
        <v>298</v>
      </c>
      <c r="K1875" s="1" t="s">
        <v>25</v>
      </c>
      <c r="L1875" s="1" t="s">
        <v>923</v>
      </c>
      <c r="M1875" s="1" t="s">
        <v>997</v>
      </c>
      <c r="N1875" s="1" t="s">
        <v>927</v>
      </c>
      <c r="O1875" s="1" t="s">
        <v>1167</v>
      </c>
      <c r="P1875" s="1" t="s">
        <v>998</v>
      </c>
      <c r="Q1875" s="1" t="s">
        <v>1086</v>
      </c>
      <c r="R1875" s="1" t="s">
        <v>920</v>
      </c>
      <c r="S1875" s="1" t="s">
        <v>933</v>
      </c>
      <c r="T1875" s="1" t="s">
        <v>1001</v>
      </c>
      <c r="U1875" s="1" t="s">
        <v>937</v>
      </c>
      <c r="V1875" s="1"/>
      <c r="W1875" s="1"/>
      <c r="X1875" s="1"/>
      <c r="Y1875" s="1"/>
    </row>
    <row r="1876" spans="1:25" x14ac:dyDescent="0.25">
      <c r="A1876" s="8" t="s">
        <v>9104</v>
      </c>
      <c r="C1876" s="7" t="s">
        <v>9569</v>
      </c>
      <c r="D1876">
        <f t="shared" si="29"/>
        <v>1</v>
      </c>
      <c r="I1876" s="1" t="s">
        <v>948</v>
      </c>
      <c r="J1876" s="1" t="s">
        <v>298</v>
      </c>
      <c r="K1876" s="1" t="s">
        <v>25</v>
      </c>
      <c r="L1876" s="1" t="s">
        <v>923</v>
      </c>
      <c r="M1876" s="1" t="s">
        <v>997</v>
      </c>
      <c r="N1876" s="1" t="s">
        <v>927</v>
      </c>
      <c r="O1876" s="1" t="s">
        <v>1167</v>
      </c>
      <c r="P1876" s="1" t="s">
        <v>998</v>
      </c>
      <c r="Q1876" s="1" t="s">
        <v>1086</v>
      </c>
      <c r="R1876" s="1" t="s">
        <v>920</v>
      </c>
      <c r="S1876" s="1" t="s">
        <v>933</v>
      </c>
      <c r="T1876" s="1" t="s">
        <v>958</v>
      </c>
      <c r="U1876" s="1" t="s">
        <v>10972</v>
      </c>
      <c r="V1876" s="1"/>
      <c r="W1876" s="1"/>
      <c r="X1876" s="1"/>
      <c r="Y1876" s="1"/>
    </row>
    <row r="1877" spans="1:25" x14ac:dyDescent="0.25">
      <c r="A1877" s="8" t="s">
        <v>10470</v>
      </c>
      <c r="C1877" s="7" t="s">
        <v>10139</v>
      </c>
      <c r="D1877">
        <f t="shared" si="29"/>
        <v>1</v>
      </c>
      <c r="I1877" s="1" t="s">
        <v>948</v>
      </c>
      <c r="J1877" s="1" t="s">
        <v>298</v>
      </c>
      <c r="K1877" s="1" t="s">
        <v>25</v>
      </c>
      <c r="L1877" s="1" t="s">
        <v>923</v>
      </c>
      <c r="M1877" s="1" t="s">
        <v>997</v>
      </c>
      <c r="N1877" s="1" t="s">
        <v>927</v>
      </c>
      <c r="O1877" s="1" t="s">
        <v>1167</v>
      </c>
      <c r="P1877" s="1" t="s">
        <v>998</v>
      </c>
      <c r="Q1877" s="1" t="s">
        <v>1086</v>
      </c>
      <c r="R1877" s="1" t="s">
        <v>920</v>
      </c>
      <c r="S1877" s="1" t="s">
        <v>933</v>
      </c>
      <c r="T1877" s="1"/>
      <c r="U1877" s="1"/>
      <c r="V1877" s="1"/>
      <c r="W1877" s="1"/>
      <c r="X1877" s="1"/>
      <c r="Y1877" s="1"/>
    </row>
    <row r="1878" spans="1:25" x14ac:dyDescent="0.25">
      <c r="A1878" s="8" t="s">
        <v>9151</v>
      </c>
      <c r="C1878" s="8" t="s">
        <v>10474</v>
      </c>
      <c r="D1878">
        <f t="shared" si="29"/>
        <v>1</v>
      </c>
      <c r="I1878" s="1" t="s">
        <v>918</v>
      </c>
      <c r="J1878" s="1" t="s">
        <v>25</v>
      </c>
      <c r="K1878" s="1" t="s">
        <v>919</v>
      </c>
      <c r="L1878" s="1" t="s">
        <v>920</v>
      </c>
      <c r="M1878" s="1" t="s">
        <v>921</v>
      </c>
      <c r="N1878" s="1" t="s">
        <v>1149</v>
      </c>
      <c r="O1878" s="1" t="s">
        <v>923</v>
      </c>
      <c r="P1878" s="1" t="s">
        <v>998</v>
      </c>
      <c r="Q1878" s="1" t="s">
        <v>1086</v>
      </c>
      <c r="R1878" s="1" t="s">
        <v>933</v>
      </c>
      <c r="S1878" s="1" t="s">
        <v>10719</v>
      </c>
      <c r="T1878" s="1" t="s">
        <v>1020</v>
      </c>
      <c r="U1878" s="1" t="s">
        <v>10732</v>
      </c>
      <c r="V1878" s="1"/>
      <c r="W1878" s="1"/>
      <c r="X1878" s="1"/>
      <c r="Y1878" s="1"/>
    </row>
    <row r="1879" spans="1:25" x14ac:dyDescent="0.25">
      <c r="A1879" s="7" t="s">
        <v>6787</v>
      </c>
      <c r="C1879" s="7" t="s">
        <v>8873</v>
      </c>
      <c r="D1879">
        <f t="shared" si="29"/>
        <v>1</v>
      </c>
      <c r="I1879" s="1" t="s">
        <v>1030</v>
      </c>
      <c r="J1879" s="1" t="s">
        <v>1013</v>
      </c>
      <c r="K1879" s="1" t="s">
        <v>919</v>
      </c>
      <c r="L1879" s="1" t="s">
        <v>1070</v>
      </c>
      <c r="M1879" s="1" t="s">
        <v>976</v>
      </c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25">
      <c r="A1880" s="7" t="s">
        <v>6787</v>
      </c>
      <c r="C1880" s="8" t="s">
        <v>10611</v>
      </c>
      <c r="D1880">
        <f t="shared" si="29"/>
        <v>1</v>
      </c>
      <c r="I1880" s="1" t="s">
        <v>1030</v>
      </c>
      <c r="J1880" s="1" t="s">
        <v>1013</v>
      </c>
      <c r="K1880" s="1" t="s">
        <v>919</v>
      </c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25">
      <c r="A1881" s="7" t="s">
        <v>6787</v>
      </c>
      <c r="C1881" s="7" t="s">
        <v>10179</v>
      </c>
      <c r="D1881">
        <f t="shared" si="29"/>
        <v>1</v>
      </c>
      <c r="I1881" s="1" t="s">
        <v>1149</v>
      </c>
      <c r="J1881" s="1" t="s">
        <v>25</v>
      </c>
      <c r="K1881" s="1" t="s">
        <v>920</v>
      </c>
      <c r="L1881" s="1" t="s">
        <v>1086</v>
      </c>
      <c r="M1881" s="1" t="s">
        <v>933</v>
      </c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25">
      <c r="A1882" s="7" t="s">
        <v>6787</v>
      </c>
      <c r="C1882" s="8" t="s">
        <v>10581</v>
      </c>
      <c r="D1882">
        <f t="shared" si="29"/>
        <v>1</v>
      </c>
      <c r="I1882" s="1" t="s">
        <v>981</v>
      </c>
      <c r="J1882" s="1" t="s">
        <v>983</v>
      </c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25">
      <c r="A1883" s="7" t="s">
        <v>6787</v>
      </c>
      <c r="C1883" s="7" t="s">
        <v>6547</v>
      </c>
      <c r="D1883">
        <f t="shared" si="29"/>
        <v>1</v>
      </c>
      <c r="I1883" s="1" t="s">
        <v>948</v>
      </c>
      <c r="J1883" s="1" t="s">
        <v>918</v>
      </c>
      <c r="K1883" s="1" t="s">
        <v>25</v>
      </c>
      <c r="L1883" s="1" t="s">
        <v>919</v>
      </c>
      <c r="M1883" s="1" t="s">
        <v>920</v>
      </c>
      <c r="N1883" s="1" t="s">
        <v>954</v>
      </c>
      <c r="O1883" s="1" t="s">
        <v>927</v>
      </c>
      <c r="P1883" s="1" t="s">
        <v>1056</v>
      </c>
      <c r="Q1883" s="1" t="s">
        <v>981</v>
      </c>
      <c r="R1883" s="1"/>
      <c r="S1883" s="1"/>
      <c r="T1883" s="1"/>
      <c r="U1883" s="1"/>
      <c r="V1883" s="1"/>
      <c r="W1883" s="1"/>
      <c r="X1883" s="1"/>
      <c r="Y1883" s="1"/>
    </row>
    <row r="1884" spans="1:25" x14ac:dyDescent="0.25">
      <c r="A1884" s="7" t="s">
        <v>6787</v>
      </c>
      <c r="C1884" s="8" t="s">
        <v>9741</v>
      </c>
      <c r="D1884">
        <f t="shared" si="29"/>
        <v>1</v>
      </c>
      <c r="I1884" s="1" t="s">
        <v>918</v>
      </c>
      <c r="J1884" s="1" t="s">
        <v>927</v>
      </c>
      <c r="K1884" s="1" t="s">
        <v>919</v>
      </c>
      <c r="L1884" s="1" t="s">
        <v>10973</v>
      </c>
      <c r="M1884" s="1" t="s">
        <v>10727</v>
      </c>
      <c r="N1884" s="1" t="s">
        <v>10974</v>
      </c>
      <c r="O1884" s="1" t="s">
        <v>6421</v>
      </c>
      <c r="P1884" s="1"/>
      <c r="Q1884" s="1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25">
      <c r="A1885" s="7" t="s">
        <v>6787</v>
      </c>
      <c r="C1885" s="7" t="s">
        <v>10389</v>
      </c>
      <c r="D1885">
        <f t="shared" si="29"/>
        <v>1</v>
      </c>
      <c r="I1885" s="1" t="s">
        <v>996</v>
      </c>
      <c r="J1885" s="1" t="s">
        <v>2541</v>
      </c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25">
      <c r="A1886" s="7" t="s">
        <v>6787</v>
      </c>
      <c r="C1886" s="8" t="s">
        <v>9685</v>
      </c>
      <c r="D1886">
        <f t="shared" si="29"/>
        <v>1</v>
      </c>
      <c r="I1886" s="1" t="s">
        <v>921</v>
      </c>
      <c r="J1886" s="1" t="s">
        <v>927</v>
      </c>
      <c r="K1886" s="1" t="s">
        <v>981</v>
      </c>
      <c r="L1886" s="1" t="s">
        <v>999</v>
      </c>
      <c r="M1886" s="1" t="s">
        <v>993</v>
      </c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25">
      <c r="A1887" s="7" t="s">
        <v>6787</v>
      </c>
      <c r="C1887" s="7" t="s">
        <v>1654</v>
      </c>
      <c r="D1887">
        <f t="shared" si="29"/>
        <v>1</v>
      </c>
      <c r="I1887" s="1" t="s">
        <v>996</v>
      </c>
      <c r="J1887" s="1" t="s">
        <v>997</v>
      </c>
      <c r="K1887" s="1" t="s">
        <v>998</v>
      </c>
      <c r="L1887" s="1" t="s">
        <v>992</v>
      </c>
      <c r="M1887" s="1" t="s">
        <v>933</v>
      </c>
      <c r="N1887" s="1" t="s">
        <v>994</v>
      </c>
      <c r="O1887" s="1" t="s">
        <v>927</v>
      </c>
      <c r="P1887" s="1" t="s">
        <v>953</v>
      </c>
      <c r="Q1887" s="1" t="s">
        <v>943</v>
      </c>
      <c r="R1887" s="1" t="s">
        <v>983</v>
      </c>
      <c r="S1887" s="1" t="s">
        <v>919</v>
      </c>
      <c r="T1887" s="1" t="s">
        <v>984</v>
      </c>
      <c r="U1887" s="1"/>
      <c r="V1887" s="1"/>
      <c r="W1887" s="1"/>
      <c r="X1887" s="1"/>
      <c r="Y1887" s="1"/>
    </row>
    <row r="1888" spans="1:25" x14ac:dyDescent="0.25">
      <c r="A1888" s="7" t="s">
        <v>6787</v>
      </c>
      <c r="C1888" s="8" t="s">
        <v>9821</v>
      </c>
      <c r="D1888">
        <f t="shared" si="29"/>
        <v>1</v>
      </c>
      <c r="I1888" s="1" t="s">
        <v>25</v>
      </c>
      <c r="J1888" s="1" t="s">
        <v>919</v>
      </c>
      <c r="K1888" s="1" t="s">
        <v>920</v>
      </c>
      <c r="L1888" s="1" t="s">
        <v>921</v>
      </c>
      <c r="M1888" s="1" t="s">
        <v>1001</v>
      </c>
      <c r="N1888" s="1" t="s">
        <v>1016</v>
      </c>
      <c r="O1888" s="1" t="s">
        <v>152</v>
      </c>
      <c r="P1888" s="1"/>
      <c r="Q1888" s="1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25">
      <c r="A1889" s="7" t="s">
        <v>6787</v>
      </c>
      <c r="C1889" s="8" t="s">
        <v>9325</v>
      </c>
      <c r="D1889">
        <f t="shared" si="29"/>
        <v>1</v>
      </c>
      <c r="I1889" s="1" t="s">
        <v>996</v>
      </c>
      <c r="J1889" s="1" t="s">
        <v>25</v>
      </c>
      <c r="K1889" s="1" t="s">
        <v>997</v>
      </c>
      <c r="L1889" s="1" t="s">
        <v>927</v>
      </c>
      <c r="M1889" s="1" t="s">
        <v>998</v>
      </c>
      <c r="N1889" s="1" t="s">
        <v>992</v>
      </c>
      <c r="O1889" s="1" t="s">
        <v>933</v>
      </c>
      <c r="P1889" s="1" t="s">
        <v>994</v>
      </c>
      <c r="Q1889" s="1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25">
      <c r="A1890" s="7" t="s">
        <v>6787</v>
      </c>
      <c r="C1890" s="8" t="s">
        <v>9908</v>
      </c>
      <c r="D1890">
        <f t="shared" si="29"/>
        <v>1</v>
      </c>
      <c r="I1890" s="1" t="s">
        <v>50</v>
      </c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25">
      <c r="A1891" s="7" t="s">
        <v>6787</v>
      </c>
      <c r="C1891" s="8" t="s">
        <v>9967</v>
      </c>
      <c r="D1891">
        <f t="shared" si="29"/>
        <v>1</v>
      </c>
      <c r="I1891" s="1" t="s">
        <v>25</v>
      </c>
      <c r="J1891" s="1" t="s">
        <v>923</v>
      </c>
      <c r="K1891" s="1" t="s">
        <v>997</v>
      </c>
      <c r="L1891" s="1" t="s">
        <v>927</v>
      </c>
      <c r="M1891" s="1" t="s">
        <v>10924</v>
      </c>
      <c r="N1891" s="1" t="s">
        <v>920</v>
      </c>
      <c r="O1891" s="1" t="s">
        <v>933</v>
      </c>
      <c r="P1891" s="1" t="s">
        <v>954</v>
      </c>
      <c r="Q1891" s="1" t="s">
        <v>974</v>
      </c>
      <c r="R1891" s="1" t="s">
        <v>921</v>
      </c>
      <c r="S1891" s="1" t="s">
        <v>998</v>
      </c>
      <c r="T1891" s="1" t="s">
        <v>1086</v>
      </c>
      <c r="U1891" s="1" t="s">
        <v>992</v>
      </c>
      <c r="V1891" s="1"/>
      <c r="W1891" s="1"/>
      <c r="X1891" s="1"/>
      <c r="Y1891" s="1"/>
    </row>
    <row r="1892" spans="1:25" x14ac:dyDescent="0.25">
      <c r="A1892" s="7" t="s">
        <v>6787</v>
      </c>
      <c r="C1892" s="7" t="s">
        <v>8194</v>
      </c>
      <c r="D1892">
        <f t="shared" si="29"/>
        <v>1</v>
      </c>
      <c r="I1892" s="1" t="s">
        <v>25</v>
      </c>
      <c r="J1892" s="1" t="s">
        <v>923</v>
      </c>
      <c r="K1892" s="1" t="s">
        <v>1086</v>
      </c>
      <c r="L1892" s="1" t="s">
        <v>920</v>
      </c>
      <c r="M1892" s="1" t="s">
        <v>933</v>
      </c>
      <c r="N1892" s="1" t="s">
        <v>954</v>
      </c>
      <c r="O1892" s="1" t="s">
        <v>974</v>
      </c>
      <c r="P1892" s="1" t="s">
        <v>10719</v>
      </c>
      <c r="Q1892" s="1" t="s">
        <v>950</v>
      </c>
      <c r="R1892" s="1" t="s">
        <v>921</v>
      </c>
      <c r="S1892" s="1" t="s">
        <v>10720</v>
      </c>
      <c r="T1892" s="1" t="s">
        <v>1141</v>
      </c>
      <c r="U1892" s="1"/>
      <c r="V1892" s="1"/>
      <c r="W1892" s="1"/>
      <c r="X1892" s="1"/>
      <c r="Y1892" s="1"/>
    </row>
    <row r="1893" spans="1:25" x14ac:dyDescent="0.25">
      <c r="A1893" s="7" t="s">
        <v>6787</v>
      </c>
      <c r="C1893" s="8" t="s">
        <v>10185</v>
      </c>
      <c r="D1893">
        <f t="shared" si="29"/>
        <v>1</v>
      </c>
      <c r="I1893" s="1" t="s">
        <v>25</v>
      </c>
      <c r="J1893" s="1" t="s">
        <v>923</v>
      </c>
      <c r="K1893" s="1" t="s">
        <v>920</v>
      </c>
      <c r="L1893" s="1" t="s">
        <v>933</v>
      </c>
      <c r="M1893" s="1" t="s">
        <v>954</v>
      </c>
      <c r="N1893" s="1" t="s">
        <v>1141</v>
      </c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25">
      <c r="A1894" s="8" t="s">
        <v>6787</v>
      </c>
      <c r="C1894" s="7" t="s">
        <v>6465</v>
      </c>
      <c r="D1894">
        <f t="shared" si="29"/>
        <v>1</v>
      </c>
      <c r="I1894" s="1" t="s">
        <v>1086</v>
      </c>
      <c r="J1894" s="1" t="s">
        <v>933</v>
      </c>
      <c r="K1894" s="1" t="s">
        <v>2541</v>
      </c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25">
      <c r="A1895" s="7" t="s">
        <v>6831</v>
      </c>
      <c r="C1895" s="7" t="s">
        <v>9368</v>
      </c>
      <c r="D1895">
        <f t="shared" si="29"/>
        <v>1</v>
      </c>
      <c r="I1895" s="1" t="s">
        <v>993</v>
      </c>
      <c r="J1895" s="1" t="s">
        <v>996</v>
      </c>
      <c r="K1895" s="1" t="s">
        <v>25</v>
      </c>
      <c r="L1895" s="1" t="s">
        <v>997</v>
      </c>
      <c r="M1895" s="1" t="s">
        <v>927</v>
      </c>
      <c r="N1895" s="1" t="s">
        <v>998</v>
      </c>
      <c r="O1895" s="1" t="s">
        <v>994</v>
      </c>
      <c r="P1895" s="1"/>
      <c r="Q1895" s="1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25">
      <c r="A1896" s="7" t="s">
        <v>6831</v>
      </c>
      <c r="C1896" s="7" t="s">
        <v>6978</v>
      </c>
      <c r="D1896">
        <f t="shared" si="29"/>
        <v>1</v>
      </c>
      <c r="I1896" s="1" t="s">
        <v>25</v>
      </c>
      <c r="J1896" s="1" t="s">
        <v>927</v>
      </c>
      <c r="K1896" s="1" t="s">
        <v>998</v>
      </c>
      <c r="L1896" s="1" t="s">
        <v>1086</v>
      </c>
      <c r="M1896" s="1" t="s">
        <v>920</v>
      </c>
      <c r="N1896" s="1" t="s">
        <v>933</v>
      </c>
      <c r="O1896" s="1" t="s">
        <v>921</v>
      </c>
      <c r="P1896" s="1" t="s">
        <v>926</v>
      </c>
      <c r="Q1896" s="1" t="s">
        <v>10731</v>
      </c>
      <c r="R1896" s="1" t="s">
        <v>10975</v>
      </c>
      <c r="S1896" s="1" t="s">
        <v>981</v>
      </c>
      <c r="T1896" s="1" t="s">
        <v>928</v>
      </c>
      <c r="U1896" s="1"/>
      <c r="V1896" s="1"/>
      <c r="W1896" s="1"/>
      <c r="X1896" s="1"/>
      <c r="Y1896" s="1"/>
    </row>
    <row r="1897" spans="1:25" x14ac:dyDescent="0.25">
      <c r="A1897" s="7" t="s">
        <v>6831</v>
      </c>
      <c r="C1897" s="7" t="s">
        <v>8864</v>
      </c>
      <c r="D1897">
        <f t="shared" si="29"/>
        <v>1</v>
      </c>
      <c r="I1897" s="1" t="s">
        <v>2541</v>
      </c>
      <c r="J1897" s="1" t="s">
        <v>1001</v>
      </c>
      <c r="K1897" s="1" t="s">
        <v>10751</v>
      </c>
      <c r="L1897" s="1" t="s">
        <v>927</v>
      </c>
      <c r="M1897" s="1" t="s">
        <v>919</v>
      </c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25">
      <c r="A1898" s="7" t="s">
        <v>6831</v>
      </c>
      <c r="C1898" s="8" t="s">
        <v>10542</v>
      </c>
      <c r="D1898">
        <f t="shared" si="29"/>
        <v>1</v>
      </c>
      <c r="I1898" s="1" t="s">
        <v>996</v>
      </c>
      <c r="J1898" s="1" t="s">
        <v>999</v>
      </c>
      <c r="K1898" s="1" t="s">
        <v>921</v>
      </c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25">
      <c r="A1899" s="7" t="s">
        <v>6831</v>
      </c>
      <c r="C1899" s="7" t="s">
        <v>9956</v>
      </c>
      <c r="D1899">
        <f t="shared" si="29"/>
        <v>1</v>
      </c>
      <c r="I1899" s="1" t="s">
        <v>918</v>
      </c>
      <c r="J1899" s="1" t="s">
        <v>1143</v>
      </c>
      <c r="K1899" s="1" t="s">
        <v>955</v>
      </c>
      <c r="L1899" s="1" t="s">
        <v>995</v>
      </c>
      <c r="M1899" s="1" t="s">
        <v>919</v>
      </c>
      <c r="N1899" s="1" t="s">
        <v>924</v>
      </c>
      <c r="O1899" s="1" t="s">
        <v>1014</v>
      </c>
      <c r="P1899" s="1" t="s">
        <v>944</v>
      </c>
      <c r="Q1899" s="1" t="s">
        <v>956</v>
      </c>
      <c r="R1899" s="1" t="s">
        <v>1013</v>
      </c>
      <c r="S1899" s="1" t="s">
        <v>941</v>
      </c>
      <c r="T1899" s="1" t="s">
        <v>1034</v>
      </c>
      <c r="U1899" s="1" t="s">
        <v>10741</v>
      </c>
      <c r="V1899" s="1" t="s">
        <v>10739</v>
      </c>
      <c r="W1899" s="1" t="s">
        <v>10871</v>
      </c>
      <c r="X1899" s="1"/>
      <c r="Y1899" s="1"/>
    </row>
    <row r="1900" spans="1:25" x14ac:dyDescent="0.25">
      <c r="A1900" s="7" t="s">
        <v>6831</v>
      </c>
      <c r="C1900" s="8" t="s">
        <v>9614</v>
      </c>
      <c r="D1900">
        <f t="shared" si="29"/>
        <v>1</v>
      </c>
      <c r="I1900" s="1" t="s">
        <v>335</v>
      </c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25">
      <c r="A1901" s="7" t="s">
        <v>6831</v>
      </c>
      <c r="C1901" s="8" t="s">
        <v>9609</v>
      </c>
      <c r="D1901">
        <f t="shared" si="29"/>
        <v>1</v>
      </c>
      <c r="I1901" s="1" t="s">
        <v>940</v>
      </c>
      <c r="J1901" s="1" t="s">
        <v>1011</v>
      </c>
      <c r="K1901" s="1" t="s">
        <v>25</v>
      </c>
      <c r="L1901" s="1" t="s">
        <v>920</v>
      </c>
      <c r="M1901" s="1" t="s">
        <v>921</v>
      </c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25">
      <c r="A1902" s="7" t="s">
        <v>6831</v>
      </c>
      <c r="C1902" s="8" t="s">
        <v>9922</v>
      </c>
      <c r="D1902">
        <f t="shared" si="29"/>
        <v>1</v>
      </c>
      <c r="I1902" s="1" t="s">
        <v>934</v>
      </c>
      <c r="J1902" s="1" t="s">
        <v>918</v>
      </c>
      <c r="K1902" s="1" t="s">
        <v>25</v>
      </c>
      <c r="L1902" s="1" t="s">
        <v>919</v>
      </c>
      <c r="M1902" s="1" t="s">
        <v>920</v>
      </c>
      <c r="N1902" s="1" t="s">
        <v>924</v>
      </c>
      <c r="O1902" s="1" t="s">
        <v>955</v>
      </c>
      <c r="P1902" s="1" t="s">
        <v>1071</v>
      </c>
      <c r="Q1902" s="1" t="s">
        <v>1014</v>
      </c>
      <c r="R1902" s="1"/>
      <c r="S1902" s="1"/>
      <c r="T1902" s="1"/>
      <c r="U1902" s="1"/>
      <c r="V1902" s="1"/>
      <c r="W1902" s="1"/>
      <c r="X1902" s="1"/>
      <c r="Y1902" s="1"/>
    </row>
    <row r="1903" spans="1:25" x14ac:dyDescent="0.25">
      <c r="A1903" s="7" t="s">
        <v>6831</v>
      </c>
      <c r="C1903" s="8" t="s">
        <v>10371</v>
      </c>
      <c r="D1903">
        <f t="shared" si="29"/>
        <v>1</v>
      </c>
      <c r="I1903" s="1" t="s">
        <v>918</v>
      </c>
      <c r="J1903" s="1" t="s">
        <v>1110</v>
      </c>
      <c r="K1903" s="1" t="s">
        <v>25</v>
      </c>
      <c r="L1903" s="1" t="s">
        <v>923</v>
      </c>
      <c r="M1903" s="1" t="s">
        <v>919</v>
      </c>
      <c r="N1903" s="1" t="s">
        <v>920</v>
      </c>
      <c r="O1903" s="1" t="s">
        <v>954</v>
      </c>
      <c r="P1903" s="1" t="s">
        <v>328</v>
      </c>
      <c r="Q1903" s="1" t="s">
        <v>921</v>
      </c>
      <c r="R1903" s="1" t="s">
        <v>964</v>
      </c>
      <c r="S1903" s="1" t="s">
        <v>934</v>
      </c>
      <c r="T1903" s="1" t="s">
        <v>965</v>
      </c>
      <c r="U1903" s="1" t="s">
        <v>840</v>
      </c>
      <c r="V1903" s="1"/>
      <c r="W1903" s="1"/>
      <c r="X1903" s="1"/>
      <c r="Y1903" s="1"/>
    </row>
    <row r="1904" spans="1:25" x14ac:dyDescent="0.25">
      <c r="A1904" s="8" t="s">
        <v>6831</v>
      </c>
      <c r="C1904" s="7" t="s">
        <v>8390</v>
      </c>
      <c r="D1904">
        <f t="shared" si="29"/>
        <v>1</v>
      </c>
      <c r="I1904" s="1" t="s">
        <v>10743</v>
      </c>
      <c r="J1904" s="1" t="s">
        <v>84</v>
      </c>
      <c r="K1904" s="1" t="s">
        <v>10976</v>
      </c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25">
      <c r="A1905" s="8" t="s">
        <v>6831</v>
      </c>
      <c r="C1905" s="8" t="s">
        <v>9677</v>
      </c>
      <c r="D1905">
        <f t="shared" si="29"/>
        <v>1</v>
      </c>
      <c r="I1905" s="1" t="s">
        <v>918</v>
      </c>
      <c r="J1905" s="1" t="s">
        <v>949</v>
      </c>
      <c r="K1905" s="1" t="s">
        <v>25</v>
      </c>
      <c r="L1905" s="1" t="s">
        <v>923</v>
      </c>
      <c r="M1905" s="1" t="s">
        <v>919</v>
      </c>
      <c r="N1905" s="1" t="s">
        <v>920</v>
      </c>
      <c r="O1905" s="1" t="s">
        <v>974</v>
      </c>
      <c r="P1905" s="1" t="s">
        <v>921</v>
      </c>
      <c r="Q1905" s="1" t="s">
        <v>924</v>
      </c>
      <c r="R1905" s="1" t="s">
        <v>1076</v>
      </c>
      <c r="S1905" s="1" t="s">
        <v>1077</v>
      </c>
      <c r="T1905" s="1" t="s">
        <v>983</v>
      </c>
      <c r="U1905" s="1" t="s">
        <v>984</v>
      </c>
      <c r="V1905" s="1"/>
      <c r="W1905" s="1"/>
      <c r="X1905" s="1"/>
      <c r="Y1905" s="1"/>
    </row>
    <row r="1906" spans="1:25" x14ac:dyDescent="0.25">
      <c r="A1906" s="8" t="s">
        <v>6831</v>
      </c>
      <c r="C1906" s="8" t="s">
        <v>10130</v>
      </c>
      <c r="D1906">
        <f t="shared" si="29"/>
        <v>1</v>
      </c>
      <c r="I1906" s="1" t="s">
        <v>923</v>
      </c>
      <c r="J1906" s="1" t="s">
        <v>934</v>
      </c>
      <c r="K1906" s="1" t="s">
        <v>25</v>
      </c>
      <c r="L1906" s="1" t="s">
        <v>6421</v>
      </c>
      <c r="M1906" s="1" t="s">
        <v>920</v>
      </c>
      <c r="N1906" s="1" t="s">
        <v>328</v>
      </c>
      <c r="O1906" s="1" t="s">
        <v>921</v>
      </c>
      <c r="P1906" s="1" t="s">
        <v>1013</v>
      </c>
      <c r="Q1906" s="1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25">
      <c r="A1907" s="8" t="s">
        <v>6831</v>
      </c>
      <c r="C1907" s="8" t="s">
        <v>10011</v>
      </c>
      <c r="D1907">
        <f t="shared" si="29"/>
        <v>1</v>
      </c>
      <c r="I1907" s="1" t="s">
        <v>994</v>
      </c>
      <c r="J1907" s="1" t="s">
        <v>933</v>
      </c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25">
      <c r="A1908" s="8" t="s">
        <v>10585</v>
      </c>
      <c r="C1908" s="8" t="s">
        <v>9744</v>
      </c>
      <c r="D1908">
        <f t="shared" si="29"/>
        <v>1</v>
      </c>
      <c r="I1908" s="1" t="s">
        <v>918</v>
      </c>
      <c r="J1908" s="1" t="s">
        <v>25</v>
      </c>
      <c r="K1908" s="1" t="s">
        <v>1148</v>
      </c>
      <c r="L1908" s="1" t="s">
        <v>923</v>
      </c>
      <c r="M1908" s="1" t="s">
        <v>927</v>
      </c>
      <c r="N1908" s="1" t="s">
        <v>1086</v>
      </c>
      <c r="O1908" s="1" t="s">
        <v>920</v>
      </c>
      <c r="P1908" s="1"/>
      <c r="Q1908" s="1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25">
      <c r="A1909" s="7" t="s">
        <v>8850</v>
      </c>
      <c r="C1909" s="8" t="s">
        <v>10222</v>
      </c>
      <c r="D1909">
        <f t="shared" si="29"/>
        <v>1</v>
      </c>
      <c r="I1909" s="1" t="s">
        <v>1053</v>
      </c>
      <c r="J1909" s="1" t="s">
        <v>10977</v>
      </c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25">
      <c r="A1910" s="7" t="s">
        <v>9984</v>
      </c>
      <c r="C1910" s="7" t="s">
        <v>9079</v>
      </c>
      <c r="D1910">
        <f t="shared" si="29"/>
        <v>1</v>
      </c>
      <c r="I1910" s="1" t="s">
        <v>10885</v>
      </c>
      <c r="J1910" s="1" t="s">
        <v>10886</v>
      </c>
      <c r="K1910" s="1" t="s">
        <v>10887</v>
      </c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25">
      <c r="A1911" s="8" t="s">
        <v>10001</v>
      </c>
      <c r="C1911" s="8" t="s">
        <v>10492</v>
      </c>
      <c r="D1911">
        <f t="shared" si="29"/>
        <v>1</v>
      </c>
      <c r="I1911" s="1" t="s">
        <v>10885</v>
      </c>
      <c r="J1911" s="1" t="s">
        <v>10886</v>
      </c>
      <c r="K1911" s="1" t="s">
        <v>10887</v>
      </c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25">
      <c r="A1912" s="8" t="s">
        <v>9580</v>
      </c>
      <c r="C1912" s="7" t="s">
        <v>3134</v>
      </c>
      <c r="D1912">
        <f t="shared" si="29"/>
        <v>1</v>
      </c>
      <c r="I1912" s="1" t="s">
        <v>25</v>
      </c>
      <c r="J1912" s="1" t="s">
        <v>927</v>
      </c>
      <c r="K1912" s="1" t="s">
        <v>998</v>
      </c>
      <c r="L1912" s="1" t="s">
        <v>920</v>
      </c>
      <c r="M1912" s="1" t="s">
        <v>933</v>
      </c>
      <c r="N1912" s="1" t="s">
        <v>921</v>
      </c>
      <c r="O1912" s="1" t="s">
        <v>1000</v>
      </c>
      <c r="P1912" s="1"/>
      <c r="Q1912" s="1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25">
      <c r="A1913" s="8" t="s">
        <v>9580</v>
      </c>
      <c r="C1913" s="7" t="s">
        <v>9757</v>
      </c>
      <c r="D1913">
        <f t="shared" si="29"/>
        <v>1</v>
      </c>
      <c r="I1913" s="1" t="s">
        <v>50</v>
      </c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25">
      <c r="A1914" s="8" t="s">
        <v>9580</v>
      </c>
      <c r="C1914" s="7" t="s">
        <v>9897</v>
      </c>
      <c r="D1914">
        <f t="shared" si="29"/>
        <v>1</v>
      </c>
      <c r="I1914" s="1" t="s">
        <v>50</v>
      </c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25">
      <c r="A1915" s="7" t="s">
        <v>9198</v>
      </c>
      <c r="C1915" s="7" t="s">
        <v>5739</v>
      </c>
      <c r="D1915">
        <f t="shared" si="29"/>
        <v>1</v>
      </c>
      <c r="I1915" s="1" t="s">
        <v>50</v>
      </c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25">
      <c r="A1916" s="7" t="s">
        <v>9198</v>
      </c>
      <c r="C1916" s="7" t="s">
        <v>9853</v>
      </c>
      <c r="D1916">
        <f t="shared" si="29"/>
        <v>1</v>
      </c>
      <c r="I1916" s="1" t="s">
        <v>996</v>
      </c>
      <c r="J1916" s="1" t="s">
        <v>2541</v>
      </c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25">
      <c r="A1917" s="7" t="s">
        <v>9198</v>
      </c>
      <c r="C1917" s="8" t="s">
        <v>10041</v>
      </c>
      <c r="D1917">
        <f t="shared" si="29"/>
        <v>1</v>
      </c>
      <c r="I1917" s="1" t="s">
        <v>10804</v>
      </c>
      <c r="J1917" s="1" t="s">
        <v>961</v>
      </c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25">
      <c r="A1918" s="8" t="s">
        <v>9198</v>
      </c>
      <c r="C1918" s="8" t="s">
        <v>10506</v>
      </c>
      <c r="D1918">
        <f t="shared" si="29"/>
        <v>1</v>
      </c>
      <c r="I1918" s="1" t="s">
        <v>997</v>
      </c>
      <c r="J1918" s="1" t="s">
        <v>927</v>
      </c>
      <c r="K1918" s="1" t="s">
        <v>998</v>
      </c>
      <c r="L1918" s="1" t="s">
        <v>1086</v>
      </c>
      <c r="M1918" s="1" t="s">
        <v>933</v>
      </c>
      <c r="N1918" s="1" t="s">
        <v>994</v>
      </c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25">
      <c r="A1919" s="7" t="s">
        <v>4708</v>
      </c>
      <c r="C1919" s="8" t="s">
        <v>10338</v>
      </c>
      <c r="D1919">
        <f t="shared" si="29"/>
        <v>1</v>
      </c>
      <c r="I1919" s="1" t="s">
        <v>983</v>
      </c>
      <c r="J1919" s="1" t="s">
        <v>10833</v>
      </c>
      <c r="K1919" s="1" t="s">
        <v>10834</v>
      </c>
      <c r="L1919" s="1" t="s">
        <v>10835</v>
      </c>
      <c r="M1919" s="1" t="s">
        <v>984</v>
      </c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25">
      <c r="A1920" s="7" t="s">
        <v>10156</v>
      </c>
      <c r="C1920" s="8" t="s">
        <v>8853</v>
      </c>
      <c r="D1920">
        <f t="shared" si="29"/>
        <v>1</v>
      </c>
      <c r="I1920" s="1" t="s">
        <v>1149</v>
      </c>
      <c r="J1920" s="1" t="s">
        <v>25</v>
      </c>
      <c r="K1920" s="1" t="s">
        <v>923</v>
      </c>
      <c r="L1920" s="1" t="s">
        <v>998</v>
      </c>
      <c r="M1920" s="1" t="s">
        <v>1086</v>
      </c>
      <c r="N1920" s="1" t="s">
        <v>920</v>
      </c>
      <c r="O1920" s="1" t="s">
        <v>933</v>
      </c>
      <c r="P1920" s="1" t="s">
        <v>10719</v>
      </c>
      <c r="Q1920" s="1" t="s">
        <v>992</v>
      </c>
      <c r="R1920" s="1"/>
      <c r="S1920" s="1"/>
      <c r="T1920" s="1"/>
      <c r="U1920" s="1"/>
      <c r="V1920" s="1"/>
      <c r="W1920" s="1"/>
      <c r="X1920" s="1"/>
      <c r="Y1920" s="1"/>
    </row>
    <row r="1921" spans="1:25" x14ac:dyDescent="0.25">
      <c r="A1921" s="8" t="s">
        <v>10156</v>
      </c>
      <c r="C1921" s="8" t="s">
        <v>9190</v>
      </c>
      <c r="D1921">
        <f t="shared" si="29"/>
        <v>1</v>
      </c>
      <c r="I1921" s="1" t="s">
        <v>1149</v>
      </c>
      <c r="J1921" s="1" t="s">
        <v>25</v>
      </c>
      <c r="K1921" s="1" t="s">
        <v>923</v>
      </c>
      <c r="L1921" s="1" t="s">
        <v>998</v>
      </c>
      <c r="M1921" s="1" t="s">
        <v>1086</v>
      </c>
      <c r="N1921" s="1" t="s">
        <v>920</v>
      </c>
      <c r="O1921" s="1" t="s">
        <v>933</v>
      </c>
      <c r="P1921" s="1" t="s">
        <v>10719</v>
      </c>
      <c r="Q1921" s="1" t="s">
        <v>978</v>
      </c>
      <c r="R1921" s="1"/>
      <c r="S1921" s="1"/>
      <c r="T1921" s="1"/>
      <c r="U1921" s="1"/>
      <c r="V1921" s="1"/>
      <c r="W1921" s="1"/>
      <c r="X1921" s="1"/>
      <c r="Y1921" s="1"/>
    </row>
    <row r="1922" spans="1:25" x14ac:dyDescent="0.25">
      <c r="A1922" s="8" t="s">
        <v>9836</v>
      </c>
      <c r="C1922" s="8" t="s">
        <v>8844</v>
      </c>
      <c r="D1922">
        <f t="shared" ref="D1922:D1985" si="30">COUNTIF(A:A,C1922)</f>
        <v>1</v>
      </c>
      <c r="I1922" s="1" t="s">
        <v>1149</v>
      </c>
      <c r="J1922" s="1" t="s">
        <v>25</v>
      </c>
      <c r="K1922" s="1" t="s">
        <v>923</v>
      </c>
      <c r="L1922" s="1" t="s">
        <v>998</v>
      </c>
      <c r="M1922" s="1" t="s">
        <v>1086</v>
      </c>
      <c r="N1922" s="1" t="s">
        <v>920</v>
      </c>
      <c r="O1922" s="1" t="s">
        <v>933</v>
      </c>
      <c r="P1922" s="1" t="s">
        <v>10719</v>
      </c>
      <c r="Q1922" s="1" t="s">
        <v>978</v>
      </c>
      <c r="R1922" s="1" t="s">
        <v>2927</v>
      </c>
      <c r="S1922" s="1" t="s">
        <v>1053</v>
      </c>
      <c r="T1922" s="1"/>
      <c r="U1922" s="1"/>
      <c r="V1922" s="1"/>
      <c r="W1922" s="1"/>
      <c r="X1922" s="1"/>
      <c r="Y1922" s="1"/>
    </row>
    <row r="1923" spans="1:25" x14ac:dyDescent="0.25">
      <c r="A1923" s="8" t="s">
        <v>9836</v>
      </c>
      <c r="C1923" s="8" t="s">
        <v>10366</v>
      </c>
      <c r="D1923">
        <f t="shared" si="30"/>
        <v>1</v>
      </c>
      <c r="I1923" s="1" t="s">
        <v>918</v>
      </c>
      <c r="J1923" s="1" t="s">
        <v>1136</v>
      </c>
      <c r="K1923" s="1" t="s">
        <v>1137</v>
      </c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25">
      <c r="A1924" s="8" t="s">
        <v>9440</v>
      </c>
      <c r="C1924" s="7" t="s">
        <v>1663</v>
      </c>
      <c r="D1924">
        <f t="shared" si="30"/>
        <v>1</v>
      </c>
      <c r="I1924" s="1" t="s">
        <v>918</v>
      </c>
      <c r="J1924" s="1" t="s">
        <v>1136</v>
      </c>
      <c r="K1924" s="1" t="s">
        <v>1137</v>
      </c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25">
      <c r="A1925" s="8" t="s">
        <v>9484</v>
      </c>
      <c r="C1925" s="8" t="s">
        <v>10060</v>
      </c>
      <c r="D1925">
        <f t="shared" si="30"/>
        <v>1</v>
      </c>
      <c r="I1925" s="1" t="s">
        <v>50</v>
      </c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25">
      <c r="A1926" s="8" t="s">
        <v>10304</v>
      </c>
      <c r="C1926" s="7" t="s">
        <v>3438</v>
      </c>
      <c r="D1926">
        <f t="shared" si="30"/>
        <v>1</v>
      </c>
      <c r="I1926" s="1" t="s">
        <v>50</v>
      </c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25">
      <c r="A1927" s="8" t="s">
        <v>10304</v>
      </c>
      <c r="C1927" s="7" t="s">
        <v>10464</v>
      </c>
      <c r="D1927">
        <f t="shared" si="30"/>
        <v>1</v>
      </c>
      <c r="I1927" s="1" t="s">
        <v>50</v>
      </c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25">
      <c r="A1928" s="8" t="s">
        <v>10012</v>
      </c>
      <c r="C1928" s="8" t="s">
        <v>10612</v>
      </c>
      <c r="D1928">
        <f t="shared" si="30"/>
        <v>1</v>
      </c>
      <c r="I1928" s="1" t="s">
        <v>50</v>
      </c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25">
      <c r="A1929" s="7" t="s">
        <v>9140</v>
      </c>
      <c r="C1929" s="8" t="s">
        <v>10444</v>
      </c>
      <c r="D1929">
        <f t="shared" si="30"/>
        <v>1</v>
      </c>
      <c r="I1929" s="1" t="s">
        <v>50</v>
      </c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25">
      <c r="A1930" s="7" t="s">
        <v>9140</v>
      </c>
      <c r="C1930" s="8" t="s">
        <v>10587</v>
      </c>
      <c r="D1930">
        <f t="shared" si="30"/>
        <v>1</v>
      </c>
      <c r="I1930" s="1" t="s">
        <v>50</v>
      </c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25">
      <c r="A1931" s="8" t="s">
        <v>9140</v>
      </c>
      <c r="C1931" s="8" t="s">
        <v>10176</v>
      </c>
      <c r="D1931">
        <f t="shared" si="30"/>
        <v>1</v>
      </c>
      <c r="I1931" s="1" t="s">
        <v>1149</v>
      </c>
      <c r="J1931" s="1" t="s">
        <v>25</v>
      </c>
      <c r="K1931" s="1" t="s">
        <v>920</v>
      </c>
      <c r="L1931" s="1" t="s">
        <v>927</v>
      </c>
      <c r="M1931" s="1" t="s">
        <v>998</v>
      </c>
      <c r="N1931" s="1" t="s">
        <v>1086</v>
      </c>
      <c r="O1931" s="1" t="s">
        <v>933</v>
      </c>
      <c r="P1931" s="1" t="s">
        <v>921</v>
      </c>
      <c r="Q1931" s="1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25">
      <c r="A1932" s="7" t="s">
        <v>9645</v>
      </c>
      <c r="C1932" s="7" t="s">
        <v>10381</v>
      </c>
      <c r="D1932">
        <f t="shared" si="30"/>
        <v>1</v>
      </c>
      <c r="I1932" s="1" t="s">
        <v>1149</v>
      </c>
      <c r="J1932" s="1" t="s">
        <v>25</v>
      </c>
      <c r="K1932" s="1" t="s">
        <v>920</v>
      </c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25">
      <c r="A1933" s="8" t="s">
        <v>9645</v>
      </c>
      <c r="C1933" s="7" t="s">
        <v>234</v>
      </c>
      <c r="D1933">
        <f t="shared" si="30"/>
        <v>1</v>
      </c>
      <c r="I1933" s="1" t="s">
        <v>1107</v>
      </c>
      <c r="J1933" s="1" t="s">
        <v>918</v>
      </c>
      <c r="K1933" s="1" t="s">
        <v>919</v>
      </c>
      <c r="L1933" s="1" t="s">
        <v>945</v>
      </c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25">
      <c r="A1934" s="8" t="s">
        <v>9326</v>
      </c>
      <c r="C1934" s="7" t="s">
        <v>9549</v>
      </c>
      <c r="D1934">
        <f t="shared" si="30"/>
        <v>1</v>
      </c>
      <c r="I1934" s="1" t="s">
        <v>1107</v>
      </c>
      <c r="J1934" s="1" t="s">
        <v>918</v>
      </c>
      <c r="K1934" s="1" t="s">
        <v>919</v>
      </c>
      <c r="L1934" s="1" t="s">
        <v>945</v>
      </c>
      <c r="M1934" s="1" t="s">
        <v>10978</v>
      </c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25">
      <c r="A1935" s="8" t="s">
        <v>10400</v>
      </c>
      <c r="C1935" s="8" t="s">
        <v>10212</v>
      </c>
      <c r="D1935">
        <f t="shared" si="30"/>
        <v>1</v>
      </c>
      <c r="I1935" s="1" t="s">
        <v>1107</v>
      </c>
      <c r="J1935" s="1" t="s">
        <v>918</v>
      </c>
      <c r="K1935" s="1" t="s">
        <v>919</v>
      </c>
      <c r="L1935" s="1" t="s">
        <v>945</v>
      </c>
      <c r="M1935" s="1" t="s">
        <v>10734</v>
      </c>
      <c r="N1935" s="1" t="s">
        <v>955</v>
      </c>
      <c r="O1935" s="1" t="s">
        <v>1014</v>
      </c>
      <c r="P1935" s="1"/>
      <c r="Q1935" s="1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25">
      <c r="A1936" s="8" t="s">
        <v>10643</v>
      </c>
      <c r="C1936" s="7" t="s">
        <v>34</v>
      </c>
      <c r="D1936">
        <f t="shared" si="30"/>
        <v>1</v>
      </c>
      <c r="I1936" s="1" t="s">
        <v>934</v>
      </c>
      <c r="J1936" s="1" t="s">
        <v>948</v>
      </c>
      <c r="K1936" s="1" t="s">
        <v>918</v>
      </c>
      <c r="L1936" s="1" t="s">
        <v>949</v>
      </c>
      <c r="M1936" s="1" t="s">
        <v>25</v>
      </c>
      <c r="N1936" s="1" t="s">
        <v>916</v>
      </c>
      <c r="O1936" s="1" t="s">
        <v>919</v>
      </c>
      <c r="P1936" s="1" t="s">
        <v>920</v>
      </c>
      <c r="Q1936" s="1" t="s">
        <v>328</v>
      </c>
      <c r="R1936" s="1" t="s">
        <v>950</v>
      </c>
      <c r="S1936" s="1" t="s">
        <v>921</v>
      </c>
      <c r="T1936" s="1" t="s">
        <v>922</v>
      </c>
      <c r="U1936" s="1" t="s">
        <v>924</v>
      </c>
      <c r="V1936" s="1" t="s">
        <v>936</v>
      </c>
      <c r="W1936" s="1" t="s">
        <v>929</v>
      </c>
      <c r="X1936" s="1"/>
      <c r="Y1936" s="1"/>
    </row>
    <row r="1937" spans="1:25" x14ac:dyDescent="0.25">
      <c r="A1937" s="7" t="s">
        <v>10490</v>
      </c>
      <c r="C1937" s="7" t="s">
        <v>9043</v>
      </c>
      <c r="D1937">
        <f t="shared" si="30"/>
        <v>1</v>
      </c>
      <c r="I1937" s="1" t="s">
        <v>918</v>
      </c>
      <c r="J1937" s="1" t="s">
        <v>919</v>
      </c>
      <c r="K1937" s="1" t="s">
        <v>920</v>
      </c>
      <c r="L1937" s="1" t="s">
        <v>936</v>
      </c>
      <c r="M1937" s="1" t="s">
        <v>921</v>
      </c>
      <c r="N1937" s="1" t="s">
        <v>929</v>
      </c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25">
      <c r="A1938" s="7" t="s">
        <v>10280</v>
      </c>
      <c r="C1938" s="8" t="s">
        <v>9975</v>
      </c>
      <c r="D1938">
        <f t="shared" si="30"/>
        <v>1</v>
      </c>
      <c r="I1938" s="1" t="s">
        <v>918</v>
      </c>
      <c r="J1938" s="1" t="s">
        <v>919</v>
      </c>
      <c r="K1938" s="1" t="s">
        <v>920</v>
      </c>
      <c r="L1938" s="1" t="s">
        <v>936</v>
      </c>
      <c r="M1938" s="1" t="s">
        <v>921</v>
      </c>
      <c r="N1938" s="1" t="s">
        <v>929</v>
      </c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25">
      <c r="A1939" s="7" t="s">
        <v>5880</v>
      </c>
      <c r="C1939" s="8" t="s">
        <v>9475</v>
      </c>
      <c r="D1939">
        <f t="shared" si="30"/>
        <v>1</v>
      </c>
      <c r="I1939" s="1" t="s">
        <v>918</v>
      </c>
      <c r="J1939" s="1" t="s">
        <v>919</v>
      </c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25">
      <c r="A1940" s="7" t="s">
        <v>5880</v>
      </c>
      <c r="C1940" s="8" t="s">
        <v>10306</v>
      </c>
      <c r="D1940">
        <f t="shared" si="30"/>
        <v>1</v>
      </c>
      <c r="I1940" s="1" t="s">
        <v>918</v>
      </c>
      <c r="J1940" s="1" t="s">
        <v>919</v>
      </c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25">
      <c r="A1941" s="8" t="s">
        <v>9989</v>
      </c>
      <c r="C1941" s="8" t="s">
        <v>9138</v>
      </c>
      <c r="D1941">
        <f t="shared" si="30"/>
        <v>1</v>
      </c>
      <c r="I1941" s="1" t="s">
        <v>996</v>
      </c>
      <c r="J1941" s="1" t="s">
        <v>2541</v>
      </c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25">
      <c r="A1942" s="8" t="s">
        <v>9989</v>
      </c>
      <c r="C1942" s="7" t="s">
        <v>9413</v>
      </c>
      <c r="D1942">
        <f t="shared" si="30"/>
        <v>1</v>
      </c>
      <c r="I1942" s="1" t="s">
        <v>996</v>
      </c>
      <c r="J1942" s="1" t="s">
        <v>997</v>
      </c>
      <c r="K1942" s="1" t="s">
        <v>2541</v>
      </c>
      <c r="L1942" s="1" t="s">
        <v>994</v>
      </c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25">
      <c r="A1943" s="7" t="s">
        <v>3171</v>
      </c>
      <c r="C1943" s="7" t="s">
        <v>4145</v>
      </c>
      <c r="D1943">
        <f t="shared" si="30"/>
        <v>1</v>
      </c>
      <c r="I1943" s="1" t="s">
        <v>50</v>
      </c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25">
      <c r="A1944" s="7" t="s">
        <v>3171</v>
      </c>
      <c r="C1944" s="8" t="s">
        <v>10261</v>
      </c>
      <c r="D1944">
        <f t="shared" si="30"/>
        <v>1</v>
      </c>
      <c r="I1944" s="1" t="s">
        <v>50</v>
      </c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25">
      <c r="A1945" s="7" t="s">
        <v>3171</v>
      </c>
      <c r="C1945" s="8" t="s">
        <v>10095</v>
      </c>
      <c r="D1945">
        <f t="shared" si="30"/>
        <v>1</v>
      </c>
      <c r="I1945" s="1" t="s">
        <v>25</v>
      </c>
      <c r="J1945" s="1" t="s">
        <v>923</v>
      </c>
      <c r="K1945" s="1" t="s">
        <v>920</v>
      </c>
      <c r="L1945" s="1" t="s">
        <v>933</v>
      </c>
      <c r="M1945" s="1" t="s">
        <v>954</v>
      </c>
      <c r="N1945" s="1" t="s">
        <v>974</v>
      </c>
      <c r="O1945" s="1" t="s">
        <v>1054</v>
      </c>
      <c r="P1945" s="1" t="s">
        <v>4887</v>
      </c>
      <c r="Q1945" s="1" t="s">
        <v>1000</v>
      </c>
      <c r="R1945" s="1"/>
      <c r="S1945" s="1"/>
      <c r="T1945" s="1"/>
      <c r="U1945" s="1"/>
      <c r="V1945" s="1"/>
      <c r="W1945" s="1"/>
      <c r="X1945" s="1"/>
      <c r="Y1945" s="1"/>
    </row>
    <row r="1946" spans="1:25" x14ac:dyDescent="0.25">
      <c r="A1946" s="8" t="s">
        <v>3171</v>
      </c>
      <c r="C1946" s="8" t="s">
        <v>10141</v>
      </c>
      <c r="D1946">
        <f t="shared" si="30"/>
        <v>1</v>
      </c>
      <c r="I1946" s="1" t="s">
        <v>2541</v>
      </c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25">
      <c r="A1947" s="7" t="s">
        <v>9187</v>
      </c>
      <c r="C1947" s="8" t="s">
        <v>8925</v>
      </c>
      <c r="D1947">
        <f t="shared" si="30"/>
        <v>1</v>
      </c>
      <c r="I1947" s="1" t="s">
        <v>918</v>
      </c>
      <c r="J1947" s="1" t="s">
        <v>927</v>
      </c>
      <c r="K1947" s="1" t="s">
        <v>919</v>
      </c>
      <c r="L1947" s="1" t="s">
        <v>936</v>
      </c>
      <c r="M1947" s="1" t="s">
        <v>1037</v>
      </c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25">
      <c r="A1948" s="8" t="s">
        <v>10427</v>
      </c>
      <c r="C1948" s="7" t="s">
        <v>8314</v>
      </c>
      <c r="D1948">
        <f t="shared" si="30"/>
        <v>1</v>
      </c>
      <c r="I1948" s="1" t="s">
        <v>948</v>
      </c>
      <c r="J1948" s="1" t="s">
        <v>1051</v>
      </c>
      <c r="K1948" s="1" t="s">
        <v>25</v>
      </c>
      <c r="L1948" s="1" t="s">
        <v>923</v>
      </c>
      <c r="M1948" s="1" t="s">
        <v>1053</v>
      </c>
      <c r="N1948" s="1" t="s">
        <v>1086</v>
      </c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25">
      <c r="A1949" s="8" t="s">
        <v>10420</v>
      </c>
      <c r="C1949" s="8" t="s">
        <v>9000</v>
      </c>
      <c r="D1949">
        <f t="shared" si="30"/>
        <v>1</v>
      </c>
      <c r="I1949" s="1" t="s">
        <v>918</v>
      </c>
      <c r="J1949" s="1" t="s">
        <v>919</v>
      </c>
      <c r="K1949" s="1" t="s">
        <v>920</v>
      </c>
      <c r="L1949" s="1" t="s">
        <v>936</v>
      </c>
      <c r="M1949" s="1" t="s">
        <v>921</v>
      </c>
      <c r="N1949" s="1" t="s">
        <v>929</v>
      </c>
      <c r="O1949" s="1" t="s">
        <v>948</v>
      </c>
      <c r="P1949" s="1" t="s">
        <v>25</v>
      </c>
      <c r="Q1949" s="1" t="s">
        <v>954</v>
      </c>
      <c r="R1949" s="1"/>
      <c r="S1949" s="1"/>
      <c r="T1949" s="1"/>
      <c r="U1949" s="1"/>
      <c r="V1949" s="1"/>
      <c r="W1949" s="1"/>
      <c r="X1949" s="1"/>
      <c r="Y1949" s="1"/>
    </row>
    <row r="1950" spans="1:25" x14ac:dyDescent="0.25">
      <c r="A1950" s="7" t="s">
        <v>5490</v>
      </c>
      <c r="C1950" s="8" t="s">
        <v>9160</v>
      </c>
      <c r="D1950">
        <f t="shared" si="30"/>
        <v>1</v>
      </c>
      <c r="I1950" s="1" t="s">
        <v>996</v>
      </c>
      <c r="J1950" s="1" t="s">
        <v>25</v>
      </c>
      <c r="K1950" s="1" t="s">
        <v>923</v>
      </c>
      <c r="L1950" s="1" t="s">
        <v>997</v>
      </c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25">
      <c r="A1951" s="8" t="s">
        <v>9611</v>
      </c>
      <c r="C1951" s="8" t="s">
        <v>10182</v>
      </c>
      <c r="D1951">
        <f t="shared" si="30"/>
        <v>1</v>
      </c>
      <c r="I1951" s="1" t="s">
        <v>25</v>
      </c>
      <c r="J1951" s="1" t="s">
        <v>1086</v>
      </c>
      <c r="K1951" s="1" t="s">
        <v>919</v>
      </c>
      <c r="L1951" s="1" t="s">
        <v>920</v>
      </c>
      <c r="M1951" s="1" t="s">
        <v>921</v>
      </c>
      <c r="N1951" s="1" t="s">
        <v>1019</v>
      </c>
      <c r="O1951" s="1" t="s">
        <v>983</v>
      </c>
      <c r="P1951" s="1" t="s">
        <v>924</v>
      </c>
      <c r="Q1951" s="1" t="s">
        <v>1020</v>
      </c>
      <c r="R1951" s="1" t="s">
        <v>984</v>
      </c>
      <c r="S1951" s="1" t="s">
        <v>1021</v>
      </c>
      <c r="T1951" s="1"/>
      <c r="U1951" s="1"/>
      <c r="V1951" s="1"/>
      <c r="W1951" s="1"/>
      <c r="X1951" s="1"/>
      <c r="Y1951" s="1"/>
    </row>
    <row r="1952" spans="1:25" x14ac:dyDescent="0.25">
      <c r="A1952" s="8" t="s">
        <v>9611</v>
      </c>
      <c r="C1952" s="8" t="s">
        <v>9631</v>
      </c>
      <c r="D1952">
        <f t="shared" si="30"/>
        <v>1</v>
      </c>
      <c r="I1952" s="1" t="s">
        <v>948</v>
      </c>
      <c r="J1952" s="1" t="s">
        <v>25</v>
      </c>
      <c r="K1952" s="1" t="s">
        <v>923</v>
      </c>
      <c r="L1952" s="1" t="s">
        <v>1053</v>
      </c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25">
      <c r="A1953" s="8" t="s">
        <v>9611</v>
      </c>
      <c r="C1953" s="7" t="s">
        <v>10487</v>
      </c>
      <c r="D1953">
        <f t="shared" si="30"/>
        <v>1</v>
      </c>
      <c r="I1953" s="1" t="s">
        <v>996</v>
      </c>
      <c r="J1953" s="1" t="s">
        <v>25</v>
      </c>
      <c r="K1953" s="1" t="s">
        <v>923</v>
      </c>
      <c r="L1953" s="1" t="s">
        <v>997</v>
      </c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25">
      <c r="A1954" s="8" t="s">
        <v>9611</v>
      </c>
      <c r="C1954" s="7" t="s">
        <v>9981</v>
      </c>
      <c r="D1954">
        <f t="shared" si="30"/>
        <v>1</v>
      </c>
      <c r="I1954" s="1" t="s">
        <v>948</v>
      </c>
      <c r="J1954" s="1" t="s">
        <v>298</v>
      </c>
      <c r="K1954" s="1" t="s">
        <v>1149</v>
      </c>
      <c r="L1954" s="1" t="s">
        <v>25</v>
      </c>
      <c r="M1954" s="1" t="s">
        <v>923</v>
      </c>
      <c r="N1954" s="1" t="s">
        <v>997</v>
      </c>
      <c r="O1954" s="1" t="s">
        <v>954</v>
      </c>
      <c r="P1954" s="1" t="s">
        <v>994</v>
      </c>
      <c r="Q1954" s="1" t="s">
        <v>1069</v>
      </c>
      <c r="R1954" s="1" t="s">
        <v>1052</v>
      </c>
      <c r="S1954" s="1" t="s">
        <v>10979</v>
      </c>
      <c r="T1954" s="1" t="s">
        <v>1150</v>
      </c>
      <c r="U1954" s="1" t="s">
        <v>10980</v>
      </c>
      <c r="V1954" s="1" t="s">
        <v>1086</v>
      </c>
      <c r="W1954" s="1"/>
      <c r="X1954" s="1"/>
      <c r="Y1954" s="1"/>
    </row>
    <row r="1955" spans="1:25" x14ac:dyDescent="0.25">
      <c r="A1955" s="7" t="s">
        <v>9400</v>
      </c>
      <c r="C1955" s="7" t="s">
        <v>10367</v>
      </c>
      <c r="D1955">
        <f t="shared" si="30"/>
        <v>1</v>
      </c>
      <c r="I1955" s="1" t="s">
        <v>1149</v>
      </c>
      <c r="J1955" s="1" t="s">
        <v>923</v>
      </c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25">
      <c r="A1956" s="7" t="s">
        <v>9171</v>
      </c>
      <c r="C1956" s="8" t="s">
        <v>9189</v>
      </c>
      <c r="D1956">
        <f t="shared" si="30"/>
        <v>1</v>
      </c>
      <c r="I1956" s="1" t="s">
        <v>948</v>
      </c>
      <c r="J1956" s="1" t="s">
        <v>1149</v>
      </c>
      <c r="K1956" s="1" t="s">
        <v>25</v>
      </c>
      <c r="L1956" s="1" t="s">
        <v>923</v>
      </c>
      <c r="M1956" s="1" t="s">
        <v>997</v>
      </c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25">
      <c r="A1957" s="7" t="s">
        <v>9171</v>
      </c>
      <c r="C1957" s="8" t="s">
        <v>10501</v>
      </c>
      <c r="D1957">
        <f t="shared" si="30"/>
        <v>1</v>
      </c>
      <c r="I1957" s="1" t="s">
        <v>1149</v>
      </c>
      <c r="J1957" s="1" t="s">
        <v>25</v>
      </c>
      <c r="K1957" s="1" t="s">
        <v>923</v>
      </c>
      <c r="L1957" s="1" t="s">
        <v>998</v>
      </c>
      <c r="M1957" s="1" t="s">
        <v>1086</v>
      </c>
      <c r="N1957" s="1" t="s">
        <v>920</v>
      </c>
      <c r="O1957" s="1" t="s">
        <v>933</v>
      </c>
      <c r="P1957" s="1" t="s">
        <v>10719</v>
      </c>
      <c r="Q1957" s="1" t="s">
        <v>948</v>
      </c>
      <c r="R1957" s="1" t="s">
        <v>298</v>
      </c>
      <c r="S1957" s="1" t="s">
        <v>997</v>
      </c>
      <c r="T1957" s="1" t="s">
        <v>1150</v>
      </c>
      <c r="U1957" s="1"/>
      <c r="V1957" s="1"/>
      <c r="W1957" s="1"/>
      <c r="X1957" s="1"/>
      <c r="Y1957" s="1"/>
    </row>
    <row r="1958" spans="1:25" x14ac:dyDescent="0.25">
      <c r="A1958" s="8" t="s">
        <v>9727</v>
      </c>
      <c r="C1958" s="8" t="s">
        <v>9860</v>
      </c>
      <c r="D1958">
        <f t="shared" si="30"/>
        <v>1</v>
      </c>
      <c r="I1958" s="1" t="s">
        <v>948</v>
      </c>
      <c r="J1958" s="1" t="s">
        <v>3439</v>
      </c>
      <c r="K1958" s="1" t="s">
        <v>25</v>
      </c>
      <c r="L1958" s="1" t="s">
        <v>923</v>
      </c>
      <c r="M1958" s="1" t="s">
        <v>1053</v>
      </c>
      <c r="N1958" s="1" t="s">
        <v>10814</v>
      </c>
      <c r="O1958" s="1" t="s">
        <v>256</v>
      </c>
      <c r="P1958" s="1" t="s">
        <v>298</v>
      </c>
      <c r="Q1958" s="1" t="s">
        <v>2927</v>
      </c>
      <c r="R1958" s="1" t="s">
        <v>1069</v>
      </c>
      <c r="S1958" s="1" t="s">
        <v>1051</v>
      </c>
      <c r="T1958" s="1"/>
      <c r="U1958" s="1"/>
      <c r="V1958" s="1"/>
      <c r="W1958" s="1"/>
      <c r="X1958" s="1"/>
      <c r="Y1958" s="1"/>
    </row>
    <row r="1959" spans="1:25" x14ac:dyDescent="0.25">
      <c r="A1959" s="8" t="s">
        <v>10289</v>
      </c>
      <c r="C1959" s="8" t="s">
        <v>9483</v>
      </c>
      <c r="D1959">
        <f t="shared" si="30"/>
        <v>1</v>
      </c>
      <c r="I1959" s="1" t="s">
        <v>948</v>
      </c>
      <c r="J1959" s="1" t="s">
        <v>10788</v>
      </c>
      <c r="K1959" s="1" t="s">
        <v>1149</v>
      </c>
      <c r="L1959" s="1" t="s">
        <v>25</v>
      </c>
      <c r="M1959" s="1" t="s">
        <v>923</v>
      </c>
      <c r="N1959" s="1" t="s">
        <v>997</v>
      </c>
      <c r="O1959" s="1" t="s">
        <v>931</v>
      </c>
      <c r="P1959" s="1" t="s">
        <v>1150</v>
      </c>
      <c r="Q1959" s="1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25">
      <c r="A1960" s="7" t="s">
        <v>8974</v>
      </c>
      <c r="C1960" s="8" t="s">
        <v>8863</v>
      </c>
      <c r="D1960">
        <f t="shared" si="30"/>
        <v>1</v>
      </c>
      <c r="I1960" s="1" t="s">
        <v>948</v>
      </c>
      <c r="J1960" s="1" t="s">
        <v>298</v>
      </c>
      <c r="K1960" s="1" t="s">
        <v>1149</v>
      </c>
      <c r="L1960" s="1" t="s">
        <v>25</v>
      </c>
      <c r="M1960" s="1" t="s">
        <v>923</v>
      </c>
      <c r="N1960" s="1" t="s">
        <v>997</v>
      </c>
      <c r="O1960" s="1" t="s">
        <v>954</v>
      </c>
      <c r="P1960" s="1" t="s">
        <v>994</v>
      </c>
      <c r="Q1960" s="1" t="s">
        <v>937</v>
      </c>
      <c r="R1960" s="1" t="s">
        <v>1013</v>
      </c>
      <c r="S1960" s="1" t="s">
        <v>1057</v>
      </c>
      <c r="T1960" s="1" t="s">
        <v>927</v>
      </c>
      <c r="U1960" s="1" t="s">
        <v>928</v>
      </c>
      <c r="V1960" s="1" t="s">
        <v>1059</v>
      </c>
      <c r="W1960" s="1" t="s">
        <v>922</v>
      </c>
      <c r="X1960" s="1"/>
      <c r="Y1960" s="1"/>
    </row>
    <row r="1961" spans="1:25" x14ac:dyDescent="0.25">
      <c r="A1961" s="7" t="s">
        <v>8974</v>
      </c>
      <c r="C1961" s="7" t="s">
        <v>10469</v>
      </c>
      <c r="D1961">
        <f t="shared" si="30"/>
        <v>1</v>
      </c>
      <c r="I1961" s="1" t="s">
        <v>948</v>
      </c>
      <c r="J1961" s="1" t="s">
        <v>298</v>
      </c>
      <c r="K1961" s="1" t="s">
        <v>1149</v>
      </c>
      <c r="L1961" s="1" t="s">
        <v>25</v>
      </c>
      <c r="M1961" s="1" t="s">
        <v>923</v>
      </c>
      <c r="N1961" s="1" t="s">
        <v>997</v>
      </c>
      <c r="O1961" s="1" t="s">
        <v>954</v>
      </c>
      <c r="P1961" s="1" t="s">
        <v>994</v>
      </c>
      <c r="Q1961" s="1" t="s">
        <v>1166</v>
      </c>
      <c r="R1961" s="1" t="s">
        <v>1150</v>
      </c>
      <c r="S1961" s="1" t="s">
        <v>1053</v>
      </c>
      <c r="T1961" s="1" t="s">
        <v>1086</v>
      </c>
      <c r="U1961" s="1" t="s">
        <v>1001</v>
      </c>
      <c r="V1961" s="1" t="s">
        <v>937</v>
      </c>
      <c r="W1961" s="1"/>
      <c r="X1961" s="1"/>
      <c r="Y1961" s="1"/>
    </row>
    <row r="1962" spans="1:25" x14ac:dyDescent="0.25">
      <c r="A1962" s="8" t="s">
        <v>9598</v>
      </c>
      <c r="C1962" s="7" t="s">
        <v>4552</v>
      </c>
      <c r="D1962">
        <f t="shared" si="30"/>
        <v>1</v>
      </c>
      <c r="I1962" s="1" t="s">
        <v>964</v>
      </c>
      <c r="J1962" s="1" t="s">
        <v>948</v>
      </c>
      <c r="K1962" s="1" t="s">
        <v>1069</v>
      </c>
      <c r="L1962" s="1" t="s">
        <v>25</v>
      </c>
      <c r="M1962" s="1" t="s">
        <v>923</v>
      </c>
      <c r="N1962" s="1" t="s">
        <v>1078</v>
      </c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25">
      <c r="A1963" s="8" t="s">
        <v>9598</v>
      </c>
      <c r="C1963" s="7" t="s">
        <v>5018</v>
      </c>
      <c r="D1963">
        <f t="shared" si="30"/>
        <v>1</v>
      </c>
      <c r="I1963" s="1" t="s">
        <v>964</v>
      </c>
      <c r="J1963" s="1" t="s">
        <v>948</v>
      </c>
      <c r="K1963" s="1" t="s">
        <v>1069</v>
      </c>
      <c r="L1963" s="1" t="s">
        <v>25</v>
      </c>
      <c r="M1963" s="1" t="s">
        <v>923</v>
      </c>
      <c r="N1963" s="1" t="s">
        <v>1078</v>
      </c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25">
      <c r="A1964" s="7" t="s">
        <v>5316</v>
      </c>
      <c r="C1964" s="7" t="s">
        <v>4685</v>
      </c>
      <c r="D1964">
        <f t="shared" si="30"/>
        <v>1</v>
      </c>
      <c r="I1964" s="1" t="s">
        <v>964</v>
      </c>
      <c r="J1964" s="1" t="s">
        <v>948</v>
      </c>
      <c r="K1964" s="1" t="s">
        <v>1069</v>
      </c>
      <c r="L1964" s="1" t="s">
        <v>25</v>
      </c>
      <c r="M1964" s="1" t="s">
        <v>923</v>
      </c>
      <c r="N1964" s="1" t="s">
        <v>1078</v>
      </c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25">
      <c r="A1965" s="7" t="s">
        <v>2062</v>
      </c>
      <c r="C1965" s="8" t="s">
        <v>9165</v>
      </c>
      <c r="D1965">
        <f t="shared" si="30"/>
        <v>1</v>
      </c>
      <c r="I1965" s="1" t="s">
        <v>948</v>
      </c>
      <c r="J1965" s="1" t="s">
        <v>918</v>
      </c>
      <c r="K1965" s="1" t="s">
        <v>25</v>
      </c>
      <c r="L1965" s="1" t="s">
        <v>923</v>
      </c>
      <c r="M1965" s="1" t="s">
        <v>997</v>
      </c>
      <c r="N1965" s="1" t="s">
        <v>927</v>
      </c>
      <c r="O1965" s="1" t="s">
        <v>916</v>
      </c>
      <c r="P1965" s="1" t="s">
        <v>1078</v>
      </c>
      <c r="Q1965" s="1" t="s">
        <v>919</v>
      </c>
      <c r="R1965" s="1" t="s">
        <v>920</v>
      </c>
      <c r="S1965" s="1" t="s">
        <v>328</v>
      </c>
      <c r="T1965" s="1" t="s">
        <v>921</v>
      </c>
      <c r="U1965" s="1"/>
      <c r="V1965" s="1"/>
      <c r="W1965" s="1"/>
      <c r="X1965" s="1"/>
      <c r="Y1965" s="1"/>
    </row>
    <row r="1966" spans="1:25" x14ac:dyDescent="0.25">
      <c r="A1966" s="7" t="s">
        <v>2062</v>
      </c>
      <c r="C1966" s="7" t="s">
        <v>5199</v>
      </c>
      <c r="D1966">
        <f t="shared" si="30"/>
        <v>1</v>
      </c>
      <c r="I1966" s="1" t="s">
        <v>948</v>
      </c>
      <c r="J1966" s="1" t="s">
        <v>918</v>
      </c>
      <c r="K1966" s="1" t="s">
        <v>25</v>
      </c>
      <c r="L1966" s="1" t="s">
        <v>923</v>
      </c>
      <c r="M1966" s="1" t="s">
        <v>997</v>
      </c>
      <c r="N1966" s="1" t="s">
        <v>927</v>
      </c>
      <c r="O1966" s="1" t="s">
        <v>916</v>
      </c>
      <c r="P1966" s="1" t="s">
        <v>1078</v>
      </c>
      <c r="Q1966" s="1" t="s">
        <v>919</v>
      </c>
      <c r="R1966" s="1" t="s">
        <v>920</v>
      </c>
      <c r="S1966" s="1" t="s">
        <v>328</v>
      </c>
      <c r="T1966" s="1" t="s">
        <v>921</v>
      </c>
      <c r="U1966" s="1" t="s">
        <v>924</v>
      </c>
      <c r="V1966" s="1"/>
      <c r="W1966" s="1"/>
      <c r="X1966" s="1"/>
      <c r="Y1966" s="1"/>
    </row>
    <row r="1967" spans="1:25" x14ac:dyDescent="0.25">
      <c r="A1967" s="7" t="s">
        <v>2062</v>
      </c>
      <c r="C1967" s="7" t="s">
        <v>9720</v>
      </c>
      <c r="D1967">
        <f t="shared" si="30"/>
        <v>1</v>
      </c>
      <c r="I1967" s="1" t="s">
        <v>948</v>
      </c>
      <c r="J1967" s="1" t="s">
        <v>1069</v>
      </c>
      <c r="K1967" s="1" t="s">
        <v>25</v>
      </c>
      <c r="L1967" s="1" t="s">
        <v>1070</v>
      </c>
      <c r="M1967" s="1" t="s">
        <v>1114</v>
      </c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25">
      <c r="A1968" s="7" t="s">
        <v>2062</v>
      </c>
      <c r="C1968" s="8" t="s">
        <v>9406</v>
      </c>
      <c r="D1968">
        <f t="shared" si="30"/>
        <v>1</v>
      </c>
      <c r="I1968" s="1" t="s">
        <v>964</v>
      </c>
      <c r="J1968" s="1" t="s">
        <v>10751</v>
      </c>
      <c r="K1968" s="1" t="s">
        <v>10755</v>
      </c>
      <c r="L1968" s="1" t="s">
        <v>10724</v>
      </c>
      <c r="M1968" s="1" t="s">
        <v>25</v>
      </c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25">
      <c r="A1969" s="7" t="s">
        <v>2062</v>
      </c>
      <c r="C1969" s="7" t="s">
        <v>10088</v>
      </c>
      <c r="D1969">
        <f t="shared" si="30"/>
        <v>1</v>
      </c>
      <c r="I1969" s="1" t="s">
        <v>964</v>
      </c>
      <c r="J1969" s="1" t="s">
        <v>10751</v>
      </c>
      <c r="K1969" s="1" t="s">
        <v>10755</v>
      </c>
      <c r="L1969" s="1" t="s">
        <v>10724</v>
      </c>
      <c r="M1969" s="1" t="s">
        <v>25</v>
      </c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25">
      <c r="A1970" s="7" t="s">
        <v>2062</v>
      </c>
      <c r="C1970" s="8" t="s">
        <v>9323</v>
      </c>
      <c r="D1970">
        <f t="shared" si="30"/>
        <v>1</v>
      </c>
      <c r="I1970" s="1" t="s">
        <v>25</v>
      </c>
      <c r="J1970" s="1" t="s">
        <v>923</v>
      </c>
      <c r="K1970" s="1" t="s">
        <v>920</v>
      </c>
      <c r="L1970" s="1" t="s">
        <v>948</v>
      </c>
      <c r="M1970" s="1" t="s">
        <v>1069</v>
      </c>
      <c r="N1970" s="1" t="s">
        <v>1070</v>
      </c>
      <c r="O1970" s="1" t="s">
        <v>916</v>
      </c>
      <c r="P1970" s="1" t="s">
        <v>1078</v>
      </c>
      <c r="Q1970" s="1" t="s">
        <v>980</v>
      </c>
      <c r="R1970" s="1" t="s">
        <v>919</v>
      </c>
      <c r="S1970" s="1" t="s">
        <v>921</v>
      </c>
      <c r="T1970" s="1"/>
      <c r="U1970" s="1"/>
      <c r="V1970" s="1"/>
      <c r="W1970" s="1"/>
      <c r="X1970" s="1"/>
      <c r="Y1970" s="1"/>
    </row>
    <row r="1971" spans="1:25" x14ac:dyDescent="0.25">
      <c r="A1971" s="7" t="s">
        <v>2062</v>
      </c>
      <c r="C1971" s="7" t="s">
        <v>6556</v>
      </c>
      <c r="D1971">
        <f t="shared" si="30"/>
        <v>1</v>
      </c>
      <c r="I1971" s="1" t="s">
        <v>948</v>
      </c>
      <c r="J1971" s="1" t="s">
        <v>1069</v>
      </c>
      <c r="K1971" s="1" t="s">
        <v>25</v>
      </c>
      <c r="L1971" s="1" t="s">
        <v>1070</v>
      </c>
      <c r="M1971" s="1" t="s">
        <v>10739</v>
      </c>
      <c r="N1971" s="1" t="s">
        <v>955</v>
      </c>
      <c r="O1971" s="1" t="s">
        <v>1014</v>
      </c>
      <c r="P1971" s="1" t="s">
        <v>10740</v>
      </c>
      <c r="Q1971" s="1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25">
      <c r="A1972" s="7" t="s">
        <v>2062</v>
      </c>
      <c r="C1972" s="8" t="s">
        <v>9703</v>
      </c>
      <c r="D1972">
        <f t="shared" si="30"/>
        <v>1</v>
      </c>
      <c r="I1972" s="1" t="s">
        <v>10739</v>
      </c>
      <c r="J1972" s="1" t="s">
        <v>955</v>
      </c>
      <c r="K1972" s="1" t="s">
        <v>1014</v>
      </c>
      <c r="L1972" s="1" t="s">
        <v>10740</v>
      </c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25">
      <c r="A1973" s="7" t="s">
        <v>2062</v>
      </c>
      <c r="C1973" s="8" t="s">
        <v>10586</v>
      </c>
      <c r="D1973">
        <f t="shared" si="30"/>
        <v>1</v>
      </c>
      <c r="I1973" s="1" t="s">
        <v>918</v>
      </c>
      <c r="J1973" s="1" t="s">
        <v>25</v>
      </c>
      <c r="K1973" s="1" t="s">
        <v>919</v>
      </c>
      <c r="L1973" s="1" t="s">
        <v>920</v>
      </c>
      <c r="M1973" s="1" t="s">
        <v>921</v>
      </c>
      <c r="N1973" s="1" t="s">
        <v>3842</v>
      </c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25">
      <c r="A1974" s="7" t="s">
        <v>2062</v>
      </c>
      <c r="C1974" s="8" t="s">
        <v>9916</v>
      </c>
      <c r="D1974">
        <f t="shared" si="30"/>
        <v>1</v>
      </c>
      <c r="I1974" s="1" t="s">
        <v>918</v>
      </c>
      <c r="J1974" s="1" t="s">
        <v>25</v>
      </c>
      <c r="K1974" s="1" t="s">
        <v>919</v>
      </c>
      <c r="L1974" s="1" t="s">
        <v>920</v>
      </c>
      <c r="M1974" s="1" t="s">
        <v>921</v>
      </c>
      <c r="N1974" s="1" t="s">
        <v>1001</v>
      </c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25">
      <c r="A1975" s="7" t="s">
        <v>2062</v>
      </c>
      <c r="C1975" s="8" t="s">
        <v>9805</v>
      </c>
      <c r="D1975">
        <f t="shared" si="30"/>
        <v>1</v>
      </c>
      <c r="I1975" s="1" t="s">
        <v>918</v>
      </c>
      <c r="J1975" s="1" t="s">
        <v>25</v>
      </c>
      <c r="K1975" s="1" t="s">
        <v>919</v>
      </c>
      <c r="L1975" s="1" t="s">
        <v>920</v>
      </c>
      <c r="M1975" s="1" t="s">
        <v>921</v>
      </c>
      <c r="N1975" s="1" t="s">
        <v>1000</v>
      </c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25">
      <c r="A1976" s="7" t="s">
        <v>2062</v>
      </c>
      <c r="C1976" s="7" t="s">
        <v>3751</v>
      </c>
      <c r="D1976">
        <f t="shared" si="30"/>
        <v>1</v>
      </c>
      <c r="I1976" s="1" t="s">
        <v>918</v>
      </c>
      <c r="J1976" s="1" t="s">
        <v>25</v>
      </c>
      <c r="K1976" s="1" t="s">
        <v>919</v>
      </c>
      <c r="L1976" s="1" t="s">
        <v>920</v>
      </c>
      <c r="M1976" s="1" t="s">
        <v>921</v>
      </c>
      <c r="N1976" s="1" t="s">
        <v>1149</v>
      </c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25">
      <c r="A1977" s="7" t="s">
        <v>2062</v>
      </c>
      <c r="C1977" s="7" t="s">
        <v>2509</v>
      </c>
      <c r="D1977">
        <f t="shared" si="30"/>
        <v>1</v>
      </c>
      <c r="I1977" s="1" t="s">
        <v>918</v>
      </c>
      <c r="J1977" s="1" t="s">
        <v>25</v>
      </c>
      <c r="K1977" s="1" t="s">
        <v>919</v>
      </c>
      <c r="L1977" s="1" t="s">
        <v>920</v>
      </c>
      <c r="M1977" s="1" t="s">
        <v>921</v>
      </c>
      <c r="N1977" s="1" t="s">
        <v>10805</v>
      </c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25">
      <c r="A1978" s="8" t="s">
        <v>2062</v>
      </c>
      <c r="C1978" s="8" t="s">
        <v>10686</v>
      </c>
      <c r="D1978">
        <f t="shared" si="30"/>
        <v>1</v>
      </c>
      <c r="I1978" s="1" t="s">
        <v>25</v>
      </c>
      <c r="J1978" s="1" t="s">
        <v>919</v>
      </c>
      <c r="K1978" s="1" t="s">
        <v>920</v>
      </c>
      <c r="L1978" s="1" t="s">
        <v>921</v>
      </c>
      <c r="M1978" s="1" t="s">
        <v>918</v>
      </c>
      <c r="N1978" s="1" t="s">
        <v>927</v>
      </c>
      <c r="O1978" s="1" t="s">
        <v>936</v>
      </c>
      <c r="P1978" s="1" t="s">
        <v>1108</v>
      </c>
      <c r="Q1978" s="1" t="s">
        <v>960</v>
      </c>
      <c r="R1978" s="1" t="s">
        <v>961</v>
      </c>
      <c r="S1978" s="1" t="s">
        <v>955</v>
      </c>
      <c r="T1978" s="1" t="s">
        <v>924</v>
      </c>
      <c r="U1978" s="1" t="s">
        <v>1014</v>
      </c>
      <c r="V1978" s="1" t="s">
        <v>944</v>
      </c>
      <c r="W1978" s="1" t="s">
        <v>956</v>
      </c>
      <c r="X1978" s="1"/>
      <c r="Y1978" s="1"/>
    </row>
    <row r="1979" spans="1:25" x14ac:dyDescent="0.25">
      <c r="A1979" s="8" t="s">
        <v>2062</v>
      </c>
      <c r="C1979" s="8" t="s">
        <v>9951</v>
      </c>
      <c r="D1979">
        <f t="shared" si="30"/>
        <v>1</v>
      </c>
      <c r="I1979" s="1" t="s">
        <v>918</v>
      </c>
      <c r="J1979" s="1" t="s">
        <v>919</v>
      </c>
      <c r="K1979" s="1" t="s">
        <v>936</v>
      </c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25">
      <c r="A1980" s="8" t="s">
        <v>2062</v>
      </c>
      <c r="C1980" s="8" t="s">
        <v>10526</v>
      </c>
      <c r="D1980">
        <f t="shared" si="30"/>
        <v>1</v>
      </c>
      <c r="I1980" s="1" t="s">
        <v>927</v>
      </c>
      <c r="J1980" s="1" t="s">
        <v>981</v>
      </c>
      <c r="K1980" s="1" t="s">
        <v>1066</v>
      </c>
      <c r="L1980" s="1" t="s">
        <v>920</v>
      </c>
      <c r="M1980" s="1" t="s">
        <v>1020</v>
      </c>
      <c r="N1980" s="1" t="s">
        <v>921</v>
      </c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25">
      <c r="A1981" s="8" t="s">
        <v>2062</v>
      </c>
      <c r="C1981" s="8" t="s">
        <v>9388</v>
      </c>
      <c r="D1981">
        <f t="shared" si="30"/>
        <v>1</v>
      </c>
      <c r="I1981" s="1" t="s">
        <v>25</v>
      </c>
      <c r="J1981" s="1" t="s">
        <v>1086</v>
      </c>
      <c r="K1981" s="1" t="s">
        <v>920</v>
      </c>
      <c r="L1981" s="1" t="s">
        <v>933</v>
      </c>
      <c r="M1981" s="1" t="s">
        <v>978</v>
      </c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25">
      <c r="A1982" s="8" t="s">
        <v>2062</v>
      </c>
      <c r="C1982" s="8" t="s">
        <v>9565</v>
      </c>
      <c r="D1982">
        <f t="shared" si="30"/>
        <v>1</v>
      </c>
      <c r="I1982" s="1" t="s">
        <v>25</v>
      </c>
      <c r="J1982" s="1" t="s">
        <v>1086</v>
      </c>
      <c r="K1982" s="1" t="s">
        <v>920</v>
      </c>
      <c r="L1982" s="1" t="s">
        <v>933</v>
      </c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25">
      <c r="A1983" s="8" t="s">
        <v>2062</v>
      </c>
      <c r="C1983" s="8" t="s">
        <v>9049</v>
      </c>
      <c r="D1983">
        <f t="shared" si="30"/>
        <v>1</v>
      </c>
      <c r="I1983" s="1" t="s">
        <v>25</v>
      </c>
      <c r="J1983" s="1" t="s">
        <v>1086</v>
      </c>
      <c r="K1983" s="1" t="s">
        <v>920</v>
      </c>
      <c r="L1983" s="1" t="s">
        <v>933</v>
      </c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25">
      <c r="A1984" s="7" t="s">
        <v>6009</v>
      </c>
      <c r="C1984" s="8" t="s">
        <v>9781</v>
      </c>
      <c r="D1984">
        <f t="shared" si="30"/>
        <v>1</v>
      </c>
      <c r="I1984" s="1" t="s">
        <v>25</v>
      </c>
      <c r="J1984" s="1" t="s">
        <v>1086</v>
      </c>
      <c r="K1984" s="1" t="s">
        <v>920</v>
      </c>
      <c r="L1984" s="1" t="s">
        <v>933</v>
      </c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25">
      <c r="A1985" s="7" t="s">
        <v>10065</v>
      </c>
      <c r="C1985" s="7" t="s">
        <v>8841</v>
      </c>
      <c r="D1985">
        <f t="shared" si="30"/>
        <v>1</v>
      </c>
      <c r="I1985" s="1" t="s">
        <v>25</v>
      </c>
      <c r="J1985" s="1" t="s">
        <v>923</v>
      </c>
      <c r="K1985" s="1" t="s">
        <v>998</v>
      </c>
      <c r="L1985" s="1" t="s">
        <v>1053</v>
      </c>
      <c r="M1985" s="1" t="s">
        <v>933</v>
      </c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25">
      <c r="A1986" s="7" t="s">
        <v>10324</v>
      </c>
      <c r="C1986" s="7" t="s">
        <v>10123</v>
      </c>
      <c r="D1986">
        <f t="shared" ref="D1986:D2049" si="31">COUNTIF(A:A,C1986)</f>
        <v>1</v>
      </c>
      <c r="I1986" s="1" t="s">
        <v>948</v>
      </c>
      <c r="J1986" s="1" t="s">
        <v>1149</v>
      </c>
      <c r="K1986" s="1" t="s">
        <v>25</v>
      </c>
      <c r="L1986" s="1" t="s">
        <v>923</v>
      </c>
      <c r="M1986" s="1" t="s">
        <v>997</v>
      </c>
      <c r="N1986" s="1" t="s">
        <v>1150</v>
      </c>
      <c r="O1986" s="1" t="s">
        <v>1086</v>
      </c>
      <c r="P1986" s="1"/>
      <c r="Q1986" s="1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25">
      <c r="A1987" s="7" t="s">
        <v>10324</v>
      </c>
      <c r="C1987" s="7" t="s">
        <v>9030</v>
      </c>
      <c r="D1987">
        <f t="shared" si="31"/>
        <v>1</v>
      </c>
      <c r="I1987" s="1" t="s">
        <v>2927</v>
      </c>
      <c r="J1987" s="1" t="s">
        <v>1149</v>
      </c>
      <c r="K1987" s="1" t="s">
        <v>25</v>
      </c>
      <c r="L1987" s="1" t="s">
        <v>923</v>
      </c>
      <c r="M1987" s="1" t="s">
        <v>998</v>
      </c>
      <c r="N1987" s="1" t="s">
        <v>1053</v>
      </c>
      <c r="O1987" s="1" t="s">
        <v>1086</v>
      </c>
      <c r="P1987" s="1" t="s">
        <v>920</v>
      </c>
      <c r="Q1987" s="1" t="s">
        <v>933</v>
      </c>
      <c r="R1987" s="1"/>
      <c r="S1987" s="1"/>
      <c r="T1987" s="1"/>
      <c r="U1987" s="1"/>
      <c r="V1987" s="1"/>
      <c r="W1987" s="1"/>
      <c r="X1987" s="1"/>
      <c r="Y1987" s="1"/>
    </row>
    <row r="1988" spans="1:25" x14ac:dyDescent="0.25">
      <c r="A1988" s="7" t="s">
        <v>8900</v>
      </c>
      <c r="C1988" s="8" t="s">
        <v>10547</v>
      </c>
      <c r="D1988">
        <f t="shared" si="31"/>
        <v>1</v>
      </c>
      <c r="I1988" s="1" t="s">
        <v>918</v>
      </c>
      <c r="J1988" s="1" t="s">
        <v>919</v>
      </c>
      <c r="K1988" s="1" t="s">
        <v>936</v>
      </c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25">
      <c r="A1989" s="8" t="s">
        <v>8900</v>
      </c>
      <c r="C1989" s="7" t="s">
        <v>2689</v>
      </c>
      <c r="D1989">
        <f t="shared" si="31"/>
        <v>1</v>
      </c>
      <c r="I1989" s="1" t="s">
        <v>996</v>
      </c>
      <c r="J1989" s="1" t="s">
        <v>1149</v>
      </c>
      <c r="K1989" s="1" t="s">
        <v>923</v>
      </c>
      <c r="L1989" s="1" t="s">
        <v>997</v>
      </c>
      <c r="M1989" s="1" t="s">
        <v>994</v>
      </c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25">
      <c r="A1990" s="8" t="s">
        <v>8900</v>
      </c>
      <c r="C1990" s="8" t="s">
        <v>10039</v>
      </c>
      <c r="D1990">
        <f t="shared" si="31"/>
        <v>1</v>
      </c>
      <c r="I1990" s="1" t="s">
        <v>90</v>
      </c>
      <c r="J1990" s="1" t="s">
        <v>996</v>
      </c>
      <c r="K1990" s="1" t="s">
        <v>25</v>
      </c>
      <c r="L1990" s="1" t="s">
        <v>923</v>
      </c>
      <c r="M1990" s="1" t="s">
        <v>997</v>
      </c>
      <c r="N1990" s="1" t="s">
        <v>927</v>
      </c>
      <c r="O1990" s="1" t="s">
        <v>998</v>
      </c>
      <c r="P1990" s="1" t="s">
        <v>1086</v>
      </c>
      <c r="Q1990" s="1" t="s">
        <v>994</v>
      </c>
      <c r="R1990" s="1"/>
      <c r="S1990" s="1"/>
      <c r="T1990" s="1"/>
      <c r="U1990" s="1"/>
      <c r="V1990" s="1"/>
      <c r="W1990" s="1"/>
      <c r="X1990" s="1"/>
      <c r="Y1990" s="1"/>
    </row>
    <row r="1991" spans="1:25" x14ac:dyDescent="0.25">
      <c r="A1991" s="8" t="s">
        <v>10354</v>
      </c>
      <c r="C1991" s="7" t="s">
        <v>274</v>
      </c>
      <c r="D1991">
        <f t="shared" si="31"/>
        <v>1</v>
      </c>
      <c r="I1991" s="1" t="s">
        <v>1001</v>
      </c>
      <c r="J1991" s="1" t="s">
        <v>996</v>
      </c>
      <c r="K1991" s="1" t="s">
        <v>933</v>
      </c>
      <c r="L1991" s="1" t="s">
        <v>2541</v>
      </c>
      <c r="M1991" s="1" t="s">
        <v>999</v>
      </c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25">
      <c r="A1992" s="8" t="s">
        <v>9246</v>
      </c>
      <c r="C1992" s="8" t="s">
        <v>10249</v>
      </c>
      <c r="D1992">
        <f t="shared" si="31"/>
        <v>1</v>
      </c>
      <c r="I1992" s="1" t="s">
        <v>996</v>
      </c>
      <c r="J1992" s="1" t="s">
        <v>25</v>
      </c>
      <c r="K1992" s="1" t="s">
        <v>997</v>
      </c>
      <c r="L1992" s="1" t="s">
        <v>927</v>
      </c>
      <c r="M1992" s="1" t="s">
        <v>998</v>
      </c>
      <c r="N1992" s="1" t="s">
        <v>933</v>
      </c>
      <c r="O1992" s="1" t="s">
        <v>993</v>
      </c>
      <c r="P1992" s="1" t="s">
        <v>994</v>
      </c>
      <c r="Q1992" s="1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25">
      <c r="A1993" s="7" t="s">
        <v>9327</v>
      </c>
      <c r="C1993" s="7" t="s">
        <v>9489</v>
      </c>
      <c r="D1993">
        <f t="shared" si="31"/>
        <v>1</v>
      </c>
      <c r="I1993" s="1" t="s">
        <v>923</v>
      </c>
      <c r="J1993" s="1" t="s">
        <v>1000</v>
      </c>
      <c r="K1993" s="1" t="s">
        <v>921</v>
      </c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25">
      <c r="A1994" s="7" t="s">
        <v>5341</v>
      </c>
      <c r="C1994" s="7" t="s">
        <v>9686</v>
      </c>
      <c r="D1994">
        <f t="shared" si="31"/>
        <v>1</v>
      </c>
      <c r="I1994" s="1" t="s">
        <v>2927</v>
      </c>
      <c r="J1994" s="1" t="s">
        <v>1149</v>
      </c>
      <c r="K1994" s="1" t="s">
        <v>25</v>
      </c>
      <c r="L1994" s="1" t="s">
        <v>923</v>
      </c>
      <c r="M1994" s="1" t="s">
        <v>998</v>
      </c>
      <c r="N1994" s="1" t="s">
        <v>1053</v>
      </c>
      <c r="O1994" s="1" t="s">
        <v>1086</v>
      </c>
      <c r="P1994" s="1" t="s">
        <v>920</v>
      </c>
      <c r="Q1994" s="1" t="s">
        <v>933</v>
      </c>
      <c r="R1994" s="1"/>
      <c r="S1994" s="1"/>
      <c r="T1994" s="1"/>
      <c r="U1994" s="1"/>
      <c r="V1994" s="1"/>
      <c r="W1994" s="1"/>
      <c r="X1994" s="1"/>
      <c r="Y1994" s="1"/>
    </row>
    <row r="1995" spans="1:25" x14ac:dyDescent="0.25">
      <c r="A1995" s="7" t="s">
        <v>10126</v>
      </c>
      <c r="C1995" s="8" t="s">
        <v>9559</v>
      </c>
      <c r="D1995">
        <f t="shared" si="31"/>
        <v>1</v>
      </c>
      <c r="I1995" s="1" t="s">
        <v>931</v>
      </c>
      <c r="J1995" s="1" t="s">
        <v>932</v>
      </c>
      <c r="K1995" s="1" t="s">
        <v>25</v>
      </c>
      <c r="L1995" s="1" t="s">
        <v>923</v>
      </c>
      <c r="M1995" s="1" t="s">
        <v>916</v>
      </c>
      <c r="N1995" s="1" t="s">
        <v>920</v>
      </c>
      <c r="O1995" s="1" t="s">
        <v>974</v>
      </c>
      <c r="P1995" s="1" t="s">
        <v>921</v>
      </c>
      <c r="Q1995" s="1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25">
      <c r="A1996" s="8" t="s">
        <v>10126</v>
      </c>
      <c r="C1996" s="7" t="s">
        <v>9502</v>
      </c>
      <c r="D1996">
        <f t="shared" si="31"/>
        <v>1</v>
      </c>
      <c r="I1996" s="1" t="s">
        <v>1149</v>
      </c>
      <c r="J1996" s="1" t="s">
        <v>25</v>
      </c>
      <c r="K1996" s="1" t="s">
        <v>920</v>
      </c>
      <c r="L1996" s="1" t="s">
        <v>927</v>
      </c>
      <c r="M1996" s="1" t="s">
        <v>998</v>
      </c>
      <c r="N1996" s="1" t="s">
        <v>1086</v>
      </c>
      <c r="O1996" s="1" t="s">
        <v>933</v>
      </c>
      <c r="P1996" s="1" t="s">
        <v>921</v>
      </c>
      <c r="Q1996" s="1" t="s">
        <v>948</v>
      </c>
      <c r="R1996" s="1" t="s">
        <v>923</v>
      </c>
      <c r="S1996" s="1" t="s">
        <v>997</v>
      </c>
      <c r="T1996" s="1" t="s">
        <v>1150</v>
      </c>
      <c r="U1996" s="1"/>
      <c r="V1996" s="1"/>
      <c r="W1996" s="1"/>
      <c r="X1996" s="1"/>
      <c r="Y1996" s="1"/>
    </row>
    <row r="1997" spans="1:25" x14ac:dyDescent="0.25">
      <c r="A1997" s="8" t="s">
        <v>9648</v>
      </c>
      <c r="C1997" s="7" t="s">
        <v>9337</v>
      </c>
      <c r="D1997">
        <f t="shared" si="31"/>
        <v>1</v>
      </c>
      <c r="I1997" s="1" t="s">
        <v>981</v>
      </c>
      <c r="J1997" s="1" t="s">
        <v>1019</v>
      </c>
      <c r="K1997" s="1" t="s">
        <v>983</v>
      </c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25">
      <c r="A1998" s="7" t="s">
        <v>151</v>
      </c>
      <c r="C1998" s="8" t="s">
        <v>9281</v>
      </c>
      <c r="D1998">
        <f t="shared" si="31"/>
        <v>1</v>
      </c>
      <c r="I1998" s="1" t="s">
        <v>25</v>
      </c>
      <c r="J1998" s="1" t="s">
        <v>919</v>
      </c>
      <c r="K1998" s="1" t="s">
        <v>920</v>
      </c>
      <c r="L1998" s="1" t="s">
        <v>921</v>
      </c>
      <c r="M1998" s="1" t="s">
        <v>1001</v>
      </c>
      <c r="N1998" s="1" t="s">
        <v>927</v>
      </c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25">
      <c r="A1999" s="7" t="s">
        <v>151</v>
      </c>
      <c r="C1999" s="7" t="s">
        <v>9775</v>
      </c>
      <c r="D1999">
        <f t="shared" si="31"/>
        <v>1</v>
      </c>
      <c r="I1999" s="1" t="s">
        <v>25</v>
      </c>
      <c r="J1999" s="1" t="s">
        <v>1086</v>
      </c>
      <c r="K1999" s="1" t="s">
        <v>919</v>
      </c>
      <c r="L1999" s="1" t="s">
        <v>920</v>
      </c>
      <c r="M1999" s="1" t="s">
        <v>921</v>
      </c>
      <c r="N1999" s="1" t="s">
        <v>948</v>
      </c>
      <c r="O1999" s="1" t="s">
        <v>298</v>
      </c>
      <c r="P1999" s="1" t="s">
        <v>923</v>
      </c>
      <c r="Q1999" s="1" t="s">
        <v>10981</v>
      </c>
      <c r="R1999" s="1"/>
      <c r="S1999" s="1"/>
      <c r="T1999" s="1"/>
      <c r="U1999" s="1"/>
      <c r="V1999" s="1"/>
      <c r="W1999" s="1"/>
      <c r="X1999" s="1"/>
      <c r="Y1999" s="1"/>
    </row>
    <row r="2000" spans="1:25" x14ac:dyDescent="0.25">
      <c r="A2000" s="8" t="s">
        <v>9232</v>
      </c>
      <c r="C2000" s="7" t="s">
        <v>10152</v>
      </c>
      <c r="D2000">
        <f t="shared" si="31"/>
        <v>1</v>
      </c>
      <c r="I2000" s="1" t="s">
        <v>983</v>
      </c>
      <c r="J2000" s="1" t="s">
        <v>984</v>
      </c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25">
      <c r="A2001" s="7" t="s">
        <v>6656</v>
      </c>
      <c r="C2001" s="8" t="s">
        <v>10422</v>
      </c>
      <c r="D2001">
        <f t="shared" si="31"/>
        <v>1</v>
      </c>
      <c r="I2001" s="1" t="s">
        <v>918</v>
      </c>
      <c r="J2001" s="1" t="s">
        <v>955</v>
      </c>
      <c r="K2001" s="1" t="s">
        <v>943</v>
      </c>
      <c r="L2001" s="1" t="s">
        <v>919</v>
      </c>
      <c r="M2001" s="1" t="s">
        <v>924</v>
      </c>
      <c r="N2001" s="1" t="s">
        <v>945</v>
      </c>
      <c r="O2001" s="1" t="s">
        <v>936</v>
      </c>
      <c r="P2001" s="1" t="s">
        <v>930</v>
      </c>
      <c r="Q2001" s="1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25">
      <c r="A2002" s="7" t="s">
        <v>6656</v>
      </c>
      <c r="C2002" s="7" t="s">
        <v>10253</v>
      </c>
      <c r="D2002">
        <f t="shared" si="31"/>
        <v>1</v>
      </c>
      <c r="I2002" s="1" t="s">
        <v>10982</v>
      </c>
      <c r="J2002" s="1" t="s">
        <v>10899</v>
      </c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25">
      <c r="A2003" s="8" t="s">
        <v>6656</v>
      </c>
      <c r="C2003" s="8" t="s">
        <v>10472</v>
      </c>
      <c r="D2003">
        <f t="shared" si="31"/>
        <v>1</v>
      </c>
      <c r="I2003" s="1" t="s">
        <v>10982</v>
      </c>
      <c r="J2003" s="1" t="s">
        <v>10899</v>
      </c>
      <c r="K2003" s="1" t="s">
        <v>925</v>
      </c>
      <c r="L2003" s="1" t="s">
        <v>1000</v>
      </c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25">
      <c r="A2004" s="7" t="s">
        <v>10082</v>
      </c>
      <c r="C2004" s="7" t="s">
        <v>10053</v>
      </c>
      <c r="D2004">
        <f t="shared" si="31"/>
        <v>1</v>
      </c>
      <c r="I2004" s="1" t="s">
        <v>1053</v>
      </c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25">
      <c r="A2005" s="7" t="s">
        <v>10082</v>
      </c>
      <c r="C2005" s="8" t="s">
        <v>9312</v>
      </c>
      <c r="D2005">
        <f t="shared" si="31"/>
        <v>1</v>
      </c>
      <c r="I2005" s="1" t="s">
        <v>923</v>
      </c>
      <c r="J2005" s="1" t="s">
        <v>1000</v>
      </c>
      <c r="K2005" s="1" t="s">
        <v>921</v>
      </c>
      <c r="L2005" s="1" t="s">
        <v>935</v>
      </c>
      <c r="M2005" s="1" t="s">
        <v>920</v>
      </c>
      <c r="N2005" s="1" t="s">
        <v>10808</v>
      </c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25">
      <c r="A2006" s="7" t="s">
        <v>10082</v>
      </c>
      <c r="C2006" s="8" t="s">
        <v>9810</v>
      </c>
      <c r="D2006">
        <f t="shared" si="31"/>
        <v>1</v>
      </c>
      <c r="I2006" s="1" t="s">
        <v>5933</v>
      </c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25">
      <c r="A2007" s="7" t="s">
        <v>9822</v>
      </c>
      <c r="C2007" s="8" t="s">
        <v>10045</v>
      </c>
      <c r="D2007">
        <f t="shared" si="31"/>
        <v>1</v>
      </c>
      <c r="I2007" s="1" t="s">
        <v>5933</v>
      </c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25">
      <c r="A2008" s="7" t="s">
        <v>4364</v>
      </c>
      <c r="C2008" s="7" t="s">
        <v>9071</v>
      </c>
      <c r="D2008">
        <f t="shared" si="31"/>
        <v>1</v>
      </c>
      <c r="I2008" s="1" t="s">
        <v>935</v>
      </c>
      <c r="J2008" s="1" t="s">
        <v>920</v>
      </c>
      <c r="K2008" s="1" t="s">
        <v>923</v>
      </c>
      <c r="L2008" s="1" t="s">
        <v>1053</v>
      </c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25">
      <c r="A2009" s="7" t="s">
        <v>9592</v>
      </c>
      <c r="C2009" s="8" t="s">
        <v>10508</v>
      </c>
      <c r="D2009">
        <f t="shared" si="31"/>
        <v>1</v>
      </c>
      <c r="I2009" s="1" t="s">
        <v>1069</v>
      </c>
      <c r="J2009" s="1" t="s">
        <v>25</v>
      </c>
      <c r="K2009" s="1" t="s">
        <v>923</v>
      </c>
      <c r="L2009" s="1" t="s">
        <v>916</v>
      </c>
      <c r="M2009" s="1" t="s">
        <v>1107</v>
      </c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25">
      <c r="A2010" s="8" t="s">
        <v>10442</v>
      </c>
      <c r="C2010" s="7" t="s">
        <v>7181</v>
      </c>
      <c r="D2010">
        <f t="shared" si="31"/>
        <v>1</v>
      </c>
      <c r="I2010" s="1" t="s">
        <v>1053</v>
      </c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25">
      <c r="A2011" s="7" t="s">
        <v>205</v>
      </c>
      <c r="C2011" s="7" t="s">
        <v>6649</v>
      </c>
      <c r="D2011">
        <f t="shared" si="31"/>
        <v>1</v>
      </c>
      <c r="I2011" s="1" t="s">
        <v>1053</v>
      </c>
      <c r="J2011" s="1" t="s">
        <v>933</v>
      </c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25">
      <c r="A2012" s="7" t="s">
        <v>205</v>
      </c>
      <c r="C2012" s="8" t="s">
        <v>10543</v>
      </c>
      <c r="D2012">
        <f t="shared" si="31"/>
        <v>1</v>
      </c>
      <c r="I2012" s="1" t="s">
        <v>918</v>
      </c>
      <c r="J2012" s="1" t="s">
        <v>25</v>
      </c>
      <c r="K2012" s="1" t="s">
        <v>916</v>
      </c>
      <c r="L2012" s="1" t="s">
        <v>919</v>
      </c>
      <c r="M2012" s="1" t="s">
        <v>920</v>
      </c>
      <c r="N2012" s="1" t="s">
        <v>921</v>
      </c>
      <c r="O2012" s="1" t="s">
        <v>922</v>
      </c>
      <c r="P2012" s="1" t="s">
        <v>10964</v>
      </c>
      <c r="Q2012" s="1" t="s">
        <v>972</v>
      </c>
      <c r="R2012" s="1" t="s">
        <v>929</v>
      </c>
      <c r="S2012" s="1"/>
      <c r="T2012" s="1"/>
      <c r="U2012" s="1"/>
      <c r="V2012" s="1"/>
      <c r="W2012" s="1"/>
      <c r="X2012" s="1"/>
      <c r="Y2012" s="1"/>
    </row>
    <row r="2013" spans="1:25" x14ac:dyDescent="0.25">
      <c r="A2013" s="8" t="s">
        <v>10104</v>
      </c>
      <c r="C2013" s="7" t="s">
        <v>3399</v>
      </c>
      <c r="D2013">
        <f t="shared" si="31"/>
        <v>1</v>
      </c>
      <c r="I2013" s="1" t="s">
        <v>996</v>
      </c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25">
      <c r="A2014" s="7" t="s">
        <v>6381</v>
      </c>
      <c r="C2014" s="7" t="s">
        <v>10214</v>
      </c>
      <c r="D2014">
        <f t="shared" si="31"/>
        <v>1</v>
      </c>
      <c r="I2014" s="1" t="s">
        <v>996</v>
      </c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25">
      <c r="A2015" s="7" t="s">
        <v>6381</v>
      </c>
      <c r="C2015" s="8" t="s">
        <v>9124</v>
      </c>
      <c r="D2015">
        <f t="shared" si="31"/>
        <v>1</v>
      </c>
      <c r="I2015" s="1" t="s">
        <v>996</v>
      </c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25">
      <c r="A2016" s="7" t="s">
        <v>3441</v>
      </c>
      <c r="C2016" s="7" t="s">
        <v>2400</v>
      </c>
      <c r="D2016">
        <f t="shared" si="31"/>
        <v>1</v>
      </c>
      <c r="I2016" s="1" t="s">
        <v>996</v>
      </c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25">
      <c r="A2017" s="8" t="s">
        <v>3441</v>
      </c>
      <c r="C2017" s="8" t="s">
        <v>10494</v>
      </c>
      <c r="D2017">
        <f t="shared" si="31"/>
        <v>1</v>
      </c>
      <c r="I2017" s="1" t="s">
        <v>983</v>
      </c>
      <c r="J2017" s="1" t="s">
        <v>984</v>
      </c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25">
      <c r="A2018" s="8" t="s">
        <v>3441</v>
      </c>
      <c r="C2018" s="8" t="s">
        <v>9695</v>
      </c>
      <c r="D2018">
        <f t="shared" si="31"/>
        <v>1</v>
      </c>
      <c r="I2018" s="1" t="s">
        <v>10983</v>
      </c>
      <c r="J2018" s="1" t="s">
        <v>10984</v>
      </c>
      <c r="K2018" s="1" t="s">
        <v>10985</v>
      </c>
      <c r="L2018" s="1" t="s">
        <v>989</v>
      </c>
      <c r="M2018" s="1" t="s">
        <v>984</v>
      </c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25">
      <c r="A2019" s="8" t="s">
        <v>10103</v>
      </c>
      <c r="C2019" s="8" t="s">
        <v>10668</v>
      </c>
      <c r="D2019">
        <f t="shared" si="31"/>
        <v>1</v>
      </c>
      <c r="I2019" s="1" t="s">
        <v>1149</v>
      </c>
      <c r="J2019" s="1" t="s">
        <v>923</v>
      </c>
      <c r="K2019" s="1" t="s">
        <v>998</v>
      </c>
      <c r="L2019" s="1" t="s">
        <v>1150</v>
      </c>
      <c r="M2019" s="1" t="s">
        <v>1053</v>
      </c>
      <c r="N2019" s="1" t="s">
        <v>1086</v>
      </c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25">
      <c r="A2020" s="7" t="s">
        <v>10583</v>
      </c>
      <c r="C2020" s="7" t="s">
        <v>2531</v>
      </c>
      <c r="D2020">
        <f t="shared" si="31"/>
        <v>1</v>
      </c>
      <c r="I2020" s="1" t="s">
        <v>25</v>
      </c>
      <c r="J2020" s="1" t="s">
        <v>927</v>
      </c>
      <c r="K2020" s="1" t="s">
        <v>998</v>
      </c>
      <c r="L2020" s="1" t="s">
        <v>1086</v>
      </c>
      <c r="M2020" s="1" t="s">
        <v>920</v>
      </c>
      <c r="N2020" s="1" t="s">
        <v>933</v>
      </c>
      <c r="O2020" s="1" t="s">
        <v>921</v>
      </c>
      <c r="P2020" s="1" t="s">
        <v>992</v>
      </c>
      <c r="Q2020" s="1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25">
      <c r="A2021" s="8" t="s">
        <v>9121</v>
      </c>
      <c r="C2021" s="8" t="s">
        <v>10315</v>
      </c>
      <c r="D2021">
        <f t="shared" si="31"/>
        <v>1</v>
      </c>
      <c r="I2021" s="1" t="s">
        <v>1070</v>
      </c>
      <c r="J2021" s="1" t="s">
        <v>976</v>
      </c>
      <c r="K2021" s="1" t="s">
        <v>1029</v>
      </c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25">
      <c r="A2022" s="8" t="s">
        <v>9724</v>
      </c>
      <c r="C2022" s="7" t="s">
        <v>10256</v>
      </c>
      <c r="D2022">
        <f t="shared" si="31"/>
        <v>1</v>
      </c>
      <c r="I2022" s="1" t="s">
        <v>975</v>
      </c>
      <c r="J2022" s="1" t="s">
        <v>925</v>
      </c>
      <c r="K2022" s="1" t="s">
        <v>10731</v>
      </c>
      <c r="L2022" s="1" t="s">
        <v>1058</v>
      </c>
      <c r="M2022" s="1" t="s">
        <v>927</v>
      </c>
      <c r="N2022" s="1" t="s">
        <v>960</v>
      </c>
      <c r="O2022" s="1" t="s">
        <v>10986</v>
      </c>
      <c r="P2022" s="1" t="s">
        <v>1147</v>
      </c>
      <c r="Q2022" s="1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25">
      <c r="A2023" s="8" t="s">
        <v>9250</v>
      </c>
      <c r="C2023" s="8" t="s">
        <v>9869</v>
      </c>
      <c r="D2023">
        <f t="shared" si="31"/>
        <v>1</v>
      </c>
      <c r="I2023" s="1" t="s">
        <v>925</v>
      </c>
      <c r="J2023" s="1" t="s">
        <v>927</v>
      </c>
      <c r="K2023" s="1" t="s">
        <v>919</v>
      </c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25">
      <c r="A2024" s="8" t="s">
        <v>9617</v>
      </c>
      <c r="C2024" s="7" t="s">
        <v>9613</v>
      </c>
      <c r="D2024">
        <f t="shared" si="31"/>
        <v>1</v>
      </c>
      <c r="I2024" s="1" t="s">
        <v>50</v>
      </c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25">
      <c r="A2025" s="8" t="s">
        <v>9251</v>
      </c>
      <c r="C2025" s="7" t="s">
        <v>9529</v>
      </c>
      <c r="D2025">
        <f t="shared" si="31"/>
        <v>1</v>
      </c>
      <c r="I2025" s="1" t="s">
        <v>25</v>
      </c>
      <c r="J2025" s="1" t="s">
        <v>1053</v>
      </c>
      <c r="K2025" s="1" t="s">
        <v>256</v>
      </c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25">
      <c r="A2026" s="8" t="s">
        <v>9411</v>
      </c>
      <c r="C2026" s="8" t="s">
        <v>9776</v>
      </c>
      <c r="D2026">
        <f t="shared" si="31"/>
        <v>1</v>
      </c>
      <c r="I2026" s="1" t="s">
        <v>918</v>
      </c>
      <c r="J2026" s="1" t="s">
        <v>943</v>
      </c>
      <c r="K2026" s="1" t="s">
        <v>919</v>
      </c>
      <c r="L2026" s="1" t="s">
        <v>924</v>
      </c>
      <c r="M2026" s="1" t="s">
        <v>1079</v>
      </c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25">
      <c r="A2027" s="8" t="s">
        <v>10637</v>
      </c>
      <c r="C2027" s="8" t="s">
        <v>9721</v>
      </c>
      <c r="D2027">
        <f t="shared" si="31"/>
        <v>1</v>
      </c>
      <c r="I2027" s="1" t="s">
        <v>918</v>
      </c>
      <c r="J2027" s="1" t="s">
        <v>25</v>
      </c>
      <c r="K2027" s="1" t="s">
        <v>923</v>
      </c>
      <c r="L2027" s="1" t="s">
        <v>973</v>
      </c>
      <c r="M2027" s="1" t="s">
        <v>916</v>
      </c>
      <c r="N2027" s="1" t="s">
        <v>920</v>
      </c>
      <c r="O2027" s="1" t="s">
        <v>954</v>
      </c>
      <c r="P2027" s="1" t="s">
        <v>974</v>
      </c>
      <c r="Q2027" s="1" t="s">
        <v>921</v>
      </c>
      <c r="R2027" s="1"/>
      <c r="S2027" s="1"/>
      <c r="T2027" s="1"/>
      <c r="U2027" s="1"/>
      <c r="V2027" s="1"/>
      <c r="W2027" s="1"/>
      <c r="X2027" s="1"/>
      <c r="Y2027" s="1"/>
    </row>
    <row r="2028" spans="1:25" x14ac:dyDescent="0.25">
      <c r="A2028" s="8" t="s">
        <v>8889</v>
      </c>
      <c r="C2028" s="7" t="s">
        <v>7344</v>
      </c>
      <c r="D2028">
        <f t="shared" si="31"/>
        <v>1</v>
      </c>
      <c r="I2028" s="1" t="s">
        <v>1141</v>
      </c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25">
      <c r="A2029" s="8" t="s">
        <v>8889</v>
      </c>
      <c r="C2029" s="7" t="s">
        <v>9831</v>
      </c>
      <c r="D2029">
        <f t="shared" si="31"/>
        <v>1</v>
      </c>
      <c r="I2029" s="1" t="s">
        <v>1069</v>
      </c>
      <c r="J2029" s="1" t="s">
        <v>923</v>
      </c>
      <c r="K2029" s="1" t="s">
        <v>999</v>
      </c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25">
      <c r="A2030" s="7" t="s">
        <v>9374</v>
      </c>
      <c r="C2030" s="8" t="s">
        <v>8874</v>
      </c>
      <c r="D2030">
        <f t="shared" si="31"/>
        <v>1</v>
      </c>
      <c r="I2030" s="1" t="s">
        <v>1069</v>
      </c>
      <c r="J2030" s="1" t="s">
        <v>923</v>
      </c>
      <c r="K2030" s="1" t="s">
        <v>999</v>
      </c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25">
      <c r="A2031" s="7" t="s">
        <v>9487</v>
      </c>
      <c r="C2031" s="7" t="s">
        <v>3247</v>
      </c>
      <c r="D2031">
        <f t="shared" si="31"/>
        <v>1</v>
      </c>
      <c r="I2031" s="1" t="s">
        <v>1069</v>
      </c>
      <c r="J2031" s="1" t="s">
        <v>923</v>
      </c>
      <c r="K2031" s="1" t="s">
        <v>999</v>
      </c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25">
      <c r="A2032" s="8" t="s">
        <v>9553</v>
      </c>
      <c r="C2032" s="7" t="s">
        <v>9895</v>
      </c>
      <c r="D2032">
        <f t="shared" si="31"/>
        <v>1</v>
      </c>
      <c r="I2032" s="1" t="s">
        <v>1150</v>
      </c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25">
      <c r="A2033" s="8" t="s">
        <v>9308</v>
      </c>
      <c r="C2033" s="8" t="s">
        <v>10578</v>
      </c>
      <c r="D2033">
        <f t="shared" si="31"/>
        <v>1</v>
      </c>
      <c r="I2033" s="1" t="s">
        <v>50</v>
      </c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25">
      <c r="A2034" s="8" t="s">
        <v>9202</v>
      </c>
      <c r="C2034" s="7" t="s">
        <v>8189</v>
      </c>
      <c r="D2034">
        <f t="shared" si="31"/>
        <v>1</v>
      </c>
      <c r="I2034" s="1" t="s">
        <v>998</v>
      </c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25">
      <c r="A2035" s="8" t="s">
        <v>9202</v>
      </c>
      <c r="C2035" s="7" t="s">
        <v>3891</v>
      </c>
      <c r="D2035">
        <f t="shared" si="31"/>
        <v>1</v>
      </c>
      <c r="I2035" s="1" t="s">
        <v>934</v>
      </c>
      <c r="J2035" s="1" t="s">
        <v>25</v>
      </c>
      <c r="K2035" s="1" t="s">
        <v>923</v>
      </c>
      <c r="L2035" s="1" t="s">
        <v>920</v>
      </c>
      <c r="M2035" s="1" t="s">
        <v>933</v>
      </c>
      <c r="N2035" s="1" t="s">
        <v>954</v>
      </c>
      <c r="O2035" s="1" t="s">
        <v>974</v>
      </c>
      <c r="P2035" s="1" t="s">
        <v>1141</v>
      </c>
      <c r="Q2035" s="1" t="s">
        <v>960</v>
      </c>
      <c r="R2035" s="1"/>
      <c r="S2035" s="1"/>
      <c r="T2035" s="1"/>
      <c r="U2035" s="1"/>
      <c r="V2035" s="1"/>
      <c r="W2035" s="1"/>
      <c r="X2035" s="1"/>
      <c r="Y2035" s="1"/>
    </row>
    <row r="2036" spans="1:25" x14ac:dyDescent="0.25">
      <c r="A2036" s="8" t="s">
        <v>9202</v>
      </c>
      <c r="C2036" s="8" t="s">
        <v>10593</v>
      </c>
      <c r="D2036">
        <f t="shared" si="31"/>
        <v>1</v>
      </c>
      <c r="I2036" s="1" t="s">
        <v>2927</v>
      </c>
      <c r="J2036" s="1" t="s">
        <v>1053</v>
      </c>
      <c r="K2036" s="1" t="s">
        <v>1086</v>
      </c>
      <c r="L2036" s="1" t="s">
        <v>933</v>
      </c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25">
      <c r="A2037" s="8" t="s">
        <v>9202</v>
      </c>
      <c r="C2037" s="7" t="s">
        <v>10328</v>
      </c>
      <c r="D2037">
        <f t="shared" si="31"/>
        <v>1</v>
      </c>
      <c r="I2037" s="1" t="s">
        <v>50</v>
      </c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25">
      <c r="A2038" s="8" t="s">
        <v>9525</v>
      </c>
      <c r="C2038" s="8" t="s">
        <v>9628</v>
      </c>
      <c r="D2038">
        <f t="shared" si="31"/>
        <v>1</v>
      </c>
      <c r="I2038" s="1" t="s">
        <v>50</v>
      </c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25">
      <c r="A2039" s="7" t="s">
        <v>124</v>
      </c>
      <c r="C2039" s="7" t="s">
        <v>2559</v>
      </c>
      <c r="D2039">
        <f t="shared" si="31"/>
        <v>1</v>
      </c>
      <c r="I2039" s="1" t="s">
        <v>50</v>
      </c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25">
      <c r="A2040" s="8" t="s">
        <v>8998</v>
      </c>
      <c r="C2040" s="8" t="s">
        <v>10419</v>
      </c>
      <c r="D2040">
        <f t="shared" si="31"/>
        <v>1</v>
      </c>
      <c r="I2040" s="1" t="s">
        <v>50</v>
      </c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25">
      <c r="A2041" s="8" t="s">
        <v>8998</v>
      </c>
      <c r="C2041" s="8" t="s">
        <v>9422</v>
      </c>
      <c r="D2041">
        <f t="shared" si="31"/>
        <v>1</v>
      </c>
      <c r="I2041" s="1" t="s">
        <v>25</v>
      </c>
      <c r="J2041" s="1" t="s">
        <v>997</v>
      </c>
      <c r="K2041" s="1" t="s">
        <v>927</v>
      </c>
      <c r="L2041" s="1" t="s">
        <v>998</v>
      </c>
      <c r="M2041" s="1" t="s">
        <v>920</v>
      </c>
      <c r="N2041" s="1" t="s">
        <v>933</v>
      </c>
      <c r="O2041" s="1" t="s">
        <v>994</v>
      </c>
      <c r="P2041" s="1" t="s">
        <v>923</v>
      </c>
      <c r="Q2041" s="1" t="s">
        <v>1053</v>
      </c>
      <c r="R2041" s="1" t="s">
        <v>1086</v>
      </c>
      <c r="S2041" s="1"/>
      <c r="T2041" s="1"/>
      <c r="U2041" s="1"/>
      <c r="V2041" s="1"/>
      <c r="W2041" s="1"/>
      <c r="X2041" s="1"/>
      <c r="Y2041" s="1"/>
    </row>
    <row r="2042" spans="1:25" x14ac:dyDescent="0.25">
      <c r="A2042" s="8" t="s">
        <v>7456</v>
      </c>
      <c r="C2042" s="8" t="s">
        <v>10498</v>
      </c>
      <c r="D2042">
        <f t="shared" si="31"/>
        <v>1</v>
      </c>
      <c r="I2042" s="1" t="s">
        <v>918</v>
      </c>
      <c r="J2042" s="1" t="s">
        <v>25</v>
      </c>
      <c r="K2042" s="1" t="s">
        <v>1148</v>
      </c>
      <c r="L2042" s="1" t="s">
        <v>923</v>
      </c>
      <c r="M2042" s="1" t="s">
        <v>927</v>
      </c>
      <c r="N2042" s="1" t="s">
        <v>1086</v>
      </c>
      <c r="O2042" s="1" t="s">
        <v>920</v>
      </c>
      <c r="P2042" s="1"/>
      <c r="Q2042" s="1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25">
      <c r="A2043" s="7" t="s">
        <v>8372</v>
      </c>
      <c r="C2043" s="7" t="s">
        <v>4005</v>
      </c>
      <c r="D2043">
        <f t="shared" si="31"/>
        <v>1</v>
      </c>
      <c r="I2043" s="1" t="s">
        <v>948</v>
      </c>
      <c r="J2043" s="1" t="s">
        <v>298</v>
      </c>
      <c r="K2043" s="1" t="s">
        <v>1149</v>
      </c>
      <c r="L2043" s="1" t="s">
        <v>25</v>
      </c>
      <c r="M2043" s="1" t="s">
        <v>923</v>
      </c>
      <c r="N2043" s="1" t="s">
        <v>997</v>
      </c>
      <c r="O2043" s="1" t="s">
        <v>954</v>
      </c>
      <c r="P2043" s="1" t="s">
        <v>994</v>
      </c>
      <c r="Q2043" s="1" t="s">
        <v>922</v>
      </c>
      <c r="R2043" s="1"/>
      <c r="S2043" s="1"/>
      <c r="T2043" s="1"/>
      <c r="U2043" s="1"/>
      <c r="V2043" s="1"/>
      <c r="W2043" s="1"/>
      <c r="X2043" s="1"/>
      <c r="Y2043" s="1"/>
    </row>
    <row r="2044" spans="1:25" x14ac:dyDescent="0.25">
      <c r="A2044" s="8" t="s">
        <v>10689</v>
      </c>
      <c r="C2044" s="7" t="s">
        <v>1463</v>
      </c>
      <c r="D2044">
        <f t="shared" si="31"/>
        <v>1</v>
      </c>
      <c r="I2044" s="1" t="s">
        <v>1018</v>
      </c>
      <c r="J2044" s="1" t="s">
        <v>1019</v>
      </c>
      <c r="K2044" s="1" t="s">
        <v>983</v>
      </c>
      <c r="L2044" s="1" t="s">
        <v>1020</v>
      </c>
      <c r="M2044" s="1" t="s">
        <v>984</v>
      </c>
      <c r="N2044" s="1" t="s">
        <v>1021</v>
      </c>
      <c r="O2044" s="1" t="s">
        <v>1080</v>
      </c>
      <c r="P2044" s="1"/>
      <c r="Q2044" s="1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25">
      <c r="A2045" s="8" t="s">
        <v>8838</v>
      </c>
      <c r="C2045" s="7" t="s">
        <v>211</v>
      </c>
      <c r="D2045">
        <f t="shared" si="31"/>
        <v>1</v>
      </c>
      <c r="I2045" s="1" t="s">
        <v>918</v>
      </c>
      <c r="J2045" s="1" t="s">
        <v>1110</v>
      </c>
      <c r="K2045" s="1" t="s">
        <v>25</v>
      </c>
      <c r="L2045" s="1" t="s">
        <v>923</v>
      </c>
      <c r="M2045" s="1" t="s">
        <v>919</v>
      </c>
      <c r="N2045" s="1" t="s">
        <v>920</v>
      </c>
      <c r="O2045" s="1" t="s">
        <v>954</v>
      </c>
      <c r="P2045" s="1" t="s">
        <v>328</v>
      </c>
      <c r="Q2045" s="1" t="s">
        <v>921</v>
      </c>
      <c r="R2045" s="1" t="s">
        <v>1001</v>
      </c>
      <c r="S2045" s="1" t="s">
        <v>927</v>
      </c>
      <c r="T2045" s="1" t="s">
        <v>936</v>
      </c>
      <c r="U2045" s="1" t="s">
        <v>961</v>
      </c>
      <c r="V2045" s="1" t="s">
        <v>933</v>
      </c>
      <c r="W2045" s="1"/>
      <c r="X2045" s="1"/>
      <c r="Y2045" s="1"/>
    </row>
    <row r="2046" spans="1:25" x14ac:dyDescent="0.25">
      <c r="A2046" s="8" t="s">
        <v>8838</v>
      </c>
      <c r="C2046" s="7" t="s">
        <v>9900</v>
      </c>
      <c r="D2046">
        <f t="shared" si="31"/>
        <v>1</v>
      </c>
      <c r="I2046" s="1" t="s">
        <v>948</v>
      </c>
      <c r="J2046" s="1" t="s">
        <v>1149</v>
      </c>
      <c r="K2046" s="1" t="s">
        <v>25</v>
      </c>
      <c r="L2046" s="1" t="s">
        <v>923</v>
      </c>
      <c r="M2046" s="1" t="s">
        <v>997</v>
      </c>
      <c r="N2046" s="1" t="s">
        <v>1150</v>
      </c>
      <c r="O2046" s="1" t="s">
        <v>1086</v>
      </c>
      <c r="P2046" s="1"/>
      <c r="Q2046" s="1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25">
      <c r="A2047" s="8" t="s">
        <v>8838</v>
      </c>
      <c r="C2047" s="7" t="s">
        <v>10380</v>
      </c>
      <c r="D2047">
        <f t="shared" si="31"/>
        <v>1</v>
      </c>
      <c r="I2047" s="1" t="s">
        <v>298</v>
      </c>
      <c r="J2047" s="1" t="s">
        <v>25</v>
      </c>
      <c r="K2047" s="1" t="s">
        <v>923</v>
      </c>
      <c r="L2047" s="1" t="s">
        <v>997</v>
      </c>
      <c r="M2047" s="1" t="s">
        <v>927</v>
      </c>
      <c r="N2047" s="1" t="s">
        <v>998</v>
      </c>
      <c r="O2047" s="1" t="s">
        <v>992</v>
      </c>
      <c r="P2047" s="1" t="s">
        <v>1086</v>
      </c>
      <c r="Q2047" s="1" t="s">
        <v>920</v>
      </c>
      <c r="R2047" s="1" t="s">
        <v>933</v>
      </c>
      <c r="S2047" s="1" t="s">
        <v>994</v>
      </c>
      <c r="T2047" s="1" t="s">
        <v>1001</v>
      </c>
      <c r="U2047" s="1" t="s">
        <v>981</v>
      </c>
      <c r="V2047" s="1" t="s">
        <v>939</v>
      </c>
      <c r="W2047" s="1" t="s">
        <v>1066</v>
      </c>
      <c r="X2047" s="1" t="s">
        <v>993</v>
      </c>
      <c r="Y2047" s="1"/>
    </row>
    <row r="2048" spans="1:25" x14ac:dyDescent="0.25">
      <c r="A2048" s="7" t="s">
        <v>9710</v>
      </c>
      <c r="C2048" s="8" t="s">
        <v>9548</v>
      </c>
      <c r="D2048">
        <f t="shared" si="31"/>
        <v>1</v>
      </c>
      <c r="I2048" s="1" t="s">
        <v>25</v>
      </c>
      <c r="J2048" s="1" t="s">
        <v>919</v>
      </c>
      <c r="K2048" s="1" t="s">
        <v>920</v>
      </c>
      <c r="L2048" s="1" t="s">
        <v>921</v>
      </c>
      <c r="M2048" s="1" t="s">
        <v>918</v>
      </c>
      <c r="N2048" s="1" t="s">
        <v>924</v>
      </c>
      <c r="O2048" s="1" t="s">
        <v>961</v>
      </c>
      <c r="P2048" s="1"/>
      <c r="Q2048" s="1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25">
      <c r="A2049" s="8" t="s">
        <v>9390</v>
      </c>
      <c r="C2049" s="8" t="s">
        <v>9329</v>
      </c>
      <c r="D2049">
        <f t="shared" si="31"/>
        <v>1</v>
      </c>
      <c r="I2049" s="1" t="s">
        <v>10987</v>
      </c>
      <c r="J2049" s="1" t="s">
        <v>10988</v>
      </c>
      <c r="K2049" s="1" t="s">
        <v>10989</v>
      </c>
      <c r="L2049" s="1" t="s">
        <v>10990</v>
      </c>
      <c r="M2049" s="1" t="s">
        <v>10904</v>
      </c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25">
      <c r="A2050" s="7" t="s">
        <v>5406</v>
      </c>
      <c r="C2050" s="8" t="s">
        <v>10441</v>
      </c>
      <c r="D2050">
        <f t="shared" ref="D2050:D2113" si="32">COUNTIF(A:A,C2050)</f>
        <v>1</v>
      </c>
      <c r="I2050" s="1" t="s">
        <v>50</v>
      </c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25">
      <c r="A2051" s="7" t="s">
        <v>5406</v>
      </c>
      <c r="C2051" s="8" t="s">
        <v>9881</v>
      </c>
      <c r="D2051">
        <f t="shared" si="32"/>
        <v>1</v>
      </c>
      <c r="I2051" s="1" t="s">
        <v>1045</v>
      </c>
      <c r="J2051" s="1" t="s">
        <v>1042</v>
      </c>
      <c r="K2051" s="1" t="s">
        <v>999</v>
      </c>
      <c r="L2051" s="1" t="s">
        <v>921</v>
      </c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25">
      <c r="A2052" s="7" t="s">
        <v>10544</v>
      </c>
      <c r="C2052" s="8" t="s">
        <v>8942</v>
      </c>
      <c r="D2052">
        <f t="shared" si="32"/>
        <v>1</v>
      </c>
      <c r="I2052" s="1" t="s">
        <v>923</v>
      </c>
      <c r="J2052" s="1" t="s">
        <v>1113</v>
      </c>
      <c r="K2052" s="1" t="s">
        <v>328</v>
      </c>
      <c r="L2052" s="1" t="s">
        <v>25</v>
      </c>
      <c r="M2052" s="1" t="s">
        <v>920</v>
      </c>
      <c r="N2052" s="1" t="s">
        <v>921</v>
      </c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25">
      <c r="A2053" s="7" t="s">
        <v>9101</v>
      </c>
      <c r="C2053" s="8" t="s">
        <v>9890</v>
      </c>
      <c r="D2053">
        <f t="shared" si="32"/>
        <v>1</v>
      </c>
      <c r="I2053" s="1" t="s">
        <v>923</v>
      </c>
      <c r="J2053" s="1" t="s">
        <v>1113</v>
      </c>
      <c r="K2053" s="1" t="s">
        <v>328</v>
      </c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25">
      <c r="A2054" s="8" t="s">
        <v>9216</v>
      </c>
      <c r="C2054" s="7" t="s">
        <v>10447</v>
      </c>
      <c r="D2054">
        <f t="shared" si="32"/>
        <v>1</v>
      </c>
      <c r="I2054" s="1" t="s">
        <v>1001</v>
      </c>
      <c r="J2054" s="1" t="s">
        <v>918</v>
      </c>
      <c r="K2054" s="1" t="s">
        <v>927</v>
      </c>
      <c r="L2054" s="1" t="s">
        <v>1000</v>
      </c>
      <c r="M2054" s="1" t="s">
        <v>919</v>
      </c>
      <c r="N2054" s="1" t="s">
        <v>936</v>
      </c>
      <c r="O2054" s="1" t="s">
        <v>921</v>
      </c>
      <c r="P2054" s="1"/>
      <c r="Q2054" s="1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25">
      <c r="A2055" s="8" t="s">
        <v>10615</v>
      </c>
      <c r="C2055" s="8" t="s">
        <v>9346</v>
      </c>
      <c r="D2055">
        <f t="shared" si="32"/>
        <v>1</v>
      </c>
      <c r="I2055" s="1" t="s">
        <v>998</v>
      </c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25">
      <c r="A2056" s="7" t="s">
        <v>9219</v>
      </c>
      <c r="C2056" s="8" t="s">
        <v>10588</v>
      </c>
      <c r="D2056">
        <f t="shared" si="32"/>
        <v>1</v>
      </c>
      <c r="I2056" s="1" t="s">
        <v>25</v>
      </c>
      <c r="J2056" s="1" t="s">
        <v>1053</v>
      </c>
      <c r="K2056" s="1" t="s">
        <v>256</v>
      </c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25">
      <c r="A2057" s="8" t="s">
        <v>10607</v>
      </c>
      <c r="C2057" s="8" t="s">
        <v>10129</v>
      </c>
      <c r="D2057">
        <f t="shared" si="32"/>
        <v>1</v>
      </c>
      <c r="I2057" s="1" t="s">
        <v>1000</v>
      </c>
      <c r="J2057" s="1" t="s">
        <v>921</v>
      </c>
      <c r="K2057" s="1" t="s">
        <v>918</v>
      </c>
      <c r="L2057" s="1" t="s">
        <v>25</v>
      </c>
      <c r="M2057" s="1" t="s">
        <v>923</v>
      </c>
      <c r="N2057" s="1" t="s">
        <v>919</v>
      </c>
      <c r="O2057" s="1" t="s">
        <v>920</v>
      </c>
      <c r="P2057" s="1" t="s">
        <v>933</v>
      </c>
      <c r="Q2057" s="1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25">
      <c r="A2058" s="8" t="s">
        <v>9290</v>
      </c>
      <c r="C2058" s="8" t="s">
        <v>10475</v>
      </c>
      <c r="D2058">
        <f t="shared" si="32"/>
        <v>1</v>
      </c>
      <c r="I2058" s="1" t="s">
        <v>923</v>
      </c>
      <c r="J2058" s="1" t="s">
        <v>934</v>
      </c>
      <c r="K2058" s="1" t="s">
        <v>25</v>
      </c>
      <c r="L2058" s="1" t="s">
        <v>6421</v>
      </c>
      <c r="M2058" s="1" t="s">
        <v>920</v>
      </c>
      <c r="N2058" s="1" t="s">
        <v>328</v>
      </c>
      <c r="O2058" s="1" t="s">
        <v>921</v>
      </c>
      <c r="P2058" s="1" t="s">
        <v>1013</v>
      </c>
      <c r="Q2058" s="1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25">
      <c r="A2059" s="7" t="s">
        <v>9299</v>
      </c>
      <c r="C2059" s="8" t="s">
        <v>10655</v>
      </c>
      <c r="D2059">
        <f t="shared" si="32"/>
        <v>1</v>
      </c>
      <c r="I2059" s="1" t="s">
        <v>1001</v>
      </c>
      <c r="J2059" s="1" t="s">
        <v>927</v>
      </c>
      <c r="K2059" s="1" t="s">
        <v>992</v>
      </c>
      <c r="L2059" s="1" t="s">
        <v>981</v>
      </c>
      <c r="M2059" s="1" t="s">
        <v>1066</v>
      </c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25">
      <c r="A2060" s="7" t="s">
        <v>9299</v>
      </c>
      <c r="C2060" s="8" t="s">
        <v>9429</v>
      </c>
      <c r="D2060">
        <f t="shared" si="32"/>
        <v>1</v>
      </c>
      <c r="I2060" s="1" t="s">
        <v>1001</v>
      </c>
      <c r="J2060" s="1" t="s">
        <v>1019</v>
      </c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25">
      <c r="A2061" s="7" t="s">
        <v>9467</v>
      </c>
      <c r="C2061" s="7" t="s">
        <v>9113</v>
      </c>
      <c r="D2061">
        <f t="shared" si="32"/>
        <v>1</v>
      </c>
      <c r="I2061" s="1" t="s">
        <v>2927</v>
      </c>
      <c r="J2061" s="1" t="s">
        <v>25</v>
      </c>
      <c r="K2061" s="1" t="s">
        <v>981</v>
      </c>
      <c r="L2061" s="1" t="s">
        <v>1086</v>
      </c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25">
      <c r="A2062" s="7" t="s">
        <v>9467</v>
      </c>
      <c r="C2062" s="7" t="s">
        <v>10553</v>
      </c>
      <c r="D2062">
        <f t="shared" si="32"/>
        <v>1</v>
      </c>
      <c r="I2062" s="1" t="s">
        <v>25</v>
      </c>
      <c r="J2062" s="1" t="s">
        <v>927</v>
      </c>
      <c r="K2062" s="1" t="s">
        <v>10837</v>
      </c>
      <c r="L2062" s="1" t="s">
        <v>981</v>
      </c>
      <c r="M2062" s="1" t="s">
        <v>994</v>
      </c>
      <c r="N2062" s="1" t="s">
        <v>979</v>
      </c>
      <c r="O2062" s="1" t="s">
        <v>1029</v>
      </c>
      <c r="P2062" s="1" t="s">
        <v>939</v>
      </c>
      <c r="Q2062" s="1" t="s">
        <v>983</v>
      </c>
      <c r="R2062" s="1"/>
      <c r="S2062" s="1"/>
      <c r="T2062" s="1"/>
      <c r="U2062" s="1"/>
      <c r="V2062" s="1"/>
      <c r="W2062" s="1"/>
      <c r="X2062" s="1"/>
      <c r="Y2062" s="1"/>
    </row>
    <row r="2063" spans="1:25" x14ac:dyDescent="0.25">
      <c r="A2063" s="7" t="s">
        <v>9023</v>
      </c>
      <c r="C2063" s="8" t="s">
        <v>9579</v>
      </c>
      <c r="D2063">
        <f t="shared" si="32"/>
        <v>1</v>
      </c>
      <c r="I2063" s="1" t="s">
        <v>1001</v>
      </c>
      <c r="J2063" s="1" t="s">
        <v>927</v>
      </c>
      <c r="K2063" s="1" t="s">
        <v>919</v>
      </c>
      <c r="L2063" s="1" t="s">
        <v>960</v>
      </c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25">
      <c r="A2064" s="7" t="s">
        <v>9023</v>
      </c>
      <c r="C2064" s="7" t="s">
        <v>2386</v>
      </c>
      <c r="D2064">
        <f t="shared" si="32"/>
        <v>1</v>
      </c>
      <c r="I2064" s="1" t="s">
        <v>918</v>
      </c>
      <c r="J2064" s="1" t="s">
        <v>919</v>
      </c>
      <c r="K2064" s="1" t="s">
        <v>936</v>
      </c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25">
      <c r="A2065" s="8" t="s">
        <v>10160</v>
      </c>
      <c r="C2065" s="7" t="s">
        <v>10161</v>
      </c>
      <c r="D2065">
        <f t="shared" si="32"/>
        <v>1</v>
      </c>
      <c r="I2065" s="1" t="s">
        <v>981</v>
      </c>
      <c r="J2065" s="1" t="s">
        <v>983</v>
      </c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25">
      <c r="A2066" s="7" t="s">
        <v>9673</v>
      </c>
      <c r="C2066" s="7" t="s">
        <v>6452</v>
      </c>
      <c r="D2066">
        <f t="shared" si="32"/>
        <v>1</v>
      </c>
      <c r="I2066" s="1" t="s">
        <v>298</v>
      </c>
      <c r="J2066" s="1" t="s">
        <v>25</v>
      </c>
      <c r="K2066" s="1" t="s">
        <v>923</v>
      </c>
      <c r="L2066" s="1" t="s">
        <v>997</v>
      </c>
      <c r="M2066" s="1" t="s">
        <v>927</v>
      </c>
      <c r="N2066" s="1" t="s">
        <v>998</v>
      </c>
      <c r="O2066" s="1" t="s">
        <v>992</v>
      </c>
      <c r="P2066" s="1" t="s">
        <v>1086</v>
      </c>
      <c r="Q2066" s="1" t="s">
        <v>920</v>
      </c>
      <c r="R2066" s="1" t="s">
        <v>933</v>
      </c>
      <c r="S2066" s="1" t="s">
        <v>994</v>
      </c>
      <c r="T2066" s="1" t="s">
        <v>919</v>
      </c>
      <c r="U2066" s="1" t="s">
        <v>921</v>
      </c>
      <c r="V2066" s="1"/>
      <c r="W2066" s="1"/>
      <c r="X2066" s="1"/>
      <c r="Y2066" s="1"/>
    </row>
    <row r="2067" spans="1:25" x14ac:dyDescent="0.25">
      <c r="A2067" s="8" t="s">
        <v>10533</v>
      </c>
      <c r="C2067" s="8" t="s">
        <v>10663</v>
      </c>
      <c r="D2067">
        <f t="shared" si="32"/>
        <v>1</v>
      </c>
      <c r="I2067" s="1" t="s">
        <v>2927</v>
      </c>
      <c r="J2067" s="1" t="s">
        <v>1069</v>
      </c>
      <c r="K2067" s="1" t="s">
        <v>25</v>
      </c>
      <c r="L2067" s="1" t="s">
        <v>923</v>
      </c>
      <c r="M2067" s="1" t="s">
        <v>998</v>
      </c>
      <c r="N2067" s="1" t="s">
        <v>1053</v>
      </c>
      <c r="O2067" s="1" t="s">
        <v>1086</v>
      </c>
      <c r="P2067" s="1" t="s">
        <v>933</v>
      </c>
      <c r="Q2067" s="1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25">
      <c r="A2068" s="7" t="s">
        <v>9615</v>
      </c>
      <c r="C2068" s="8" t="s">
        <v>9893</v>
      </c>
      <c r="D2068">
        <f t="shared" si="32"/>
        <v>1</v>
      </c>
      <c r="I2068" s="1" t="s">
        <v>998</v>
      </c>
      <c r="J2068" s="1" t="s">
        <v>994</v>
      </c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25">
      <c r="A2069" s="7" t="s">
        <v>9615</v>
      </c>
      <c r="C2069" s="8" t="s">
        <v>10519</v>
      </c>
      <c r="D2069">
        <f t="shared" si="32"/>
        <v>1</v>
      </c>
      <c r="I2069" s="1" t="s">
        <v>1053</v>
      </c>
      <c r="J2069" s="1" t="s">
        <v>10991</v>
      </c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25">
      <c r="A2070" s="7" t="s">
        <v>9615</v>
      </c>
      <c r="C2070" s="7" t="s">
        <v>10024</v>
      </c>
      <c r="D2070">
        <f t="shared" si="32"/>
        <v>1</v>
      </c>
      <c r="I2070" s="1" t="s">
        <v>933</v>
      </c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25">
      <c r="A2071" s="7" t="s">
        <v>9615</v>
      </c>
      <c r="C2071" s="8" t="s">
        <v>9866</v>
      </c>
      <c r="D2071">
        <f t="shared" si="32"/>
        <v>1</v>
      </c>
      <c r="I2071" s="1" t="s">
        <v>50</v>
      </c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25">
      <c r="A2072" s="8" t="s">
        <v>9615</v>
      </c>
      <c r="C2072" s="7" t="s">
        <v>9659</v>
      </c>
      <c r="D2072">
        <f t="shared" si="32"/>
        <v>1</v>
      </c>
      <c r="I2072" s="1" t="s">
        <v>50</v>
      </c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25">
      <c r="A2073" s="8" t="s">
        <v>9615</v>
      </c>
      <c r="C2073" s="7" t="s">
        <v>5791</v>
      </c>
      <c r="D2073">
        <f t="shared" si="32"/>
        <v>1</v>
      </c>
      <c r="I2073" s="1" t="s">
        <v>1053</v>
      </c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25">
      <c r="A2074" s="8" t="s">
        <v>9615</v>
      </c>
      <c r="C2074" s="7" t="s">
        <v>10162</v>
      </c>
      <c r="D2074">
        <f t="shared" si="32"/>
        <v>1</v>
      </c>
      <c r="I2074" s="1" t="s">
        <v>25</v>
      </c>
      <c r="J2074" s="1" t="s">
        <v>923</v>
      </c>
      <c r="K2074" s="1" t="s">
        <v>1086</v>
      </c>
      <c r="L2074" s="1" t="s">
        <v>920</v>
      </c>
      <c r="M2074" s="1" t="s">
        <v>933</v>
      </c>
      <c r="N2074" s="1" t="s">
        <v>954</v>
      </c>
      <c r="O2074" s="1" t="s">
        <v>974</v>
      </c>
      <c r="P2074" s="1" t="s">
        <v>10719</v>
      </c>
      <c r="Q2074" s="1" t="s">
        <v>950</v>
      </c>
      <c r="R2074" s="1" t="s">
        <v>921</v>
      </c>
      <c r="S2074" s="1" t="s">
        <v>10720</v>
      </c>
      <c r="T2074" s="1" t="s">
        <v>1001</v>
      </c>
      <c r="U2074" s="1" t="s">
        <v>927</v>
      </c>
      <c r="V2074" s="1" t="s">
        <v>919</v>
      </c>
      <c r="W2074" s="1" t="s">
        <v>960</v>
      </c>
      <c r="X2074" s="1"/>
      <c r="Y2074" s="1"/>
    </row>
    <row r="2075" spans="1:25" x14ac:dyDescent="0.25">
      <c r="A2075" s="8" t="s">
        <v>9615</v>
      </c>
      <c r="C2075" s="7" t="s">
        <v>10028</v>
      </c>
      <c r="D2075">
        <f t="shared" si="32"/>
        <v>1</v>
      </c>
      <c r="I2075" s="1" t="s">
        <v>25</v>
      </c>
      <c r="J2075" s="1" t="s">
        <v>923</v>
      </c>
      <c r="K2075" s="1" t="s">
        <v>1086</v>
      </c>
      <c r="L2075" s="1" t="s">
        <v>920</v>
      </c>
      <c r="M2075" s="1" t="s">
        <v>933</v>
      </c>
      <c r="N2075" s="1" t="s">
        <v>954</v>
      </c>
      <c r="O2075" s="1" t="s">
        <v>974</v>
      </c>
      <c r="P2075" s="1" t="s">
        <v>10719</v>
      </c>
      <c r="Q2075" s="1" t="s">
        <v>950</v>
      </c>
      <c r="R2075" s="1" t="s">
        <v>921</v>
      </c>
      <c r="S2075" s="1" t="s">
        <v>10720</v>
      </c>
      <c r="T2075" s="1" t="s">
        <v>918</v>
      </c>
      <c r="U2075" s="1" t="s">
        <v>10779</v>
      </c>
      <c r="V2075" s="1" t="s">
        <v>919</v>
      </c>
      <c r="W2075" s="1" t="s">
        <v>936</v>
      </c>
      <c r="X2075" s="1"/>
      <c r="Y2075" s="1"/>
    </row>
    <row r="2076" spans="1:25" x14ac:dyDescent="0.25">
      <c r="A2076" s="8" t="s">
        <v>9615</v>
      </c>
      <c r="C2076" s="8" t="s">
        <v>10626</v>
      </c>
      <c r="D2076">
        <f t="shared" si="32"/>
        <v>1</v>
      </c>
      <c r="I2076" s="1" t="s">
        <v>25</v>
      </c>
      <c r="J2076" s="1" t="s">
        <v>923</v>
      </c>
      <c r="K2076" s="1" t="s">
        <v>1086</v>
      </c>
      <c r="L2076" s="1" t="s">
        <v>920</v>
      </c>
      <c r="M2076" s="1" t="s">
        <v>933</v>
      </c>
      <c r="N2076" s="1" t="s">
        <v>954</v>
      </c>
      <c r="O2076" s="1" t="s">
        <v>974</v>
      </c>
      <c r="P2076" s="1" t="s">
        <v>10719</v>
      </c>
      <c r="Q2076" s="1" t="s">
        <v>950</v>
      </c>
      <c r="R2076" s="1" t="s">
        <v>921</v>
      </c>
      <c r="S2076" s="1" t="s">
        <v>10720</v>
      </c>
      <c r="T2076" s="1"/>
      <c r="U2076" s="1"/>
      <c r="V2076" s="1"/>
      <c r="W2076" s="1"/>
      <c r="X2076" s="1"/>
      <c r="Y2076" s="1"/>
    </row>
    <row r="2077" spans="1:25" x14ac:dyDescent="0.25">
      <c r="A2077" s="7" t="s">
        <v>9653</v>
      </c>
      <c r="C2077" s="8" t="s">
        <v>9203</v>
      </c>
      <c r="D2077">
        <f t="shared" si="32"/>
        <v>1</v>
      </c>
      <c r="I2077" s="1" t="s">
        <v>25</v>
      </c>
      <c r="J2077" s="1" t="s">
        <v>923</v>
      </c>
      <c r="K2077" s="1" t="s">
        <v>1086</v>
      </c>
      <c r="L2077" s="1" t="s">
        <v>920</v>
      </c>
      <c r="M2077" s="1" t="s">
        <v>933</v>
      </c>
      <c r="N2077" s="1" t="s">
        <v>954</v>
      </c>
      <c r="O2077" s="1" t="s">
        <v>974</v>
      </c>
      <c r="P2077" s="1" t="s">
        <v>10719</v>
      </c>
      <c r="Q2077" s="1" t="s">
        <v>950</v>
      </c>
      <c r="R2077" s="1" t="s">
        <v>921</v>
      </c>
      <c r="S2077" s="1" t="s">
        <v>10720</v>
      </c>
      <c r="T2077" s="1"/>
      <c r="U2077" s="1"/>
      <c r="V2077" s="1"/>
      <c r="W2077" s="1"/>
      <c r="X2077" s="1"/>
      <c r="Y2077" s="1"/>
    </row>
    <row r="2078" spans="1:25" x14ac:dyDescent="0.25">
      <c r="A2078" s="7" t="s">
        <v>5053</v>
      </c>
      <c r="C2078" s="8" t="s">
        <v>10293</v>
      </c>
      <c r="D2078">
        <f t="shared" si="32"/>
        <v>1</v>
      </c>
      <c r="I2078" s="1" t="s">
        <v>25</v>
      </c>
      <c r="J2078" s="1" t="s">
        <v>923</v>
      </c>
      <c r="K2078" s="1" t="s">
        <v>1086</v>
      </c>
      <c r="L2078" s="1" t="s">
        <v>920</v>
      </c>
      <c r="M2078" s="1" t="s">
        <v>933</v>
      </c>
      <c r="N2078" s="1" t="s">
        <v>954</v>
      </c>
      <c r="O2078" s="1" t="s">
        <v>974</v>
      </c>
      <c r="P2078" s="1" t="s">
        <v>10719</v>
      </c>
      <c r="Q2078" s="1" t="s">
        <v>950</v>
      </c>
      <c r="R2078" s="1" t="s">
        <v>921</v>
      </c>
      <c r="S2078" s="1" t="s">
        <v>10720</v>
      </c>
      <c r="T2078" s="1" t="s">
        <v>10919</v>
      </c>
      <c r="U2078" s="1"/>
      <c r="V2078" s="1"/>
      <c r="W2078" s="1"/>
      <c r="X2078" s="1"/>
      <c r="Y2078" s="1"/>
    </row>
    <row r="2079" spans="1:25" x14ac:dyDescent="0.25">
      <c r="A2079" s="7" t="s">
        <v>5053</v>
      </c>
      <c r="C2079" s="7" t="s">
        <v>9017</v>
      </c>
      <c r="D2079">
        <f t="shared" si="32"/>
        <v>1</v>
      </c>
      <c r="I2079" s="1" t="s">
        <v>50</v>
      </c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25">
      <c r="A2080" s="7" t="s">
        <v>40</v>
      </c>
      <c r="C2080" s="7" t="s">
        <v>9361</v>
      </c>
      <c r="D2080">
        <f t="shared" si="32"/>
        <v>1</v>
      </c>
      <c r="I2080" s="1" t="s">
        <v>50</v>
      </c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25">
      <c r="A2081" s="7" t="s">
        <v>10246</v>
      </c>
      <c r="C2081" s="7" t="s">
        <v>10497</v>
      </c>
      <c r="D2081">
        <f t="shared" si="32"/>
        <v>1</v>
      </c>
      <c r="I2081" s="1" t="s">
        <v>933</v>
      </c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25">
      <c r="A2082" s="7" t="s">
        <v>10246</v>
      </c>
      <c r="C2082" s="8" t="s">
        <v>10500</v>
      </c>
      <c r="D2082">
        <f t="shared" si="32"/>
        <v>1</v>
      </c>
      <c r="I2082" s="1" t="s">
        <v>933</v>
      </c>
      <c r="J2082" s="1" t="s">
        <v>1066</v>
      </c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25">
      <c r="A2083" s="7" t="s">
        <v>8920</v>
      </c>
      <c r="C2083" s="7" t="s">
        <v>9743</v>
      </c>
      <c r="D2083">
        <f t="shared" si="32"/>
        <v>1</v>
      </c>
      <c r="I2083" s="1" t="s">
        <v>1066</v>
      </c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25">
      <c r="A2084" s="7" t="s">
        <v>8920</v>
      </c>
      <c r="C2084" s="8" t="s">
        <v>10534</v>
      </c>
      <c r="D2084">
        <f t="shared" si="32"/>
        <v>1</v>
      </c>
      <c r="I2084" s="1" t="s">
        <v>50</v>
      </c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25">
      <c r="A2085" s="7" t="s">
        <v>8920</v>
      </c>
      <c r="C2085" s="7" t="s">
        <v>10083</v>
      </c>
      <c r="D2085">
        <f t="shared" si="32"/>
        <v>1</v>
      </c>
      <c r="I2085" s="1" t="s">
        <v>50</v>
      </c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25">
      <c r="A2086" s="7" t="s">
        <v>8920</v>
      </c>
      <c r="C2086" s="8" t="s">
        <v>9289</v>
      </c>
      <c r="D2086">
        <f t="shared" si="32"/>
        <v>1</v>
      </c>
      <c r="I2086" s="1" t="s">
        <v>50</v>
      </c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25">
      <c r="A2087" s="7" t="s">
        <v>8920</v>
      </c>
      <c r="C2087" s="8" t="s">
        <v>10027</v>
      </c>
      <c r="D2087">
        <f t="shared" si="32"/>
        <v>1</v>
      </c>
      <c r="I2087" s="1" t="s">
        <v>996</v>
      </c>
      <c r="J2087" s="1" t="s">
        <v>2541</v>
      </c>
      <c r="K2087" s="1" t="s">
        <v>10807</v>
      </c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25">
      <c r="A2088" s="7" t="s">
        <v>8920</v>
      </c>
      <c r="C2088" s="7" t="s">
        <v>10606</v>
      </c>
      <c r="D2088">
        <f t="shared" si="32"/>
        <v>1</v>
      </c>
      <c r="I2088" s="1" t="s">
        <v>50</v>
      </c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25">
      <c r="A2089" s="7" t="s">
        <v>8920</v>
      </c>
      <c r="C2089" s="8" t="s">
        <v>10597</v>
      </c>
      <c r="D2089">
        <f t="shared" si="32"/>
        <v>1</v>
      </c>
      <c r="I2089" s="1" t="s">
        <v>1053</v>
      </c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25">
      <c r="A2090" s="7" t="s">
        <v>8920</v>
      </c>
      <c r="C2090" s="7" t="s">
        <v>9086</v>
      </c>
      <c r="D2090">
        <f t="shared" si="32"/>
        <v>1</v>
      </c>
      <c r="I2090" s="1" t="s">
        <v>933</v>
      </c>
      <c r="J2090" s="1" t="s">
        <v>328</v>
      </c>
      <c r="K2090" s="1" t="s">
        <v>298</v>
      </c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25">
      <c r="A2091" s="7" t="s">
        <v>8920</v>
      </c>
      <c r="C2091" s="7" t="s">
        <v>9627</v>
      </c>
      <c r="D2091">
        <f t="shared" si="32"/>
        <v>1</v>
      </c>
      <c r="I2091" s="1" t="s">
        <v>50</v>
      </c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25">
      <c r="A2092" s="7" t="s">
        <v>8920</v>
      </c>
      <c r="C2092" s="8" t="s">
        <v>10483</v>
      </c>
      <c r="D2092">
        <f t="shared" si="32"/>
        <v>1</v>
      </c>
      <c r="I2092" s="1" t="s">
        <v>50</v>
      </c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25">
      <c r="A2093" s="7" t="s">
        <v>8920</v>
      </c>
      <c r="C2093" s="8" t="s">
        <v>9940</v>
      </c>
      <c r="D2093">
        <f t="shared" si="32"/>
        <v>1</v>
      </c>
      <c r="I2093" s="1" t="s">
        <v>50</v>
      </c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25">
      <c r="A2094" s="7" t="s">
        <v>8920</v>
      </c>
      <c r="C2094" s="7" t="s">
        <v>9534</v>
      </c>
      <c r="D2094">
        <f t="shared" si="32"/>
        <v>1</v>
      </c>
      <c r="I2094" s="1" t="s">
        <v>25</v>
      </c>
      <c r="J2094" s="1" t="s">
        <v>997</v>
      </c>
      <c r="K2094" s="1" t="s">
        <v>927</v>
      </c>
      <c r="L2094" s="1" t="s">
        <v>994</v>
      </c>
      <c r="M2094" s="1" t="s">
        <v>10739</v>
      </c>
      <c r="N2094" s="1" t="s">
        <v>10870</v>
      </c>
      <c r="O2094" s="1" t="s">
        <v>955</v>
      </c>
      <c r="P2094" s="1" t="s">
        <v>924</v>
      </c>
      <c r="Q2094" s="1" t="s">
        <v>1014</v>
      </c>
      <c r="R2094" s="1" t="s">
        <v>981</v>
      </c>
      <c r="S2094" s="1" t="s">
        <v>933</v>
      </c>
      <c r="T2094" s="1"/>
      <c r="U2094" s="1"/>
      <c r="V2094" s="1"/>
      <c r="W2094" s="1"/>
      <c r="X2094" s="1"/>
      <c r="Y2094" s="1"/>
    </row>
    <row r="2095" spans="1:25" x14ac:dyDescent="0.25">
      <c r="A2095" s="7" t="s">
        <v>8920</v>
      </c>
      <c r="C2095" s="7" t="s">
        <v>9874</v>
      </c>
      <c r="D2095">
        <f t="shared" si="32"/>
        <v>1</v>
      </c>
      <c r="I2095" s="1" t="s">
        <v>25</v>
      </c>
      <c r="J2095" s="1" t="s">
        <v>927</v>
      </c>
      <c r="K2095" s="1" t="s">
        <v>10992</v>
      </c>
      <c r="L2095" s="1" t="s">
        <v>10993</v>
      </c>
      <c r="M2095" s="1" t="s">
        <v>10918</v>
      </c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25">
      <c r="A2096" s="7" t="s">
        <v>8920</v>
      </c>
      <c r="C2096" s="7" t="s">
        <v>343</v>
      </c>
      <c r="D2096">
        <f t="shared" si="32"/>
        <v>1</v>
      </c>
      <c r="I2096" s="1" t="s">
        <v>25</v>
      </c>
      <c r="J2096" s="1" t="s">
        <v>927</v>
      </c>
      <c r="K2096" s="1" t="s">
        <v>10992</v>
      </c>
      <c r="L2096" s="1" t="s">
        <v>10993</v>
      </c>
      <c r="M2096" s="1" t="s">
        <v>10918</v>
      </c>
      <c r="N2096" s="1" t="s">
        <v>1149</v>
      </c>
      <c r="O2096" s="1" t="s">
        <v>923</v>
      </c>
      <c r="P2096" s="1" t="s">
        <v>997</v>
      </c>
      <c r="Q2096" s="1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25">
      <c r="A2097" s="7" t="s">
        <v>8920</v>
      </c>
      <c r="C2097" s="8" t="s">
        <v>10163</v>
      </c>
      <c r="D2097">
        <f t="shared" si="32"/>
        <v>1</v>
      </c>
      <c r="I2097" s="1" t="s">
        <v>6110</v>
      </c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25">
      <c r="A2098" s="7" t="s">
        <v>8920</v>
      </c>
      <c r="C2098" s="8" t="s">
        <v>10368</v>
      </c>
      <c r="D2098">
        <f t="shared" si="32"/>
        <v>1</v>
      </c>
      <c r="I2098" s="1" t="s">
        <v>998</v>
      </c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25">
      <c r="A2099" s="7" t="s">
        <v>8920</v>
      </c>
      <c r="C2099" s="8" t="s">
        <v>10409</v>
      </c>
      <c r="D2099">
        <f t="shared" si="32"/>
        <v>1</v>
      </c>
      <c r="I2099" s="1" t="s">
        <v>998</v>
      </c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25">
      <c r="A2100" s="7" t="s">
        <v>8920</v>
      </c>
      <c r="C2100" s="7" t="s">
        <v>4600</v>
      </c>
      <c r="D2100">
        <f t="shared" si="32"/>
        <v>1</v>
      </c>
      <c r="I2100" s="1" t="s">
        <v>998</v>
      </c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25">
      <c r="A2101" s="7" t="s">
        <v>8920</v>
      </c>
      <c r="C2101" s="7" t="s">
        <v>9294</v>
      </c>
      <c r="D2101">
        <f t="shared" si="32"/>
        <v>1</v>
      </c>
      <c r="I2101" s="1" t="s">
        <v>998</v>
      </c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25">
      <c r="A2102" s="8" t="s">
        <v>8920</v>
      </c>
      <c r="C2102" s="8" t="s">
        <v>8856</v>
      </c>
      <c r="D2102">
        <f t="shared" si="32"/>
        <v>1</v>
      </c>
      <c r="I2102" s="1" t="s">
        <v>10757</v>
      </c>
      <c r="J2102" s="1" t="s">
        <v>989</v>
      </c>
      <c r="K2102" s="1" t="s">
        <v>984</v>
      </c>
      <c r="L2102" s="1" t="s">
        <v>10994</v>
      </c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25">
      <c r="A2103" s="8" t="s">
        <v>8920</v>
      </c>
      <c r="C2103" s="7" t="s">
        <v>1934</v>
      </c>
      <c r="D2103">
        <f t="shared" si="32"/>
        <v>1</v>
      </c>
      <c r="I2103" s="1" t="s">
        <v>918</v>
      </c>
      <c r="J2103" s="1" t="s">
        <v>25</v>
      </c>
      <c r="K2103" s="1" t="s">
        <v>923</v>
      </c>
      <c r="L2103" s="1" t="s">
        <v>927</v>
      </c>
      <c r="M2103" s="1" t="s">
        <v>10768</v>
      </c>
      <c r="N2103" s="1" t="s">
        <v>919</v>
      </c>
      <c r="O2103" s="1" t="s">
        <v>920</v>
      </c>
      <c r="P2103" s="1" t="s">
        <v>933</v>
      </c>
      <c r="Q2103" s="1" t="s">
        <v>921</v>
      </c>
      <c r="R2103" s="1" t="s">
        <v>936</v>
      </c>
      <c r="S2103" s="1"/>
      <c r="T2103" s="1"/>
      <c r="U2103" s="1"/>
      <c r="V2103" s="1"/>
      <c r="W2103" s="1"/>
      <c r="X2103" s="1"/>
      <c r="Y2103" s="1"/>
    </row>
    <row r="2104" spans="1:25" x14ac:dyDescent="0.25">
      <c r="A2104" s="7" t="s">
        <v>8944</v>
      </c>
      <c r="C2104" s="8" t="s">
        <v>9042</v>
      </c>
      <c r="D2104">
        <f t="shared" si="32"/>
        <v>1</v>
      </c>
      <c r="I2104" s="1" t="s">
        <v>922</v>
      </c>
      <c r="J2104" s="1" t="s">
        <v>918</v>
      </c>
      <c r="K2104" s="1" t="s">
        <v>25</v>
      </c>
      <c r="L2104" s="1" t="s">
        <v>923</v>
      </c>
      <c r="M2104" s="1" t="s">
        <v>927</v>
      </c>
      <c r="N2104" s="1" t="s">
        <v>10768</v>
      </c>
      <c r="O2104" s="1" t="s">
        <v>919</v>
      </c>
      <c r="P2104" s="1" t="s">
        <v>920</v>
      </c>
      <c r="Q2104" s="1" t="s">
        <v>933</v>
      </c>
      <c r="R2104" s="1" t="s">
        <v>921</v>
      </c>
      <c r="S2104" s="1" t="s">
        <v>1085</v>
      </c>
      <c r="T2104" s="1" t="s">
        <v>955</v>
      </c>
      <c r="U2104" s="1" t="s">
        <v>924</v>
      </c>
      <c r="V2104" s="1" t="s">
        <v>1014</v>
      </c>
      <c r="W2104" s="1" t="s">
        <v>944</v>
      </c>
      <c r="X2104" s="1" t="s">
        <v>10995</v>
      </c>
      <c r="Y2104" s="1" t="s">
        <v>945</v>
      </c>
    </row>
    <row r="2105" spans="1:25" x14ac:dyDescent="0.25">
      <c r="A2105" s="8" t="s">
        <v>8944</v>
      </c>
      <c r="C2105" s="8" t="s">
        <v>9760</v>
      </c>
      <c r="D2105">
        <f t="shared" si="32"/>
        <v>1</v>
      </c>
      <c r="I2105" s="1" t="s">
        <v>25</v>
      </c>
      <c r="J2105" s="1" t="s">
        <v>997</v>
      </c>
      <c r="K2105" s="1" t="s">
        <v>927</v>
      </c>
      <c r="L2105" s="1" t="s">
        <v>998</v>
      </c>
      <c r="M2105" s="1" t="s">
        <v>920</v>
      </c>
      <c r="N2105" s="1" t="s">
        <v>933</v>
      </c>
      <c r="O2105" s="1" t="s">
        <v>994</v>
      </c>
      <c r="P2105" s="1" t="s">
        <v>996</v>
      </c>
      <c r="Q2105" s="1" t="s">
        <v>923</v>
      </c>
      <c r="R2105" s="1"/>
      <c r="S2105" s="1"/>
      <c r="T2105" s="1"/>
      <c r="U2105" s="1"/>
      <c r="V2105" s="1"/>
      <c r="W2105" s="1"/>
      <c r="X2105" s="1"/>
      <c r="Y2105" s="1"/>
    </row>
    <row r="2106" spans="1:25" x14ac:dyDescent="0.25">
      <c r="A2106" s="8" t="s">
        <v>8944</v>
      </c>
      <c r="C2106" s="7" t="s">
        <v>9799</v>
      </c>
      <c r="D2106">
        <f t="shared" si="32"/>
        <v>1</v>
      </c>
      <c r="I2106" s="1" t="s">
        <v>918</v>
      </c>
      <c r="J2106" s="1" t="s">
        <v>25</v>
      </c>
      <c r="K2106" s="1" t="s">
        <v>923</v>
      </c>
      <c r="L2106" s="1" t="s">
        <v>927</v>
      </c>
      <c r="M2106" s="1" t="s">
        <v>10768</v>
      </c>
      <c r="N2106" s="1" t="s">
        <v>919</v>
      </c>
      <c r="O2106" s="1" t="s">
        <v>920</v>
      </c>
      <c r="P2106" s="1" t="s">
        <v>933</v>
      </c>
      <c r="Q2106" s="1" t="s">
        <v>921</v>
      </c>
      <c r="R2106" s="1" t="s">
        <v>967</v>
      </c>
      <c r="S2106" s="1" t="s">
        <v>1065</v>
      </c>
      <c r="T2106" s="1" t="s">
        <v>10700</v>
      </c>
      <c r="U2106" s="1" t="s">
        <v>969</v>
      </c>
      <c r="V2106" s="1" t="s">
        <v>970</v>
      </c>
      <c r="W2106" s="1"/>
      <c r="X2106" s="1"/>
      <c r="Y2106" s="1"/>
    </row>
    <row r="2107" spans="1:25" x14ac:dyDescent="0.25">
      <c r="A2107" s="8" t="s">
        <v>8944</v>
      </c>
      <c r="C2107" s="7" t="s">
        <v>8249</v>
      </c>
      <c r="D2107">
        <f t="shared" si="32"/>
        <v>1</v>
      </c>
      <c r="I2107" s="1" t="s">
        <v>1066</v>
      </c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25">
      <c r="A2108" s="8" t="s">
        <v>8847</v>
      </c>
      <c r="C2108" s="7" t="s">
        <v>2213</v>
      </c>
      <c r="D2108">
        <f t="shared" si="32"/>
        <v>1</v>
      </c>
      <c r="I2108" s="1" t="s">
        <v>2927</v>
      </c>
      <c r="J2108" s="1" t="s">
        <v>933</v>
      </c>
      <c r="K2108" s="1" t="s">
        <v>1069</v>
      </c>
      <c r="L2108" s="1" t="s">
        <v>25</v>
      </c>
      <c r="M2108" s="1" t="s">
        <v>923</v>
      </c>
      <c r="N2108" s="1" t="s">
        <v>998</v>
      </c>
      <c r="O2108" s="1" t="s">
        <v>1053</v>
      </c>
      <c r="P2108" s="1" t="s">
        <v>1086</v>
      </c>
      <c r="Q2108" s="1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25">
      <c r="A2109" s="7" t="s">
        <v>10414</v>
      </c>
      <c r="C2109" s="7" t="s">
        <v>5337</v>
      </c>
      <c r="D2109">
        <f t="shared" si="32"/>
        <v>1</v>
      </c>
      <c r="I2109" s="1" t="s">
        <v>2927</v>
      </c>
      <c r="J2109" s="1" t="s">
        <v>1069</v>
      </c>
      <c r="K2109" s="1" t="s">
        <v>25</v>
      </c>
      <c r="L2109" s="1" t="s">
        <v>923</v>
      </c>
      <c r="M2109" s="1" t="s">
        <v>998</v>
      </c>
      <c r="N2109" s="1" t="s">
        <v>1053</v>
      </c>
      <c r="O2109" s="1" t="s">
        <v>1086</v>
      </c>
      <c r="P2109" s="1" t="s">
        <v>933</v>
      </c>
      <c r="Q2109" s="1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25">
      <c r="A2110" s="7" t="s">
        <v>9751</v>
      </c>
      <c r="C2110" s="7" t="s">
        <v>7550</v>
      </c>
      <c r="D2110">
        <f t="shared" si="32"/>
        <v>1</v>
      </c>
      <c r="I2110" s="1" t="s">
        <v>2927</v>
      </c>
      <c r="J2110" s="1" t="s">
        <v>1069</v>
      </c>
      <c r="K2110" s="1" t="s">
        <v>25</v>
      </c>
      <c r="L2110" s="1" t="s">
        <v>923</v>
      </c>
      <c r="M2110" s="1" t="s">
        <v>998</v>
      </c>
      <c r="N2110" s="1" t="s">
        <v>1053</v>
      </c>
      <c r="O2110" s="1" t="s">
        <v>1086</v>
      </c>
      <c r="P2110" s="1" t="s">
        <v>933</v>
      </c>
      <c r="Q2110" s="1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25">
      <c r="A2111" s="7" t="s">
        <v>10286</v>
      </c>
      <c r="C2111" s="7" t="s">
        <v>6296</v>
      </c>
      <c r="D2111">
        <f t="shared" si="32"/>
        <v>1</v>
      </c>
      <c r="I2111" s="1" t="s">
        <v>50</v>
      </c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25">
      <c r="A2112" s="7" t="s">
        <v>2600</v>
      </c>
      <c r="C2112" s="7" t="s">
        <v>6836</v>
      </c>
      <c r="D2112">
        <f t="shared" si="32"/>
        <v>1</v>
      </c>
      <c r="I2112" s="1" t="s">
        <v>933</v>
      </c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25">
      <c r="A2113" s="7" t="s">
        <v>9046</v>
      </c>
      <c r="C2113" s="8" t="s">
        <v>9733</v>
      </c>
      <c r="D2113">
        <f t="shared" si="32"/>
        <v>1</v>
      </c>
      <c r="I2113" s="1" t="s">
        <v>1149</v>
      </c>
      <c r="J2113" s="1" t="s">
        <v>25</v>
      </c>
      <c r="K2113" s="1" t="s">
        <v>923</v>
      </c>
      <c r="L2113" s="1" t="s">
        <v>997</v>
      </c>
      <c r="M2113" s="1" t="s">
        <v>998</v>
      </c>
      <c r="N2113" s="1" t="s">
        <v>933</v>
      </c>
      <c r="O2113" s="1" t="s">
        <v>994</v>
      </c>
      <c r="P2113" s="1"/>
      <c r="Q2113" s="1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25">
      <c r="A2114" s="7" t="s">
        <v>9046</v>
      </c>
      <c r="C2114" s="8" t="s">
        <v>9482</v>
      </c>
      <c r="D2114">
        <f t="shared" ref="D2114:D2177" si="33">COUNTIF(A:A,C2114)</f>
        <v>1</v>
      </c>
      <c r="I2114" s="1" t="s">
        <v>1001</v>
      </c>
      <c r="J2114" s="1" t="s">
        <v>918</v>
      </c>
      <c r="K2114" s="1" t="s">
        <v>927</v>
      </c>
      <c r="L2114" s="1" t="s">
        <v>1000</v>
      </c>
      <c r="M2114" s="1" t="s">
        <v>919</v>
      </c>
      <c r="N2114" s="1" t="s">
        <v>936</v>
      </c>
      <c r="O2114" s="1" t="s">
        <v>921</v>
      </c>
      <c r="P2114" s="1" t="s">
        <v>1110</v>
      </c>
      <c r="Q2114" s="1" t="s">
        <v>25</v>
      </c>
      <c r="R2114" s="1" t="s">
        <v>923</v>
      </c>
      <c r="S2114" s="1" t="s">
        <v>920</v>
      </c>
      <c r="T2114" s="1" t="s">
        <v>954</v>
      </c>
      <c r="U2114" s="1" t="s">
        <v>328</v>
      </c>
      <c r="V2114" s="1"/>
      <c r="W2114" s="1"/>
      <c r="X2114" s="1"/>
      <c r="Y2114" s="1"/>
    </row>
    <row r="2115" spans="1:25" x14ac:dyDescent="0.25">
      <c r="A2115" s="8" t="s">
        <v>9132</v>
      </c>
      <c r="C2115" s="7" t="s">
        <v>5524</v>
      </c>
      <c r="D2115">
        <f t="shared" si="33"/>
        <v>1</v>
      </c>
      <c r="I2115" s="1" t="s">
        <v>1066</v>
      </c>
      <c r="J2115" s="1" t="s">
        <v>981</v>
      </c>
      <c r="K2115" s="1" t="s">
        <v>1019</v>
      </c>
      <c r="L2115" s="1" t="s">
        <v>983</v>
      </c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25">
      <c r="A2116" s="7" t="s">
        <v>5175</v>
      </c>
      <c r="C2116" s="8" t="s">
        <v>10189</v>
      </c>
      <c r="D2116">
        <f t="shared" si="33"/>
        <v>1</v>
      </c>
      <c r="I2116" s="1" t="s">
        <v>1167</v>
      </c>
      <c r="J2116" s="1" t="s">
        <v>998</v>
      </c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25">
      <c r="A2117" s="7" t="s">
        <v>5175</v>
      </c>
      <c r="C2117" s="8" t="s">
        <v>9136</v>
      </c>
      <c r="D2117">
        <f t="shared" si="33"/>
        <v>1</v>
      </c>
      <c r="I2117" s="1" t="s">
        <v>1019</v>
      </c>
      <c r="J2117" s="1" t="s">
        <v>983</v>
      </c>
      <c r="K2117" s="1" t="s">
        <v>984</v>
      </c>
      <c r="L2117" s="1" t="s">
        <v>1001</v>
      </c>
      <c r="M2117" s="1" t="s">
        <v>927</v>
      </c>
      <c r="N2117" s="1" t="s">
        <v>992</v>
      </c>
      <c r="O2117" s="1" t="s">
        <v>981</v>
      </c>
      <c r="P2117" s="1" t="s">
        <v>1066</v>
      </c>
      <c r="Q2117" s="1" t="s">
        <v>919</v>
      </c>
      <c r="R2117" s="1" t="s">
        <v>993</v>
      </c>
      <c r="S2117" s="1"/>
      <c r="T2117" s="1"/>
      <c r="U2117" s="1"/>
      <c r="V2117" s="1"/>
      <c r="W2117" s="1"/>
      <c r="X2117" s="1"/>
      <c r="Y2117" s="1"/>
    </row>
    <row r="2118" spans="1:25" x14ac:dyDescent="0.25">
      <c r="A2118" s="7" t="s">
        <v>5175</v>
      </c>
      <c r="C2118" s="7" t="s">
        <v>2557</v>
      </c>
      <c r="D2118">
        <f t="shared" si="33"/>
        <v>1</v>
      </c>
      <c r="I2118" s="1" t="s">
        <v>964</v>
      </c>
      <c r="J2118" s="1" t="s">
        <v>10751</v>
      </c>
      <c r="K2118" s="1" t="s">
        <v>10755</v>
      </c>
      <c r="L2118" s="1" t="s">
        <v>10724</v>
      </c>
      <c r="M2118" s="1" t="s">
        <v>25</v>
      </c>
      <c r="N2118" s="1" t="s">
        <v>1109</v>
      </c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25">
      <c r="A2119" s="7" t="s">
        <v>5175</v>
      </c>
      <c r="C2119" s="7" t="s">
        <v>9110</v>
      </c>
      <c r="D2119">
        <f t="shared" si="33"/>
        <v>1</v>
      </c>
      <c r="I2119" s="1" t="s">
        <v>964</v>
      </c>
      <c r="J2119" s="1" t="s">
        <v>10751</v>
      </c>
      <c r="K2119" s="1" t="s">
        <v>10755</v>
      </c>
      <c r="L2119" s="1" t="s">
        <v>10724</v>
      </c>
      <c r="M2119" s="1" t="s">
        <v>25</v>
      </c>
      <c r="N2119" s="1" t="s">
        <v>1109</v>
      </c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25">
      <c r="A2120" s="7" t="s">
        <v>5175</v>
      </c>
      <c r="C2120" s="7" t="s">
        <v>9469</v>
      </c>
      <c r="D2120">
        <f t="shared" si="33"/>
        <v>1</v>
      </c>
      <c r="I2120" s="1" t="s">
        <v>948</v>
      </c>
      <c r="J2120" s="1" t="s">
        <v>298</v>
      </c>
      <c r="K2120" s="1" t="s">
        <v>1149</v>
      </c>
      <c r="L2120" s="1" t="s">
        <v>25</v>
      </c>
      <c r="M2120" s="1" t="s">
        <v>923</v>
      </c>
      <c r="N2120" s="1" t="s">
        <v>997</v>
      </c>
      <c r="O2120" s="1" t="s">
        <v>954</v>
      </c>
      <c r="P2120" s="1" t="s">
        <v>994</v>
      </c>
      <c r="Q2120" s="1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25">
      <c r="A2121" s="7" t="s">
        <v>5175</v>
      </c>
      <c r="C2121" s="8" t="s">
        <v>10631</v>
      </c>
      <c r="D2121">
        <f t="shared" si="33"/>
        <v>1</v>
      </c>
      <c r="I2121" s="1" t="s">
        <v>1053</v>
      </c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25">
      <c r="A2122" s="8" t="s">
        <v>10361</v>
      </c>
      <c r="C2122" s="8" t="s">
        <v>8975</v>
      </c>
      <c r="D2122">
        <f t="shared" si="33"/>
        <v>1</v>
      </c>
      <c r="I2122" s="1" t="s">
        <v>947</v>
      </c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25">
      <c r="A2123" s="7" t="s">
        <v>474</v>
      </c>
      <c r="C2123" s="7" t="s">
        <v>9730</v>
      </c>
      <c r="D2123">
        <f t="shared" si="33"/>
        <v>1</v>
      </c>
      <c r="I2123" s="1" t="s">
        <v>923</v>
      </c>
      <c r="J2123" s="1" t="s">
        <v>918</v>
      </c>
      <c r="K2123" s="1" t="s">
        <v>919</v>
      </c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25">
      <c r="A2124" s="7" t="s">
        <v>474</v>
      </c>
      <c r="C2124" s="8" t="s">
        <v>9053</v>
      </c>
      <c r="D2124">
        <f t="shared" si="33"/>
        <v>1</v>
      </c>
      <c r="I2124" s="1" t="s">
        <v>1053</v>
      </c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25">
      <c r="A2125" s="7" t="s">
        <v>474</v>
      </c>
      <c r="C2125" s="8" t="s">
        <v>9883</v>
      </c>
      <c r="D2125">
        <f t="shared" si="33"/>
        <v>1</v>
      </c>
      <c r="I2125" s="1" t="s">
        <v>918</v>
      </c>
      <c r="J2125" s="1" t="s">
        <v>25</v>
      </c>
      <c r="K2125" s="1" t="s">
        <v>927</v>
      </c>
      <c r="L2125" s="1" t="s">
        <v>919</v>
      </c>
      <c r="M2125" s="1" t="s">
        <v>920</v>
      </c>
      <c r="N2125" s="1" t="s">
        <v>921</v>
      </c>
      <c r="O2125" s="1" t="s">
        <v>981</v>
      </c>
      <c r="P2125" s="1"/>
      <c r="Q2125" s="1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25">
      <c r="A2126" s="7" t="s">
        <v>474</v>
      </c>
      <c r="C2126" s="7" t="s">
        <v>8969</v>
      </c>
      <c r="D2126">
        <f t="shared" si="33"/>
        <v>1</v>
      </c>
      <c r="I2126" s="1" t="s">
        <v>1031</v>
      </c>
      <c r="J2126" s="1" t="s">
        <v>1032</v>
      </c>
      <c r="K2126" s="1" t="s">
        <v>1033</v>
      </c>
      <c r="L2126" s="1" t="s">
        <v>918</v>
      </c>
      <c r="M2126" s="1" t="s">
        <v>932</v>
      </c>
      <c r="N2126" s="1" t="s">
        <v>916</v>
      </c>
      <c r="O2126" s="1" t="s">
        <v>920</v>
      </c>
      <c r="P2126" s="1" t="s">
        <v>921</v>
      </c>
      <c r="Q2126" s="1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25">
      <c r="A2127" s="8" t="s">
        <v>474</v>
      </c>
      <c r="C2127" s="8" t="s">
        <v>10164</v>
      </c>
      <c r="D2127">
        <f t="shared" si="33"/>
        <v>1</v>
      </c>
      <c r="I2127" s="1" t="s">
        <v>934</v>
      </c>
      <c r="J2127" s="1" t="s">
        <v>918</v>
      </c>
      <c r="K2127" s="1" t="s">
        <v>1110</v>
      </c>
      <c r="L2127" s="1" t="s">
        <v>25</v>
      </c>
      <c r="M2127" s="1" t="s">
        <v>923</v>
      </c>
      <c r="N2127" s="1" t="s">
        <v>920</v>
      </c>
      <c r="O2127" s="1" t="s">
        <v>924</v>
      </c>
      <c r="P2127" s="1" t="s">
        <v>974</v>
      </c>
      <c r="Q2127" s="1" t="s">
        <v>921</v>
      </c>
      <c r="R2127" s="1" t="s">
        <v>919</v>
      </c>
      <c r="S2127" s="1"/>
      <c r="T2127" s="1"/>
      <c r="U2127" s="1"/>
      <c r="V2127" s="1"/>
      <c r="W2127" s="1"/>
      <c r="X2127" s="1"/>
      <c r="Y2127" s="1"/>
    </row>
    <row r="2128" spans="1:25" x14ac:dyDescent="0.25">
      <c r="A2128" s="8" t="s">
        <v>8931</v>
      </c>
      <c r="C2128" s="8" t="s">
        <v>9015</v>
      </c>
      <c r="D2128">
        <f t="shared" si="33"/>
        <v>1</v>
      </c>
      <c r="I2128" s="1" t="s">
        <v>918</v>
      </c>
      <c r="J2128" s="1" t="s">
        <v>25</v>
      </c>
      <c r="K2128" s="1" t="s">
        <v>927</v>
      </c>
      <c r="L2128" s="1" t="s">
        <v>919</v>
      </c>
      <c r="M2128" s="1" t="s">
        <v>920</v>
      </c>
      <c r="N2128" s="1" t="s">
        <v>921</v>
      </c>
      <c r="O2128" s="1" t="s">
        <v>10913</v>
      </c>
      <c r="P2128" s="1" t="s">
        <v>10914</v>
      </c>
      <c r="Q2128" s="1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25">
      <c r="A2129" s="8" t="s">
        <v>8931</v>
      </c>
      <c r="C2129" s="7" t="s">
        <v>2235</v>
      </c>
      <c r="D2129">
        <f t="shared" si="33"/>
        <v>1</v>
      </c>
      <c r="I2129" s="1" t="s">
        <v>934</v>
      </c>
      <c r="J2129" s="1" t="s">
        <v>918</v>
      </c>
      <c r="K2129" s="1" t="s">
        <v>1110</v>
      </c>
      <c r="L2129" s="1" t="s">
        <v>25</v>
      </c>
      <c r="M2129" s="1" t="s">
        <v>923</v>
      </c>
      <c r="N2129" s="1" t="s">
        <v>920</v>
      </c>
      <c r="O2129" s="1" t="s">
        <v>924</v>
      </c>
      <c r="P2129" s="1" t="s">
        <v>974</v>
      </c>
      <c r="Q2129" s="1" t="s">
        <v>921</v>
      </c>
      <c r="R2129" s="1" t="s">
        <v>10996</v>
      </c>
      <c r="S2129" s="1"/>
      <c r="T2129" s="1"/>
      <c r="U2129" s="1"/>
      <c r="V2129" s="1"/>
      <c r="W2129" s="1"/>
      <c r="X2129" s="1"/>
      <c r="Y2129" s="1"/>
    </row>
    <row r="2130" spans="1:25" x14ac:dyDescent="0.25">
      <c r="A2130" s="8" t="s">
        <v>8931</v>
      </c>
      <c r="C2130" s="7" t="s">
        <v>9298</v>
      </c>
      <c r="D2130">
        <f t="shared" si="33"/>
        <v>1</v>
      </c>
      <c r="I2130" s="1" t="s">
        <v>1001</v>
      </c>
      <c r="J2130" s="1" t="s">
        <v>1109</v>
      </c>
      <c r="K2130" s="1" t="s">
        <v>927</v>
      </c>
      <c r="L2130" s="1" t="s">
        <v>981</v>
      </c>
      <c r="M2130" s="1" t="s">
        <v>10944</v>
      </c>
      <c r="N2130" s="1" t="s">
        <v>952</v>
      </c>
      <c r="O2130" s="1" t="s">
        <v>919</v>
      </c>
      <c r="P2130" s="1" t="s">
        <v>1020</v>
      </c>
      <c r="Q2130" s="1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25">
      <c r="A2131" s="8" t="s">
        <v>8931</v>
      </c>
      <c r="C2131" s="8" t="s">
        <v>9091</v>
      </c>
      <c r="D2131">
        <f t="shared" si="33"/>
        <v>1</v>
      </c>
      <c r="I2131" s="1" t="s">
        <v>918</v>
      </c>
      <c r="J2131" s="1" t="s">
        <v>940</v>
      </c>
      <c r="K2131" s="1" t="s">
        <v>1031</v>
      </c>
      <c r="L2131" s="1" t="s">
        <v>1110</v>
      </c>
      <c r="M2131" s="1" t="s">
        <v>25</v>
      </c>
      <c r="N2131" s="1" t="s">
        <v>923</v>
      </c>
      <c r="O2131" s="1" t="s">
        <v>916</v>
      </c>
      <c r="P2131" s="1" t="s">
        <v>920</v>
      </c>
      <c r="Q2131" s="1" t="s">
        <v>954</v>
      </c>
      <c r="R2131" s="1" t="s">
        <v>974</v>
      </c>
      <c r="S2131" s="1" t="s">
        <v>921</v>
      </c>
      <c r="T2131" s="1" t="s">
        <v>1033</v>
      </c>
      <c r="U2131" s="1"/>
      <c r="V2131" s="1"/>
      <c r="W2131" s="1"/>
      <c r="X2131" s="1"/>
      <c r="Y2131" s="1"/>
    </row>
    <row r="2132" spans="1:25" x14ac:dyDescent="0.25">
      <c r="A2132" s="8" t="s">
        <v>8931</v>
      </c>
      <c r="C2132" s="8" t="s">
        <v>8952</v>
      </c>
      <c r="D2132">
        <f t="shared" si="33"/>
        <v>1</v>
      </c>
      <c r="I2132" s="1" t="s">
        <v>1108</v>
      </c>
      <c r="J2132" s="1" t="s">
        <v>918</v>
      </c>
      <c r="K2132" s="1" t="s">
        <v>940</v>
      </c>
      <c r="L2132" s="1" t="s">
        <v>1031</v>
      </c>
      <c r="M2132" s="1" t="s">
        <v>1110</v>
      </c>
      <c r="N2132" s="1" t="s">
        <v>25</v>
      </c>
      <c r="O2132" s="1" t="s">
        <v>923</v>
      </c>
      <c r="P2132" s="1" t="s">
        <v>916</v>
      </c>
      <c r="Q2132" s="1" t="s">
        <v>920</v>
      </c>
      <c r="R2132" s="1" t="s">
        <v>954</v>
      </c>
      <c r="S2132" s="1" t="s">
        <v>974</v>
      </c>
      <c r="T2132" s="1" t="s">
        <v>921</v>
      </c>
      <c r="U2132" s="1" t="s">
        <v>1033</v>
      </c>
      <c r="V2132" s="1"/>
      <c r="W2132" s="1"/>
      <c r="X2132" s="1"/>
      <c r="Y2132" s="1"/>
    </row>
    <row r="2133" spans="1:25" x14ac:dyDescent="0.25">
      <c r="A2133" s="8" t="s">
        <v>8931</v>
      </c>
      <c r="C2133" s="7" t="s">
        <v>2230</v>
      </c>
      <c r="D2133">
        <f t="shared" si="33"/>
        <v>1</v>
      </c>
      <c r="I2133" s="1" t="s">
        <v>918</v>
      </c>
      <c r="J2133" s="1" t="s">
        <v>25</v>
      </c>
      <c r="K2133" s="1" t="s">
        <v>923</v>
      </c>
      <c r="L2133" s="1" t="s">
        <v>919</v>
      </c>
      <c r="M2133" s="1" t="s">
        <v>920</v>
      </c>
      <c r="N2133" s="1" t="s">
        <v>921</v>
      </c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25">
      <c r="A2134" s="7" t="s">
        <v>1960</v>
      </c>
      <c r="C2134" s="7" t="s">
        <v>10376</v>
      </c>
      <c r="D2134">
        <f t="shared" si="33"/>
        <v>1</v>
      </c>
      <c r="I2134" s="1" t="s">
        <v>918</v>
      </c>
      <c r="J2134" s="1" t="s">
        <v>25</v>
      </c>
      <c r="K2134" s="1" t="s">
        <v>923</v>
      </c>
      <c r="L2134" s="1" t="s">
        <v>920</v>
      </c>
      <c r="M2134" s="1" t="s">
        <v>954</v>
      </c>
      <c r="N2134" s="1" t="s">
        <v>974</v>
      </c>
      <c r="O2134" s="1" t="s">
        <v>90</v>
      </c>
      <c r="P2134" s="1" t="s">
        <v>964</v>
      </c>
      <c r="Q2134" s="1" t="s">
        <v>933</v>
      </c>
      <c r="R2134" s="1"/>
      <c r="S2134" s="1"/>
      <c r="T2134" s="1"/>
      <c r="U2134" s="1"/>
      <c r="V2134" s="1"/>
      <c r="W2134" s="1"/>
      <c r="X2134" s="1"/>
      <c r="Y2134" s="1"/>
    </row>
    <row r="2135" spans="1:25" x14ac:dyDescent="0.25">
      <c r="A2135" s="7" t="s">
        <v>1960</v>
      </c>
      <c r="C2135" s="8" t="s">
        <v>9985</v>
      </c>
      <c r="D2135">
        <f t="shared" si="33"/>
        <v>1</v>
      </c>
      <c r="I2135" s="1" t="s">
        <v>918</v>
      </c>
      <c r="J2135" s="1" t="s">
        <v>25</v>
      </c>
      <c r="K2135" s="1" t="s">
        <v>923</v>
      </c>
      <c r="L2135" s="1" t="s">
        <v>919</v>
      </c>
      <c r="M2135" s="1" t="s">
        <v>920</v>
      </c>
      <c r="N2135" s="1" t="s">
        <v>921</v>
      </c>
      <c r="O2135" s="1" t="s">
        <v>1031</v>
      </c>
      <c r="P2135" s="1" t="s">
        <v>916</v>
      </c>
      <c r="Q2135" s="1" t="s">
        <v>954</v>
      </c>
      <c r="R2135" s="1" t="s">
        <v>974</v>
      </c>
      <c r="S2135" s="1" t="s">
        <v>1033</v>
      </c>
      <c r="T2135" s="1"/>
      <c r="U2135" s="1"/>
      <c r="V2135" s="1"/>
      <c r="W2135" s="1"/>
      <c r="X2135" s="1"/>
      <c r="Y2135" s="1"/>
    </row>
    <row r="2136" spans="1:25" x14ac:dyDescent="0.25">
      <c r="A2136" s="7" t="s">
        <v>1960</v>
      </c>
      <c r="C2136" s="7" t="s">
        <v>9683</v>
      </c>
      <c r="D2136">
        <f t="shared" si="33"/>
        <v>1</v>
      </c>
      <c r="I2136" s="1" t="s">
        <v>934</v>
      </c>
      <c r="J2136" s="1" t="s">
        <v>918</v>
      </c>
      <c r="K2136" s="1" t="s">
        <v>1110</v>
      </c>
      <c r="L2136" s="1" t="s">
        <v>25</v>
      </c>
      <c r="M2136" s="1" t="s">
        <v>923</v>
      </c>
      <c r="N2136" s="1" t="s">
        <v>920</v>
      </c>
      <c r="O2136" s="1" t="s">
        <v>924</v>
      </c>
      <c r="P2136" s="1" t="s">
        <v>974</v>
      </c>
      <c r="Q2136" s="1" t="s">
        <v>921</v>
      </c>
      <c r="R2136" s="1" t="s">
        <v>1001</v>
      </c>
      <c r="S2136" s="1" t="s">
        <v>1109</v>
      </c>
      <c r="T2136" s="1" t="s">
        <v>927</v>
      </c>
      <c r="U2136" s="1" t="s">
        <v>981</v>
      </c>
      <c r="V2136" s="1" t="s">
        <v>10944</v>
      </c>
      <c r="W2136" s="1" t="s">
        <v>952</v>
      </c>
      <c r="X2136" s="1" t="s">
        <v>919</v>
      </c>
      <c r="Y2136" s="1" t="s">
        <v>1020</v>
      </c>
    </row>
    <row r="2137" spans="1:25" x14ac:dyDescent="0.25">
      <c r="A2137" s="7" t="s">
        <v>1960</v>
      </c>
      <c r="C2137" s="8" t="s">
        <v>10568</v>
      </c>
      <c r="D2137">
        <f t="shared" si="33"/>
        <v>1</v>
      </c>
      <c r="I2137" s="1" t="s">
        <v>934</v>
      </c>
      <c r="J2137" s="1" t="s">
        <v>918</v>
      </c>
      <c r="K2137" s="1" t="s">
        <v>1110</v>
      </c>
      <c r="L2137" s="1" t="s">
        <v>25</v>
      </c>
      <c r="M2137" s="1" t="s">
        <v>923</v>
      </c>
      <c r="N2137" s="1" t="s">
        <v>916</v>
      </c>
      <c r="O2137" s="1" t="s">
        <v>920</v>
      </c>
      <c r="P2137" s="1" t="s">
        <v>954</v>
      </c>
      <c r="Q2137" s="1" t="s">
        <v>974</v>
      </c>
      <c r="R2137" s="1" t="s">
        <v>10997</v>
      </c>
      <c r="S2137" s="1" t="s">
        <v>924</v>
      </c>
      <c r="T2137" s="1"/>
      <c r="U2137" s="1"/>
      <c r="V2137" s="1"/>
      <c r="W2137" s="1"/>
      <c r="X2137" s="1"/>
      <c r="Y2137" s="1"/>
    </row>
    <row r="2138" spans="1:25" x14ac:dyDescent="0.25">
      <c r="A2138" s="7" t="s">
        <v>1960</v>
      </c>
      <c r="C2138" s="8" t="s">
        <v>10072</v>
      </c>
      <c r="D2138">
        <f t="shared" si="33"/>
        <v>1</v>
      </c>
      <c r="I2138" s="1" t="s">
        <v>25</v>
      </c>
      <c r="J2138" s="1" t="s">
        <v>919</v>
      </c>
      <c r="K2138" s="1" t="s">
        <v>920</v>
      </c>
      <c r="L2138" s="1" t="s">
        <v>954</v>
      </c>
      <c r="M2138" s="1" t="s">
        <v>933</v>
      </c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25">
      <c r="A2139" s="7" t="s">
        <v>1960</v>
      </c>
      <c r="C2139" s="7" t="s">
        <v>10148</v>
      </c>
      <c r="D2139">
        <f t="shared" si="33"/>
        <v>1</v>
      </c>
      <c r="I2139" s="1" t="s">
        <v>2927</v>
      </c>
      <c r="J2139" s="1" t="s">
        <v>1051</v>
      </c>
      <c r="K2139" s="1" t="s">
        <v>25</v>
      </c>
      <c r="L2139" s="1" t="s">
        <v>1053</v>
      </c>
      <c r="M2139" s="1" t="s">
        <v>1086</v>
      </c>
      <c r="N2139" s="1" t="s">
        <v>933</v>
      </c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25">
      <c r="A2140" s="7" t="s">
        <v>1960</v>
      </c>
      <c r="C2140" s="7" t="s">
        <v>9462</v>
      </c>
      <c r="D2140">
        <f t="shared" si="33"/>
        <v>1</v>
      </c>
      <c r="I2140" s="1" t="s">
        <v>2927</v>
      </c>
      <c r="J2140" s="1" t="s">
        <v>1051</v>
      </c>
      <c r="K2140" s="1" t="s">
        <v>25</v>
      </c>
      <c r="L2140" s="1" t="s">
        <v>1053</v>
      </c>
      <c r="M2140" s="1" t="s">
        <v>1086</v>
      </c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25">
      <c r="A2141" s="7" t="s">
        <v>1960</v>
      </c>
      <c r="C2141" s="7" t="s">
        <v>7955</v>
      </c>
      <c r="D2141">
        <f t="shared" si="33"/>
        <v>1</v>
      </c>
      <c r="I2141" s="1" t="s">
        <v>2927</v>
      </c>
      <c r="J2141" s="1" t="s">
        <v>1051</v>
      </c>
      <c r="K2141" s="1" t="s">
        <v>25</v>
      </c>
      <c r="L2141" s="1" t="s">
        <v>1053</v>
      </c>
      <c r="M2141" s="1" t="s">
        <v>1086</v>
      </c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25">
      <c r="A2142" s="7" t="s">
        <v>1960</v>
      </c>
      <c r="C2142" s="7" t="s">
        <v>9182</v>
      </c>
      <c r="D2142">
        <f t="shared" si="33"/>
        <v>1</v>
      </c>
      <c r="I2142" s="1" t="s">
        <v>918</v>
      </c>
      <c r="J2142" s="1" t="s">
        <v>25</v>
      </c>
      <c r="K2142" s="1" t="s">
        <v>919</v>
      </c>
      <c r="L2142" s="1" t="s">
        <v>920</v>
      </c>
      <c r="M2142" s="1" t="s">
        <v>936</v>
      </c>
      <c r="N2142" s="1" t="s">
        <v>921</v>
      </c>
      <c r="O2142" s="1" t="s">
        <v>929</v>
      </c>
      <c r="P2142" s="1"/>
      <c r="Q2142" s="1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25">
      <c r="A2143" s="7" t="s">
        <v>1960</v>
      </c>
      <c r="C2143" s="7" t="s">
        <v>6451</v>
      </c>
      <c r="D2143">
        <f t="shared" si="33"/>
        <v>1</v>
      </c>
      <c r="I2143" s="1" t="s">
        <v>918</v>
      </c>
      <c r="J2143" s="1" t="s">
        <v>25</v>
      </c>
      <c r="K2143" s="1" t="s">
        <v>919</v>
      </c>
      <c r="L2143" s="1" t="s">
        <v>920</v>
      </c>
      <c r="M2143" s="1" t="s">
        <v>936</v>
      </c>
      <c r="N2143" s="1" t="s">
        <v>921</v>
      </c>
      <c r="O2143" s="1" t="s">
        <v>929</v>
      </c>
      <c r="P2143" s="1"/>
      <c r="Q2143" s="1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25">
      <c r="A2144" s="7" t="s">
        <v>1960</v>
      </c>
      <c r="C2144" s="7" t="s">
        <v>803</v>
      </c>
      <c r="D2144">
        <f t="shared" si="33"/>
        <v>1</v>
      </c>
      <c r="I2144" s="1" t="s">
        <v>927</v>
      </c>
      <c r="J2144" s="1" t="s">
        <v>981</v>
      </c>
      <c r="K2144" s="1" t="s">
        <v>1066</v>
      </c>
      <c r="L2144" s="1" t="s">
        <v>920</v>
      </c>
      <c r="M2144" s="1" t="s">
        <v>1020</v>
      </c>
      <c r="N2144" s="1" t="s">
        <v>921</v>
      </c>
      <c r="O2144" s="1" t="s">
        <v>978</v>
      </c>
      <c r="P2144" s="1"/>
      <c r="Q2144" s="1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25">
      <c r="A2145" s="7" t="s">
        <v>1960</v>
      </c>
      <c r="C2145" s="7" t="s">
        <v>10136</v>
      </c>
      <c r="D2145">
        <f t="shared" si="33"/>
        <v>1</v>
      </c>
      <c r="I2145" s="1" t="s">
        <v>50</v>
      </c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25">
      <c r="A2146" s="7" t="s">
        <v>1960</v>
      </c>
      <c r="C2146" s="7" t="s">
        <v>10684</v>
      </c>
      <c r="D2146">
        <f t="shared" si="33"/>
        <v>1</v>
      </c>
      <c r="I2146" s="1" t="s">
        <v>298</v>
      </c>
      <c r="J2146" s="1" t="s">
        <v>1069</v>
      </c>
      <c r="K2146" s="1" t="s">
        <v>25</v>
      </c>
      <c r="L2146" s="1" t="s">
        <v>923</v>
      </c>
      <c r="M2146" s="1" t="s">
        <v>998</v>
      </c>
      <c r="N2146" s="1" t="s">
        <v>1053</v>
      </c>
      <c r="O2146" s="1" t="s">
        <v>994</v>
      </c>
      <c r="P2146" s="1" t="s">
        <v>996</v>
      </c>
      <c r="Q2146" s="1" t="s">
        <v>2541</v>
      </c>
      <c r="R2146" s="1"/>
      <c r="S2146" s="1"/>
      <c r="T2146" s="1"/>
      <c r="U2146" s="1"/>
      <c r="V2146" s="1"/>
      <c r="W2146" s="1"/>
      <c r="X2146" s="1"/>
      <c r="Y2146" s="1"/>
    </row>
    <row r="2147" spans="1:25" x14ac:dyDescent="0.25">
      <c r="A2147" s="7" t="s">
        <v>1960</v>
      </c>
      <c r="C2147" s="8" t="s">
        <v>9276</v>
      </c>
      <c r="D2147">
        <f t="shared" si="33"/>
        <v>1</v>
      </c>
      <c r="I2147" s="1" t="s">
        <v>927</v>
      </c>
      <c r="J2147" s="1" t="s">
        <v>992</v>
      </c>
      <c r="K2147" s="1" t="s">
        <v>1066</v>
      </c>
      <c r="L2147" s="1" t="s">
        <v>993</v>
      </c>
      <c r="M2147" s="1" t="s">
        <v>994</v>
      </c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25">
      <c r="A2148" s="7" t="s">
        <v>1960</v>
      </c>
      <c r="C2148" s="8" t="s">
        <v>10290</v>
      </c>
      <c r="D2148">
        <f t="shared" si="33"/>
        <v>1</v>
      </c>
      <c r="I2148" s="1" t="s">
        <v>979</v>
      </c>
      <c r="J2148" s="1" t="s">
        <v>998</v>
      </c>
      <c r="K2148" s="1" t="s">
        <v>987</v>
      </c>
      <c r="L2148" s="1" t="s">
        <v>10998</v>
      </c>
      <c r="M2148" s="1" t="s">
        <v>993</v>
      </c>
      <c r="N2148" s="1" t="s">
        <v>994</v>
      </c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25">
      <c r="A2149" s="8" t="s">
        <v>1960</v>
      </c>
      <c r="C2149" s="7" t="s">
        <v>5968</v>
      </c>
      <c r="D2149">
        <f t="shared" si="33"/>
        <v>1</v>
      </c>
      <c r="I2149" s="1" t="s">
        <v>25</v>
      </c>
      <c r="J2149" s="1" t="s">
        <v>923</v>
      </c>
      <c r="K2149" s="1" t="s">
        <v>916</v>
      </c>
      <c r="L2149" s="1" t="s">
        <v>1078</v>
      </c>
      <c r="M2149" s="1" t="s">
        <v>980</v>
      </c>
      <c r="N2149" s="1" t="s">
        <v>919</v>
      </c>
      <c r="O2149" s="1" t="s">
        <v>920</v>
      </c>
      <c r="P2149" s="1" t="s">
        <v>921</v>
      </c>
      <c r="Q2149" s="1" t="s">
        <v>925</v>
      </c>
      <c r="R2149" s="1" t="s">
        <v>918</v>
      </c>
      <c r="S2149" s="1" t="s">
        <v>10813</v>
      </c>
      <c r="T2149" s="1" t="s">
        <v>927</v>
      </c>
      <c r="U2149" s="1"/>
      <c r="V2149" s="1"/>
      <c r="W2149" s="1"/>
      <c r="X2149" s="1"/>
      <c r="Y2149" s="1"/>
    </row>
    <row r="2150" spans="1:25" x14ac:dyDescent="0.25">
      <c r="A2150" s="8" t="s">
        <v>1960</v>
      </c>
      <c r="C2150" s="8" t="s">
        <v>8846</v>
      </c>
      <c r="D2150">
        <f t="shared" si="33"/>
        <v>1</v>
      </c>
      <c r="I2150" s="1" t="s">
        <v>925</v>
      </c>
      <c r="J2150" s="1" t="s">
        <v>918</v>
      </c>
      <c r="K2150" s="1" t="s">
        <v>10813</v>
      </c>
      <c r="L2150" s="1" t="s">
        <v>927</v>
      </c>
      <c r="M2150" s="1" t="s">
        <v>919</v>
      </c>
      <c r="N2150" s="1" t="s">
        <v>921</v>
      </c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25">
      <c r="A2151" s="8" t="s">
        <v>1960</v>
      </c>
      <c r="C2151" s="8" t="s">
        <v>8935</v>
      </c>
      <c r="D2151">
        <f t="shared" si="33"/>
        <v>1</v>
      </c>
      <c r="I2151" s="1" t="s">
        <v>921</v>
      </c>
      <c r="J2151" s="1" t="s">
        <v>975</v>
      </c>
      <c r="K2151" s="1" t="s">
        <v>90</v>
      </c>
      <c r="L2151" s="1" t="s">
        <v>964</v>
      </c>
      <c r="M2151" s="1" t="s">
        <v>10751</v>
      </c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25">
      <c r="A2152" s="8" t="s">
        <v>1960</v>
      </c>
      <c r="C2152" s="7" t="s">
        <v>10336</v>
      </c>
      <c r="D2152">
        <f t="shared" si="33"/>
        <v>1</v>
      </c>
      <c r="I2152" s="1" t="s">
        <v>983</v>
      </c>
      <c r="J2152" s="1" t="s">
        <v>984</v>
      </c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25">
      <c r="A2153" s="8" t="s">
        <v>9311</v>
      </c>
      <c r="C2153" s="7" t="s">
        <v>2805</v>
      </c>
      <c r="D2153">
        <f t="shared" si="33"/>
        <v>1</v>
      </c>
      <c r="I2153" s="1" t="s">
        <v>983</v>
      </c>
      <c r="J2153" s="1" t="s">
        <v>984</v>
      </c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25">
      <c r="A2154" s="8" t="s">
        <v>9109</v>
      </c>
      <c r="C2154" s="8" t="s">
        <v>10395</v>
      </c>
      <c r="D2154">
        <f t="shared" si="33"/>
        <v>1</v>
      </c>
      <c r="I2154" s="1" t="s">
        <v>986</v>
      </c>
      <c r="J2154" s="1" t="s">
        <v>919</v>
      </c>
      <c r="K2154" s="1" t="s">
        <v>10914</v>
      </c>
      <c r="L2154" s="1" t="s">
        <v>10713</v>
      </c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25">
      <c r="A2155" s="8" t="s">
        <v>8927</v>
      </c>
      <c r="C2155" s="8" t="s">
        <v>9591</v>
      </c>
      <c r="D2155">
        <f t="shared" si="33"/>
        <v>1</v>
      </c>
      <c r="I2155" s="1" t="s">
        <v>918</v>
      </c>
      <c r="J2155" s="1" t="s">
        <v>10849</v>
      </c>
      <c r="K2155" s="1" t="s">
        <v>919</v>
      </c>
      <c r="L2155" s="1" t="s">
        <v>924</v>
      </c>
      <c r="M2155" s="1" t="s">
        <v>929</v>
      </c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25">
      <c r="A2156" s="8" t="s">
        <v>9345</v>
      </c>
      <c r="C2156" s="7" t="s">
        <v>8868</v>
      </c>
      <c r="D2156">
        <f t="shared" si="33"/>
        <v>1</v>
      </c>
      <c r="I2156" s="1" t="s">
        <v>918</v>
      </c>
      <c r="J2156" s="1" t="s">
        <v>8695</v>
      </c>
      <c r="K2156" s="1" t="s">
        <v>919</v>
      </c>
      <c r="L2156" s="1" t="s">
        <v>1020</v>
      </c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25">
      <c r="A2157" s="8" t="s">
        <v>10180</v>
      </c>
      <c r="C2157" s="8" t="s">
        <v>10364</v>
      </c>
      <c r="D2157">
        <f t="shared" si="33"/>
        <v>1</v>
      </c>
      <c r="I2157" s="1" t="s">
        <v>10997</v>
      </c>
      <c r="J2157" s="1" t="s">
        <v>918</v>
      </c>
      <c r="K2157" s="1" t="s">
        <v>924</v>
      </c>
      <c r="L2157" s="1" t="s">
        <v>948</v>
      </c>
      <c r="M2157" s="1" t="s">
        <v>25</v>
      </c>
      <c r="N2157" s="1" t="s">
        <v>919</v>
      </c>
      <c r="O2157" s="1" t="s">
        <v>920</v>
      </c>
      <c r="P2157" s="1" t="s">
        <v>954</v>
      </c>
      <c r="Q2157" s="1" t="s">
        <v>10808</v>
      </c>
      <c r="R2157" s="1" t="s">
        <v>958</v>
      </c>
      <c r="S2157" s="1" t="s">
        <v>927</v>
      </c>
      <c r="T2157" s="1" t="s">
        <v>928</v>
      </c>
      <c r="U2157" s="1" t="s">
        <v>936</v>
      </c>
      <c r="V2157" s="1" t="s">
        <v>930</v>
      </c>
      <c r="W2157" s="1" t="s">
        <v>945</v>
      </c>
      <c r="X2157" s="1"/>
      <c r="Y2157" s="1"/>
    </row>
    <row r="2158" spans="1:25" x14ac:dyDescent="0.25">
      <c r="A2158" s="7" t="s">
        <v>5006</v>
      </c>
      <c r="C2158" s="8" t="s">
        <v>10403</v>
      </c>
      <c r="D2158">
        <f t="shared" si="33"/>
        <v>1</v>
      </c>
      <c r="I2158" s="1" t="s">
        <v>10997</v>
      </c>
      <c r="J2158" s="1" t="s">
        <v>918</v>
      </c>
      <c r="K2158" s="1" t="s">
        <v>924</v>
      </c>
      <c r="L2158" s="1" t="s">
        <v>1013</v>
      </c>
      <c r="M2158" s="1" t="s">
        <v>919</v>
      </c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25">
      <c r="A2159" s="7" t="s">
        <v>5006</v>
      </c>
      <c r="C2159" s="8" t="s">
        <v>9259</v>
      </c>
      <c r="D2159">
        <f t="shared" si="33"/>
        <v>1</v>
      </c>
      <c r="I2159" s="1" t="s">
        <v>10997</v>
      </c>
      <c r="J2159" s="1" t="s">
        <v>918</v>
      </c>
      <c r="K2159" s="1" t="s">
        <v>924</v>
      </c>
      <c r="L2159" s="1" t="s">
        <v>1107</v>
      </c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25">
      <c r="A2160" s="7" t="s">
        <v>5006</v>
      </c>
      <c r="C2160" s="7" t="s">
        <v>1616</v>
      </c>
      <c r="D2160">
        <f t="shared" si="33"/>
        <v>1</v>
      </c>
      <c r="I2160" s="1" t="s">
        <v>10997</v>
      </c>
      <c r="J2160" s="1" t="s">
        <v>918</v>
      </c>
      <c r="K2160" s="1" t="s">
        <v>924</v>
      </c>
      <c r="L2160" s="1" t="s">
        <v>927</v>
      </c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25">
      <c r="A2161" s="7" t="s">
        <v>5006</v>
      </c>
      <c r="C2161" s="7" t="s">
        <v>10649</v>
      </c>
      <c r="D2161">
        <f t="shared" si="33"/>
        <v>1</v>
      </c>
      <c r="I2161" s="1" t="s">
        <v>1085</v>
      </c>
      <c r="J2161" s="1" t="s">
        <v>955</v>
      </c>
      <c r="K2161" s="1" t="s">
        <v>924</v>
      </c>
      <c r="L2161" s="1" t="s">
        <v>1014</v>
      </c>
      <c r="M2161" s="1" t="s">
        <v>944</v>
      </c>
      <c r="N2161" s="1" t="s">
        <v>956</v>
      </c>
      <c r="O2161" s="1" t="s">
        <v>1034</v>
      </c>
      <c r="P2161" s="1"/>
      <c r="Q2161" s="1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25">
      <c r="A2162" s="7" t="s">
        <v>5006</v>
      </c>
      <c r="C2162" s="8" t="s">
        <v>10537</v>
      </c>
      <c r="D2162">
        <f t="shared" si="33"/>
        <v>1</v>
      </c>
      <c r="I2162" s="1" t="s">
        <v>918</v>
      </c>
      <c r="J2162" s="1" t="s">
        <v>25</v>
      </c>
      <c r="K2162" s="1" t="s">
        <v>919</v>
      </c>
      <c r="L2162" s="1" t="s">
        <v>920</v>
      </c>
      <c r="M2162" s="1" t="s">
        <v>921</v>
      </c>
      <c r="N2162" s="1" t="s">
        <v>922</v>
      </c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25">
      <c r="A2163" s="7" t="s">
        <v>5006</v>
      </c>
      <c r="C2163" s="8" t="s">
        <v>9510</v>
      </c>
      <c r="D2163">
        <f t="shared" si="33"/>
        <v>1</v>
      </c>
      <c r="I2163" s="1" t="s">
        <v>1061</v>
      </c>
      <c r="J2163" s="1" t="s">
        <v>983</v>
      </c>
      <c r="K2163" s="1" t="s">
        <v>919</v>
      </c>
      <c r="L2163" s="1" t="s">
        <v>1020</v>
      </c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25">
      <c r="A2164" s="8" t="s">
        <v>5006</v>
      </c>
      <c r="C2164" s="7" t="s">
        <v>10313</v>
      </c>
      <c r="D2164">
        <f t="shared" si="33"/>
        <v>1</v>
      </c>
      <c r="I2164" s="1" t="s">
        <v>941</v>
      </c>
      <c r="J2164" s="1" t="s">
        <v>918</v>
      </c>
      <c r="K2164" s="1" t="s">
        <v>955</v>
      </c>
      <c r="L2164" s="1" t="s">
        <v>919</v>
      </c>
      <c r="M2164" s="1" t="s">
        <v>924</v>
      </c>
      <c r="N2164" s="1" t="s">
        <v>1014</v>
      </c>
      <c r="O2164" s="1" t="s">
        <v>944</v>
      </c>
      <c r="P2164" s="1" t="s">
        <v>925</v>
      </c>
      <c r="Q2164" s="1" t="s">
        <v>10774</v>
      </c>
      <c r="R2164" s="1"/>
      <c r="S2164" s="1"/>
      <c r="T2164" s="1"/>
      <c r="U2164" s="1"/>
      <c r="V2164" s="1"/>
      <c r="W2164" s="1"/>
      <c r="X2164" s="1"/>
      <c r="Y2164" s="1"/>
    </row>
    <row r="2165" spans="1:25" x14ac:dyDescent="0.25">
      <c r="A2165" s="7" t="s">
        <v>3686</v>
      </c>
      <c r="C2165" s="8" t="s">
        <v>9682</v>
      </c>
      <c r="D2165">
        <f t="shared" si="33"/>
        <v>1</v>
      </c>
      <c r="I2165" s="1" t="s">
        <v>918</v>
      </c>
      <c r="J2165" s="1" t="s">
        <v>25</v>
      </c>
      <c r="K2165" s="1" t="s">
        <v>919</v>
      </c>
      <c r="L2165" s="1" t="s">
        <v>920</v>
      </c>
      <c r="M2165" s="1" t="s">
        <v>921</v>
      </c>
      <c r="N2165" s="1" t="s">
        <v>922</v>
      </c>
      <c r="O2165" s="1" t="s">
        <v>10964</v>
      </c>
      <c r="P2165" s="1" t="s">
        <v>10849</v>
      </c>
      <c r="Q2165" s="1" t="s">
        <v>924</v>
      </c>
      <c r="R2165" s="1" t="s">
        <v>936</v>
      </c>
      <c r="S2165" s="1" t="s">
        <v>929</v>
      </c>
      <c r="T2165" s="1"/>
      <c r="U2165" s="1"/>
      <c r="V2165" s="1"/>
      <c r="W2165" s="1"/>
      <c r="X2165" s="1"/>
      <c r="Y2165" s="1"/>
    </row>
    <row r="2166" spans="1:25" x14ac:dyDescent="0.25">
      <c r="A2166" s="7" t="s">
        <v>9630</v>
      </c>
      <c r="C2166" s="8" t="s">
        <v>9509</v>
      </c>
      <c r="D2166">
        <f t="shared" si="33"/>
        <v>1</v>
      </c>
      <c r="I2166" s="1" t="s">
        <v>918</v>
      </c>
      <c r="J2166" s="1" t="s">
        <v>1031</v>
      </c>
      <c r="K2166" s="1" t="s">
        <v>25</v>
      </c>
      <c r="L2166" s="1" t="s">
        <v>923</v>
      </c>
      <c r="M2166" s="1" t="s">
        <v>976</v>
      </c>
      <c r="N2166" s="1" t="s">
        <v>916</v>
      </c>
      <c r="O2166" s="1" t="s">
        <v>920</v>
      </c>
      <c r="P2166" s="1" t="s">
        <v>921</v>
      </c>
      <c r="Q2166" s="1" t="s">
        <v>1033</v>
      </c>
      <c r="R2166" s="1"/>
      <c r="S2166" s="1"/>
      <c r="T2166" s="1"/>
      <c r="U2166" s="1"/>
      <c r="V2166" s="1"/>
      <c r="W2166" s="1"/>
      <c r="X2166" s="1"/>
      <c r="Y2166" s="1"/>
    </row>
    <row r="2167" spans="1:25" x14ac:dyDescent="0.25">
      <c r="A2167" s="7" t="s">
        <v>10635</v>
      </c>
      <c r="C2167" s="8" t="s">
        <v>9418</v>
      </c>
      <c r="D2167">
        <f t="shared" si="33"/>
        <v>1</v>
      </c>
      <c r="I2167" s="1" t="s">
        <v>1035</v>
      </c>
      <c r="J2167" s="1" t="s">
        <v>1034</v>
      </c>
      <c r="K2167" s="1" t="s">
        <v>1014</v>
      </c>
      <c r="L2167" s="1" t="s">
        <v>941</v>
      </c>
      <c r="M2167" s="1" t="s">
        <v>956</v>
      </c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25">
      <c r="A2168" s="7" t="s">
        <v>4474</v>
      </c>
      <c r="C2168" s="7" t="s">
        <v>9036</v>
      </c>
      <c r="D2168">
        <f t="shared" si="33"/>
        <v>1</v>
      </c>
      <c r="I2168" s="1" t="s">
        <v>6268</v>
      </c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25">
      <c r="A2169" s="8" t="s">
        <v>9342</v>
      </c>
      <c r="C2169" s="8" t="s">
        <v>8991</v>
      </c>
      <c r="D2169">
        <f t="shared" si="33"/>
        <v>1</v>
      </c>
      <c r="I2169" s="1" t="s">
        <v>6268</v>
      </c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25">
      <c r="A2170" s="8" t="s">
        <v>9342</v>
      </c>
      <c r="C2170" s="7" t="s">
        <v>10596</v>
      </c>
      <c r="D2170">
        <f t="shared" si="33"/>
        <v>1</v>
      </c>
      <c r="I2170" s="1" t="s">
        <v>6272</v>
      </c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25">
      <c r="A2171" s="8" t="s">
        <v>9342</v>
      </c>
      <c r="C2171" s="8" t="s">
        <v>10158</v>
      </c>
      <c r="D2171">
        <f t="shared" si="33"/>
        <v>1</v>
      </c>
      <c r="I2171" s="1" t="s">
        <v>6272</v>
      </c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25">
      <c r="A2172" s="8" t="s">
        <v>9342</v>
      </c>
      <c r="C2172" s="7" t="s">
        <v>9376</v>
      </c>
      <c r="D2172">
        <f t="shared" si="33"/>
        <v>1</v>
      </c>
      <c r="I2172" s="1" t="s">
        <v>10999</v>
      </c>
      <c r="J2172" s="1" t="s">
        <v>1091</v>
      </c>
      <c r="K2172" s="1" t="s">
        <v>939</v>
      </c>
      <c r="L2172" s="1" t="s">
        <v>928</v>
      </c>
      <c r="M2172" s="1" t="s">
        <v>1059</v>
      </c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25">
      <c r="A2173" s="8" t="s">
        <v>9342</v>
      </c>
      <c r="C2173" s="8" t="s">
        <v>10573</v>
      </c>
      <c r="D2173">
        <f t="shared" si="33"/>
        <v>1</v>
      </c>
      <c r="I2173" s="1" t="s">
        <v>10999</v>
      </c>
      <c r="J2173" s="1" t="s">
        <v>1091</v>
      </c>
      <c r="K2173" s="1" t="s">
        <v>939</v>
      </c>
      <c r="L2173" s="1" t="s">
        <v>928</v>
      </c>
      <c r="M2173" s="1" t="s">
        <v>1059</v>
      </c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25">
      <c r="A2174" s="7" t="s">
        <v>351</v>
      </c>
      <c r="C2174" s="8" t="s">
        <v>10356</v>
      </c>
      <c r="D2174">
        <f t="shared" si="33"/>
        <v>1</v>
      </c>
      <c r="I2174" s="1" t="s">
        <v>10999</v>
      </c>
      <c r="J2174" s="1" t="s">
        <v>1091</v>
      </c>
      <c r="K2174" s="1" t="s">
        <v>939</v>
      </c>
      <c r="L2174" s="1" t="s">
        <v>928</v>
      </c>
      <c r="M2174" s="1" t="s">
        <v>1059</v>
      </c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25">
      <c r="A2175" s="7" t="s">
        <v>351</v>
      </c>
      <c r="C2175" s="8" t="s">
        <v>10337</v>
      </c>
      <c r="D2175">
        <f t="shared" si="33"/>
        <v>1</v>
      </c>
      <c r="I2175" s="1" t="s">
        <v>10999</v>
      </c>
      <c r="J2175" s="1" t="s">
        <v>1091</v>
      </c>
      <c r="K2175" s="1" t="s">
        <v>939</v>
      </c>
      <c r="L2175" s="1" t="s">
        <v>928</v>
      </c>
      <c r="M2175" s="1" t="s">
        <v>1059</v>
      </c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25">
      <c r="A2176" s="8" t="s">
        <v>351</v>
      </c>
      <c r="C2176" s="7" t="s">
        <v>9562</v>
      </c>
      <c r="D2176">
        <f t="shared" si="33"/>
        <v>1</v>
      </c>
      <c r="I2176" s="1" t="s">
        <v>918</v>
      </c>
      <c r="J2176" s="1" t="s">
        <v>25</v>
      </c>
      <c r="K2176" s="1" t="s">
        <v>923</v>
      </c>
      <c r="L2176" s="1" t="s">
        <v>919</v>
      </c>
      <c r="M2176" s="1" t="s">
        <v>920</v>
      </c>
      <c r="N2176" s="1" t="s">
        <v>921</v>
      </c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25">
      <c r="A2177" s="8" t="s">
        <v>351</v>
      </c>
      <c r="C2177" s="7" t="s">
        <v>10089</v>
      </c>
      <c r="D2177">
        <f t="shared" si="33"/>
        <v>1</v>
      </c>
      <c r="I2177" s="1" t="s">
        <v>921</v>
      </c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25">
      <c r="A2178" s="7" t="s">
        <v>2157</v>
      </c>
      <c r="C2178" s="7" t="s">
        <v>9924</v>
      </c>
      <c r="D2178">
        <f t="shared" ref="D2178:D2241" si="34">COUNTIF(A:A,C2178)</f>
        <v>1</v>
      </c>
      <c r="I2178" s="1" t="s">
        <v>10741</v>
      </c>
      <c r="J2178" s="1" t="s">
        <v>1034</v>
      </c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25">
      <c r="A2179" s="8" t="s">
        <v>9344</v>
      </c>
      <c r="C2179" s="7" t="s">
        <v>8311</v>
      </c>
      <c r="D2179">
        <f t="shared" si="34"/>
        <v>1</v>
      </c>
      <c r="I2179" s="1" t="s">
        <v>918</v>
      </c>
      <c r="J2179" s="1" t="s">
        <v>25</v>
      </c>
      <c r="K2179" s="1" t="s">
        <v>916</v>
      </c>
      <c r="L2179" s="1" t="s">
        <v>919</v>
      </c>
      <c r="M2179" s="1" t="s">
        <v>920</v>
      </c>
      <c r="N2179" s="1" t="s">
        <v>921</v>
      </c>
      <c r="O2179" s="1" t="s">
        <v>10957</v>
      </c>
      <c r="P2179" s="1"/>
      <c r="Q2179" s="1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25">
      <c r="A2180" s="8" t="s">
        <v>9873</v>
      </c>
      <c r="C2180" s="7" t="s">
        <v>9838</v>
      </c>
      <c r="D2180">
        <f t="shared" si="34"/>
        <v>1</v>
      </c>
      <c r="I2180" s="1" t="s">
        <v>50</v>
      </c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25">
      <c r="A2181" s="7" t="s">
        <v>8744</v>
      </c>
      <c r="C2181" s="8" t="s">
        <v>8869</v>
      </c>
      <c r="D2181">
        <f t="shared" si="34"/>
        <v>1</v>
      </c>
      <c r="I2181" s="1" t="s">
        <v>918</v>
      </c>
      <c r="J2181" s="1" t="s">
        <v>924</v>
      </c>
      <c r="K2181" s="1" t="s">
        <v>1439</v>
      </c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25">
      <c r="A2182" s="7" t="s">
        <v>8744</v>
      </c>
      <c r="C2182" s="7" t="s">
        <v>9656</v>
      </c>
      <c r="D2182">
        <f t="shared" si="34"/>
        <v>1</v>
      </c>
      <c r="I2182" s="1" t="s">
        <v>90</v>
      </c>
      <c r="J2182" s="1" t="s">
        <v>918</v>
      </c>
      <c r="K2182" s="1" t="s">
        <v>920</v>
      </c>
      <c r="L2182" s="1" t="s">
        <v>921</v>
      </c>
      <c r="M2182" s="1" t="s">
        <v>965</v>
      </c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25">
      <c r="A2183" s="7" t="s">
        <v>8744</v>
      </c>
      <c r="C2183" s="8" t="s">
        <v>10135</v>
      </c>
      <c r="D2183">
        <f t="shared" si="34"/>
        <v>1</v>
      </c>
      <c r="I2183" s="1" t="s">
        <v>1004</v>
      </c>
      <c r="J2183" s="1" t="s">
        <v>1005</v>
      </c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25">
      <c r="A2184" s="7" t="s">
        <v>8744</v>
      </c>
      <c r="C2184" s="8" t="s">
        <v>10342</v>
      </c>
      <c r="D2184">
        <f t="shared" si="34"/>
        <v>1</v>
      </c>
      <c r="I2184" s="1" t="s">
        <v>918</v>
      </c>
      <c r="J2184" s="1" t="s">
        <v>927</v>
      </c>
      <c r="K2184" s="1" t="s">
        <v>919</v>
      </c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25">
      <c r="A2185" s="7" t="s">
        <v>8744</v>
      </c>
      <c r="C2185" s="8" t="s">
        <v>9057</v>
      </c>
      <c r="D2185">
        <f t="shared" si="34"/>
        <v>1</v>
      </c>
      <c r="I2185" s="1" t="s">
        <v>1013</v>
      </c>
      <c r="J2185" s="1" t="s">
        <v>919</v>
      </c>
      <c r="K2185" s="1" t="s">
        <v>1037</v>
      </c>
      <c r="L2185" s="1" t="s">
        <v>918</v>
      </c>
      <c r="M2185" s="1" t="s">
        <v>936</v>
      </c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25">
      <c r="A2186" s="7" t="s">
        <v>9555</v>
      </c>
      <c r="C2186" s="8" t="s">
        <v>9707</v>
      </c>
      <c r="D2186">
        <f t="shared" si="34"/>
        <v>1</v>
      </c>
      <c r="I2186" s="1" t="s">
        <v>50</v>
      </c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25">
      <c r="A2187" s="8" t="s">
        <v>10116</v>
      </c>
      <c r="C2187" s="8" t="s">
        <v>9090</v>
      </c>
      <c r="D2187">
        <f t="shared" si="34"/>
        <v>1</v>
      </c>
      <c r="I2187" s="1" t="s">
        <v>918</v>
      </c>
      <c r="J2187" s="1" t="s">
        <v>25</v>
      </c>
      <c r="K2187" s="1" t="s">
        <v>923</v>
      </c>
      <c r="L2187" s="1" t="s">
        <v>916</v>
      </c>
      <c r="M2187" s="1" t="s">
        <v>919</v>
      </c>
      <c r="N2187" s="1" t="s">
        <v>920</v>
      </c>
      <c r="O2187" s="1" t="s">
        <v>924</v>
      </c>
      <c r="P2187" s="1" t="s">
        <v>921</v>
      </c>
      <c r="Q2187" s="1" t="s">
        <v>922</v>
      </c>
      <c r="R2187" s="1" t="s">
        <v>936</v>
      </c>
      <c r="S2187" s="1" t="s">
        <v>1097</v>
      </c>
      <c r="T2187" s="1" t="s">
        <v>929</v>
      </c>
      <c r="U2187" s="1"/>
      <c r="V2187" s="1"/>
      <c r="W2187" s="1"/>
      <c r="X2187" s="1"/>
      <c r="Y2187" s="1"/>
    </row>
    <row r="2188" spans="1:25" x14ac:dyDescent="0.25">
      <c r="A2188" s="8" t="s">
        <v>10116</v>
      </c>
      <c r="C2188" s="8" t="s">
        <v>9714</v>
      </c>
      <c r="D2188">
        <f t="shared" si="34"/>
        <v>1</v>
      </c>
      <c r="I2188" s="1" t="s">
        <v>1001</v>
      </c>
      <c r="J2188" s="1" t="s">
        <v>918</v>
      </c>
      <c r="K2188" s="1" t="s">
        <v>927</v>
      </c>
      <c r="L2188" s="1" t="s">
        <v>919</v>
      </c>
      <c r="M2188" s="1" t="s">
        <v>936</v>
      </c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25">
      <c r="A2189" s="7" t="s">
        <v>10271</v>
      </c>
      <c r="C2189" s="8" t="s">
        <v>9802</v>
      </c>
      <c r="D2189">
        <f t="shared" si="34"/>
        <v>1</v>
      </c>
      <c r="I2189" s="1" t="s">
        <v>1007</v>
      </c>
      <c r="J2189" s="1" t="s">
        <v>1004</v>
      </c>
      <c r="K2189" s="1" t="s">
        <v>1005</v>
      </c>
      <c r="L2189" s="1" t="s">
        <v>1008</v>
      </c>
      <c r="M2189" s="1" t="s">
        <v>1006</v>
      </c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25">
      <c r="A2190" s="7" t="s">
        <v>661</v>
      </c>
      <c r="C2190" s="8" t="s">
        <v>9846</v>
      </c>
      <c r="D2190">
        <f t="shared" si="34"/>
        <v>1</v>
      </c>
      <c r="I2190" s="1" t="s">
        <v>2331</v>
      </c>
      <c r="J2190" s="1" t="s">
        <v>11000</v>
      </c>
      <c r="K2190" s="1" t="s">
        <v>1019</v>
      </c>
      <c r="L2190" s="1" t="s">
        <v>983</v>
      </c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25">
      <c r="A2191" s="7" t="s">
        <v>661</v>
      </c>
      <c r="C2191" s="7" t="s">
        <v>10075</v>
      </c>
      <c r="D2191">
        <f t="shared" si="34"/>
        <v>1</v>
      </c>
      <c r="I2191" s="1" t="s">
        <v>1035</v>
      </c>
      <c r="J2191" s="1" t="s">
        <v>1034</v>
      </c>
      <c r="K2191" s="1" t="s">
        <v>1014</v>
      </c>
      <c r="L2191" s="1" t="s">
        <v>956</v>
      </c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25">
      <c r="A2192" s="7" t="s">
        <v>661</v>
      </c>
      <c r="C2192" s="7" t="s">
        <v>9013</v>
      </c>
      <c r="D2192">
        <f t="shared" si="34"/>
        <v>1</v>
      </c>
      <c r="I2192" s="1" t="s">
        <v>983</v>
      </c>
      <c r="J2192" s="1" t="s">
        <v>984</v>
      </c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25">
      <c r="A2193" s="8" t="s">
        <v>661</v>
      </c>
      <c r="C2193" s="7" t="s">
        <v>8896</v>
      </c>
      <c r="D2193">
        <f t="shared" si="34"/>
        <v>1</v>
      </c>
      <c r="I2193" s="1" t="s">
        <v>4152</v>
      </c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25">
      <c r="A2194" s="7" t="s">
        <v>2657</v>
      </c>
      <c r="C2194" s="8" t="s">
        <v>10198</v>
      </c>
      <c r="D2194">
        <f t="shared" si="34"/>
        <v>1</v>
      </c>
      <c r="I2194" s="1" t="s">
        <v>1041</v>
      </c>
      <c r="J2194" s="1" t="s">
        <v>1087</v>
      </c>
      <c r="K2194" s="1" t="s">
        <v>999</v>
      </c>
      <c r="L2194" s="1" t="s">
        <v>921</v>
      </c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25">
      <c r="A2195" s="8" t="s">
        <v>9225</v>
      </c>
      <c r="C2195" s="8" t="s">
        <v>9910</v>
      </c>
      <c r="D2195">
        <f t="shared" si="34"/>
        <v>1</v>
      </c>
      <c r="I2195" s="1" t="s">
        <v>1041</v>
      </c>
      <c r="J2195" s="1" t="s">
        <v>1087</v>
      </c>
      <c r="K2195" s="1" t="s">
        <v>999</v>
      </c>
      <c r="L2195" s="1" t="s">
        <v>921</v>
      </c>
      <c r="M2195" s="1" t="s">
        <v>10894</v>
      </c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25">
      <c r="A2196" s="8" t="s">
        <v>9225</v>
      </c>
      <c r="C2196" s="8" t="s">
        <v>9809</v>
      </c>
      <c r="D2196">
        <f t="shared" si="34"/>
        <v>1</v>
      </c>
      <c r="I2196" s="1" t="s">
        <v>1041</v>
      </c>
      <c r="J2196" s="1" t="s">
        <v>1087</v>
      </c>
      <c r="K2196" s="1" t="s">
        <v>999</v>
      </c>
      <c r="L2196" s="1" t="s">
        <v>921</v>
      </c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25">
      <c r="A2197" s="8" t="s">
        <v>10620</v>
      </c>
      <c r="C2197" s="7" t="s">
        <v>10383</v>
      </c>
      <c r="D2197">
        <f t="shared" si="34"/>
        <v>1</v>
      </c>
      <c r="I2197" s="1" t="s">
        <v>1041</v>
      </c>
      <c r="J2197" s="1" t="s">
        <v>1087</v>
      </c>
      <c r="K2197" s="1" t="s">
        <v>999</v>
      </c>
      <c r="L2197" s="1" t="s">
        <v>921</v>
      </c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25">
      <c r="A2198" s="8" t="s">
        <v>10521</v>
      </c>
      <c r="C2198" s="8" t="s">
        <v>9936</v>
      </c>
      <c r="D2198">
        <f t="shared" si="34"/>
        <v>1</v>
      </c>
      <c r="I2198" s="1" t="s">
        <v>1041</v>
      </c>
      <c r="J2198" s="1" t="s">
        <v>1087</v>
      </c>
      <c r="K2198" s="1" t="s">
        <v>999</v>
      </c>
      <c r="L2198" s="1" t="s">
        <v>921</v>
      </c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25">
      <c r="A2199" s="8" t="s">
        <v>10521</v>
      </c>
      <c r="C2199" s="7" t="s">
        <v>9599</v>
      </c>
      <c r="D2199">
        <f t="shared" si="34"/>
        <v>1</v>
      </c>
      <c r="I2199" s="1" t="s">
        <v>1041</v>
      </c>
      <c r="J2199" s="1" t="s">
        <v>1087</v>
      </c>
      <c r="K2199" s="1" t="s">
        <v>999</v>
      </c>
      <c r="L2199" s="1" t="s">
        <v>921</v>
      </c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25">
      <c r="A2200" s="8" t="s">
        <v>10521</v>
      </c>
      <c r="C2200" s="8" t="s">
        <v>9848</v>
      </c>
      <c r="D2200">
        <f t="shared" si="34"/>
        <v>1</v>
      </c>
      <c r="I2200" s="1" t="s">
        <v>918</v>
      </c>
      <c r="J2200" s="1" t="s">
        <v>25</v>
      </c>
      <c r="K2200" s="1" t="s">
        <v>1148</v>
      </c>
      <c r="L2200" s="1" t="s">
        <v>923</v>
      </c>
      <c r="M2200" s="1" t="s">
        <v>927</v>
      </c>
      <c r="N2200" s="1" t="s">
        <v>1086</v>
      </c>
      <c r="O2200" s="1" t="s">
        <v>920</v>
      </c>
      <c r="P2200" s="1"/>
      <c r="Q2200" s="1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25">
      <c r="A2201" s="7" t="s">
        <v>10059</v>
      </c>
      <c r="C2201" s="8" t="s">
        <v>9473</v>
      </c>
      <c r="D2201">
        <f t="shared" si="34"/>
        <v>1</v>
      </c>
      <c r="I2201" s="1" t="s">
        <v>918</v>
      </c>
      <c r="J2201" s="1" t="s">
        <v>25</v>
      </c>
      <c r="K2201" s="1" t="s">
        <v>1148</v>
      </c>
      <c r="L2201" s="1" t="s">
        <v>923</v>
      </c>
      <c r="M2201" s="1" t="s">
        <v>927</v>
      </c>
      <c r="N2201" s="1" t="s">
        <v>1086</v>
      </c>
      <c r="O2201" s="1" t="s">
        <v>920</v>
      </c>
      <c r="P2201" s="1"/>
      <c r="Q2201" s="1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25">
      <c r="A2202" s="8" t="s">
        <v>10059</v>
      </c>
      <c r="C2202" s="8" t="s">
        <v>10638</v>
      </c>
      <c r="D2202">
        <f t="shared" si="34"/>
        <v>1</v>
      </c>
      <c r="I2202" s="1" t="s">
        <v>979</v>
      </c>
      <c r="J2202" s="1" t="s">
        <v>980</v>
      </c>
      <c r="K2202" s="1" t="s">
        <v>11001</v>
      </c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25">
      <c r="A2203" s="7" t="s">
        <v>9742</v>
      </c>
      <c r="C2203" s="7" t="s">
        <v>10327</v>
      </c>
      <c r="D2203">
        <f t="shared" si="34"/>
        <v>1</v>
      </c>
      <c r="I2203" s="1" t="s">
        <v>979</v>
      </c>
      <c r="J2203" s="1" t="s">
        <v>980</v>
      </c>
      <c r="K2203" s="1" t="s">
        <v>11001</v>
      </c>
      <c r="L2203" s="1" t="s">
        <v>10724</v>
      </c>
      <c r="M2203" s="1" t="s">
        <v>1058</v>
      </c>
      <c r="N2203" s="1" t="s">
        <v>939</v>
      </c>
      <c r="O2203" s="1" t="s">
        <v>11002</v>
      </c>
      <c r="P2203" s="1"/>
      <c r="Q2203" s="1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25">
      <c r="A2204" s="7" t="s">
        <v>9742</v>
      </c>
      <c r="C2204" s="7" t="s">
        <v>9184</v>
      </c>
      <c r="D2204">
        <f t="shared" si="34"/>
        <v>1</v>
      </c>
      <c r="I2204" s="1" t="s">
        <v>50</v>
      </c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25">
      <c r="A2205" s="8" t="s">
        <v>8916</v>
      </c>
      <c r="C2205" s="7" t="s">
        <v>3126</v>
      </c>
      <c r="D2205">
        <f t="shared" si="34"/>
        <v>1</v>
      </c>
      <c r="I2205" s="1" t="s">
        <v>933</v>
      </c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25">
      <c r="A2206" s="8" t="s">
        <v>8916</v>
      </c>
      <c r="C2206" s="7" t="s">
        <v>9783</v>
      </c>
      <c r="D2206">
        <f t="shared" si="34"/>
        <v>1</v>
      </c>
      <c r="I2206" s="1" t="s">
        <v>918</v>
      </c>
      <c r="J2206" s="1" t="s">
        <v>25</v>
      </c>
      <c r="K2206" s="1" t="s">
        <v>916</v>
      </c>
      <c r="L2206" s="1" t="s">
        <v>919</v>
      </c>
      <c r="M2206" s="1" t="s">
        <v>920</v>
      </c>
      <c r="N2206" s="1" t="s">
        <v>921</v>
      </c>
      <c r="O2206" s="1" t="s">
        <v>946</v>
      </c>
      <c r="P2206" s="1" t="s">
        <v>922</v>
      </c>
      <c r="Q2206" s="1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25">
      <c r="A2207" s="7" t="s">
        <v>2555</v>
      </c>
      <c r="C2207" s="7" t="s">
        <v>10378</v>
      </c>
      <c r="D2207">
        <f t="shared" si="34"/>
        <v>1</v>
      </c>
      <c r="I2207" s="1" t="s">
        <v>918</v>
      </c>
      <c r="J2207" s="1" t="s">
        <v>25</v>
      </c>
      <c r="K2207" s="1" t="s">
        <v>1148</v>
      </c>
      <c r="L2207" s="1" t="s">
        <v>923</v>
      </c>
      <c r="M2207" s="1" t="s">
        <v>927</v>
      </c>
      <c r="N2207" s="1" t="s">
        <v>1086</v>
      </c>
      <c r="O2207" s="1" t="s">
        <v>920</v>
      </c>
      <c r="P2207" s="1" t="s">
        <v>996</v>
      </c>
      <c r="Q2207" s="1" t="s">
        <v>997</v>
      </c>
      <c r="R2207" s="1" t="s">
        <v>10741</v>
      </c>
      <c r="S2207" s="1" t="s">
        <v>10826</v>
      </c>
      <c r="T2207" s="1" t="s">
        <v>986</v>
      </c>
      <c r="U2207" s="1" t="s">
        <v>10797</v>
      </c>
      <c r="V2207" s="1"/>
      <c r="W2207" s="1"/>
      <c r="X2207" s="1"/>
      <c r="Y2207" s="1"/>
    </row>
    <row r="2208" spans="1:25" x14ac:dyDescent="0.25">
      <c r="A2208" s="7" t="s">
        <v>10609</v>
      </c>
      <c r="C2208" s="7" t="s">
        <v>9226</v>
      </c>
      <c r="D2208">
        <f t="shared" si="34"/>
        <v>1</v>
      </c>
      <c r="I2208" s="1" t="s">
        <v>918</v>
      </c>
      <c r="J2208" s="1" t="s">
        <v>25</v>
      </c>
      <c r="K2208" s="1" t="s">
        <v>923</v>
      </c>
      <c r="L2208" s="1" t="s">
        <v>916</v>
      </c>
      <c r="M2208" s="1" t="s">
        <v>919</v>
      </c>
      <c r="N2208" s="1" t="s">
        <v>924</v>
      </c>
      <c r="O2208" s="1" t="s">
        <v>974</v>
      </c>
      <c r="P2208" s="1" t="s">
        <v>922</v>
      </c>
      <c r="Q2208" s="1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25">
      <c r="A2209" s="7" t="s">
        <v>9762</v>
      </c>
      <c r="C2209" s="8" t="s">
        <v>9623</v>
      </c>
      <c r="D2209">
        <f t="shared" si="34"/>
        <v>1</v>
      </c>
      <c r="I2209" s="1" t="s">
        <v>918</v>
      </c>
      <c r="J2209" s="1" t="s">
        <v>25</v>
      </c>
      <c r="K2209" s="1" t="s">
        <v>923</v>
      </c>
      <c r="L2209" s="1" t="s">
        <v>916</v>
      </c>
      <c r="M2209" s="1" t="s">
        <v>919</v>
      </c>
      <c r="N2209" s="1" t="s">
        <v>924</v>
      </c>
      <c r="O2209" s="1" t="s">
        <v>974</v>
      </c>
      <c r="P2209" s="1" t="s">
        <v>922</v>
      </c>
      <c r="Q2209" s="1" t="s">
        <v>958</v>
      </c>
      <c r="R2209" s="1" t="s">
        <v>955</v>
      </c>
      <c r="S2209" s="1" t="s">
        <v>986</v>
      </c>
      <c r="T2209" s="1" t="s">
        <v>1040</v>
      </c>
      <c r="U2209" s="1" t="s">
        <v>941</v>
      </c>
      <c r="V2209" s="1" t="s">
        <v>1014</v>
      </c>
      <c r="W2209" s="1" t="s">
        <v>956</v>
      </c>
      <c r="X2209" s="1"/>
      <c r="Y2209" s="1"/>
    </row>
    <row r="2210" spans="1:25" x14ac:dyDescent="0.25">
      <c r="A2210" s="8" t="s">
        <v>9762</v>
      </c>
      <c r="C2210" s="8" t="s">
        <v>9033</v>
      </c>
      <c r="D2210">
        <f t="shared" si="34"/>
        <v>1</v>
      </c>
      <c r="I2210" s="1" t="s">
        <v>918</v>
      </c>
      <c r="J2210" s="1" t="s">
        <v>25</v>
      </c>
      <c r="K2210" s="1" t="s">
        <v>923</v>
      </c>
      <c r="L2210" s="1" t="s">
        <v>916</v>
      </c>
      <c r="M2210" s="1" t="s">
        <v>919</v>
      </c>
      <c r="N2210" s="1" t="s">
        <v>924</v>
      </c>
      <c r="O2210" s="1" t="s">
        <v>974</v>
      </c>
      <c r="P2210" s="1" t="s">
        <v>922</v>
      </c>
      <c r="Q2210" s="1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25">
      <c r="A2211" s="8" t="s">
        <v>9762</v>
      </c>
      <c r="C2211" s="8" t="s">
        <v>9544</v>
      </c>
      <c r="D2211">
        <f t="shared" si="34"/>
        <v>1</v>
      </c>
      <c r="I2211" s="1" t="s">
        <v>256</v>
      </c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25">
      <c r="A2212" s="7" t="s">
        <v>10002</v>
      </c>
      <c r="C2212" s="7" t="s">
        <v>10077</v>
      </c>
      <c r="D2212">
        <f t="shared" si="34"/>
        <v>1</v>
      </c>
      <c r="I2212" s="1" t="s">
        <v>996</v>
      </c>
      <c r="J2212" s="1" t="s">
        <v>25</v>
      </c>
      <c r="K2212" s="1" t="s">
        <v>997</v>
      </c>
      <c r="L2212" s="1" t="s">
        <v>927</v>
      </c>
      <c r="M2212" s="1" t="s">
        <v>998</v>
      </c>
      <c r="N2212" s="1" t="s">
        <v>992</v>
      </c>
      <c r="O2212" s="1" t="s">
        <v>933</v>
      </c>
      <c r="P2212" s="1" t="s">
        <v>994</v>
      </c>
      <c r="Q2212" s="1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25">
      <c r="A2213" s="7" t="s">
        <v>9220</v>
      </c>
      <c r="C2213" s="8" t="s">
        <v>9894</v>
      </c>
      <c r="D2213">
        <f t="shared" si="34"/>
        <v>1</v>
      </c>
      <c r="I2213" s="1" t="s">
        <v>996</v>
      </c>
      <c r="J2213" s="1" t="s">
        <v>25</v>
      </c>
      <c r="K2213" s="1" t="s">
        <v>997</v>
      </c>
      <c r="L2213" s="1" t="s">
        <v>927</v>
      </c>
      <c r="M2213" s="1" t="s">
        <v>998</v>
      </c>
      <c r="N2213" s="1" t="s">
        <v>992</v>
      </c>
      <c r="O2213" s="1" t="s">
        <v>933</v>
      </c>
      <c r="P2213" s="1" t="s">
        <v>994</v>
      </c>
      <c r="Q2213" s="1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25">
      <c r="A2214" s="7" t="s">
        <v>9220</v>
      </c>
      <c r="C2214" s="8" t="s">
        <v>10241</v>
      </c>
      <c r="D2214">
        <f t="shared" si="34"/>
        <v>1</v>
      </c>
      <c r="I2214" s="1" t="s">
        <v>996</v>
      </c>
      <c r="J2214" s="1" t="s">
        <v>25</v>
      </c>
      <c r="K2214" s="1" t="s">
        <v>997</v>
      </c>
      <c r="L2214" s="1" t="s">
        <v>927</v>
      </c>
      <c r="M2214" s="1" t="s">
        <v>998</v>
      </c>
      <c r="N2214" s="1" t="s">
        <v>994</v>
      </c>
      <c r="O2214" s="1" t="s">
        <v>933</v>
      </c>
      <c r="P2214" s="1"/>
      <c r="Q2214" s="1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25">
      <c r="A2215" s="8" t="s">
        <v>9220</v>
      </c>
      <c r="C2215" s="8" t="s">
        <v>9962</v>
      </c>
      <c r="D2215">
        <f t="shared" si="34"/>
        <v>1</v>
      </c>
      <c r="I2215" s="1" t="s">
        <v>11003</v>
      </c>
      <c r="J2215" s="1" t="s">
        <v>923</v>
      </c>
      <c r="K2215" s="1" t="s">
        <v>976</v>
      </c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25">
      <c r="A2216" s="7" t="s">
        <v>9381</v>
      </c>
      <c r="C2216" s="8" t="s">
        <v>9437</v>
      </c>
      <c r="D2216">
        <f t="shared" si="34"/>
        <v>1</v>
      </c>
      <c r="I2216" s="1" t="s">
        <v>918</v>
      </c>
      <c r="J2216" s="1" t="s">
        <v>952</v>
      </c>
      <c r="K2216" s="1" t="s">
        <v>919</v>
      </c>
      <c r="L2216" s="1" t="s">
        <v>936</v>
      </c>
      <c r="M2216" s="1" t="s">
        <v>972</v>
      </c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25">
      <c r="A2217" s="8" t="s">
        <v>9381</v>
      </c>
      <c r="C2217" s="8" t="s">
        <v>9546</v>
      </c>
      <c r="D2217">
        <f t="shared" si="34"/>
        <v>1</v>
      </c>
      <c r="I2217" s="1" t="s">
        <v>25</v>
      </c>
      <c r="J2217" s="1" t="s">
        <v>923</v>
      </c>
      <c r="K2217" s="1" t="s">
        <v>920</v>
      </c>
      <c r="L2217" s="1" t="s">
        <v>933</v>
      </c>
      <c r="M2217" s="1" t="s">
        <v>954</v>
      </c>
      <c r="N2217" s="1" t="s">
        <v>921</v>
      </c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25">
      <c r="A2218" s="8" t="s">
        <v>9223</v>
      </c>
      <c r="C2218" s="7" t="s">
        <v>9971</v>
      </c>
      <c r="D2218">
        <f t="shared" si="34"/>
        <v>1</v>
      </c>
      <c r="I2218" s="1" t="s">
        <v>918</v>
      </c>
      <c r="J2218" s="1" t="s">
        <v>25</v>
      </c>
      <c r="K2218" s="1" t="s">
        <v>1148</v>
      </c>
      <c r="L2218" s="1" t="s">
        <v>923</v>
      </c>
      <c r="M2218" s="1" t="s">
        <v>927</v>
      </c>
      <c r="N2218" s="1" t="s">
        <v>1086</v>
      </c>
      <c r="O2218" s="1" t="s">
        <v>920</v>
      </c>
      <c r="P2218" s="1"/>
      <c r="Q2218" s="1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25">
      <c r="A2219" s="8" t="s">
        <v>8956</v>
      </c>
      <c r="C2219" s="8" t="s">
        <v>10056</v>
      </c>
      <c r="D2219">
        <f t="shared" si="34"/>
        <v>1</v>
      </c>
      <c r="I2219" s="1" t="s">
        <v>1052</v>
      </c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25">
      <c r="A2220" s="7" t="s">
        <v>10412</v>
      </c>
      <c r="C2220" s="7" t="s">
        <v>9909</v>
      </c>
      <c r="D2220">
        <f t="shared" si="34"/>
        <v>1</v>
      </c>
      <c r="I2220" s="1" t="s">
        <v>1052</v>
      </c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25">
      <c r="A2221" s="8" t="s">
        <v>10665</v>
      </c>
      <c r="C2221" s="8" t="s">
        <v>9777</v>
      </c>
      <c r="D2221">
        <f t="shared" si="34"/>
        <v>1</v>
      </c>
      <c r="I2221" s="1" t="s">
        <v>1001</v>
      </c>
      <c r="J2221" s="1" t="s">
        <v>10936</v>
      </c>
      <c r="K2221" s="1" t="s">
        <v>927</v>
      </c>
      <c r="L2221" s="1" t="s">
        <v>981</v>
      </c>
      <c r="M2221" s="1" t="s">
        <v>919</v>
      </c>
      <c r="N2221" s="1" t="s">
        <v>923</v>
      </c>
      <c r="O2221" s="1" t="s">
        <v>1049</v>
      </c>
      <c r="P2221" s="1"/>
      <c r="Q2221" s="1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25">
      <c r="A2222" s="8" t="s">
        <v>10402</v>
      </c>
      <c r="C2222" s="7" t="s">
        <v>9964</v>
      </c>
      <c r="D2222">
        <f t="shared" si="34"/>
        <v>1</v>
      </c>
      <c r="I2222" s="1" t="s">
        <v>1038</v>
      </c>
      <c r="J2222" s="1" t="s">
        <v>919</v>
      </c>
      <c r="K2222" s="1" t="s">
        <v>10730</v>
      </c>
      <c r="L2222" s="1" t="s">
        <v>918</v>
      </c>
      <c r="M2222" s="1" t="s">
        <v>25</v>
      </c>
      <c r="N2222" s="1" t="s">
        <v>923</v>
      </c>
      <c r="O2222" s="1" t="s">
        <v>916</v>
      </c>
      <c r="P2222" s="1" t="s">
        <v>924</v>
      </c>
      <c r="Q2222" s="1" t="s">
        <v>974</v>
      </c>
      <c r="R2222" s="1" t="s">
        <v>922</v>
      </c>
      <c r="S2222" s="1"/>
      <c r="T2222" s="1"/>
      <c r="U2222" s="1"/>
      <c r="V2222" s="1"/>
      <c r="W2222" s="1"/>
      <c r="X2222" s="1"/>
      <c r="Y2222" s="1"/>
    </row>
    <row r="2223" spans="1:25" x14ac:dyDescent="0.25">
      <c r="A2223" s="8" t="s">
        <v>10402</v>
      </c>
      <c r="C2223" s="8" t="s">
        <v>10499</v>
      </c>
      <c r="D2223">
        <f t="shared" si="34"/>
        <v>1</v>
      </c>
      <c r="I2223" s="1" t="s">
        <v>992</v>
      </c>
      <c r="J2223" s="1" t="s">
        <v>933</v>
      </c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25">
      <c r="A2224" s="7" t="s">
        <v>9095</v>
      </c>
      <c r="C2224" s="7" t="s">
        <v>9640</v>
      </c>
      <c r="D2224">
        <f t="shared" si="34"/>
        <v>1</v>
      </c>
      <c r="I2224" s="1" t="s">
        <v>981</v>
      </c>
      <c r="J2224" s="1" t="s">
        <v>1066</v>
      </c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25">
      <c r="A2225" s="7" t="s">
        <v>9095</v>
      </c>
      <c r="C2225" s="8" t="s">
        <v>9238</v>
      </c>
      <c r="D2225">
        <f t="shared" si="34"/>
        <v>1</v>
      </c>
      <c r="I2225" s="1" t="s">
        <v>996</v>
      </c>
      <c r="J2225" s="1" t="s">
        <v>997</v>
      </c>
      <c r="K2225" s="1" t="s">
        <v>998</v>
      </c>
      <c r="L2225" s="1" t="s">
        <v>933</v>
      </c>
      <c r="M2225" s="1" t="s">
        <v>2541</v>
      </c>
      <c r="N2225" s="1" t="s">
        <v>994</v>
      </c>
      <c r="O2225" s="1" t="s">
        <v>1001</v>
      </c>
      <c r="P2225" s="1" t="s">
        <v>4258</v>
      </c>
      <c r="Q2225" s="1" t="s">
        <v>10751</v>
      </c>
      <c r="R2225" s="1" t="s">
        <v>1109</v>
      </c>
      <c r="S2225" s="1" t="s">
        <v>992</v>
      </c>
      <c r="T2225" s="1" t="s">
        <v>927</v>
      </c>
      <c r="U2225" s="1" t="s">
        <v>1086</v>
      </c>
      <c r="V2225" s="1"/>
      <c r="W2225" s="1"/>
      <c r="X2225" s="1"/>
      <c r="Y2225" s="1"/>
    </row>
    <row r="2226" spans="1:25" x14ac:dyDescent="0.25">
      <c r="A2226" s="7" t="s">
        <v>9927</v>
      </c>
      <c r="C2226" s="8" t="s">
        <v>8958</v>
      </c>
      <c r="D2226">
        <f t="shared" si="34"/>
        <v>1</v>
      </c>
      <c r="I2226" s="1" t="s">
        <v>996</v>
      </c>
      <c r="J2226" s="1" t="s">
        <v>997</v>
      </c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25">
      <c r="A2227" s="8" t="s">
        <v>9435</v>
      </c>
      <c r="C2227" s="7" t="s">
        <v>6109</v>
      </c>
      <c r="D2227">
        <f t="shared" si="34"/>
        <v>1</v>
      </c>
      <c r="I2227" s="1" t="s">
        <v>298</v>
      </c>
      <c r="J2227" s="1" t="s">
        <v>25</v>
      </c>
      <c r="K2227" s="1" t="s">
        <v>923</v>
      </c>
      <c r="L2227" s="1" t="s">
        <v>998</v>
      </c>
      <c r="M2227" s="1" t="s">
        <v>1053</v>
      </c>
      <c r="N2227" s="1" t="s">
        <v>933</v>
      </c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25">
      <c r="A2228" s="7" t="s">
        <v>2732</v>
      </c>
      <c r="C2228" s="8" t="s">
        <v>9452</v>
      </c>
      <c r="D2228">
        <f t="shared" si="34"/>
        <v>1</v>
      </c>
      <c r="I2228" s="1" t="s">
        <v>996</v>
      </c>
      <c r="J2228" s="1" t="s">
        <v>2541</v>
      </c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25">
      <c r="A2229" s="7" t="s">
        <v>8779</v>
      </c>
      <c r="C2229" s="7" t="s">
        <v>8645</v>
      </c>
      <c r="D2229">
        <f t="shared" si="34"/>
        <v>1</v>
      </c>
      <c r="I2229" s="1" t="s">
        <v>25</v>
      </c>
      <c r="J2229" s="1" t="s">
        <v>1086</v>
      </c>
      <c r="K2229" s="1" t="s">
        <v>920</v>
      </c>
      <c r="L2229" s="1" t="s">
        <v>933</v>
      </c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25">
      <c r="A2230" s="7" t="s">
        <v>8779</v>
      </c>
      <c r="C2230" s="7" t="s">
        <v>9827</v>
      </c>
      <c r="D2230">
        <f t="shared" si="34"/>
        <v>1</v>
      </c>
      <c r="I2230" s="1" t="s">
        <v>50</v>
      </c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25">
      <c r="A2231" s="7" t="s">
        <v>8779</v>
      </c>
      <c r="C2231" s="8" t="s">
        <v>10117</v>
      </c>
      <c r="D2231">
        <f t="shared" si="34"/>
        <v>1</v>
      </c>
      <c r="I2231" s="1" t="s">
        <v>996</v>
      </c>
      <c r="J2231" s="1" t="s">
        <v>997</v>
      </c>
      <c r="K2231" s="1" t="s">
        <v>998</v>
      </c>
      <c r="L2231" s="1" t="s">
        <v>6421</v>
      </c>
      <c r="M2231" s="1" t="s">
        <v>2541</v>
      </c>
      <c r="N2231" s="1" t="s">
        <v>994</v>
      </c>
      <c r="O2231" s="1" t="s">
        <v>1001</v>
      </c>
      <c r="P2231" s="1" t="s">
        <v>927</v>
      </c>
      <c r="Q2231" s="1" t="s">
        <v>919</v>
      </c>
      <c r="R2231" s="1" t="s">
        <v>10841</v>
      </c>
      <c r="S2231" s="1" t="s">
        <v>993</v>
      </c>
      <c r="T2231" s="1"/>
      <c r="U2231" s="1"/>
      <c r="V2231" s="1"/>
      <c r="W2231" s="1"/>
      <c r="X2231" s="1"/>
      <c r="Y2231" s="1"/>
    </row>
    <row r="2232" spans="1:25" x14ac:dyDescent="0.25">
      <c r="A2232" s="7" t="s">
        <v>8779</v>
      </c>
      <c r="C2232" s="7" t="s">
        <v>3073</v>
      </c>
      <c r="D2232">
        <f t="shared" si="34"/>
        <v>1</v>
      </c>
      <c r="I2232" s="1" t="s">
        <v>1000</v>
      </c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25">
      <c r="A2233" s="7" t="s">
        <v>8779</v>
      </c>
      <c r="C2233" s="8" t="s">
        <v>9055</v>
      </c>
      <c r="D2233">
        <f t="shared" si="34"/>
        <v>1</v>
      </c>
      <c r="I2233" s="1" t="s">
        <v>996</v>
      </c>
      <c r="J2233" s="1" t="s">
        <v>25</v>
      </c>
      <c r="K2233" s="1" t="s">
        <v>997</v>
      </c>
      <c r="L2233" s="1" t="s">
        <v>927</v>
      </c>
      <c r="M2233" s="1" t="s">
        <v>998</v>
      </c>
      <c r="N2233" s="1" t="s">
        <v>994</v>
      </c>
      <c r="O2233" s="1" t="s">
        <v>933</v>
      </c>
      <c r="P2233" s="1"/>
      <c r="Q2233" s="1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25">
      <c r="A2234" s="8" t="s">
        <v>8779</v>
      </c>
      <c r="C2234" s="7" t="s">
        <v>10528</v>
      </c>
      <c r="D2234">
        <f t="shared" si="34"/>
        <v>1</v>
      </c>
      <c r="I2234" s="1" t="s">
        <v>256</v>
      </c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25">
      <c r="A2235" s="8" t="s">
        <v>8779</v>
      </c>
      <c r="C2235" s="8" t="s">
        <v>10181</v>
      </c>
      <c r="D2235">
        <f t="shared" si="34"/>
        <v>1</v>
      </c>
      <c r="I2235" s="1" t="s">
        <v>256</v>
      </c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25">
      <c r="A2236" s="7" t="s">
        <v>4286</v>
      </c>
      <c r="C2236" s="7" t="s">
        <v>576</v>
      </c>
      <c r="D2236">
        <f t="shared" si="34"/>
        <v>1</v>
      </c>
      <c r="I2236" s="1" t="s">
        <v>983</v>
      </c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25">
      <c r="A2237" s="7" t="s">
        <v>4286</v>
      </c>
      <c r="C2237" s="8" t="s">
        <v>9007</v>
      </c>
      <c r="D2237">
        <f t="shared" si="34"/>
        <v>1</v>
      </c>
      <c r="I2237" s="1" t="s">
        <v>1001</v>
      </c>
      <c r="J2237" s="1" t="s">
        <v>936</v>
      </c>
      <c r="K2237" s="1" t="s">
        <v>1037</v>
      </c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25">
      <c r="A2238" s="7" t="s">
        <v>9540</v>
      </c>
      <c r="C2238" s="8" t="s">
        <v>10316</v>
      </c>
      <c r="D2238">
        <f t="shared" si="34"/>
        <v>1</v>
      </c>
      <c r="I2238" s="1" t="s">
        <v>1001</v>
      </c>
      <c r="J2238" s="1" t="s">
        <v>936</v>
      </c>
      <c r="K2238" s="1" t="s">
        <v>1037</v>
      </c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25">
      <c r="A2239" s="8" t="s">
        <v>9421</v>
      </c>
      <c r="C2239" s="7" t="s">
        <v>4838</v>
      </c>
      <c r="D2239">
        <f t="shared" si="34"/>
        <v>1</v>
      </c>
      <c r="I2239" s="1" t="s">
        <v>918</v>
      </c>
      <c r="J2239" s="1" t="s">
        <v>25</v>
      </c>
      <c r="K2239" s="1" t="s">
        <v>919</v>
      </c>
      <c r="L2239" s="1" t="s">
        <v>920</v>
      </c>
      <c r="M2239" s="1" t="s">
        <v>933</v>
      </c>
      <c r="N2239" s="1" t="s">
        <v>924</v>
      </c>
      <c r="O2239" s="1" t="s">
        <v>921</v>
      </c>
      <c r="P2239" s="1" t="s">
        <v>1001</v>
      </c>
      <c r="Q2239" s="1" t="s">
        <v>936</v>
      </c>
      <c r="R2239" s="1" t="s">
        <v>1037</v>
      </c>
      <c r="S2239" s="1"/>
      <c r="T2239" s="1"/>
      <c r="U2239" s="1"/>
      <c r="V2239" s="1"/>
      <c r="W2239" s="1"/>
      <c r="X2239" s="1"/>
      <c r="Y2239" s="1"/>
    </row>
    <row r="2240" spans="1:25" x14ac:dyDescent="0.25">
      <c r="A2240" s="7" t="s">
        <v>9217</v>
      </c>
      <c r="C2240" s="7" t="s">
        <v>2038</v>
      </c>
      <c r="D2240">
        <f t="shared" si="34"/>
        <v>1</v>
      </c>
      <c r="I2240" s="1" t="s">
        <v>923</v>
      </c>
      <c r="J2240" s="1" t="s">
        <v>1113</v>
      </c>
      <c r="K2240" s="1" t="s">
        <v>328</v>
      </c>
      <c r="L2240" s="1" t="s">
        <v>84</v>
      </c>
      <c r="M2240" s="1" t="s">
        <v>25</v>
      </c>
      <c r="N2240" s="1" t="s">
        <v>10696</v>
      </c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25">
      <c r="A2241" s="7" t="s">
        <v>2641</v>
      </c>
      <c r="C2241" s="8" t="s">
        <v>9018</v>
      </c>
      <c r="D2241">
        <f t="shared" si="34"/>
        <v>1</v>
      </c>
      <c r="I2241" s="1" t="s">
        <v>923</v>
      </c>
      <c r="J2241" s="1" t="s">
        <v>998</v>
      </c>
      <c r="K2241" s="1" t="s">
        <v>1053</v>
      </c>
      <c r="L2241" s="1" t="s">
        <v>1086</v>
      </c>
      <c r="M2241" s="1" t="s">
        <v>933</v>
      </c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25">
      <c r="A2242" s="7" t="s">
        <v>2641</v>
      </c>
      <c r="C2242" s="8" t="s">
        <v>10630</v>
      </c>
      <c r="D2242">
        <f t="shared" ref="D2242:D2305" si="35">COUNTIF(A:A,C2242)</f>
        <v>1</v>
      </c>
      <c r="I2242" s="1" t="s">
        <v>1053</v>
      </c>
      <c r="J2242" s="1" t="s">
        <v>1069</v>
      </c>
      <c r="K2242" s="1" t="s">
        <v>25</v>
      </c>
      <c r="L2242" s="1" t="s">
        <v>923</v>
      </c>
      <c r="M2242" s="1" t="s">
        <v>998</v>
      </c>
      <c r="N2242" s="1" t="s">
        <v>256</v>
      </c>
      <c r="O2242" s="1" t="s">
        <v>1086</v>
      </c>
      <c r="P2242" s="1" t="s">
        <v>933</v>
      </c>
      <c r="Q2242" s="1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25">
      <c r="A2243" s="7" t="s">
        <v>2641</v>
      </c>
      <c r="C2243" s="7" t="s">
        <v>3117</v>
      </c>
      <c r="D2243">
        <f t="shared" si="35"/>
        <v>1</v>
      </c>
      <c r="I2243" s="1" t="s">
        <v>923</v>
      </c>
      <c r="J2243" s="1" t="s">
        <v>998</v>
      </c>
      <c r="K2243" s="1" t="s">
        <v>1053</v>
      </c>
      <c r="L2243" s="1" t="s">
        <v>1086</v>
      </c>
      <c r="M2243" s="1" t="s">
        <v>933</v>
      </c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25">
      <c r="A2244" s="8" t="s">
        <v>9351</v>
      </c>
      <c r="C2244" s="7" t="s">
        <v>9403</v>
      </c>
      <c r="D2244">
        <f t="shared" si="35"/>
        <v>1</v>
      </c>
      <c r="I2244" s="1" t="s">
        <v>2927</v>
      </c>
      <c r="J2244" s="1" t="s">
        <v>1149</v>
      </c>
      <c r="K2244" s="1" t="s">
        <v>25</v>
      </c>
      <c r="L2244" s="1" t="s">
        <v>923</v>
      </c>
      <c r="M2244" s="1" t="s">
        <v>998</v>
      </c>
      <c r="N2244" s="1" t="s">
        <v>1053</v>
      </c>
      <c r="O2244" s="1" t="s">
        <v>1086</v>
      </c>
      <c r="P2244" s="1" t="s">
        <v>920</v>
      </c>
      <c r="Q2244" s="1" t="s">
        <v>933</v>
      </c>
      <c r="R2244" s="1"/>
      <c r="S2244" s="1"/>
      <c r="T2244" s="1"/>
      <c r="U2244" s="1"/>
      <c r="V2244" s="1"/>
      <c r="W2244" s="1"/>
      <c r="X2244" s="1"/>
      <c r="Y2244" s="1"/>
    </row>
    <row r="2245" spans="1:25" x14ac:dyDescent="0.25">
      <c r="A2245" s="8" t="s">
        <v>10468</v>
      </c>
      <c r="C2245" s="8" t="s">
        <v>10616</v>
      </c>
      <c r="D2245">
        <f t="shared" si="35"/>
        <v>1</v>
      </c>
      <c r="I2245" s="1" t="s">
        <v>1088</v>
      </c>
      <c r="J2245" s="1" t="s">
        <v>996</v>
      </c>
      <c r="K2245" s="1" t="s">
        <v>1089</v>
      </c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25">
      <c r="A2246" s="7" t="s">
        <v>3783</v>
      </c>
      <c r="C2246" s="7" t="s">
        <v>4795</v>
      </c>
      <c r="D2246">
        <f t="shared" si="35"/>
        <v>1</v>
      </c>
      <c r="I2246" s="1" t="s">
        <v>256</v>
      </c>
      <c r="J2246" s="1" t="s">
        <v>1049</v>
      </c>
      <c r="K2246" s="1" t="s">
        <v>1066</v>
      </c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25">
      <c r="A2247" s="7" t="s">
        <v>3783</v>
      </c>
      <c r="C2247" s="8" t="s">
        <v>10230</v>
      </c>
      <c r="D2247">
        <f t="shared" si="35"/>
        <v>1</v>
      </c>
      <c r="I2247" s="1" t="s">
        <v>1107</v>
      </c>
      <c r="J2247" s="1" t="s">
        <v>918</v>
      </c>
      <c r="K2247" s="1" t="s">
        <v>919</v>
      </c>
      <c r="L2247" s="1" t="s">
        <v>945</v>
      </c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25">
      <c r="A2248" s="8" t="s">
        <v>3783</v>
      </c>
      <c r="C2248" s="7" t="s">
        <v>9650</v>
      </c>
      <c r="D2248">
        <f t="shared" si="35"/>
        <v>1</v>
      </c>
      <c r="I2248" s="1" t="s">
        <v>960</v>
      </c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25">
      <c r="A2249" s="8" t="s">
        <v>9481</v>
      </c>
      <c r="C2249" s="8" t="s">
        <v>10384</v>
      </c>
      <c r="D2249">
        <f t="shared" si="35"/>
        <v>1</v>
      </c>
      <c r="I2249" s="1" t="s">
        <v>25</v>
      </c>
      <c r="J2249" s="1" t="s">
        <v>923</v>
      </c>
      <c r="K2249" s="1" t="s">
        <v>920</v>
      </c>
      <c r="L2249" s="1" t="s">
        <v>948</v>
      </c>
      <c r="M2249" s="1" t="s">
        <v>1069</v>
      </c>
      <c r="N2249" s="1" t="s">
        <v>1070</v>
      </c>
      <c r="O2249" s="1" t="s">
        <v>916</v>
      </c>
      <c r="P2249" s="1" t="s">
        <v>1078</v>
      </c>
      <c r="Q2249" s="1" t="s">
        <v>980</v>
      </c>
      <c r="R2249" s="1" t="s">
        <v>919</v>
      </c>
      <c r="S2249" s="1" t="s">
        <v>921</v>
      </c>
      <c r="T2249" s="1" t="s">
        <v>1013</v>
      </c>
      <c r="U2249" s="1" t="s">
        <v>960</v>
      </c>
      <c r="V2249" s="1"/>
      <c r="W2249" s="1"/>
      <c r="X2249" s="1"/>
      <c r="Y2249" s="1"/>
    </row>
    <row r="2250" spans="1:25" x14ac:dyDescent="0.25">
      <c r="A2250" s="7" t="s">
        <v>10613</v>
      </c>
      <c r="C2250" s="7" t="s">
        <v>9098</v>
      </c>
      <c r="D2250">
        <f t="shared" si="35"/>
        <v>1</v>
      </c>
      <c r="I2250" s="1" t="s">
        <v>960</v>
      </c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25">
      <c r="A2251" s="8" t="s">
        <v>9240</v>
      </c>
      <c r="C2251" s="8" t="s">
        <v>9512</v>
      </c>
      <c r="D2251">
        <f t="shared" si="35"/>
        <v>1</v>
      </c>
      <c r="I2251" s="1" t="s">
        <v>934</v>
      </c>
      <c r="J2251" s="1" t="s">
        <v>918</v>
      </c>
      <c r="K2251" s="1" t="s">
        <v>25</v>
      </c>
      <c r="L2251" s="1" t="s">
        <v>919</v>
      </c>
      <c r="M2251" s="1" t="s">
        <v>920</v>
      </c>
      <c r="N2251" s="1" t="s">
        <v>924</v>
      </c>
      <c r="O2251" s="1" t="s">
        <v>964</v>
      </c>
      <c r="P2251" s="1" t="s">
        <v>1109</v>
      </c>
      <c r="Q2251" s="1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25">
      <c r="A2252" s="8" t="s">
        <v>10561</v>
      </c>
      <c r="C2252" s="7" t="s">
        <v>3402</v>
      </c>
      <c r="D2252">
        <f t="shared" si="35"/>
        <v>1</v>
      </c>
      <c r="I2252" s="1" t="s">
        <v>964</v>
      </c>
      <c r="J2252" s="1" t="s">
        <v>1109</v>
      </c>
      <c r="K2252" s="1" t="s">
        <v>919</v>
      </c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25">
      <c r="A2253" s="8" t="s">
        <v>8965</v>
      </c>
      <c r="C2253" s="7" t="s">
        <v>5088</v>
      </c>
      <c r="D2253">
        <f t="shared" si="35"/>
        <v>1</v>
      </c>
      <c r="I2253" s="1" t="s">
        <v>964</v>
      </c>
      <c r="J2253" s="1" t="s">
        <v>1109</v>
      </c>
      <c r="K2253" s="1" t="s">
        <v>919</v>
      </c>
      <c r="L2253" s="1" t="s">
        <v>10739</v>
      </c>
      <c r="M2253" s="1" t="s">
        <v>955</v>
      </c>
      <c r="N2253" s="1" t="s">
        <v>1014</v>
      </c>
      <c r="O2253" s="1" t="s">
        <v>10740</v>
      </c>
      <c r="P2253" s="1"/>
      <c r="Q2253" s="1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25">
      <c r="A2254" s="8" t="s">
        <v>10084</v>
      </c>
      <c r="C2254" s="7" t="s">
        <v>8899</v>
      </c>
      <c r="D2254">
        <f t="shared" si="35"/>
        <v>1</v>
      </c>
      <c r="I2254" s="1" t="s">
        <v>964</v>
      </c>
      <c r="J2254" s="1" t="s">
        <v>1109</v>
      </c>
      <c r="K2254" s="1" t="s">
        <v>919</v>
      </c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25">
      <c r="A2255" s="7" t="s">
        <v>6491</v>
      </c>
      <c r="C2255" s="7" t="s">
        <v>4031</v>
      </c>
      <c r="D2255">
        <f t="shared" si="35"/>
        <v>1</v>
      </c>
      <c r="I2255" s="1" t="s">
        <v>964</v>
      </c>
      <c r="J2255" s="1" t="s">
        <v>1109</v>
      </c>
      <c r="K2255" s="1" t="s">
        <v>919</v>
      </c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25">
      <c r="A2256" s="8" t="s">
        <v>10433</v>
      </c>
      <c r="C2256" s="7" t="s">
        <v>9532</v>
      </c>
      <c r="D2256">
        <f t="shared" si="35"/>
        <v>1</v>
      </c>
      <c r="I2256" s="1" t="s">
        <v>1167</v>
      </c>
      <c r="J2256" s="1" t="s">
        <v>1053</v>
      </c>
      <c r="K2256" s="1" t="s">
        <v>1086</v>
      </c>
      <c r="L2256" s="1" t="s">
        <v>933</v>
      </c>
      <c r="M2256" s="1" t="s">
        <v>1066</v>
      </c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25">
      <c r="A2257" s="7" t="s">
        <v>9935</v>
      </c>
      <c r="C2257" s="8" t="s">
        <v>10632</v>
      </c>
      <c r="D2257">
        <f t="shared" si="35"/>
        <v>1</v>
      </c>
      <c r="I2257" s="1" t="s">
        <v>1167</v>
      </c>
      <c r="J2257" s="1" t="s">
        <v>1053</v>
      </c>
      <c r="K2257" s="1" t="s">
        <v>1086</v>
      </c>
      <c r="L2257" s="1" t="s">
        <v>933</v>
      </c>
      <c r="M2257" s="1" t="s">
        <v>1066</v>
      </c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25">
      <c r="A2258" s="7" t="s">
        <v>327</v>
      </c>
      <c r="C2258" s="7" t="s">
        <v>229</v>
      </c>
      <c r="D2258">
        <f t="shared" si="35"/>
        <v>1</v>
      </c>
      <c r="I2258" s="1" t="s">
        <v>947</v>
      </c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25">
      <c r="A2259" s="8" t="s">
        <v>327</v>
      </c>
      <c r="C2259" s="7" t="s">
        <v>9813</v>
      </c>
      <c r="D2259">
        <f t="shared" si="35"/>
        <v>1</v>
      </c>
      <c r="I2259" s="1" t="s">
        <v>6421</v>
      </c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25">
      <c r="A2260" s="8" t="s">
        <v>9706</v>
      </c>
      <c r="C2260" s="8" t="s">
        <v>9787</v>
      </c>
      <c r="D2260">
        <f t="shared" si="35"/>
        <v>1</v>
      </c>
      <c r="I2260" s="1" t="s">
        <v>50</v>
      </c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25">
      <c r="A2261" s="7" t="s">
        <v>4812</v>
      </c>
      <c r="C2261" s="7" t="s">
        <v>10493</v>
      </c>
      <c r="D2261">
        <f t="shared" si="35"/>
        <v>1</v>
      </c>
      <c r="I2261" s="1" t="s">
        <v>50</v>
      </c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25">
      <c r="A2262" s="7" t="s">
        <v>9761</v>
      </c>
      <c r="C2262" s="8" t="s">
        <v>10155</v>
      </c>
      <c r="D2262">
        <f t="shared" si="35"/>
        <v>1</v>
      </c>
      <c r="I2262" s="1" t="s">
        <v>25</v>
      </c>
      <c r="J2262" s="1" t="s">
        <v>923</v>
      </c>
      <c r="K2262" s="1" t="s">
        <v>916</v>
      </c>
      <c r="L2262" s="1" t="s">
        <v>920</v>
      </c>
      <c r="M2262" s="1" t="s">
        <v>933</v>
      </c>
      <c r="N2262" s="1" t="s">
        <v>954</v>
      </c>
      <c r="O2262" s="1" t="s">
        <v>974</v>
      </c>
      <c r="P2262" s="1" t="s">
        <v>921</v>
      </c>
      <c r="Q2262" s="1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25">
      <c r="A2263" s="7" t="s">
        <v>6720</v>
      </c>
      <c r="C2263" s="8" t="s">
        <v>8999</v>
      </c>
      <c r="D2263">
        <f t="shared" si="35"/>
        <v>1</v>
      </c>
      <c r="I2263" s="1" t="s">
        <v>996</v>
      </c>
      <c r="J2263" s="1" t="s">
        <v>2541</v>
      </c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25">
      <c r="A2264" s="7" t="s">
        <v>6720</v>
      </c>
      <c r="C2264" s="7" t="s">
        <v>10118</v>
      </c>
      <c r="D2264">
        <f t="shared" si="35"/>
        <v>1</v>
      </c>
      <c r="I2264" s="1" t="s">
        <v>50</v>
      </c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25">
      <c r="A2265" s="8" t="s">
        <v>9302</v>
      </c>
      <c r="C2265" s="8" t="s">
        <v>10260</v>
      </c>
      <c r="D2265">
        <f t="shared" si="35"/>
        <v>1</v>
      </c>
      <c r="I2265" s="1" t="s">
        <v>1119</v>
      </c>
      <c r="J2265" s="1" t="s">
        <v>1121</v>
      </c>
      <c r="K2265" s="1" t="s">
        <v>837</v>
      </c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25">
      <c r="A2266" s="8" t="s">
        <v>10200</v>
      </c>
      <c r="C2266" s="8" t="s">
        <v>9317</v>
      </c>
      <c r="D2266">
        <f t="shared" si="35"/>
        <v>1</v>
      </c>
      <c r="I2266" s="1" t="s">
        <v>2927</v>
      </c>
      <c r="J2266" s="1" t="s">
        <v>1069</v>
      </c>
      <c r="K2266" s="1" t="s">
        <v>25</v>
      </c>
      <c r="L2266" s="1" t="s">
        <v>923</v>
      </c>
      <c r="M2266" s="1" t="s">
        <v>1053</v>
      </c>
      <c r="N2266" s="1" t="s">
        <v>1086</v>
      </c>
      <c r="O2266" s="1" t="s">
        <v>933</v>
      </c>
      <c r="P2266" s="1"/>
      <c r="Q2266" s="1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25">
      <c r="A2267" s="7" t="s">
        <v>9946</v>
      </c>
      <c r="C2267" s="7" t="s">
        <v>4667</v>
      </c>
      <c r="D2267">
        <f t="shared" si="35"/>
        <v>1</v>
      </c>
      <c r="I2267" s="1" t="s">
        <v>25</v>
      </c>
      <c r="J2267" s="1" t="s">
        <v>920</v>
      </c>
      <c r="K2267" s="1" t="s">
        <v>954</v>
      </c>
      <c r="L2267" s="1" t="s">
        <v>974</v>
      </c>
      <c r="M2267" s="1" t="s">
        <v>950</v>
      </c>
      <c r="N2267" s="1" t="s">
        <v>10720</v>
      </c>
      <c r="O2267" s="1" t="s">
        <v>10719</v>
      </c>
      <c r="P2267" s="1"/>
      <c r="Q2267" s="1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25">
      <c r="A2268" s="8" t="s">
        <v>9457</v>
      </c>
      <c r="C2268" s="8" t="s">
        <v>9092</v>
      </c>
      <c r="D2268">
        <f t="shared" si="35"/>
        <v>1</v>
      </c>
      <c r="I2268" s="1" t="s">
        <v>996</v>
      </c>
      <c r="J2268" s="1" t="s">
        <v>25</v>
      </c>
      <c r="K2268" s="1" t="s">
        <v>997</v>
      </c>
      <c r="L2268" s="1" t="s">
        <v>927</v>
      </c>
      <c r="M2268" s="1" t="s">
        <v>998</v>
      </c>
      <c r="N2268" s="1" t="s">
        <v>933</v>
      </c>
      <c r="O2268" s="1" t="s">
        <v>993</v>
      </c>
      <c r="P2268" s="1" t="s">
        <v>994</v>
      </c>
      <c r="Q2268" s="1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25">
      <c r="A2269" s="8" t="s">
        <v>9457</v>
      </c>
      <c r="C2269" s="8" t="s">
        <v>9266</v>
      </c>
      <c r="D2269">
        <f t="shared" si="35"/>
        <v>1</v>
      </c>
      <c r="I2269" s="1" t="s">
        <v>1001</v>
      </c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25">
      <c r="A2270" s="7" t="s">
        <v>9126</v>
      </c>
      <c r="C2270" s="7" t="s">
        <v>9458</v>
      </c>
      <c r="D2270">
        <f t="shared" si="35"/>
        <v>1</v>
      </c>
      <c r="I2270" s="1" t="s">
        <v>1053</v>
      </c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25">
      <c r="A2271" s="8" t="s">
        <v>9126</v>
      </c>
      <c r="C2271" s="7" t="s">
        <v>4523</v>
      </c>
      <c r="D2271">
        <f t="shared" si="35"/>
        <v>1</v>
      </c>
      <c r="I2271" s="1" t="s">
        <v>50</v>
      </c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25">
      <c r="A2272" s="8" t="s">
        <v>9126</v>
      </c>
      <c r="C2272" s="8" t="s">
        <v>9804</v>
      </c>
      <c r="D2272">
        <f t="shared" si="35"/>
        <v>1</v>
      </c>
      <c r="I2272" s="1" t="s">
        <v>1439</v>
      </c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25">
      <c r="A2273" s="8" t="s">
        <v>9126</v>
      </c>
      <c r="C2273" s="8" t="s">
        <v>10636</v>
      </c>
      <c r="D2273">
        <f t="shared" si="35"/>
        <v>1</v>
      </c>
      <c r="I2273" s="1" t="s">
        <v>1069</v>
      </c>
      <c r="J2273" s="1" t="s">
        <v>25</v>
      </c>
      <c r="K2273" s="1" t="s">
        <v>923</v>
      </c>
      <c r="L2273" s="1" t="s">
        <v>998</v>
      </c>
      <c r="M2273" s="1" t="s">
        <v>1053</v>
      </c>
      <c r="N2273" s="1" t="s">
        <v>10937</v>
      </c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25">
      <c r="A2274" s="7" t="s">
        <v>8878</v>
      </c>
      <c r="C2274" s="7" t="s">
        <v>3620</v>
      </c>
      <c r="D2274">
        <f t="shared" si="35"/>
        <v>1</v>
      </c>
      <c r="I2274" s="1" t="s">
        <v>50</v>
      </c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25">
      <c r="A2275" s="8" t="s">
        <v>8878</v>
      </c>
      <c r="C2275" s="7" t="s">
        <v>6478</v>
      </c>
      <c r="D2275">
        <f t="shared" si="35"/>
        <v>1</v>
      </c>
      <c r="I2275" s="1" t="s">
        <v>50</v>
      </c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25">
      <c r="A2276" s="8" t="s">
        <v>9965</v>
      </c>
      <c r="C2276" s="7" t="s">
        <v>9948</v>
      </c>
      <c r="D2276">
        <f t="shared" si="35"/>
        <v>1</v>
      </c>
      <c r="I2276" s="1" t="s">
        <v>50</v>
      </c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25">
      <c r="A2277" s="8" t="s">
        <v>10097</v>
      </c>
      <c r="C2277" s="7" t="s">
        <v>10216</v>
      </c>
      <c r="D2277">
        <f t="shared" si="35"/>
        <v>1</v>
      </c>
      <c r="I2277" s="1" t="s">
        <v>1167</v>
      </c>
      <c r="J2277" s="1" t="s">
        <v>1053</v>
      </c>
      <c r="K2277" s="1" t="s">
        <v>1086</v>
      </c>
      <c r="L2277" s="1" t="s">
        <v>933</v>
      </c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25">
      <c r="A2278" s="7" t="s">
        <v>10203</v>
      </c>
      <c r="C2278" s="7" t="s">
        <v>10445</v>
      </c>
      <c r="D2278">
        <f t="shared" si="35"/>
        <v>1</v>
      </c>
      <c r="I2278" s="1" t="s">
        <v>933</v>
      </c>
      <c r="J2278" s="1" t="s">
        <v>2541</v>
      </c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25">
      <c r="A2279" s="7" t="s">
        <v>10203</v>
      </c>
      <c r="C2279" s="7" t="s">
        <v>9050</v>
      </c>
      <c r="D2279">
        <f t="shared" si="35"/>
        <v>1</v>
      </c>
      <c r="I2279" s="1" t="s">
        <v>25</v>
      </c>
      <c r="J2279" s="1" t="s">
        <v>920</v>
      </c>
      <c r="K2279" s="1" t="s">
        <v>933</v>
      </c>
      <c r="L2279" s="1" t="s">
        <v>921</v>
      </c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25">
      <c r="A2280" s="8" t="s">
        <v>9982</v>
      </c>
      <c r="C2280" s="7" t="s">
        <v>9608</v>
      </c>
      <c r="D2280">
        <f t="shared" si="35"/>
        <v>1</v>
      </c>
      <c r="I2280" s="1" t="s">
        <v>933</v>
      </c>
      <c r="J2280" s="1" t="s">
        <v>981</v>
      </c>
      <c r="K2280" s="1" t="s">
        <v>10722</v>
      </c>
      <c r="L2280" s="1" t="s">
        <v>1167</v>
      </c>
      <c r="M2280" s="1" t="s">
        <v>1053</v>
      </c>
      <c r="N2280" s="1" t="s">
        <v>1086</v>
      </c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25">
      <c r="A2281" s="7" t="s">
        <v>9993</v>
      </c>
      <c r="C2281" s="8" t="s">
        <v>10656</v>
      </c>
      <c r="D2281">
        <f t="shared" si="35"/>
        <v>1</v>
      </c>
      <c r="I2281" s="1" t="s">
        <v>1086</v>
      </c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25">
      <c r="A2282" s="8" t="s">
        <v>10259</v>
      </c>
      <c r="C2282" s="8" t="s">
        <v>10251</v>
      </c>
      <c r="D2282">
        <f t="shared" si="35"/>
        <v>1</v>
      </c>
      <c r="I2282" s="1" t="s">
        <v>25</v>
      </c>
      <c r="J2282" s="1" t="s">
        <v>920</v>
      </c>
      <c r="K2282" s="1" t="s">
        <v>954</v>
      </c>
      <c r="L2282" s="1" t="s">
        <v>974</v>
      </c>
      <c r="M2282" s="1" t="s">
        <v>950</v>
      </c>
      <c r="N2282" s="1" t="s">
        <v>10720</v>
      </c>
      <c r="O2282" s="1" t="s">
        <v>10719</v>
      </c>
      <c r="P2282" s="1" t="s">
        <v>1053</v>
      </c>
      <c r="Q2282" s="1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25">
      <c r="A2283" s="8" t="s">
        <v>9214</v>
      </c>
      <c r="C2283" s="8" t="s">
        <v>10687</v>
      </c>
      <c r="D2283">
        <f t="shared" si="35"/>
        <v>1</v>
      </c>
      <c r="I2283" s="1" t="s">
        <v>3439</v>
      </c>
      <c r="J2283" s="1" t="s">
        <v>1011</v>
      </c>
      <c r="K2283" s="1" t="s">
        <v>840</v>
      </c>
      <c r="L2283" s="1" t="s">
        <v>921</v>
      </c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25">
      <c r="A2284" s="7" t="s">
        <v>3906</v>
      </c>
      <c r="C2284" s="7" t="s">
        <v>8317</v>
      </c>
      <c r="D2284">
        <f t="shared" si="35"/>
        <v>1</v>
      </c>
      <c r="I2284" s="1" t="s">
        <v>1069</v>
      </c>
      <c r="J2284" s="1" t="s">
        <v>923</v>
      </c>
      <c r="K2284" s="1" t="s">
        <v>998</v>
      </c>
      <c r="L2284" s="1" t="s">
        <v>1053</v>
      </c>
      <c r="M2284" s="1" t="s">
        <v>933</v>
      </c>
      <c r="N2284" s="1" t="s">
        <v>1141</v>
      </c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25">
      <c r="A2285" s="7" t="s">
        <v>7024</v>
      </c>
      <c r="C2285" s="8" t="s">
        <v>10510</v>
      </c>
      <c r="D2285">
        <f t="shared" si="35"/>
        <v>1</v>
      </c>
      <c r="I2285" s="1" t="s">
        <v>50</v>
      </c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25">
      <c r="A2286" s="7" t="s">
        <v>7024</v>
      </c>
      <c r="C2286" s="7" t="s">
        <v>5518</v>
      </c>
      <c r="D2286">
        <f t="shared" si="35"/>
        <v>1</v>
      </c>
      <c r="I2286" s="1" t="s">
        <v>50</v>
      </c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25">
      <c r="A2287" s="7" t="s">
        <v>7024</v>
      </c>
      <c r="C2287" s="8" t="s">
        <v>9523</v>
      </c>
      <c r="D2287">
        <f t="shared" si="35"/>
        <v>1</v>
      </c>
      <c r="I2287" s="1" t="s">
        <v>50</v>
      </c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25">
      <c r="A2288" s="7" t="s">
        <v>7024</v>
      </c>
      <c r="C2288" s="8" t="s">
        <v>9239</v>
      </c>
      <c r="D2288">
        <f t="shared" si="35"/>
        <v>1</v>
      </c>
      <c r="I2288" s="1" t="s">
        <v>2927</v>
      </c>
      <c r="J2288" s="1" t="s">
        <v>1051</v>
      </c>
      <c r="K2288" s="1" t="s">
        <v>25</v>
      </c>
      <c r="L2288" s="1" t="s">
        <v>1053</v>
      </c>
      <c r="M2288" s="1" t="s">
        <v>1086</v>
      </c>
      <c r="N2288" s="1" t="s">
        <v>933</v>
      </c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25">
      <c r="A2289" s="7" t="s">
        <v>7024</v>
      </c>
      <c r="C2289" s="8" t="s">
        <v>10481</v>
      </c>
      <c r="D2289">
        <f t="shared" si="35"/>
        <v>1</v>
      </c>
      <c r="I2289" s="1" t="s">
        <v>1053</v>
      </c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25">
      <c r="A2290" s="7" t="s">
        <v>7024</v>
      </c>
      <c r="C2290" s="8" t="s">
        <v>9977</v>
      </c>
      <c r="D2290">
        <f t="shared" si="35"/>
        <v>1</v>
      </c>
      <c r="I2290" s="1" t="s">
        <v>918</v>
      </c>
      <c r="J2290" s="1" t="s">
        <v>25</v>
      </c>
      <c r="K2290" s="1" t="s">
        <v>923</v>
      </c>
      <c r="L2290" s="1" t="s">
        <v>973</v>
      </c>
      <c r="M2290" s="1" t="s">
        <v>916</v>
      </c>
      <c r="N2290" s="1" t="s">
        <v>920</v>
      </c>
      <c r="O2290" s="1" t="s">
        <v>954</v>
      </c>
      <c r="P2290" s="1" t="s">
        <v>974</v>
      </c>
      <c r="Q2290" s="1" t="s">
        <v>921</v>
      </c>
      <c r="R2290" s="1" t="s">
        <v>1001</v>
      </c>
      <c r="S2290" s="1" t="s">
        <v>927</v>
      </c>
      <c r="T2290" s="1" t="s">
        <v>981</v>
      </c>
      <c r="U2290" s="1" t="s">
        <v>919</v>
      </c>
      <c r="V2290" s="1"/>
      <c r="W2290" s="1"/>
      <c r="X2290" s="1"/>
      <c r="Y2290" s="1"/>
    </row>
    <row r="2291" spans="1:25" x14ac:dyDescent="0.25">
      <c r="A2291" s="7" t="s">
        <v>7024</v>
      </c>
      <c r="C2291" s="8" t="s">
        <v>10657</v>
      </c>
      <c r="D2291">
        <f t="shared" si="35"/>
        <v>1</v>
      </c>
      <c r="I2291" s="1" t="s">
        <v>50</v>
      </c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25">
      <c r="A2292" s="7" t="s">
        <v>7024</v>
      </c>
      <c r="C2292" s="8" t="s">
        <v>9243</v>
      </c>
      <c r="D2292">
        <f t="shared" si="35"/>
        <v>1</v>
      </c>
      <c r="I2292" s="1" t="s">
        <v>50</v>
      </c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25">
      <c r="A2293" s="7" t="s">
        <v>7024</v>
      </c>
      <c r="C2293" s="8" t="s">
        <v>9062</v>
      </c>
      <c r="D2293">
        <f t="shared" si="35"/>
        <v>1</v>
      </c>
      <c r="I2293" s="1" t="s">
        <v>6492</v>
      </c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25">
      <c r="A2294" s="7" t="s">
        <v>7024</v>
      </c>
      <c r="C2294" s="7" t="s">
        <v>9038</v>
      </c>
      <c r="D2294">
        <f t="shared" si="35"/>
        <v>1</v>
      </c>
      <c r="I2294" s="1" t="s">
        <v>996</v>
      </c>
      <c r="J2294" s="1" t="s">
        <v>25</v>
      </c>
      <c r="K2294" s="1" t="s">
        <v>1053</v>
      </c>
      <c r="L2294" s="1" t="s">
        <v>2541</v>
      </c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25">
      <c r="A2295" s="7" t="s">
        <v>7024</v>
      </c>
      <c r="C2295" s="7" t="s">
        <v>9122</v>
      </c>
      <c r="D2295">
        <f t="shared" si="35"/>
        <v>1</v>
      </c>
      <c r="I2295" s="1" t="s">
        <v>1086</v>
      </c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25">
      <c r="A2296" s="7" t="s">
        <v>7024</v>
      </c>
      <c r="C2296" s="8" t="s">
        <v>8932</v>
      </c>
      <c r="D2296">
        <f t="shared" si="35"/>
        <v>1</v>
      </c>
      <c r="I2296" s="1" t="s">
        <v>1086</v>
      </c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25">
      <c r="A2297" s="7" t="s">
        <v>7024</v>
      </c>
      <c r="C2297" s="7" t="s">
        <v>9305</v>
      </c>
      <c r="D2297">
        <f t="shared" si="35"/>
        <v>1</v>
      </c>
      <c r="I2297" s="1" t="s">
        <v>1086</v>
      </c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25">
      <c r="A2298" s="7" t="s">
        <v>7024</v>
      </c>
      <c r="C2298" s="8" t="s">
        <v>8950</v>
      </c>
      <c r="D2298">
        <f t="shared" si="35"/>
        <v>1</v>
      </c>
      <c r="I2298" s="1" t="s">
        <v>948</v>
      </c>
      <c r="J2298" s="1" t="s">
        <v>1069</v>
      </c>
      <c r="K2298" s="1" t="s">
        <v>1149</v>
      </c>
      <c r="L2298" s="1" t="s">
        <v>25</v>
      </c>
      <c r="M2298" s="1" t="s">
        <v>923</v>
      </c>
      <c r="N2298" s="1" t="s">
        <v>998</v>
      </c>
      <c r="O2298" s="1" t="s">
        <v>1150</v>
      </c>
      <c r="P2298" s="1" t="s">
        <v>1086</v>
      </c>
      <c r="Q2298" s="1" t="s">
        <v>10766</v>
      </c>
      <c r="R2298" s="1"/>
      <c r="S2298" s="1"/>
      <c r="T2298" s="1"/>
      <c r="U2298" s="1"/>
      <c r="V2298" s="1"/>
      <c r="W2298" s="1"/>
      <c r="X2298" s="1"/>
      <c r="Y2298" s="1"/>
    </row>
    <row r="2299" spans="1:25" x14ac:dyDescent="0.25">
      <c r="A2299" s="7" t="s">
        <v>7024</v>
      </c>
      <c r="C2299" s="8" t="s">
        <v>10264</v>
      </c>
      <c r="D2299">
        <f t="shared" si="35"/>
        <v>1</v>
      </c>
      <c r="I2299" s="1" t="s">
        <v>940</v>
      </c>
      <c r="J2299" s="1" t="s">
        <v>1011</v>
      </c>
      <c r="K2299" s="1" t="s">
        <v>981</v>
      </c>
      <c r="L2299" s="1" t="s">
        <v>10830</v>
      </c>
      <c r="M2299" s="1" t="s">
        <v>999</v>
      </c>
      <c r="N2299" s="1" t="s">
        <v>921</v>
      </c>
      <c r="O2299" s="1" t="s">
        <v>993</v>
      </c>
      <c r="P2299" s="1"/>
      <c r="Q2299" s="1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25">
      <c r="A2300" s="7" t="s">
        <v>7024</v>
      </c>
      <c r="C2300" s="8" t="s">
        <v>9322</v>
      </c>
      <c r="D2300">
        <f t="shared" si="35"/>
        <v>1</v>
      </c>
      <c r="I2300" s="1" t="s">
        <v>923</v>
      </c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25">
      <c r="A2301" s="7" t="s">
        <v>7024</v>
      </c>
      <c r="C2301" s="7" t="s">
        <v>9583</v>
      </c>
      <c r="D2301">
        <f t="shared" si="35"/>
        <v>1</v>
      </c>
      <c r="I2301" s="1" t="s">
        <v>948</v>
      </c>
      <c r="J2301" s="1" t="s">
        <v>3439</v>
      </c>
      <c r="K2301" s="1" t="s">
        <v>25</v>
      </c>
      <c r="L2301" s="1" t="s">
        <v>923</v>
      </c>
      <c r="M2301" s="1" t="s">
        <v>1053</v>
      </c>
      <c r="N2301" s="1" t="s">
        <v>10814</v>
      </c>
      <c r="O2301" s="1" t="s">
        <v>256</v>
      </c>
      <c r="P2301" s="1" t="s">
        <v>10741</v>
      </c>
      <c r="Q2301" s="1" t="s">
        <v>10826</v>
      </c>
      <c r="R2301" s="1" t="s">
        <v>986</v>
      </c>
      <c r="S2301" s="1" t="s">
        <v>10797</v>
      </c>
      <c r="T2301" s="1"/>
      <c r="U2301" s="1"/>
      <c r="V2301" s="1"/>
      <c r="W2301" s="1"/>
      <c r="X2301" s="1"/>
      <c r="Y2301" s="1"/>
    </row>
    <row r="2302" spans="1:25" x14ac:dyDescent="0.25">
      <c r="A2302" s="7" t="s">
        <v>7024</v>
      </c>
      <c r="C2302" s="8" t="s">
        <v>9570</v>
      </c>
      <c r="D2302">
        <f t="shared" si="35"/>
        <v>1</v>
      </c>
      <c r="I2302" s="1" t="s">
        <v>298</v>
      </c>
      <c r="J2302" s="1" t="s">
        <v>25</v>
      </c>
      <c r="K2302" s="1" t="s">
        <v>923</v>
      </c>
      <c r="L2302" s="1" t="s">
        <v>997</v>
      </c>
      <c r="M2302" s="1" t="s">
        <v>927</v>
      </c>
      <c r="N2302" s="1" t="s">
        <v>998</v>
      </c>
      <c r="O2302" s="1" t="s">
        <v>992</v>
      </c>
      <c r="P2302" s="1" t="s">
        <v>1086</v>
      </c>
      <c r="Q2302" s="1" t="s">
        <v>920</v>
      </c>
      <c r="R2302" s="1" t="s">
        <v>933</v>
      </c>
      <c r="S2302" s="1" t="s">
        <v>994</v>
      </c>
      <c r="T2302" s="1" t="s">
        <v>996</v>
      </c>
      <c r="U2302" s="1" t="s">
        <v>2541</v>
      </c>
      <c r="V2302" s="1"/>
      <c r="W2302" s="1"/>
      <c r="X2302" s="1"/>
      <c r="Y2302" s="1"/>
    </row>
    <row r="2303" spans="1:25" x14ac:dyDescent="0.25">
      <c r="A2303" s="7" t="s">
        <v>7024</v>
      </c>
      <c r="C2303" s="7" t="s">
        <v>10564</v>
      </c>
      <c r="D2303">
        <f t="shared" si="35"/>
        <v>1</v>
      </c>
      <c r="I2303" s="1" t="s">
        <v>1041</v>
      </c>
      <c r="J2303" s="1" t="s">
        <v>999</v>
      </c>
      <c r="K2303" s="1" t="s">
        <v>921</v>
      </c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25">
      <c r="A2304" s="7" t="s">
        <v>7024</v>
      </c>
      <c r="C2304" s="7" t="s">
        <v>301</v>
      </c>
      <c r="D2304">
        <f t="shared" si="35"/>
        <v>1</v>
      </c>
      <c r="I2304" s="1" t="s">
        <v>940</v>
      </c>
      <c r="J2304" s="1" t="s">
        <v>1011</v>
      </c>
      <c r="K2304" s="1" t="s">
        <v>25</v>
      </c>
      <c r="L2304" s="1" t="s">
        <v>920</v>
      </c>
      <c r="M2304" s="1" t="s">
        <v>921</v>
      </c>
      <c r="N2304" s="1" t="s">
        <v>1041</v>
      </c>
      <c r="O2304" s="1" t="s">
        <v>999</v>
      </c>
      <c r="P2304" s="1"/>
      <c r="Q2304" s="1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25">
      <c r="A2305" s="7" t="s">
        <v>7024</v>
      </c>
      <c r="C2305" s="7" t="s">
        <v>10288</v>
      </c>
      <c r="D2305">
        <f t="shared" si="35"/>
        <v>1</v>
      </c>
      <c r="I2305" s="1" t="s">
        <v>50</v>
      </c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25">
      <c r="A2306" s="7" t="s">
        <v>7024</v>
      </c>
      <c r="C2306" s="8" t="s">
        <v>10517</v>
      </c>
      <c r="D2306">
        <f t="shared" ref="D2306:D2369" si="36">COUNTIF(A:A,C2306)</f>
        <v>1</v>
      </c>
      <c r="I2306" s="1" t="s">
        <v>50</v>
      </c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25">
      <c r="A2307" s="7" t="s">
        <v>7024</v>
      </c>
      <c r="C2307" s="7" t="s">
        <v>9713</v>
      </c>
      <c r="D2307">
        <f t="shared" si="36"/>
        <v>1</v>
      </c>
      <c r="I2307" s="1" t="s">
        <v>50</v>
      </c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25">
      <c r="A2308" s="7" t="s">
        <v>7024</v>
      </c>
      <c r="C2308" s="7" t="s">
        <v>9758</v>
      </c>
      <c r="D2308">
        <f t="shared" si="36"/>
        <v>1</v>
      </c>
      <c r="I2308" s="1" t="s">
        <v>50</v>
      </c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25">
      <c r="A2309" s="7" t="s">
        <v>7024</v>
      </c>
      <c r="C2309" s="8" t="s">
        <v>10094</v>
      </c>
      <c r="D2309">
        <f t="shared" si="36"/>
        <v>1</v>
      </c>
      <c r="I2309" s="1" t="s">
        <v>50</v>
      </c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25">
      <c r="A2310" s="7" t="s">
        <v>7024</v>
      </c>
      <c r="C2310" s="8" t="s">
        <v>9383</v>
      </c>
      <c r="D2310">
        <f t="shared" si="36"/>
        <v>1</v>
      </c>
      <c r="I2310" s="1" t="s">
        <v>50</v>
      </c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25">
      <c r="A2311" s="7" t="s">
        <v>7024</v>
      </c>
      <c r="C2311" s="8" t="s">
        <v>10235</v>
      </c>
      <c r="D2311">
        <f t="shared" si="36"/>
        <v>1</v>
      </c>
      <c r="I2311" s="1" t="s">
        <v>50</v>
      </c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25">
      <c r="A2312" s="7" t="s">
        <v>7024</v>
      </c>
      <c r="C2312" s="8" t="s">
        <v>9858</v>
      </c>
      <c r="D2312">
        <f t="shared" si="36"/>
        <v>1</v>
      </c>
      <c r="I2312" s="1" t="s">
        <v>50</v>
      </c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25">
      <c r="A2313" s="7" t="s">
        <v>7024</v>
      </c>
      <c r="C2313" s="7" t="s">
        <v>9197</v>
      </c>
      <c r="D2313">
        <f t="shared" si="36"/>
        <v>1</v>
      </c>
      <c r="I2313" s="1" t="s">
        <v>50</v>
      </c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25">
      <c r="A2314" s="7" t="s">
        <v>7024</v>
      </c>
      <c r="C2314" s="8" t="s">
        <v>10646</v>
      </c>
      <c r="D2314">
        <f t="shared" si="36"/>
        <v>1</v>
      </c>
      <c r="I2314" s="1" t="s">
        <v>50</v>
      </c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25">
      <c r="A2315" s="7" t="s">
        <v>7024</v>
      </c>
      <c r="C2315" s="8" t="s">
        <v>9819</v>
      </c>
      <c r="D2315">
        <f t="shared" si="36"/>
        <v>1</v>
      </c>
      <c r="I2315" s="1" t="s">
        <v>50</v>
      </c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25">
      <c r="A2316" s="7" t="s">
        <v>7024</v>
      </c>
      <c r="C2316" s="7" t="s">
        <v>9088</v>
      </c>
      <c r="D2316">
        <f t="shared" si="36"/>
        <v>1</v>
      </c>
      <c r="I2316" s="1" t="s">
        <v>50</v>
      </c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25">
      <c r="A2317" s="7" t="s">
        <v>7024</v>
      </c>
      <c r="C2317" s="8" t="s">
        <v>9637</v>
      </c>
      <c r="D2317">
        <f t="shared" si="36"/>
        <v>1</v>
      </c>
      <c r="I2317" s="1" t="s">
        <v>50</v>
      </c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25">
      <c r="A2318" s="7" t="s">
        <v>7024</v>
      </c>
      <c r="C2318" s="7" t="s">
        <v>10624</v>
      </c>
      <c r="D2318">
        <f t="shared" si="36"/>
        <v>1</v>
      </c>
      <c r="I2318" s="1" t="s">
        <v>50</v>
      </c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25">
      <c r="A2319" s="7" t="s">
        <v>7024</v>
      </c>
      <c r="C2319" s="8" t="s">
        <v>10226</v>
      </c>
      <c r="D2319">
        <f t="shared" si="36"/>
        <v>1</v>
      </c>
      <c r="I2319" s="1" t="s">
        <v>50</v>
      </c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25">
      <c r="A2320" s="7" t="s">
        <v>7024</v>
      </c>
      <c r="C2320" s="8" t="s">
        <v>10452</v>
      </c>
      <c r="D2320">
        <f t="shared" si="36"/>
        <v>1</v>
      </c>
      <c r="I2320" s="1" t="s">
        <v>50</v>
      </c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25">
      <c r="A2321" s="7" t="s">
        <v>7024</v>
      </c>
      <c r="C2321" s="7" t="s">
        <v>6711</v>
      </c>
      <c r="D2321">
        <f t="shared" si="36"/>
        <v>1</v>
      </c>
      <c r="I2321" s="1" t="s">
        <v>50</v>
      </c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25">
      <c r="A2322" s="7" t="s">
        <v>7024</v>
      </c>
      <c r="C2322" s="7" t="s">
        <v>4579</v>
      </c>
      <c r="D2322">
        <f t="shared" si="36"/>
        <v>1</v>
      </c>
      <c r="I2322" s="1" t="s">
        <v>50</v>
      </c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25">
      <c r="A2323" s="7" t="s">
        <v>7024</v>
      </c>
      <c r="C2323" s="7" t="s">
        <v>9382</v>
      </c>
      <c r="D2323">
        <f t="shared" si="36"/>
        <v>1</v>
      </c>
      <c r="I2323" s="1" t="s">
        <v>918</v>
      </c>
      <c r="J2323" s="1" t="s">
        <v>1136</v>
      </c>
      <c r="K2323" s="1" t="s">
        <v>1157</v>
      </c>
      <c r="L2323" s="1" t="s">
        <v>10752</v>
      </c>
      <c r="M2323" s="1" t="s">
        <v>920</v>
      </c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25">
      <c r="A2324" s="7" t="s">
        <v>7024</v>
      </c>
      <c r="C2324" s="8" t="s">
        <v>9089</v>
      </c>
      <c r="D2324">
        <f t="shared" si="36"/>
        <v>1</v>
      </c>
      <c r="I2324" s="1" t="s">
        <v>918</v>
      </c>
      <c r="J2324" s="1" t="s">
        <v>25</v>
      </c>
      <c r="K2324" s="1" t="s">
        <v>923</v>
      </c>
      <c r="L2324" s="1" t="s">
        <v>919</v>
      </c>
      <c r="M2324" s="1" t="s">
        <v>920</v>
      </c>
      <c r="N2324" s="1" t="s">
        <v>921</v>
      </c>
      <c r="O2324" s="1" t="s">
        <v>925</v>
      </c>
      <c r="P2324" s="1" t="s">
        <v>927</v>
      </c>
      <c r="Q2324" s="1" t="s">
        <v>928</v>
      </c>
      <c r="R2324" s="1" t="s">
        <v>960</v>
      </c>
      <c r="S2324" s="1" t="s">
        <v>961</v>
      </c>
      <c r="T2324" s="1" t="s">
        <v>1147</v>
      </c>
      <c r="U2324" s="1"/>
      <c r="V2324" s="1"/>
      <c r="W2324" s="1"/>
      <c r="X2324" s="1"/>
      <c r="Y2324" s="1"/>
    </row>
    <row r="2325" spans="1:25" x14ac:dyDescent="0.25">
      <c r="A2325" s="7" t="s">
        <v>7024</v>
      </c>
      <c r="C2325" s="7" t="s">
        <v>6442</v>
      </c>
      <c r="D2325">
        <f t="shared" si="36"/>
        <v>1</v>
      </c>
      <c r="I2325" s="1" t="s">
        <v>1041</v>
      </c>
      <c r="J2325" s="1" t="s">
        <v>1042</v>
      </c>
      <c r="K2325" s="1" t="s">
        <v>999</v>
      </c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25">
      <c r="A2326" s="7" t="s">
        <v>7024</v>
      </c>
      <c r="C2326" s="7" t="s">
        <v>9518</v>
      </c>
      <c r="D2326">
        <f t="shared" si="36"/>
        <v>1</v>
      </c>
      <c r="I2326" s="1" t="s">
        <v>1045</v>
      </c>
      <c r="J2326" s="1" t="s">
        <v>1042</v>
      </c>
      <c r="K2326" s="1" t="s">
        <v>1006</v>
      </c>
      <c r="L2326" s="1" t="s">
        <v>921</v>
      </c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25">
      <c r="A2327" s="7" t="s">
        <v>7024</v>
      </c>
      <c r="C2327" s="8" t="s">
        <v>9255</v>
      </c>
      <c r="D2327">
        <f t="shared" si="36"/>
        <v>1</v>
      </c>
      <c r="I2327" s="1" t="s">
        <v>1041</v>
      </c>
      <c r="J2327" s="1" t="s">
        <v>1042</v>
      </c>
      <c r="K2327" s="1" t="s">
        <v>999</v>
      </c>
      <c r="L2327" s="1" t="s">
        <v>1007</v>
      </c>
      <c r="M2327" s="1" t="s">
        <v>1004</v>
      </c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25">
      <c r="A2328" s="7" t="s">
        <v>7024</v>
      </c>
      <c r="C2328" s="7" t="s">
        <v>9832</v>
      </c>
      <c r="D2328">
        <f t="shared" si="36"/>
        <v>1</v>
      </c>
      <c r="I2328" s="1" t="s">
        <v>997</v>
      </c>
      <c r="J2328" s="1" t="s">
        <v>994</v>
      </c>
      <c r="K2328" s="1" t="s">
        <v>1017</v>
      </c>
      <c r="L2328" s="1" t="s">
        <v>10698</v>
      </c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25">
      <c r="A2329" s="7" t="s">
        <v>7024</v>
      </c>
      <c r="C2329" s="7" t="s">
        <v>2582</v>
      </c>
      <c r="D2329">
        <f t="shared" si="36"/>
        <v>1</v>
      </c>
      <c r="I2329" s="1" t="s">
        <v>955</v>
      </c>
      <c r="J2329" s="1" t="s">
        <v>924</v>
      </c>
      <c r="K2329" s="1" t="s">
        <v>1014</v>
      </c>
      <c r="L2329" s="1" t="s">
        <v>1001</v>
      </c>
      <c r="M2329" s="1" t="s">
        <v>927</v>
      </c>
      <c r="N2329" s="1" t="s">
        <v>919</v>
      </c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25">
      <c r="A2330" s="7" t="s">
        <v>7024</v>
      </c>
      <c r="C2330" s="8" t="s">
        <v>10565</v>
      </c>
      <c r="D2330">
        <f t="shared" si="36"/>
        <v>1</v>
      </c>
      <c r="I2330" s="1" t="s">
        <v>298</v>
      </c>
      <c r="J2330" s="1" t="s">
        <v>1069</v>
      </c>
      <c r="K2330" s="1" t="s">
        <v>923</v>
      </c>
      <c r="L2330" s="1" t="s">
        <v>1053</v>
      </c>
      <c r="M2330" s="1" t="s">
        <v>926</v>
      </c>
      <c r="N2330" s="1" t="s">
        <v>10731</v>
      </c>
      <c r="O2330" s="1" t="s">
        <v>927</v>
      </c>
      <c r="P2330" s="1" t="s">
        <v>10975</v>
      </c>
      <c r="Q2330" s="1" t="s">
        <v>981</v>
      </c>
      <c r="R2330" s="1" t="s">
        <v>928</v>
      </c>
      <c r="S2330" s="1" t="s">
        <v>2927</v>
      </c>
      <c r="T2330" s="1" t="s">
        <v>25</v>
      </c>
      <c r="U2330" s="1" t="s">
        <v>998</v>
      </c>
      <c r="V2330" s="1" t="s">
        <v>1086</v>
      </c>
      <c r="W2330" s="1"/>
      <c r="X2330" s="1"/>
      <c r="Y2330" s="1"/>
    </row>
    <row r="2331" spans="1:25" x14ac:dyDescent="0.25">
      <c r="A2331" s="7" t="s">
        <v>7024</v>
      </c>
      <c r="C2331" s="8" t="s">
        <v>10058</v>
      </c>
      <c r="D2331">
        <f t="shared" si="36"/>
        <v>1</v>
      </c>
      <c r="I2331" s="1" t="s">
        <v>948</v>
      </c>
      <c r="J2331" s="1" t="s">
        <v>1051</v>
      </c>
      <c r="K2331" s="1" t="s">
        <v>25</v>
      </c>
      <c r="L2331" s="1" t="s">
        <v>923</v>
      </c>
      <c r="M2331" s="1" t="s">
        <v>1053</v>
      </c>
      <c r="N2331" s="1" t="s">
        <v>1086</v>
      </c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25">
      <c r="A2332" s="7" t="s">
        <v>7024</v>
      </c>
      <c r="C2332" s="8" t="s">
        <v>9127</v>
      </c>
      <c r="D2332">
        <f t="shared" si="36"/>
        <v>1</v>
      </c>
      <c r="I2332" s="1" t="s">
        <v>1053</v>
      </c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25">
      <c r="A2333" s="7" t="s">
        <v>7024</v>
      </c>
      <c r="C2333" s="8" t="s">
        <v>10124</v>
      </c>
      <c r="D2333">
        <f t="shared" si="36"/>
        <v>1</v>
      </c>
      <c r="I2333" s="1" t="s">
        <v>948</v>
      </c>
      <c r="J2333" s="1" t="s">
        <v>3439</v>
      </c>
      <c r="K2333" s="1" t="s">
        <v>25</v>
      </c>
      <c r="L2333" s="1" t="s">
        <v>923</v>
      </c>
      <c r="M2333" s="1" t="s">
        <v>1053</v>
      </c>
      <c r="N2333" s="1" t="s">
        <v>10814</v>
      </c>
      <c r="O2333" s="1" t="s">
        <v>256</v>
      </c>
      <c r="P2333" s="1" t="s">
        <v>1051</v>
      </c>
      <c r="Q2333" s="1" t="s">
        <v>1086</v>
      </c>
      <c r="R2333" s="1"/>
      <c r="S2333" s="1"/>
      <c r="T2333" s="1"/>
      <c r="U2333" s="1"/>
      <c r="V2333" s="1"/>
      <c r="W2333" s="1"/>
      <c r="X2333" s="1"/>
      <c r="Y2333" s="1"/>
    </row>
    <row r="2334" spans="1:25" x14ac:dyDescent="0.25">
      <c r="A2334" s="7" t="s">
        <v>7024</v>
      </c>
      <c r="C2334" s="8" t="s">
        <v>10349</v>
      </c>
      <c r="D2334">
        <f t="shared" si="36"/>
        <v>1</v>
      </c>
      <c r="I2334" s="1" t="s">
        <v>948</v>
      </c>
      <c r="J2334" s="1" t="s">
        <v>1051</v>
      </c>
      <c r="K2334" s="1" t="s">
        <v>25</v>
      </c>
      <c r="L2334" s="1" t="s">
        <v>923</v>
      </c>
      <c r="M2334" s="1" t="s">
        <v>1053</v>
      </c>
      <c r="N2334" s="1" t="s">
        <v>1086</v>
      </c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25">
      <c r="A2335" s="7" t="s">
        <v>7024</v>
      </c>
      <c r="C2335" s="7" t="s">
        <v>9670</v>
      </c>
      <c r="D2335">
        <f t="shared" si="36"/>
        <v>1</v>
      </c>
      <c r="I2335" s="1" t="s">
        <v>948</v>
      </c>
      <c r="J2335" s="1" t="s">
        <v>1051</v>
      </c>
      <c r="K2335" s="1" t="s">
        <v>25</v>
      </c>
      <c r="L2335" s="1" t="s">
        <v>923</v>
      </c>
      <c r="M2335" s="1" t="s">
        <v>1053</v>
      </c>
      <c r="N2335" s="1" t="s">
        <v>1086</v>
      </c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25">
      <c r="A2336" s="7" t="s">
        <v>7024</v>
      </c>
      <c r="C2336" s="8" t="s">
        <v>9795</v>
      </c>
      <c r="D2336">
        <f t="shared" si="36"/>
        <v>1</v>
      </c>
      <c r="I2336" s="1" t="s">
        <v>948</v>
      </c>
      <c r="J2336" s="1" t="s">
        <v>1051</v>
      </c>
      <c r="K2336" s="1" t="s">
        <v>25</v>
      </c>
      <c r="L2336" s="1" t="s">
        <v>923</v>
      </c>
      <c r="M2336" s="1" t="s">
        <v>1053</v>
      </c>
      <c r="N2336" s="1" t="s">
        <v>1086</v>
      </c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25">
      <c r="A2337" s="7" t="s">
        <v>7024</v>
      </c>
      <c r="C2337" s="7" t="s">
        <v>8233</v>
      </c>
      <c r="D2337">
        <f t="shared" si="36"/>
        <v>1</v>
      </c>
      <c r="I2337" s="1" t="s">
        <v>1031</v>
      </c>
      <c r="J2337" s="1" t="s">
        <v>923</v>
      </c>
      <c r="K2337" s="1" t="s">
        <v>1033</v>
      </c>
      <c r="L2337" s="1" t="s">
        <v>11004</v>
      </c>
      <c r="M2337" s="1" t="s">
        <v>1032</v>
      </c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25">
      <c r="A2338" s="7" t="s">
        <v>7024</v>
      </c>
      <c r="C2338" s="7" t="s">
        <v>9811</v>
      </c>
      <c r="D2338">
        <f t="shared" si="36"/>
        <v>1</v>
      </c>
      <c r="I2338" s="1" t="s">
        <v>1011</v>
      </c>
      <c r="J2338" s="1" t="s">
        <v>921</v>
      </c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25">
      <c r="A2339" s="7" t="s">
        <v>7024</v>
      </c>
      <c r="C2339" s="7" t="s">
        <v>9372</v>
      </c>
      <c r="D2339">
        <f t="shared" si="36"/>
        <v>1</v>
      </c>
      <c r="I2339" s="1" t="s">
        <v>948</v>
      </c>
      <c r="J2339" s="1" t="s">
        <v>1051</v>
      </c>
      <c r="K2339" s="1" t="s">
        <v>25</v>
      </c>
      <c r="L2339" s="1" t="s">
        <v>923</v>
      </c>
      <c r="M2339" s="1" t="s">
        <v>1053</v>
      </c>
      <c r="N2339" s="1" t="s">
        <v>1086</v>
      </c>
      <c r="O2339" s="1" t="s">
        <v>298</v>
      </c>
      <c r="P2339" s="1" t="s">
        <v>1069</v>
      </c>
      <c r="Q2339" s="1" t="s">
        <v>926</v>
      </c>
      <c r="R2339" s="1" t="s">
        <v>10731</v>
      </c>
      <c r="S2339" s="1" t="s">
        <v>927</v>
      </c>
      <c r="T2339" s="1" t="s">
        <v>10975</v>
      </c>
      <c r="U2339" s="1" t="s">
        <v>981</v>
      </c>
      <c r="V2339" s="1" t="s">
        <v>928</v>
      </c>
      <c r="W2339" s="1"/>
      <c r="X2339" s="1"/>
      <c r="Y2339" s="1"/>
    </row>
    <row r="2340" spans="1:25" x14ac:dyDescent="0.25">
      <c r="A2340" s="7" t="s">
        <v>7024</v>
      </c>
      <c r="C2340" s="7" t="s">
        <v>5788</v>
      </c>
      <c r="D2340">
        <f t="shared" si="36"/>
        <v>1</v>
      </c>
      <c r="I2340" s="1" t="s">
        <v>25</v>
      </c>
      <c r="J2340" s="1" t="s">
        <v>923</v>
      </c>
      <c r="K2340" s="1" t="s">
        <v>920</v>
      </c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25">
      <c r="A2341" s="7" t="s">
        <v>7024</v>
      </c>
      <c r="C2341" s="8" t="s">
        <v>9701</v>
      </c>
      <c r="D2341">
        <f t="shared" si="36"/>
        <v>1</v>
      </c>
      <c r="I2341" s="1" t="s">
        <v>948</v>
      </c>
      <c r="J2341" s="1" t="s">
        <v>1069</v>
      </c>
      <c r="K2341" s="1" t="s">
        <v>25</v>
      </c>
      <c r="L2341" s="1" t="s">
        <v>1070</v>
      </c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25">
      <c r="A2342" s="7" t="s">
        <v>7024</v>
      </c>
      <c r="C2342" s="8" t="s">
        <v>10645</v>
      </c>
      <c r="D2342">
        <f t="shared" si="36"/>
        <v>1</v>
      </c>
      <c r="I2342" s="1" t="s">
        <v>948</v>
      </c>
      <c r="J2342" s="1" t="s">
        <v>1069</v>
      </c>
      <c r="K2342" s="1" t="s">
        <v>25</v>
      </c>
      <c r="L2342" s="1" t="s">
        <v>1070</v>
      </c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25">
      <c r="A2343" s="7" t="s">
        <v>7024</v>
      </c>
      <c r="C2343" s="7" t="s">
        <v>9839</v>
      </c>
      <c r="D2343">
        <f t="shared" si="36"/>
        <v>1</v>
      </c>
      <c r="I2343" s="1" t="s">
        <v>948</v>
      </c>
      <c r="J2343" s="1" t="s">
        <v>1069</v>
      </c>
      <c r="K2343" s="1" t="s">
        <v>25</v>
      </c>
      <c r="L2343" s="1" t="s">
        <v>1070</v>
      </c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25">
      <c r="A2344" s="7" t="s">
        <v>7024</v>
      </c>
      <c r="C2344" s="8" t="s">
        <v>9700</v>
      </c>
      <c r="D2344">
        <f t="shared" si="36"/>
        <v>1</v>
      </c>
      <c r="I2344" s="1" t="s">
        <v>948</v>
      </c>
      <c r="J2344" s="1" t="s">
        <v>1069</v>
      </c>
      <c r="K2344" s="1" t="s">
        <v>25</v>
      </c>
      <c r="L2344" s="1" t="s">
        <v>1070</v>
      </c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25">
      <c r="A2345" s="7" t="s">
        <v>7024</v>
      </c>
      <c r="C2345" s="8" t="s">
        <v>9067</v>
      </c>
      <c r="D2345">
        <f t="shared" si="36"/>
        <v>1</v>
      </c>
      <c r="I2345" s="1" t="s">
        <v>948</v>
      </c>
      <c r="J2345" s="1" t="s">
        <v>1069</v>
      </c>
      <c r="K2345" s="1" t="s">
        <v>25</v>
      </c>
      <c r="L2345" s="1" t="s">
        <v>1070</v>
      </c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25">
      <c r="A2346" s="7" t="s">
        <v>7024</v>
      </c>
      <c r="C2346" s="8" t="s">
        <v>9258</v>
      </c>
      <c r="D2346">
        <f t="shared" si="36"/>
        <v>1</v>
      </c>
      <c r="I2346" s="1" t="s">
        <v>298</v>
      </c>
      <c r="J2346" s="1" t="s">
        <v>25</v>
      </c>
      <c r="K2346" s="1" t="s">
        <v>923</v>
      </c>
      <c r="L2346" s="1" t="s">
        <v>920</v>
      </c>
      <c r="M2346" s="1" t="s">
        <v>974</v>
      </c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25">
      <c r="A2347" s="7" t="s">
        <v>7024</v>
      </c>
      <c r="C2347" s="7" t="s">
        <v>5331</v>
      </c>
      <c r="D2347">
        <f t="shared" si="36"/>
        <v>1</v>
      </c>
      <c r="I2347" s="1" t="s">
        <v>298</v>
      </c>
      <c r="J2347" s="1" t="s">
        <v>25</v>
      </c>
      <c r="K2347" s="1" t="s">
        <v>923</v>
      </c>
      <c r="L2347" s="1" t="s">
        <v>920</v>
      </c>
      <c r="M2347" s="1" t="s">
        <v>974</v>
      </c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25">
      <c r="A2348" s="7" t="s">
        <v>7024</v>
      </c>
      <c r="C2348" s="8" t="s">
        <v>9264</v>
      </c>
      <c r="D2348">
        <f t="shared" si="36"/>
        <v>1</v>
      </c>
      <c r="I2348" s="1" t="s">
        <v>1031</v>
      </c>
      <c r="J2348" s="1" t="s">
        <v>25</v>
      </c>
      <c r="K2348" s="1" t="s">
        <v>923</v>
      </c>
      <c r="L2348" s="1" t="s">
        <v>916</v>
      </c>
      <c r="M2348" s="1" t="s">
        <v>920</v>
      </c>
      <c r="N2348" s="1" t="s">
        <v>974</v>
      </c>
      <c r="O2348" s="1" t="s">
        <v>1033</v>
      </c>
      <c r="P2348" s="1"/>
      <c r="Q2348" s="1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25">
      <c r="A2349" s="7" t="s">
        <v>7024</v>
      </c>
      <c r="C2349" s="8" t="s">
        <v>10296</v>
      </c>
      <c r="D2349">
        <f t="shared" si="36"/>
        <v>1</v>
      </c>
      <c r="I2349" s="1" t="s">
        <v>1031</v>
      </c>
      <c r="J2349" s="1" t="s">
        <v>25</v>
      </c>
      <c r="K2349" s="1" t="s">
        <v>923</v>
      </c>
      <c r="L2349" s="1" t="s">
        <v>916</v>
      </c>
      <c r="M2349" s="1" t="s">
        <v>920</v>
      </c>
      <c r="N2349" s="1" t="s">
        <v>974</v>
      </c>
      <c r="O2349" s="1" t="s">
        <v>1033</v>
      </c>
      <c r="P2349" s="1"/>
      <c r="Q2349" s="1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25">
      <c r="A2350" s="7" t="s">
        <v>7024</v>
      </c>
      <c r="C2350" s="8" t="s">
        <v>10019</v>
      </c>
      <c r="D2350">
        <f t="shared" si="36"/>
        <v>1</v>
      </c>
      <c r="I2350" s="1" t="s">
        <v>1031</v>
      </c>
      <c r="J2350" s="1" t="s">
        <v>25</v>
      </c>
      <c r="K2350" s="1" t="s">
        <v>923</v>
      </c>
      <c r="L2350" s="1" t="s">
        <v>916</v>
      </c>
      <c r="M2350" s="1" t="s">
        <v>920</v>
      </c>
      <c r="N2350" s="1" t="s">
        <v>974</v>
      </c>
      <c r="O2350" s="1" t="s">
        <v>1033</v>
      </c>
      <c r="P2350" s="1"/>
      <c r="Q2350" s="1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25">
      <c r="A2351" s="7" t="s">
        <v>7024</v>
      </c>
      <c r="C2351" s="7" t="s">
        <v>9386</v>
      </c>
      <c r="D2351">
        <f t="shared" si="36"/>
        <v>1</v>
      </c>
      <c r="I2351" s="1" t="s">
        <v>298</v>
      </c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25">
      <c r="A2352" s="7" t="s">
        <v>7024</v>
      </c>
      <c r="C2352" s="8" t="s">
        <v>9717</v>
      </c>
      <c r="D2352">
        <f t="shared" si="36"/>
        <v>1</v>
      </c>
      <c r="I2352" s="1" t="s">
        <v>298</v>
      </c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25">
      <c r="A2353" s="7" t="s">
        <v>7024</v>
      </c>
      <c r="C2353" s="7" t="s">
        <v>6931</v>
      </c>
      <c r="D2353">
        <f t="shared" si="36"/>
        <v>1</v>
      </c>
      <c r="I2353" s="1" t="s">
        <v>918</v>
      </c>
      <c r="J2353" s="1" t="s">
        <v>25</v>
      </c>
      <c r="K2353" s="1" t="s">
        <v>923</v>
      </c>
      <c r="L2353" s="1" t="s">
        <v>916</v>
      </c>
      <c r="M2353" s="1" t="s">
        <v>920</v>
      </c>
      <c r="N2353" s="1" t="s">
        <v>921</v>
      </c>
      <c r="O2353" s="1" t="s">
        <v>298</v>
      </c>
      <c r="P2353" s="1" t="s">
        <v>1013</v>
      </c>
      <c r="Q2353" s="1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25">
      <c r="A2354" s="7" t="s">
        <v>7024</v>
      </c>
      <c r="C2354" s="7" t="s">
        <v>9915</v>
      </c>
      <c r="D2354">
        <f t="shared" si="36"/>
        <v>1</v>
      </c>
      <c r="I2354" s="1" t="s">
        <v>1019</v>
      </c>
      <c r="J2354" s="1" t="s">
        <v>983</v>
      </c>
      <c r="K2354" s="1" t="s">
        <v>984</v>
      </c>
      <c r="L2354" s="1" t="s">
        <v>927</v>
      </c>
      <c r="M2354" s="1" t="s">
        <v>919</v>
      </c>
      <c r="N2354" s="1" t="s">
        <v>924</v>
      </c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25">
      <c r="A2355" s="7" t="s">
        <v>7024</v>
      </c>
      <c r="C2355" s="7" t="s">
        <v>9603</v>
      </c>
      <c r="D2355">
        <f t="shared" si="36"/>
        <v>1</v>
      </c>
      <c r="I2355" s="1" t="s">
        <v>1090</v>
      </c>
      <c r="J2355" s="1" t="s">
        <v>25</v>
      </c>
      <c r="K2355" s="1" t="s">
        <v>920</v>
      </c>
      <c r="L2355" s="1" t="s">
        <v>974</v>
      </c>
      <c r="M2355" s="1" t="s">
        <v>950</v>
      </c>
      <c r="N2355" s="1" t="s">
        <v>1013</v>
      </c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25">
      <c r="A2356" s="7" t="s">
        <v>7024</v>
      </c>
      <c r="C2356" s="8" t="s">
        <v>9335</v>
      </c>
      <c r="D2356">
        <f t="shared" si="36"/>
        <v>1</v>
      </c>
      <c r="I2356" s="1" t="s">
        <v>1041</v>
      </c>
      <c r="J2356" s="1" t="s">
        <v>1042</v>
      </c>
      <c r="K2356" s="1" t="s">
        <v>999</v>
      </c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25">
      <c r="A2357" s="7" t="s">
        <v>8828</v>
      </c>
      <c r="C2357" s="8" t="s">
        <v>10044</v>
      </c>
      <c r="D2357">
        <f t="shared" si="36"/>
        <v>1</v>
      </c>
      <c r="I2357" s="1" t="s">
        <v>298</v>
      </c>
      <c r="J2357" s="1" t="s">
        <v>25</v>
      </c>
      <c r="K2357" s="1" t="s">
        <v>923</v>
      </c>
      <c r="L2357" s="1" t="s">
        <v>927</v>
      </c>
      <c r="M2357" s="1" t="s">
        <v>981</v>
      </c>
      <c r="N2357" s="1" t="s">
        <v>920</v>
      </c>
      <c r="O2357" s="1" t="s">
        <v>933</v>
      </c>
      <c r="P2357" s="1" t="s">
        <v>921</v>
      </c>
      <c r="Q2357" s="1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25">
      <c r="A2358" s="8" t="s">
        <v>7024</v>
      </c>
      <c r="C2358" s="8" t="s">
        <v>9880</v>
      </c>
      <c r="D2358">
        <f t="shared" si="36"/>
        <v>1</v>
      </c>
      <c r="I2358" s="1" t="s">
        <v>25</v>
      </c>
      <c r="J2358" s="1" t="s">
        <v>923</v>
      </c>
      <c r="K2358" s="1" t="s">
        <v>920</v>
      </c>
      <c r="L2358" s="1" t="s">
        <v>933</v>
      </c>
      <c r="M2358" s="1" t="s">
        <v>954</v>
      </c>
      <c r="N2358" s="1" t="s">
        <v>921</v>
      </c>
      <c r="O2358" s="1" t="s">
        <v>10779</v>
      </c>
      <c r="P2358" s="1"/>
      <c r="Q2358" s="1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25">
      <c r="A2359" s="8" t="s">
        <v>7024</v>
      </c>
      <c r="C2359" s="7" t="s">
        <v>3393</v>
      </c>
      <c r="D2359">
        <f t="shared" si="36"/>
        <v>1</v>
      </c>
      <c r="I2359" s="1" t="s">
        <v>25</v>
      </c>
      <c r="J2359" s="1" t="s">
        <v>923</v>
      </c>
      <c r="K2359" s="1" t="s">
        <v>920</v>
      </c>
      <c r="L2359" s="1" t="s">
        <v>933</v>
      </c>
      <c r="M2359" s="1" t="s">
        <v>954</v>
      </c>
      <c r="N2359" s="1" t="s">
        <v>921</v>
      </c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25">
      <c r="A2360" s="8" t="s">
        <v>7024</v>
      </c>
      <c r="C2360" s="8" t="s">
        <v>10278</v>
      </c>
      <c r="D2360">
        <f t="shared" si="36"/>
        <v>1</v>
      </c>
      <c r="I2360" s="1" t="s">
        <v>25</v>
      </c>
      <c r="J2360" s="1" t="s">
        <v>923</v>
      </c>
      <c r="K2360" s="1" t="s">
        <v>920</v>
      </c>
      <c r="L2360" s="1" t="s">
        <v>933</v>
      </c>
      <c r="M2360" s="1" t="s">
        <v>954</v>
      </c>
      <c r="N2360" s="1" t="s">
        <v>921</v>
      </c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25">
      <c r="A2361" s="8" t="s">
        <v>7024</v>
      </c>
      <c r="C2361" s="7" t="s">
        <v>9902</v>
      </c>
      <c r="D2361">
        <f t="shared" si="36"/>
        <v>1</v>
      </c>
      <c r="I2361" s="1" t="s">
        <v>25</v>
      </c>
      <c r="J2361" s="1" t="s">
        <v>923</v>
      </c>
      <c r="K2361" s="1" t="s">
        <v>920</v>
      </c>
      <c r="L2361" s="1" t="s">
        <v>933</v>
      </c>
      <c r="M2361" s="1" t="s">
        <v>954</v>
      </c>
      <c r="N2361" s="1" t="s">
        <v>921</v>
      </c>
      <c r="O2361" s="1" t="s">
        <v>11005</v>
      </c>
      <c r="P2361" s="1"/>
      <c r="Q2361" s="1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25">
      <c r="A2362" s="8" t="s">
        <v>7024</v>
      </c>
      <c r="C2362" s="7" t="s">
        <v>10013</v>
      </c>
      <c r="D2362">
        <f t="shared" si="36"/>
        <v>1</v>
      </c>
      <c r="I2362" s="1" t="s">
        <v>25</v>
      </c>
      <c r="J2362" s="1" t="s">
        <v>923</v>
      </c>
      <c r="K2362" s="1" t="s">
        <v>920</v>
      </c>
      <c r="L2362" s="1" t="s">
        <v>933</v>
      </c>
      <c r="M2362" s="1" t="s">
        <v>954</v>
      </c>
      <c r="N2362" s="1" t="s">
        <v>921</v>
      </c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25">
      <c r="A2363" s="8" t="s">
        <v>7024</v>
      </c>
      <c r="C2363" s="7" t="s">
        <v>6430</v>
      </c>
      <c r="D2363">
        <f t="shared" si="36"/>
        <v>1</v>
      </c>
      <c r="I2363" s="1" t="s">
        <v>1004</v>
      </c>
      <c r="J2363" s="1" t="s">
        <v>1043</v>
      </c>
      <c r="K2363" s="1" t="s">
        <v>1006</v>
      </c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25">
      <c r="A2364" s="8" t="s">
        <v>7024</v>
      </c>
      <c r="C2364" s="7" t="s">
        <v>9287</v>
      </c>
      <c r="D2364">
        <f t="shared" si="36"/>
        <v>1</v>
      </c>
      <c r="I2364" s="1" t="s">
        <v>1004</v>
      </c>
      <c r="J2364" s="1" t="s">
        <v>1043</v>
      </c>
      <c r="K2364" s="1" t="s">
        <v>1006</v>
      </c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25">
      <c r="A2365" s="8" t="s">
        <v>7024</v>
      </c>
      <c r="C2365" s="7" t="s">
        <v>2516</v>
      </c>
      <c r="D2365">
        <f t="shared" si="36"/>
        <v>1</v>
      </c>
      <c r="I2365" s="1" t="s">
        <v>1004</v>
      </c>
      <c r="J2365" s="1" t="s">
        <v>1043</v>
      </c>
      <c r="K2365" s="1" t="s">
        <v>1006</v>
      </c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25">
      <c r="A2366" s="8" t="s">
        <v>7024</v>
      </c>
      <c r="C2366" s="8" t="s">
        <v>10063</v>
      </c>
      <c r="D2366">
        <f t="shared" si="36"/>
        <v>1</v>
      </c>
      <c r="I2366" s="1" t="s">
        <v>918</v>
      </c>
      <c r="J2366" s="1" t="s">
        <v>919</v>
      </c>
      <c r="K2366" s="1" t="s">
        <v>924</v>
      </c>
      <c r="L2366" s="1" t="s">
        <v>1076</v>
      </c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25">
      <c r="A2367" s="8" t="s">
        <v>7024</v>
      </c>
      <c r="C2367" s="8" t="s">
        <v>9330</v>
      </c>
      <c r="D2367">
        <f t="shared" si="36"/>
        <v>1</v>
      </c>
      <c r="I2367" s="1" t="s">
        <v>918</v>
      </c>
      <c r="J2367" s="1" t="s">
        <v>919</v>
      </c>
      <c r="K2367" s="1" t="s">
        <v>924</v>
      </c>
      <c r="L2367" s="1" t="s">
        <v>1076</v>
      </c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25">
      <c r="A2368" s="8" t="s">
        <v>7024</v>
      </c>
      <c r="C2368" s="8" t="s">
        <v>10554</v>
      </c>
      <c r="D2368">
        <f t="shared" si="36"/>
        <v>1</v>
      </c>
      <c r="I2368" s="1" t="s">
        <v>918</v>
      </c>
      <c r="J2368" s="1" t="s">
        <v>919</v>
      </c>
      <c r="K2368" s="1" t="s">
        <v>924</v>
      </c>
      <c r="L2368" s="1" t="s">
        <v>1076</v>
      </c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25">
      <c r="A2369" s="8" t="s">
        <v>7024</v>
      </c>
      <c r="C2369" s="7" t="s">
        <v>9543</v>
      </c>
      <c r="D2369">
        <f t="shared" si="36"/>
        <v>1</v>
      </c>
      <c r="I2369" s="1" t="s">
        <v>924</v>
      </c>
      <c r="J2369" s="1" t="s">
        <v>1076</v>
      </c>
      <c r="K2369" s="1" t="s">
        <v>8695</v>
      </c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25">
      <c r="A2370" s="8" t="s">
        <v>7024</v>
      </c>
      <c r="C2370" s="8" t="s">
        <v>10650</v>
      </c>
      <c r="D2370">
        <f t="shared" ref="D2370:D2433" si="37">COUNTIF(A:A,C2370)</f>
        <v>1</v>
      </c>
      <c r="I2370" s="1" t="s">
        <v>918</v>
      </c>
      <c r="J2370" s="1" t="s">
        <v>25</v>
      </c>
      <c r="K2370" s="1" t="s">
        <v>916</v>
      </c>
      <c r="L2370" s="1" t="s">
        <v>919</v>
      </c>
      <c r="M2370" s="1" t="s">
        <v>920</v>
      </c>
      <c r="N2370" s="1" t="s">
        <v>921</v>
      </c>
      <c r="O2370" s="1" t="s">
        <v>922</v>
      </c>
      <c r="P2370" s="1" t="s">
        <v>10964</v>
      </c>
      <c r="Q2370" s="1" t="s">
        <v>936</v>
      </c>
      <c r="R2370" s="1" t="s">
        <v>929</v>
      </c>
      <c r="S2370" s="1" t="s">
        <v>924</v>
      </c>
      <c r="T2370" s="1" t="s">
        <v>1076</v>
      </c>
      <c r="U2370" s="1" t="s">
        <v>1040</v>
      </c>
      <c r="V2370" s="1" t="s">
        <v>1097</v>
      </c>
      <c r="W2370" s="1"/>
      <c r="X2370" s="1"/>
      <c r="Y2370" s="1"/>
    </row>
    <row r="2371" spans="1:25" x14ac:dyDescent="0.25">
      <c r="A2371" s="8" t="s">
        <v>7024</v>
      </c>
      <c r="C2371" s="8" t="s">
        <v>9573</v>
      </c>
      <c r="D2371">
        <f t="shared" si="37"/>
        <v>1</v>
      </c>
      <c r="I2371" s="1" t="s">
        <v>1018</v>
      </c>
      <c r="J2371" s="1" t="s">
        <v>1019</v>
      </c>
      <c r="K2371" s="1" t="s">
        <v>983</v>
      </c>
      <c r="L2371" s="1" t="s">
        <v>1020</v>
      </c>
      <c r="M2371" s="1" t="s">
        <v>984</v>
      </c>
      <c r="N2371" s="1" t="s">
        <v>1021</v>
      </c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25">
      <c r="A2372" s="8" t="s">
        <v>7024</v>
      </c>
      <c r="C2372" s="8" t="s">
        <v>8840</v>
      </c>
      <c r="D2372">
        <f t="shared" si="37"/>
        <v>1</v>
      </c>
      <c r="I2372" s="1" t="s">
        <v>1018</v>
      </c>
      <c r="J2372" s="1" t="s">
        <v>1019</v>
      </c>
      <c r="K2372" s="1" t="s">
        <v>983</v>
      </c>
      <c r="L2372" s="1" t="s">
        <v>1020</v>
      </c>
      <c r="M2372" s="1" t="s">
        <v>984</v>
      </c>
      <c r="N2372" s="1" t="s">
        <v>1021</v>
      </c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25">
      <c r="A2373" s="7" t="s">
        <v>3530</v>
      </c>
      <c r="C2373" s="8" t="s">
        <v>9521</v>
      </c>
      <c r="D2373">
        <f t="shared" si="37"/>
        <v>1</v>
      </c>
      <c r="I2373" s="1" t="s">
        <v>927</v>
      </c>
      <c r="J2373" s="1" t="s">
        <v>953</v>
      </c>
      <c r="K2373" s="1" t="s">
        <v>943</v>
      </c>
      <c r="L2373" s="1" t="s">
        <v>983</v>
      </c>
      <c r="M2373" s="1" t="s">
        <v>919</v>
      </c>
      <c r="N2373" s="1" t="s">
        <v>984</v>
      </c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25">
      <c r="A2374" s="7" t="s">
        <v>3530</v>
      </c>
      <c r="C2374" s="7" t="s">
        <v>2801</v>
      </c>
      <c r="D2374">
        <f t="shared" si="37"/>
        <v>1</v>
      </c>
      <c r="I2374" s="1" t="s">
        <v>927</v>
      </c>
      <c r="J2374" s="1" t="s">
        <v>953</v>
      </c>
      <c r="K2374" s="1" t="s">
        <v>943</v>
      </c>
      <c r="L2374" s="1" t="s">
        <v>983</v>
      </c>
      <c r="M2374" s="1" t="s">
        <v>919</v>
      </c>
      <c r="N2374" s="1" t="s">
        <v>984</v>
      </c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25">
      <c r="A2375" s="8" t="s">
        <v>9834</v>
      </c>
      <c r="C2375" s="8" t="s">
        <v>10541</v>
      </c>
      <c r="D2375">
        <f t="shared" si="37"/>
        <v>1</v>
      </c>
      <c r="I2375" s="1" t="s">
        <v>927</v>
      </c>
      <c r="J2375" s="1" t="s">
        <v>953</v>
      </c>
      <c r="K2375" s="1" t="s">
        <v>943</v>
      </c>
      <c r="L2375" s="1" t="s">
        <v>983</v>
      </c>
      <c r="M2375" s="1" t="s">
        <v>919</v>
      </c>
      <c r="N2375" s="1" t="s">
        <v>984</v>
      </c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25">
      <c r="A2376" s="8" t="s">
        <v>9834</v>
      </c>
      <c r="C2376" s="8" t="s">
        <v>10509</v>
      </c>
      <c r="D2376">
        <f t="shared" si="37"/>
        <v>1</v>
      </c>
      <c r="I2376" s="1" t="s">
        <v>996</v>
      </c>
      <c r="J2376" s="1" t="s">
        <v>999</v>
      </c>
      <c r="K2376" s="1" t="s">
        <v>921</v>
      </c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25">
      <c r="A2377" s="7" t="s">
        <v>112</v>
      </c>
      <c r="C2377" s="8" t="s">
        <v>9427</v>
      </c>
      <c r="D2377">
        <f t="shared" si="37"/>
        <v>1</v>
      </c>
      <c r="I2377" s="1" t="s">
        <v>996</v>
      </c>
      <c r="J2377" s="1" t="s">
        <v>999</v>
      </c>
      <c r="K2377" s="1" t="s">
        <v>921</v>
      </c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25">
      <c r="A2378" s="7" t="s">
        <v>112</v>
      </c>
      <c r="C2378" s="8" t="s">
        <v>10153</v>
      </c>
      <c r="D2378">
        <f t="shared" si="37"/>
        <v>1</v>
      </c>
      <c r="I2378" s="1" t="s">
        <v>996</v>
      </c>
      <c r="J2378" s="1" t="s">
        <v>999</v>
      </c>
      <c r="K2378" s="1" t="s">
        <v>921</v>
      </c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25">
      <c r="A2379" s="7" t="s">
        <v>112</v>
      </c>
      <c r="C2379" s="8" t="s">
        <v>9934</v>
      </c>
      <c r="D2379">
        <f t="shared" si="37"/>
        <v>1</v>
      </c>
      <c r="I2379" s="1" t="s">
        <v>50</v>
      </c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25">
      <c r="A2380" s="7" t="s">
        <v>112</v>
      </c>
      <c r="C2380" s="8" t="s">
        <v>9587</v>
      </c>
      <c r="D2380">
        <f t="shared" si="37"/>
        <v>1</v>
      </c>
      <c r="I2380" s="1" t="s">
        <v>50</v>
      </c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25">
      <c r="A2381" s="7" t="s">
        <v>112</v>
      </c>
      <c r="C2381" s="8" t="s">
        <v>10009</v>
      </c>
      <c r="D2381">
        <f t="shared" si="37"/>
        <v>1</v>
      </c>
      <c r="I2381" s="1" t="s">
        <v>2541</v>
      </c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25">
      <c r="A2382" s="7" t="s">
        <v>112</v>
      </c>
      <c r="C2382" s="7" t="s">
        <v>5346</v>
      </c>
      <c r="D2382">
        <f t="shared" si="37"/>
        <v>1</v>
      </c>
      <c r="I2382" s="1" t="s">
        <v>1053</v>
      </c>
      <c r="J2382" s="1" t="s">
        <v>996</v>
      </c>
      <c r="K2382" s="1" t="s">
        <v>1149</v>
      </c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25">
      <c r="A2383" s="7" t="s">
        <v>112</v>
      </c>
      <c r="C2383" s="8" t="s">
        <v>9024</v>
      </c>
      <c r="D2383">
        <f t="shared" si="37"/>
        <v>1</v>
      </c>
      <c r="I2383" s="1" t="s">
        <v>1090</v>
      </c>
      <c r="J2383" s="1" t="s">
        <v>25</v>
      </c>
      <c r="K2383" s="1" t="s">
        <v>920</v>
      </c>
      <c r="L2383" s="1" t="s">
        <v>974</v>
      </c>
      <c r="M2383" s="1" t="s">
        <v>950</v>
      </c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25">
      <c r="A2384" s="7" t="s">
        <v>112</v>
      </c>
      <c r="C2384" s="8" t="s">
        <v>10276</v>
      </c>
      <c r="D2384">
        <f t="shared" si="37"/>
        <v>1</v>
      </c>
      <c r="I2384" s="1" t="s">
        <v>25</v>
      </c>
      <c r="J2384" s="1" t="s">
        <v>923</v>
      </c>
      <c r="K2384" s="1" t="s">
        <v>920</v>
      </c>
      <c r="L2384" s="1" t="s">
        <v>954</v>
      </c>
      <c r="M2384" s="1" t="s">
        <v>921</v>
      </c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25">
      <c r="A2385" s="7" t="s">
        <v>112</v>
      </c>
      <c r="C2385" s="8" t="s">
        <v>9464</v>
      </c>
      <c r="D2385">
        <f t="shared" si="37"/>
        <v>1</v>
      </c>
      <c r="I2385" s="1" t="s">
        <v>918</v>
      </c>
      <c r="J2385" s="1" t="s">
        <v>971</v>
      </c>
      <c r="K2385" s="1" t="s">
        <v>940</v>
      </c>
      <c r="L2385" s="1" t="s">
        <v>25</v>
      </c>
      <c r="M2385" s="1" t="s">
        <v>947</v>
      </c>
      <c r="N2385" s="1" t="s">
        <v>919</v>
      </c>
      <c r="O2385" s="1" t="s">
        <v>920</v>
      </c>
      <c r="P2385" s="1" t="s">
        <v>921</v>
      </c>
      <c r="Q2385" s="1" t="s">
        <v>10971</v>
      </c>
      <c r="R2385" s="1"/>
      <c r="S2385" s="1"/>
      <c r="T2385" s="1"/>
      <c r="U2385" s="1"/>
      <c r="V2385" s="1"/>
      <c r="W2385" s="1"/>
      <c r="X2385" s="1"/>
      <c r="Y2385" s="1"/>
    </row>
    <row r="2386" spans="1:25" x14ac:dyDescent="0.25">
      <c r="A2386" s="7" t="s">
        <v>112</v>
      </c>
      <c r="C2386" s="7" t="s">
        <v>4206</v>
      </c>
      <c r="D2386">
        <f t="shared" si="37"/>
        <v>1</v>
      </c>
      <c r="I2386" s="1" t="s">
        <v>918</v>
      </c>
      <c r="J2386" s="1" t="s">
        <v>25</v>
      </c>
      <c r="K2386" s="1" t="s">
        <v>927</v>
      </c>
      <c r="L2386" s="1" t="s">
        <v>919</v>
      </c>
      <c r="M2386" s="1" t="s">
        <v>920</v>
      </c>
      <c r="N2386" s="1" t="s">
        <v>921</v>
      </c>
      <c r="O2386" s="1" t="s">
        <v>936</v>
      </c>
      <c r="P2386" s="1"/>
      <c r="Q2386" s="1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25">
      <c r="A2387" s="7" t="s">
        <v>112</v>
      </c>
      <c r="C2387" s="8" t="s">
        <v>10496</v>
      </c>
      <c r="D2387">
        <f t="shared" si="37"/>
        <v>1</v>
      </c>
      <c r="I2387" s="1" t="s">
        <v>918</v>
      </c>
      <c r="J2387" s="1" t="s">
        <v>949</v>
      </c>
      <c r="K2387" s="1" t="s">
        <v>25</v>
      </c>
      <c r="L2387" s="1" t="s">
        <v>923</v>
      </c>
      <c r="M2387" s="1" t="s">
        <v>919</v>
      </c>
      <c r="N2387" s="1" t="s">
        <v>920</v>
      </c>
      <c r="O2387" s="1" t="s">
        <v>974</v>
      </c>
      <c r="P2387" s="1" t="s">
        <v>921</v>
      </c>
      <c r="Q2387" s="1" t="s">
        <v>1109</v>
      </c>
      <c r="R2387" s="1" t="s">
        <v>1037</v>
      </c>
      <c r="S2387" s="1"/>
      <c r="T2387" s="1"/>
      <c r="U2387" s="1"/>
      <c r="V2387" s="1"/>
      <c r="W2387" s="1"/>
      <c r="X2387" s="1"/>
      <c r="Y2387" s="1"/>
    </row>
    <row r="2388" spans="1:25" x14ac:dyDescent="0.25">
      <c r="A2388" s="7" t="s">
        <v>112</v>
      </c>
      <c r="C2388" s="8" t="s">
        <v>9896</v>
      </c>
      <c r="D2388">
        <f t="shared" si="37"/>
        <v>1</v>
      </c>
      <c r="I2388" s="1" t="s">
        <v>25</v>
      </c>
      <c r="J2388" s="1" t="s">
        <v>923</v>
      </c>
      <c r="K2388" s="1" t="s">
        <v>916</v>
      </c>
      <c r="L2388" s="1" t="s">
        <v>920</v>
      </c>
      <c r="M2388" s="1" t="s">
        <v>974</v>
      </c>
      <c r="N2388" s="1" t="s">
        <v>921</v>
      </c>
      <c r="O2388" s="1" t="s">
        <v>1033</v>
      </c>
      <c r="P2388" s="1" t="s">
        <v>918</v>
      </c>
      <c r="Q2388" s="1" t="s">
        <v>943</v>
      </c>
      <c r="R2388" s="1" t="s">
        <v>919</v>
      </c>
      <c r="S2388" s="1" t="s">
        <v>936</v>
      </c>
      <c r="T2388" s="1"/>
      <c r="U2388" s="1"/>
      <c r="V2388" s="1"/>
      <c r="W2388" s="1"/>
      <c r="X2388" s="1"/>
      <c r="Y2388" s="1"/>
    </row>
    <row r="2389" spans="1:25" x14ac:dyDescent="0.25">
      <c r="A2389" s="7" t="s">
        <v>112</v>
      </c>
      <c r="C2389" s="8" t="s">
        <v>9925</v>
      </c>
      <c r="D2389">
        <f t="shared" si="37"/>
        <v>1</v>
      </c>
      <c r="I2389" s="1" t="s">
        <v>1001</v>
      </c>
      <c r="J2389" s="1" t="s">
        <v>927</v>
      </c>
      <c r="K2389" s="1" t="s">
        <v>992</v>
      </c>
      <c r="L2389" s="1" t="s">
        <v>981</v>
      </c>
      <c r="M2389" s="1" t="s">
        <v>993</v>
      </c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25">
      <c r="A2390" s="7" t="s">
        <v>112</v>
      </c>
      <c r="C2390" s="7" t="s">
        <v>6090</v>
      </c>
      <c r="D2390">
        <f t="shared" si="37"/>
        <v>1</v>
      </c>
      <c r="I2390" s="1" t="s">
        <v>25</v>
      </c>
      <c r="J2390" s="1" t="s">
        <v>923</v>
      </c>
      <c r="K2390" s="1" t="s">
        <v>927</v>
      </c>
      <c r="L2390" s="1" t="s">
        <v>919</v>
      </c>
      <c r="M2390" s="1" t="s">
        <v>920</v>
      </c>
      <c r="N2390" s="1" t="s">
        <v>921</v>
      </c>
      <c r="O2390" s="1" t="s">
        <v>953</v>
      </c>
      <c r="P2390" s="1" t="s">
        <v>943</v>
      </c>
      <c r="Q2390" s="1" t="s">
        <v>983</v>
      </c>
      <c r="R2390" s="1" t="s">
        <v>984</v>
      </c>
      <c r="S2390" s="1"/>
      <c r="T2390" s="1"/>
      <c r="U2390" s="1"/>
      <c r="V2390" s="1"/>
      <c r="W2390" s="1"/>
      <c r="X2390" s="1"/>
      <c r="Y2390" s="1"/>
    </row>
    <row r="2391" spans="1:25" x14ac:dyDescent="0.25">
      <c r="A2391" s="7" t="s">
        <v>112</v>
      </c>
      <c r="C2391" s="8" t="s">
        <v>9492</v>
      </c>
      <c r="D2391">
        <f t="shared" si="37"/>
        <v>1</v>
      </c>
      <c r="I2391" s="1" t="s">
        <v>25</v>
      </c>
      <c r="J2391" s="1" t="s">
        <v>923</v>
      </c>
      <c r="K2391" s="1" t="s">
        <v>998</v>
      </c>
      <c r="L2391" s="1" t="s">
        <v>1053</v>
      </c>
      <c r="M2391" s="1" t="s">
        <v>1086</v>
      </c>
      <c r="N2391" s="1" t="s">
        <v>933</v>
      </c>
      <c r="O2391" s="1" t="s">
        <v>1477</v>
      </c>
      <c r="P2391" s="1" t="s">
        <v>1055</v>
      </c>
      <c r="Q2391" s="1" t="s">
        <v>994</v>
      </c>
      <c r="R2391" s="1"/>
      <c r="S2391" s="1"/>
      <c r="T2391" s="1"/>
      <c r="U2391" s="1"/>
      <c r="V2391" s="1"/>
      <c r="W2391" s="1"/>
      <c r="X2391" s="1"/>
      <c r="Y2391" s="1"/>
    </row>
    <row r="2392" spans="1:25" x14ac:dyDescent="0.25">
      <c r="A2392" s="7" t="s">
        <v>112</v>
      </c>
      <c r="C2392" s="8" t="s">
        <v>10329</v>
      </c>
      <c r="D2392">
        <f t="shared" si="37"/>
        <v>1</v>
      </c>
      <c r="I2392" s="1" t="s">
        <v>1109</v>
      </c>
      <c r="J2392" s="1" t="s">
        <v>25</v>
      </c>
      <c r="K2392" s="1" t="s">
        <v>923</v>
      </c>
      <c r="L2392" s="1" t="s">
        <v>927</v>
      </c>
      <c r="M2392" s="1" t="s">
        <v>919</v>
      </c>
      <c r="N2392" s="1" t="s">
        <v>920</v>
      </c>
      <c r="O2392" s="1" t="s">
        <v>921</v>
      </c>
      <c r="P2392" s="1" t="s">
        <v>10837</v>
      </c>
      <c r="Q2392" s="1" t="s">
        <v>981</v>
      </c>
      <c r="R2392" s="1" t="s">
        <v>994</v>
      </c>
      <c r="S2392" s="1"/>
      <c r="T2392" s="1"/>
      <c r="U2392" s="1"/>
      <c r="V2392" s="1"/>
      <c r="W2392" s="1"/>
      <c r="X2392" s="1"/>
      <c r="Y2392" s="1"/>
    </row>
    <row r="2393" spans="1:25" x14ac:dyDescent="0.25">
      <c r="A2393" s="7" t="s">
        <v>112</v>
      </c>
      <c r="C2393" s="7" t="s">
        <v>4716</v>
      </c>
      <c r="D2393">
        <f t="shared" si="37"/>
        <v>1</v>
      </c>
      <c r="I2393" s="1" t="s">
        <v>975</v>
      </c>
      <c r="J2393" s="1" t="s">
        <v>923</v>
      </c>
      <c r="K2393" s="1" t="s">
        <v>976</v>
      </c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25">
      <c r="A2394" s="7" t="s">
        <v>112</v>
      </c>
      <c r="C2394" s="8" t="s">
        <v>10031</v>
      </c>
      <c r="D2394">
        <f t="shared" si="37"/>
        <v>1</v>
      </c>
      <c r="I2394" s="1" t="s">
        <v>11003</v>
      </c>
      <c r="J2394" s="1" t="s">
        <v>923</v>
      </c>
      <c r="K2394" s="1" t="s">
        <v>976</v>
      </c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25">
      <c r="A2395" s="7" t="s">
        <v>112</v>
      </c>
      <c r="C2395" s="8" t="s">
        <v>9336</v>
      </c>
      <c r="D2395">
        <f t="shared" si="37"/>
        <v>1</v>
      </c>
      <c r="I2395" s="1" t="s">
        <v>11003</v>
      </c>
      <c r="J2395" s="1" t="s">
        <v>923</v>
      </c>
      <c r="K2395" s="1" t="s">
        <v>976</v>
      </c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25">
      <c r="A2396" s="7" t="s">
        <v>112</v>
      </c>
      <c r="C2396" s="8" t="s">
        <v>9632</v>
      </c>
      <c r="D2396">
        <f t="shared" si="37"/>
        <v>1</v>
      </c>
      <c r="I2396" s="1" t="s">
        <v>11003</v>
      </c>
      <c r="J2396" s="1" t="s">
        <v>923</v>
      </c>
      <c r="K2396" s="1" t="s">
        <v>976</v>
      </c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25">
      <c r="A2397" s="7" t="s">
        <v>112</v>
      </c>
      <c r="C2397" s="7" t="s">
        <v>10388</v>
      </c>
      <c r="D2397">
        <f t="shared" si="37"/>
        <v>1</v>
      </c>
      <c r="I2397" s="1" t="s">
        <v>1001</v>
      </c>
      <c r="J2397" s="1" t="s">
        <v>10697</v>
      </c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25">
      <c r="A2398" s="7" t="s">
        <v>112</v>
      </c>
      <c r="C2398" s="8" t="s">
        <v>10659</v>
      </c>
      <c r="D2398">
        <f t="shared" si="37"/>
        <v>1</v>
      </c>
      <c r="I2398" s="1" t="s">
        <v>994</v>
      </c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25">
      <c r="A2399" s="7" t="s">
        <v>112</v>
      </c>
      <c r="C2399" s="8" t="s">
        <v>9938</v>
      </c>
      <c r="D2399">
        <f t="shared" si="37"/>
        <v>1</v>
      </c>
      <c r="I2399" s="1" t="s">
        <v>933</v>
      </c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25">
      <c r="A2400" s="7" t="s">
        <v>112</v>
      </c>
      <c r="C2400" s="7" t="s">
        <v>10154</v>
      </c>
      <c r="D2400">
        <f t="shared" si="37"/>
        <v>1</v>
      </c>
      <c r="I2400" s="1" t="s">
        <v>50</v>
      </c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25">
      <c r="A2401" s="7" t="s">
        <v>112</v>
      </c>
      <c r="C2401" s="8" t="s">
        <v>10362</v>
      </c>
      <c r="D2401">
        <f t="shared" si="37"/>
        <v>1</v>
      </c>
      <c r="I2401" s="1" t="s">
        <v>996</v>
      </c>
      <c r="J2401" s="1" t="s">
        <v>933</v>
      </c>
      <c r="K2401" s="1" t="s">
        <v>994</v>
      </c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25">
      <c r="A2402" s="7" t="s">
        <v>112</v>
      </c>
      <c r="C2402" s="8" t="s">
        <v>9283</v>
      </c>
      <c r="D2402">
        <f t="shared" si="37"/>
        <v>1</v>
      </c>
      <c r="I2402" s="1" t="s">
        <v>996</v>
      </c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25">
      <c r="A2403" s="8" t="s">
        <v>112</v>
      </c>
      <c r="C2403" s="8" t="s">
        <v>9504</v>
      </c>
      <c r="D2403">
        <f t="shared" si="37"/>
        <v>1</v>
      </c>
      <c r="I2403" s="1" t="s">
        <v>957</v>
      </c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25">
      <c r="A2404" s="8" t="s">
        <v>112</v>
      </c>
      <c r="C2404" s="8" t="s">
        <v>10387</v>
      </c>
      <c r="D2404">
        <f t="shared" si="37"/>
        <v>1</v>
      </c>
      <c r="I2404" s="1" t="s">
        <v>1151</v>
      </c>
      <c r="J2404" s="1" t="s">
        <v>1078</v>
      </c>
      <c r="K2404" s="1" t="s">
        <v>974</v>
      </c>
      <c r="L2404" s="1" t="s">
        <v>10719</v>
      </c>
      <c r="M2404" s="1" t="s">
        <v>10720</v>
      </c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25">
      <c r="A2405" s="8" t="s">
        <v>112</v>
      </c>
      <c r="C2405" s="7" t="s">
        <v>9726</v>
      </c>
      <c r="D2405">
        <f t="shared" si="37"/>
        <v>1</v>
      </c>
      <c r="I2405" s="1" t="s">
        <v>1041</v>
      </c>
      <c r="J2405" s="1" t="s">
        <v>999</v>
      </c>
      <c r="K2405" s="1" t="s">
        <v>921</v>
      </c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25">
      <c r="A2406" s="7" t="s">
        <v>8860</v>
      </c>
      <c r="C2406" s="8" t="s">
        <v>9750</v>
      </c>
      <c r="D2406">
        <f t="shared" si="37"/>
        <v>1</v>
      </c>
      <c r="I2406" s="1" t="s">
        <v>6671</v>
      </c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25">
      <c r="A2407" s="8" t="s">
        <v>8860</v>
      </c>
      <c r="C2407" s="8" t="s">
        <v>9563</v>
      </c>
      <c r="D2407">
        <f t="shared" si="37"/>
        <v>1</v>
      </c>
      <c r="I2407" s="1" t="s">
        <v>934</v>
      </c>
      <c r="J2407" s="1" t="s">
        <v>25</v>
      </c>
      <c r="K2407" s="1" t="s">
        <v>923</v>
      </c>
      <c r="L2407" s="1" t="s">
        <v>920</v>
      </c>
      <c r="M2407" s="1" t="s">
        <v>933</v>
      </c>
      <c r="N2407" s="1" t="s">
        <v>954</v>
      </c>
      <c r="O2407" s="1" t="s">
        <v>1141</v>
      </c>
      <c r="P2407" s="1"/>
      <c r="Q2407" s="1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25">
      <c r="A2408" s="8" t="s">
        <v>8860</v>
      </c>
      <c r="C2408" s="7" t="s">
        <v>8901</v>
      </c>
      <c r="D2408">
        <f t="shared" si="37"/>
        <v>1</v>
      </c>
      <c r="I2408" s="1" t="s">
        <v>298</v>
      </c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25">
      <c r="A2409" s="8" t="s">
        <v>10149</v>
      </c>
      <c r="C2409" s="7" t="s">
        <v>9820</v>
      </c>
      <c r="D2409">
        <f t="shared" si="37"/>
        <v>1</v>
      </c>
      <c r="I2409" s="1" t="s">
        <v>1066</v>
      </c>
      <c r="J2409" s="1" t="s">
        <v>1020</v>
      </c>
      <c r="K2409" s="1" t="s">
        <v>918</v>
      </c>
      <c r="L2409" s="1" t="s">
        <v>1110</v>
      </c>
      <c r="M2409" s="1" t="s">
        <v>25</v>
      </c>
      <c r="N2409" s="1" t="s">
        <v>923</v>
      </c>
      <c r="O2409" s="1" t="s">
        <v>919</v>
      </c>
      <c r="P2409" s="1" t="s">
        <v>920</v>
      </c>
      <c r="Q2409" s="1" t="s">
        <v>954</v>
      </c>
      <c r="R2409" s="1" t="s">
        <v>328</v>
      </c>
      <c r="S2409" s="1" t="s">
        <v>921</v>
      </c>
      <c r="T2409" s="1"/>
      <c r="U2409" s="1"/>
      <c r="V2409" s="1"/>
      <c r="W2409" s="1"/>
      <c r="X2409" s="1"/>
      <c r="Y2409" s="1"/>
    </row>
    <row r="2410" spans="1:25" x14ac:dyDescent="0.25">
      <c r="A2410" s="8" t="s">
        <v>10421</v>
      </c>
      <c r="C2410" s="7" t="s">
        <v>9321</v>
      </c>
      <c r="D2410">
        <f t="shared" si="37"/>
        <v>1</v>
      </c>
      <c r="I2410" s="1" t="s">
        <v>2541</v>
      </c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25">
      <c r="A2411" s="8" t="s">
        <v>9135</v>
      </c>
      <c r="C2411" s="8" t="s">
        <v>9426</v>
      </c>
      <c r="D2411">
        <f t="shared" si="37"/>
        <v>1</v>
      </c>
      <c r="I2411" s="1" t="s">
        <v>1013</v>
      </c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25">
      <c r="A2412" s="8" t="s">
        <v>10068</v>
      </c>
      <c r="C2412" s="7" t="s">
        <v>10121</v>
      </c>
      <c r="D2412">
        <f t="shared" si="37"/>
        <v>1</v>
      </c>
      <c r="I2412" s="1" t="s">
        <v>934</v>
      </c>
      <c r="J2412" s="1" t="s">
        <v>25</v>
      </c>
      <c r="K2412" s="1" t="s">
        <v>923</v>
      </c>
      <c r="L2412" s="1" t="s">
        <v>920</v>
      </c>
      <c r="M2412" s="1" t="s">
        <v>933</v>
      </c>
      <c r="N2412" s="1" t="s">
        <v>954</v>
      </c>
      <c r="O2412" s="1" t="s">
        <v>1141</v>
      </c>
      <c r="P2412" s="1"/>
      <c r="Q2412" s="1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25">
      <c r="A2413" s="7" t="s">
        <v>2823</v>
      </c>
      <c r="C2413" s="8" t="s">
        <v>9748</v>
      </c>
      <c r="D2413">
        <f t="shared" si="37"/>
        <v>1</v>
      </c>
      <c r="I2413" s="1" t="s">
        <v>1086</v>
      </c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25">
      <c r="A2414" s="7" t="s">
        <v>2823</v>
      </c>
      <c r="C2414" s="8" t="s">
        <v>9666</v>
      </c>
      <c r="D2414">
        <f t="shared" si="37"/>
        <v>1</v>
      </c>
      <c r="I2414" s="1" t="s">
        <v>6421</v>
      </c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25">
      <c r="A2415" s="8" t="s">
        <v>2823</v>
      </c>
      <c r="C2415" s="8" t="s">
        <v>9256</v>
      </c>
      <c r="D2415">
        <f t="shared" si="37"/>
        <v>1</v>
      </c>
      <c r="I2415" s="1" t="s">
        <v>933</v>
      </c>
      <c r="J2415" s="1" t="s">
        <v>993</v>
      </c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25">
      <c r="A2416" s="8" t="s">
        <v>9731</v>
      </c>
      <c r="C2416" s="8" t="s">
        <v>9404</v>
      </c>
      <c r="D2416">
        <f t="shared" si="37"/>
        <v>1</v>
      </c>
      <c r="I2416" s="1" t="s">
        <v>1016</v>
      </c>
      <c r="J2416" s="1" t="s">
        <v>1019</v>
      </c>
      <c r="K2416" s="1" t="s">
        <v>983</v>
      </c>
      <c r="L2416" s="1" t="s">
        <v>10697</v>
      </c>
      <c r="M2416" s="1" t="s">
        <v>984</v>
      </c>
      <c r="N2416" s="1" t="s">
        <v>933</v>
      </c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25">
      <c r="A2417" s="7" t="s">
        <v>2783</v>
      </c>
      <c r="C2417" s="8" t="s">
        <v>9539</v>
      </c>
      <c r="D2417">
        <f t="shared" si="37"/>
        <v>1</v>
      </c>
      <c r="I2417" s="1" t="s">
        <v>1053</v>
      </c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25">
      <c r="A2418" s="7" t="s">
        <v>2783</v>
      </c>
      <c r="C2418" s="7" t="s">
        <v>9824</v>
      </c>
      <c r="D2418">
        <f t="shared" si="37"/>
        <v>1</v>
      </c>
      <c r="I2418" s="1" t="s">
        <v>933</v>
      </c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25">
      <c r="A2419" s="7" t="s">
        <v>2783</v>
      </c>
      <c r="C2419" s="7" t="s">
        <v>9855</v>
      </c>
      <c r="D2419">
        <f t="shared" si="37"/>
        <v>1</v>
      </c>
      <c r="I2419" s="1" t="s">
        <v>927</v>
      </c>
      <c r="J2419" s="1" t="s">
        <v>981</v>
      </c>
      <c r="K2419" s="1" t="s">
        <v>919</v>
      </c>
      <c r="L2419" s="1" t="s">
        <v>920</v>
      </c>
      <c r="M2419" s="1" t="s">
        <v>921</v>
      </c>
      <c r="N2419" s="1" t="s">
        <v>996</v>
      </c>
      <c r="O2419" s="1" t="s">
        <v>25</v>
      </c>
      <c r="P2419" s="1" t="s">
        <v>997</v>
      </c>
      <c r="Q2419" s="1" t="s">
        <v>998</v>
      </c>
      <c r="R2419" s="1" t="s">
        <v>933</v>
      </c>
      <c r="S2419" s="1" t="s">
        <v>993</v>
      </c>
      <c r="T2419" s="1" t="s">
        <v>994</v>
      </c>
      <c r="U2419" s="1"/>
      <c r="V2419" s="1"/>
      <c r="W2419" s="1"/>
      <c r="X2419" s="1"/>
      <c r="Y2419" s="1"/>
    </row>
    <row r="2420" spans="1:25" x14ac:dyDescent="0.25">
      <c r="A2420" s="7" t="s">
        <v>9195</v>
      </c>
      <c r="C2420" s="7" t="s">
        <v>2923</v>
      </c>
      <c r="D2420">
        <f t="shared" si="37"/>
        <v>1</v>
      </c>
      <c r="I2420" s="1" t="s">
        <v>1066</v>
      </c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25">
      <c r="A2421" s="7" t="s">
        <v>9195</v>
      </c>
      <c r="C2421" s="8" t="s">
        <v>10217</v>
      </c>
      <c r="D2421">
        <f t="shared" si="37"/>
        <v>1</v>
      </c>
      <c r="I2421" s="1" t="s">
        <v>256</v>
      </c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25">
      <c r="A2422" s="7" t="s">
        <v>9373</v>
      </c>
      <c r="C2422" s="8" t="s">
        <v>9465</v>
      </c>
      <c r="D2422">
        <f t="shared" si="37"/>
        <v>1</v>
      </c>
      <c r="I2422" s="1" t="s">
        <v>932</v>
      </c>
      <c r="J2422" s="1" t="s">
        <v>916</v>
      </c>
      <c r="K2422" s="1" t="s">
        <v>933</v>
      </c>
      <c r="L2422" s="1" t="s">
        <v>1066</v>
      </c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25">
      <c r="A2423" s="8" t="s">
        <v>9373</v>
      </c>
      <c r="C2423" s="8" t="s">
        <v>9284</v>
      </c>
      <c r="D2423">
        <f t="shared" si="37"/>
        <v>1</v>
      </c>
      <c r="I2423" s="1" t="s">
        <v>1086</v>
      </c>
      <c r="J2423" s="1" t="s">
        <v>933</v>
      </c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25">
      <c r="A2424" s="8" t="s">
        <v>10432</v>
      </c>
      <c r="C2424" s="7" t="s">
        <v>4705</v>
      </c>
      <c r="D2424">
        <f t="shared" si="37"/>
        <v>1</v>
      </c>
      <c r="I2424" s="1" t="s">
        <v>1086</v>
      </c>
      <c r="J2424" s="1" t="s">
        <v>933</v>
      </c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25">
      <c r="A2425" s="8" t="s">
        <v>9078</v>
      </c>
      <c r="C2425" s="8" t="s">
        <v>10300</v>
      </c>
      <c r="D2425">
        <f t="shared" si="37"/>
        <v>1</v>
      </c>
      <c r="I2425" s="1" t="s">
        <v>996</v>
      </c>
      <c r="J2425" s="1" t="s">
        <v>948</v>
      </c>
      <c r="K2425" s="1" t="s">
        <v>10788</v>
      </c>
      <c r="L2425" s="1" t="s">
        <v>25</v>
      </c>
      <c r="M2425" s="1" t="s">
        <v>923</v>
      </c>
      <c r="N2425" s="1" t="s">
        <v>997</v>
      </c>
      <c r="O2425" s="1" t="s">
        <v>1086</v>
      </c>
      <c r="P2425" s="1" t="s">
        <v>920</v>
      </c>
      <c r="Q2425" s="1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25">
      <c r="A2426" s="8" t="s">
        <v>9078</v>
      </c>
      <c r="C2426" s="8" t="s">
        <v>9039</v>
      </c>
      <c r="D2426">
        <f t="shared" si="37"/>
        <v>1</v>
      </c>
      <c r="I2426" s="1" t="s">
        <v>933</v>
      </c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25">
      <c r="A2427" s="7" t="s">
        <v>4170</v>
      </c>
      <c r="C2427" s="7" t="s">
        <v>9797</v>
      </c>
      <c r="D2427">
        <f t="shared" si="37"/>
        <v>1</v>
      </c>
      <c r="I2427" s="1" t="s">
        <v>11006</v>
      </c>
      <c r="J2427" s="1" t="s">
        <v>1004</v>
      </c>
      <c r="K2427" s="1" t="s">
        <v>176</v>
      </c>
      <c r="L2427" s="1" t="s">
        <v>1156</v>
      </c>
      <c r="M2427" s="1" t="s">
        <v>1006</v>
      </c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25">
      <c r="A2428" s="8" t="s">
        <v>10658</v>
      </c>
      <c r="C2428" s="8" t="s">
        <v>10530</v>
      </c>
      <c r="D2428">
        <f t="shared" si="37"/>
        <v>1</v>
      </c>
      <c r="I2428" s="1" t="s">
        <v>1041</v>
      </c>
      <c r="J2428" s="1" t="s">
        <v>1156</v>
      </c>
      <c r="K2428" s="1" t="s">
        <v>11007</v>
      </c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25">
      <c r="A2429" s="8" t="s">
        <v>10685</v>
      </c>
      <c r="C2429" s="7" t="s">
        <v>10015</v>
      </c>
      <c r="D2429">
        <f t="shared" si="37"/>
        <v>1</v>
      </c>
      <c r="I2429" s="1" t="s">
        <v>1041</v>
      </c>
      <c r="J2429" s="1" t="s">
        <v>1156</v>
      </c>
      <c r="K2429" s="1" t="s">
        <v>11007</v>
      </c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25">
      <c r="A2430" s="8" t="s">
        <v>10079</v>
      </c>
      <c r="C2430" s="8" t="s">
        <v>10640</v>
      </c>
      <c r="D2430">
        <f t="shared" si="37"/>
        <v>1</v>
      </c>
      <c r="I2430" s="1" t="s">
        <v>1041</v>
      </c>
      <c r="J2430" s="1" t="s">
        <v>1156</v>
      </c>
      <c r="K2430" s="1" t="s">
        <v>11007</v>
      </c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25">
      <c r="A2431" s="8" t="s">
        <v>10079</v>
      </c>
      <c r="C2431" s="8" t="s">
        <v>10308</v>
      </c>
      <c r="D2431">
        <f t="shared" si="37"/>
        <v>1</v>
      </c>
      <c r="I2431" s="1" t="s">
        <v>1041</v>
      </c>
      <c r="J2431" s="1" t="s">
        <v>1156</v>
      </c>
      <c r="K2431" s="1" t="s">
        <v>11007</v>
      </c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25">
      <c r="A2432" s="8" t="s">
        <v>8907</v>
      </c>
      <c r="C2432" s="8" t="s">
        <v>7331</v>
      </c>
      <c r="D2432">
        <f t="shared" si="37"/>
        <v>1</v>
      </c>
      <c r="I2432" s="1" t="s">
        <v>1041</v>
      </c>
      <c r="J2432" s="1" t="s">
        <v>1087</v>
      </c>
      <c r="K2432" s="1" t="s">
        <v>999</v>
      </c>
      <c r="L2432" s="1" t="s">
        <v>1073</v>
      </c>
      <c r="M2432" s="1" t="s">
        <v>996</v>
      </c>
      <c r="N2432" s="1" t="s">
        <v>921</v>
      </c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25">
      <c r="A2433" s="8" t="s">
        <v>10138</v>
      </c>
      <c r="C2433" s="8" t="s">
        <v>9698</v>
      </c>
      <c r="D2433">
        <f t="shared" si="37"/>
        <v>1</v>
      </c>
      <c r="I2433" s="1" t="s">
        <v>1041</v>
      </c>
      <c r="J2433" s="1" t="s">
        <v>1087</v>
      </c>
      <c r="K2433" s="1" t="s">
        <v>999</v>
      </c>
      <c r="L2433" s="1" t="s">
        <v>1073</v>
      </c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25">
      <c r="A2434" s="7" t="s">
        <v>3396</v>
      </c>
      <c r="C2434" s="8" t="s">
        <v>10453</v>
      </c>
      <c r="D2434">
        <f t="shared" ref="D2434:D2497" si="38">COUNTIF(A:A,C2434)</f>
        <v>1</v>
      </c>
      <c r="I2434" s="1" t="s">
        <v>1041</v>
      </c>
      <c r="J2434" s="1" t="s">
        <v>1091</v>
      </c>
      <c r="K2434" s="1" t="s">
        <v>999</v>
      </c>
      <c r="L2434" s="1" t="s">
        <v>921</v>
      </c>
      <c r="M2434" s="1" t="s">
        <v>1044</v>
      </c>
      <c r="N2434" s="1" t="s">
        <v>1092</v>
      </c>
      <c r="O2434" s="1" t="s">
        <v>1093</v>
      </c>
      <c r="P2434" s="1" t="s">
        <v>1094</v>
      </c>
      <c r="Q2434" s="1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25">
      <c r="A2435" s="7" t="s">
        <v>3396</v>
      </c>
      <c r="C2435" s="7" t="s">
        <v>9790</v>
      </c>
      <c r="D2435">
        <f t="shared" si="38"/>
        <v>1</v>
      </c>
      <c r="I2435" s="1" t="s">
        <v>1041</v>
      </c>
      <c r="J2435" s="1" t="s">
        <v>1091</v>
      </c>
      <c r="K2435" s="1" t="s">
        <v>999</v>
      </c>
      <c r="L2435" s="1" t="s">
        <v>921</v>
      </c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25">
      <c r="A2436" s="7" t="s">
        <v>3396</v>
      </c>
      <c r="C2436" s="7" t="s">
        <v>9215</v>
      </c>
      <c r="D2436">
        <f t="shared" si="38"/>
        <v>1</v>
      </c>
      <c r="I2436" s="1" t="s">
        <v>1041</v>
      </c>
      <c r="J2436" s="1" t="s">
        <v>1091</v>
      </c>
      <c r="K2436" s="1" t="s">
        <v>999</v>
      </c>
      <c r="L2436" s="1" t="s">
        <v>921</v>
      </c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25">
      <c r="A2437" s="7" t="s">
        <v>3396</v>
      </c>
      <c r="C2437" s="7" t="s">
        <v>6255</v>
      </c>
      <c r="D2437">
        <f t="shared" si="38"/>
        <v>1</v>
      </c>
      <c r="I2437" s="1" t="s">
        <v>1041</v>
      </c>
      <c r="J2437" s="1" t="s">
        <v>999</v>
      </c>
      <c r="K2437" s="1" t="s">
        <v>921</v>
      </c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25">
      <c r="A2438" s="8" t="s">
        <v>9769</v>
      </c>
      <c r="C2438" s="7" t="s">
        <v>9643</v>
      </c>
      <c r="D2438">
        <f t="shared" si="38"/>
        <v>1</v>
      </c>
      <c r="I2438" s="1" t="s">
        <v>918</v>
      </c>
      <c r="J2438" s="1" t="s">
        <v>927</v>
      </c>
      <c r="K2438" s="1" t="s">
        <v>919</v>
      </c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25">
      <c r="A2439" s="7" t="s">
        <v>10014</v>
      </c>
      <c r="C2439" s="8" t="s">
        <v>10034</v>
      </c>
      <c r="D2439">
        <f t="shared" si="38"/>
        <v>1</v>
      </c>
      <c r="I2439" s="1" t="s">
        <v>996</v>
      </c>
      <c r="J2439" s="1" t="s">
        <v>933</v>
      </c>
      <c r="K2439" s="1" t="s">
        <v>994</v>
      </c>
      <c r="L2439" s="1" t="s">
        <v>1001</v>
      </c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25">
      <c r="A2440" s="7" t="s">
        <v>10014</v>
      </c>
      <c r="C2440" s="8" t="s">
        <v>9704</v>
      </c>
      <c r="D2440">
        <f t="shared" si="38"/>
        <v>1</v>
      </c>
      <c r="I2440" s="1" t="s">
        <v>298</v>
      </c>
      <c r="J2440" s="1" t="s">
        <v>25</v>
      </c>
      <c r="K2440" s="1" t="s">
        <v>927</v>
      </c>
      <c r="L2440" s="1" t="s">
        <v>998</v>
      </c>
      <c r="M2440" s="1" t="s">
        <v>1086</v>
      </c>
      <c r="N2440" s="1" t="s">
        <v>920</v>
      </c>
      <c r="O2440" s="1" t="s">
        <v>933</v>
      </c>
      <c r="P2440" s="1" t="s">
        <v>2927</v>
      </c>
      <c r="Q2440" s="1" t="s">
        <v>1149</v>
      </c>
      <c r="R2440" s="1" t="s">
        <v>923</v>
      </c>
      <c r="S2440" s="1" t="s">
        <v>1053</v>
      </c>
      <c r="T2440" s="1"/>
      <c r="U2440" s="1"/>
      <c r="V2440" s="1"/>
      <c r="W2440" s="1"/>
      <c r="X2440" s="1"/>
      <c r="Y2440" s="1"/>
    </row>
    <row r="2441" spans="1:25" x14ac:dyDescent="0.25">
      <c r="A2441" s="8" t="s">
        <v>10014</v>
      </c>
      <c r="C2441" s="8" t="s">
        <v>9970</v>
      </c>
      <c r="D2441">
        <f t="shared" si="38"/>
        <v>1</v>
      </c>
      <c r="I2441" s="1" t="s">
        <v>935</v>
      </c>
      <c r="J2441" s="1" t="s">
        <v>920</v>
      </c>
      <c r="K2441" s="1" t="s">
        <v>923</v>
      </c>
      <c r="L2441" s="1" t="s">
        <v>934</v>
      </c>
      <c r="M2441" s="1" t="s">
        <v>918</v>
      </c>
      <c r="N2441" s="1" t="s">
        <v>25</v>
      </c>
      <c r="O2441" s="1" t="s">
        <v>921</v>
      </c>
      <c r="P2441" s="1" t="s">
        <v>6671</v>
      </c>
      <c r="Q2441" s="1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25">
      <c r="A2442" s="7" t="s">
        <v>9818</v>
      </c>
      <c r="C2442" s="7" t="s">
        <v>9842</v>
      </c>
      <c r="D2442">
        <f t="shared" si="38"/>
        <v>1</v>
      </c>
      <c r="I2442" s="1" t="s">
        <v>996</v>
      </c>
      <c r="J2442" s="1" t="s">
        <v>1149</v>
      </c>
      <c r="K2442" s="1" t="s">
        <v>1053</v>
      </c>
      <c r="L2442" s="1" t="s">
        <v>2541</v>
      </c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25">
      <c r="A2443" s="8" t="s">
        <v>8926</v>
      </c>
      <c r="C2443" s="7" t="s">
        <v>9667</v>
      </c>
      <c r="D2443">
        <f t="shared" si="38"/>
        <v>1</v>
      </c>
      <c r="I2443" s="1" t="s">
        <v>996</v>
      </c>
      <c r="J2443" s="1" t="s">
        <v>2541</v>
      </c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25">
      <c r="A2444" s="8" t="s">
        <v>8926</v>
      </c>
      <c r="C2444" s="8" t="s">
        <v>9589</v>
      </c>
      <c r="D2444">
        <f t="shared" si="38"/>
        <v>1</v>
      </c>
      <c r="I2444" s="1" t="s">
        <v>996</v>
      </c>
      <c r="J2444" s="1" t="s">
        <v>2541</v>
      </c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25">
      <c r="A2445" s="7" t="s">
        <v>4990</v>
      </c>
      <c r="C2445" s="8" t="s">
        <v>9123</v>
      </c>
      <c r="D2445">
        <f t="shared" si="38"/>
        <v>1</v>
      </c>
      <c r="I2445" s="1" t="s">
        <v>996</v>
      </c>
      <c r="J2445" s="1" t="s">
        <v>2541</v>
      </c>
      <c r="K2445" s="1" t="s">
        <v>1082</v>
      </c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25">
      <c r="A2446" s="7" t="s">
        <v>2466</v>
      </c>
      <c r="C2446" s="8" t="s">
        <v>10397</v>
      </c>
      <c r="D2446">
        <f t="shared" si="38"/>
        <v>1</v>
      </c>
      <c r="I2446" s="1" t="s">
        <v>996</v>
      </c>
      <c r="J2446" s="1" t="s">
        <v>2541</v>
      </c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25">
      <c r="A2447" s="7" t="s">
        <v>6171</v>
      </c>
      <c r="C2447" s="8" t="s">
        <v>10360</v>
      </c>
      <c r="D2447">
        <f t="shared" si="38"/>
        <v>1</v>
      </c>
      <c r="I2447" s="1" t="s">
        <v>983</v>
      </c>
      <c r="J2447" s="1" t="s">
        <v>984</v>
      </c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25">
      <c r="A2448" s="7" t="s">
        <v>9527</v>
      </c>
      <c r="C2448" s="7" t="s">
        <v>10515</v>
      </c>
      <c r="D2448">
        <f t="shared" si="38"/>
        <v>1</v>
      </c>
      <c r="I2448" s="1" t="s">
        <v>983</v>
      </c>
      <c r="J2448" s="1" t="s">
        <v>984</v>
      </c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25">
      <c r="A2449" s="8" t="s">
        <v>9527</v>
      </c>
      <c r="C2449" s="8" t="s">
        <v>10061</v>
      </c>
      <c r="D2449">
        <f t="shared" si="38"/>
        <v>1</v>
      </c>
      <c r="I2449" s="1" t="s">
        <v>983</v>
      </c>
      <c r="J2449" s="1" t="s">
        <v>984</v>
      </c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25">
      <c r="A2450" s="7" t="s">
        <v>8871</v>
      </c>
      <c r="C2450" s="8" t="s">
        <v>9958</v>
      </c>
      <c r="D2450">
        <f t="shared" si="38"/>
        <v>1</v>
      </c>
      <c r="I2450" s="1" t="s">
        <v>25</v>
      </c>
      <c r="J2450" s="1" t="s">
        <v>923</v>
      </c>
      <c r="K2450" s="1" t="s">
        <v>916</v>
      </c>
      <c r="L2450" s="1" t="s">
        <v>920</v>
      </c>
      <c r="M2450" s="1" t="s">
        <v>974</v>
      </c>
      <c r="N2450" s="1" t="s">
        <v>921</v>
      </c>
      <c r="O2450" s="1" t="s">
        <v>1033</v>
      </c>
      <c r="P2450" s="1" t="s">
        <v>1001</v>
      </c>
      <c r="Q2450" s="1" t="s">
        <v>927</v>
      </c>
      <c r="R2450" s="1" t="s">
        <v>992</v>
      </c>
      <c r="S2450" s="1" t="s">
        <v>981</v>
      </c>
      <c r="T2450" s="1"/>
      <c r="U2450" s="1"/>
      <c r="V2450" s="1"/>
      <c r="W2450" s="1"/>
      <c r="X2450" s="1"/>
      <c r="Y2450" s="1"/>
    </row>
    <row r="2451" spans="1:25" x14ac:dyDescent="0.25">
      <c r="A2451" s="7" t="s">
        <v>8871</v>
      </c>
      <c r="C2451" s="8" t="s">
        <v>9907</v>
      </c>
      <c r="D2451">
        <f t="shared" si="38"/>
        <v>1</v>
      </c>
      <c r="I2451" s="1" t="s">
        <v>1001</v>
      </c>
      <c r="J2451" s="1" t="s">
        <v>927</v>
      </c>
      <c r="K2451" s="1" t="s">
        <v>992</v>
      </c>
      <c r="L2451" s="1" t="s">
        <v>981</v>
      </c>
      <c r="M2451" s="1" t="s">
        <v>1066</v>
      </c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25">
      <c r="A2452" s="8" t="s">
        <v>8871</v>
      </c>
      <c r="C2452" s="7" t="s">
        <v>5038</v>
      </c>
      <c r="D2452">
        <f t="shared" si="38"/>
        <v>1</v>
      </c>
      <c r="I2452" s="1" t="s">
        <v>1001</v>
      </c>
      <c r="J2452" s="1" t="s">
        <v>927</v>
      </c>
      <c r="K2452" s="1" t="s">
        <v>992</v>
      </c>
      <c r="L2452" s="1" t="s">
        <v>981</v>
      </c>
      <c r="M2452" s="1" t="s">
        <v>1066</v>
      </c>
      <c r="N2452" s="1" t="s">
        <v>918</v>
      </c>
      <c r="O2452" s="1" t="s">
        <v>1110</v>
      </c>
      <c r="P2452" s="1" t="s">
        <v>25</v>
      </c>
      <c r="Q2452" s="1" t="s">
        <v>923</v>
      </c>
      <c r="R2452" s="1" t="s">
        <v>919</v>
      </c>
      <c r="S2452" s="1" t="s">
        <v>920</v>
      </c>
      <c r="T2452" s="1" t="s">
        <v>954</v>
      </c>
      <c r="U2452" s="1" t="s">
        <v>328</v>
      </c>
      <c r="V2452" s="1" t="s">
        <v>921</v>
      </c>
      <c r="W2452" s="1"/>
      <c r="X2452" s="1"/>
      <c r="Y2452" s="1"/>
    </row>
    <row r="2453" spans="1:25" x14ac:dyDescent="0.25">
      <c r="A2453" s="8" t="s">
        <v>8871</v>
      </c>
      <c r="C2453" s="7" t="s">
        <v>10252</v>
      </c>
      <c r="D2453">
        <f t="shared" si="38"/>
        <v>1</v>
      </c>
      <c r="I2453" s="1" t="s">
        <v>927</v>
      </c>
      <c r="J2453" s="1" t="s">
        <v>919</v>
      </c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25">
      <c r="A2454" s="8" t="s">
        <v>8871</v>
      </c>
      <c r="C2454" s="8" t="s">
        <v>9892</v>
      </c>
      <c r="D2454">
        <f t="shared" si="38"/>
        <v>1</v>
      </c>
      <c r="I2454" s="1" t="s">
        <v>927</v>
      </c>
      <c r="J2454" s="1" t="s">
        <v>919</v>
      </c>
      <c r="K2454" s="1" t="s">
        <v>931</v>
      </c>
      <c r="L2454" s="1" t="s">
        <v>948</v>
      </c>
      <c r="M2454" s="1" t="s">
        <v>25</v>
      </c>
      <c r="N2454" s="1" t="s">
        <v>923</v>
      </c>
      <c r="O2454" s="1" t="s">
        <v>997</v>
      </c>
      <c r="P2454" s="1" t="s">
        <v>920</v>
      </c>
      <c r="Q2454" s="1" t="s">
        <v>994</v>
      </c>
      <c r="R2454" s="1"/>
      <c r="S2454" s="1"/>
      <c r="T2454" s="1"/>
      <c r="U2454" s="1"/>
      <c r="V2454" s="1"/>
      <c r="W2454" s="1"/>
      <c r="X2454" s="1"/>
      <c r="Y2454" s="1"/>
    </row>
    <row r="2455" spans="1:25" x14ac:dyDescent="0.25">
      <c r="A2455" s="8" t="s">
        <v>8871</v>
      </c>
      <c r="C2455" s="8" t="s">
        <v>9253</v>
      </c>
      <c r="D2455">
        <f t="shared" si="38"/>
        <v>1</v>
      </c>
      <c r="I2455" s="1" t="s">
        <v>25</v>
      </c>
      <c r="J2455" s="1" t="s">
        <v>923</v>
      </c>
      <c r="K2455" s="1" t="s">
        <v>10814</v>
      </c>
      <c r="L2455" s="1" t="s">
        <v>10775</v>
      </c>
      <c r="M2455" s="1" t="s">
        <v>939</v>
      </c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25">
      <c r="A2456" s="8" t="s">
        <v>9414</v>
      </c>
      <c r="C2456" s="8" t="s">
        <v>10614</v>
      </c>
      <c r="D2456">
        <f t="shared" si="38"/>
        <v>1</v>
      </c>
      <c r="I2456" s="1" t="s">
        <v>256</v>
      </c>
      <c r="J2456" s="1" t="s">
        <v>1049</v>
      </c>
      <c r="K2456" s="1" t="s">
        <v>25</v>
      </c>
      <c r="L2456" s="1" t="s">
        <v>923</v>
      </c>
      <c r="M2456" s="1" t="s">
        <v>10814</v>
      </c>
      <c r="N2456" s="1" t="s">
        <v>10775</v>
      </c>
      <c r="O2456" s="1" t="s">
        <v>939</v>
      </c>
      <c r="P2456" s="1" t="s">
        <v>927</v>
      </c>
      <c r="Q2456" s="1" t="s">
        <v>981</v>
      </c>
      <c r="R2456" s="1" t="s">
        <v>920</v>
      </c>
      <c r="S2456" s="1" t="s">
        <v>933</v>
      </c>
      <c r="T2456" s="1" t="s">
        <v>921</v>
      </c>
      <c r="U2456" s="1" t="s">
        <v>11008</v>
      </c>
      <c r="V2456" s="1" t="s">
        <v>11009</v>
      </c>
      <c r="W2456" s="1" t="s">
        <v>11010</v>
      </c>
      <c r="X2456" s="1" t="s">
        <v>10883</v>
      </c>
      <c r="Y2456" s="1" t="s">
        <v>10884</v>
      </c>
    </row>
    <row r="2457" spans="1:25" x14ac:dyDescent="0.25">
      <c r="A2457" s="8" t="s">
        <v>9304</v>
      </c>
      <c r="C2457" s="8" t="s">
        <v>10345</v>
      </c>
      <c r="D2457">
        <f t="shared" si="38"/>
        <v>1</v>
      </c>
      <c r="I2457" s="1" t="s">
        <v>25</v>
      </c>
      <c r="J2457" s="1" t="s">
        <v>923</v>
      </c>
      <c r="K2457" s="1" t="s">
        <v>10814</v>
      </c>
      <c r="L2457" s="1" t="s">
        <v>10775</v>
      </c>
      <c r="M2457" s="1" t="s">
        <v>939</v>
      </c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25">
      <c r="A2458" s="8" t="s">
        <v>10386</v>
      </c>
      <c r="C2458" s="7" t="s">
        <v>6933</v>
      </c>
      <c r="D2458">
        <f t="shared" si="38"/>
        <v>1</v>
      </c>
      <c r="I2458" s="1" t="s">
        <v>25</v>
      </c>
      <c r="J2458" s="1" t="s">
        <v>923</v>
      </c>
      <c r="K2458" s="1" t="s">
        <v>10814</v>
      </c>
      <c r="L2458" s="1" t="s">
        <v>10775</v>
      </c>
      <c r="M2458" s="1" t="s">
        <v>939</v>
      </c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25">
      <c r="A2459" s="8" t="s">
        <v>10555</v>
      </c>
      <c r="C2459" s="8" t="s">
        <v>9407</v>
      </c>
      <c r="D2459">
        <f t="shared" si="38"/>
        <v>1</v>
      </c>
      <c r="I2459" s="1" t="s">
        <v>931</v>
      </c>
      <c r="J2459" s="1" t="s">
        <v>25</v>
      </c>
      <c r="K2459" s="1" t="s">
        <v>923</v>
      </c>
      <c r="L2459" s="1" t="s">
        <v>997</v>
      </c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25">
      <c r="A2460" s="7" t="s">
        <v>10291</v>
      </c>
      <c r="C2460" s="7" t="s">
        <v>8223</v>
      </c>
      <c r="D2460">
        <f t="shared" si="38"/>
        <v>1</v>
      </c>
      <c r="I2460" s="1" t="s">
        <v>996</v>
      </c>
      <c r="J2460" s="1" t="s">
        <v>25</v>
      </c>
      <c r="K2460" s="1" t="s">
        <v>923</v>
      </c>
      <c r="L2460" s="1" t="s">
        <v>998</v>
      </c>
      <c r="M2460" s="1" t="s">
        <v>1053</v>
      </c>
      <c r="N2460" s="1" t="s">
        <v>933</v>
      </c>
      <c r="O2460" s="1" t="s">
        <v>2541</v>
      </c>
      <c r="P2460" s="1"/>
      <c r="Q2460" s="1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25">
      <c r="A2461" s="7" t="s">
        <v>10291</v>
      </c>
      <c r="C2461" s="7" t="s">
        <v>10112</v>
      </c>
      <c r="D2461">
        <f t="shared" si="38"/>
        <v>1</v>
      </c>
      <c r="I2461" s="1" t="s">
        <v>10755</v>
      </c>
      <c r="J2461" s="1" t="s">
        <v>998</v>
      </c>
      <c r="K2461" s="1" t="s">
        <v>3528</v>
      </c>
      <c r="L2461" s="1" t="s">
        <v>994</v>
      </c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25">
      <c r="A2462" s="7" t="s">
        <v>10291</v>
      </c>
      <c r="C2462" s="8" t="s">
        <v>9061</v>
      </c>
      <c r="D2462">
        <f t="shared" si="38"/>
        <v>1</v>
      </c>
      <c r="I2462" s="1" t="s">
        <v>964</v>
      </c>
      <c r="J2462" s="1" t="s">
        <v>10751</v>
      </c>
      <c r="K2462" s="1" t="s">
        <v>10755</v>
      </c>
      <c r="L2462" s="1" t="s">
        <v>10724</v>
      </c>
      <c r="M2462" s="1" t="s">
        <v>25</v>
      </c>
      <c r="N2462" s="1" t="s">
        <v>1012</v>
      </c>
      <c r="O2462" s="1" t="s">
        <v>957</v>
      </c>
      <c r="P2462" s="1" t="s">
        <v>10797</v>
      </c>
      <c r="Q2462" s="1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25">
      <c r="A2463" s="7" t="s">
        <v>10291</v>
      </c>
      <c r="C2463" s="8" t="s">
        <v>10240</v>
      </c>
      <c r="D2463">
        <f t="shared" si="38"/>
        <v>1</v>
      </c>
      <c r="I2463" s="1" t="s">
        <v>996</v>
      </c>
      <c r="J2463" s="1" t="s">
        <v>25</v>
      </c>
      <c r="K2463" s="1" t="s">
        <v>923</v>
      </c>
      <c r="L2463" s="1" t="s">
        <v>998</v>
      </c>
      <c r="M2463" s="1" t="s">
        <v>1053</v>
      </c>
      <c r="N2463" s="1" t="s">
        <v>933</v>
      </c>
      <c r="O2463" s="1" t="s">
        <v>2541</v>
      </c>
      <c r="P2463" s="1"/>
      <c r="Q2463" s="1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25">
      <c r="A2464" s="7" t="s">
        <v>10291</v>
      </c>
      <c r="C2464" s="7" t="s">
        <v>705</v>
      </c>
      <c r="D2464">
        <f t="shared" si="38"/>
        <v>1</v>
      </c>
      <c r="I2464" s="1" t="s">
        <v>948</v>
      </c>
      <c r="J2464" s="1" t="s">
        <v>1069</v>
      </c>
      <c r="K2464" s="1" t="s">
        <v>25</v>
      </c>
      <c r="L2464" s="1" t="s">
        <v>1070</v>
      </c>
      <c r="M2464" s="1" t="s">
        <v>957</v>
      </c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25">
      <c r="A2465" s="7" t="s">
        <v>10291</v>
      </c>
      <c r="C2465" s="8" t="s">
        <v>9328</v>
      </c>
      <c r="D2465">
        <f t="shared" si="38"/>
        <v>1</v>
      </c>
      <c r="I2465" s="1" t="s">
        <v>996</v>
      </c>
      <c r="J2465" s="1" t="s">
        <v>25</v>
      </c>
      <c r="K2465" s="1" t="s">
        <v>923</v>
      </c>
      <c r="L2465" s="1" t="s">
        <v>998</v>
      </c>
      <c r="M2465" s="1" t="s">
        <v>1053</v>
      </c>
      <c r="N2465" s="1" t="s">
        <v>933</v>
      </c>
      <c r="O2465" s="1" t="s">
        <v>2541</v>
      </c>
      <c r="P2465" s="1"/>
      <c r="Q2465" s="1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25">
      <c r="A2466" s="8" t="s">
        <v>10430</v>
      </c>
      <c r="C2466" s="7" t="s">
        <v>2046</v>
      </c>
      <c r="D2466">
        <f t="shared" si="38"/>
        <v>1</v>
      </c>
      <c r="I2466" s="1" t="s">
        <v>964</v>
      </c>
      <c r="J2466" s="1" t="s">
        <v>10751</v>
      </c>
      <c r="K2466" s="1" t="s">
        <v>10755</v>
      </c>
      <c r="L2466" s="1" t="s">
        <v>10724</v>
      </c>
      <c r="M2466" s="1" t="s">
        <v>25</v>
      </c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25">
      <c r="A2467" s="8" t="s">
        <v>9285</v>
      </c>
      <c r="C2467" s="8" t="s">
        <v>10363</v>
      </c>
      <c r="D2467">
        <f t="shared" si="38"/>
        <v>1</v>
      </c>
      <c r="I2467" s="1" t="s">
        <v>996</v>
      </c>
      <c r="J2467" s="1" t="s">
        <v>25</v>
      </c>
      <c r="K2467" s="1" t="s">
        <v>923</v>
      </c>
      <c r="L2467" s="1" t="s">
        <v>998</v>
      </c>
      <c r="M2467" s="1" t="s">
        <v>1053</v>
      </c>
      <c r="N2467" s="1" t="s">
        <v>933</v>
      </c>
      <c r="O2467" s="1" t="s">
        <v>2541</v>
      </c>
      <c r="P2467" s="1"/>
      <c r="Q2467" s="1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25">
      <c r="A2468" s="8" t="s">
        <v>9357</v>
      </c>
      <c r="C2468" s="7" t="s">
        <v>10119</v>
      </c>
      <c r="D2468">
        <f t="shared" si="38"/>
        <v>1</v>
      </c>
      <c r="I2468" s="1" t="s">
        <v>996</v>
      </c>
      <c r="J2468" s="1" t="s">
        <v>25</v>
      </c>
      <c r="K2468" s="1" t="s">
        <v>923</v>
      </c>
      <c r="L2468" s="1" t="s">
        <v>998</v>
      </c>
      <c r="M2468" s="1" t="s">
        <v>1053</v>
      </c>
      <c r="N2468" s="1" t="s">
        <v>933</v>
      </c>
      <c r="O2468" s="1" t="s">
        <v>2541</v>
      </c>
      <c r="P2468" s="1"/>
      <c r="Q2468" s="1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25">
      <c r="A2469" s="7" t="s">
        <v>9997</v>
      </c>
      <c r="C2469" s="8" t="s">
        <v>10576</v>
      </c>
      <c r="D2469">
        <f t="shared" si="38"/>
        <v>1</v>
      </c>
      <c r="I2469" s="1" t="s">
        <v>996</v>
      </c>
      <c r="J2469" s="1" t="s">
        <v>25</v>
      </c>
      <c r="K2469" s="1" t="s">
        <v>923</v>
      </c>
      <c r="L2469" s="1" t="s">
        <v>998</v>
      </c>
      <c r="M2469" s="1" t="s">
        <v>1053</v>
      </c>
      <c r="N2469" s="1" t="s">
        <v>933</v>
      </c>
      <c r="O2469" s="1" t="s">
        <v>2541</v>
      </c>
      <c r="P2469" s="1"/>
      <c r="Q2469" s="1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25">
      <c r="A2470" s="7" t="s">
        <v>9943</v>
      </c>
      <c r="C2470" s="7" t="s">
        <v>3281</v>
      </c>
      <c r="D2470">
        <f t="shared" si="38"/>
        <v>1</v>
      </c>
      <c r="I2470" s="1" t="s">
        <v>996</v>
      </c>
      <c r="J2470" s="1" t="s">
        <v>25</v>
      </c>
      <c r="K2470" s="1" t="s">
        <v>923</v>
      </c>
      <c r="L2470" s="1" t="s">
        <v>998</v>
      </c>
      <c r="M2470" s="1" t="s">
        <v>1053</v>
      </c>
      <c r="N2470" s="1" t="s">
        <v>933</v>
      </c>
      <c r="O2470" s="1" t="s">
        <v>2541</v>
      </c>
      <c r="P2470" s="1"/>
      <c r="Q2470" s="1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25">
      <c r="A2471" s="7" t="s">
        <v>9943</v>
      </c>
      <c r="C2471" s="8" t="s">
        <v>10471</v>
      </c>
      <c r="D2471">
        <f t="shared" si="38"/>
        <v>1</v>
      </c>
      <c r="I2471" s="1" t="s">
        <v>1001</v>
      </c>
      <c r="J2471" s="1" t="s">
        <v>328</v>
      </c>
      <c r="K2471" s="1" t="s">
        <v>2541</v>
      </c>
      <c r="L2471" s="1" t="s">
        <v>996</v>
      </c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25">
      <c r="A2472" s="7" t="s">
        <v>9943</v>
      </c>
      <c r="C2472" s="8" t="s">
        <v>9149</v>
      </c>
      <c r="D2472">
        <f t="shared" si="38"/>
        <v>1</v>
      </c>
      <c r="I2472" s="1" t="s">
        <v>1001</v>
      </c>
      <c r="J2472" s="1" t="s">
        <v>328</v>
      </c>
      <c r="K2472" s="1" t="s">
        <v>2541</v>
      </c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25">
      <c r="A2473" s="7" t="s">
        <v>9943</v>
      </c>
      <c r="C2473" s="7" t="s">
        <v>9719</v>
      </c>
      <c r="D2473">
        <f t="shared" si="38"/>
        <v>1</v>
      </c>
      <c r="I2473" s="1" t="s">
        <v>1001</v>
      </c>
      <c r="J2473" s="1" t="s">
        <v>328</v>
      </c>
      <c r="K2473" s="1" t="s">
        <v>2541</v>
      </c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25">
      <c r="A2474" s="7" t="s">
        <v>9943</v>
      </c>
      <c r="C2474" s="7" t="s">
        <v>10229</v>
      </c>
      <c r="D2474">
        <f t="shared" si="38"/>
        <v>1</v>
      </c>
      <c r="I2474" s="1" t="s">
        <v>1001</v>
      </c>
      <c r="J2474" s="1" t="s">
        <v>328</v>
      </c>
      <c r="K2474" s="1" t="s">
        <v>2541</v>
      </c>
      <c r="L2474" s="1" t="s">
        <v>1053</v>
      </c>
      <c r="M2474" s="1" t="s">
        <v>1086</v>
      </c>
      <c r="N2474" s="1" t="s">
        <v>933</v>
      </c>
      <c r="O2474" s="1" t="s">
        <v>6421</v>
      </c>
      <c r="P2474" s="1"/>
      <c r="Q2474" s="1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25">
      <c r="A2475" s="7" t="s">
        <v>9943</v>
      </c>
      <c r="C2475" s="7" t="s">
        <v>9745</v>
      </c>
      <c r="D2475">
        <f t="shared" si="38"/>
        <v>1</v>
      </c>
      <c r="I2475" s="1" t="s">
        <v>996</v>
      </c>
      <c r="J2475" s="1" t="s">
        <v>1053</v>
      </c>
      <c r="K2475" s="1" t="s">
        <v>1086</v>
      </c>
      <c r="L2475" s="1" t="s">
        <v>933</v>
      </c>
      <c r="M2475" s="1" t="s">
        <v>2541</v>
      </c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25">
      <c r="A2476" s="7" t="s">
        <v>472</v>
      </c>
      <c r="C2476" s="8" t="s">
        <v>9976</v>
      </c>
      <c r="D2476">
        <f t="shared" si="38"/>
        <v>1</v>
      </c>
      <c r="I2476" s="1" t="s">
        <v>918</v>
      </c>
      <c r="J2476" s="1" t="s">
        <v>25</v>
      </c>
      <c r="K2476" s="1" t="s">
        <v>1148</v>
      </c>
      <c r="L2476" s="1" t="s">
        <v>923</v>
      </c>
      <c r="M2476" s="1" t="s">
        <v>927</v>
      </c>
      <c r="N2476" s="1" t="s">
        <v>1086</v>
      </c>
      <c r="O2476" s="1" t="s">
        <v>920</v>
      </c>
      <c r="P2476" s="1" t="s">
        <v>996</v>
      </c>
      <c r="Q2476" s="1" t="s">
        <v>1053</v>
      </c>
      <c r="R2476" s="1" t="s">
        <v>933</v>
      </c>
      <c r="S2476" s="1" t="s">
        <v>2541</v>
      </c>
      <c r="T2476" s="1"/>
      <c r="U2476" s="1"/>
      <c r="V2476" s="1"/>
      <c r="W2476" s="1"/>
      <c r="X2476" s="1"/>
      <c r="Y2476" s="1"/>
    </row>
    <row r="2477" spans="1:25" x14ac:dyDescent="0.25">
      <c r="A2477" s="7" t="s">
        <v>472</v>
      </c>
      <c r="C2477" s="7" t="s">
        <v>3827</v>
      </c>
      <c r="D2477">
        <f t="shared" si="38"/>
        <v>1</v>
      </c>
      <c r="I2477" s="1" t="s">
        <v>918</v>
      </c>
      <c r="J2477" s="1" t="s">
        <v>25</v>
      </c>
      <c r="K2477" s="1" t="s">
        <v>1148</v>
      </c>
      <c r="L2477" s="1" t="s">
        <v>923</v>
      </c>
      <c r="M2477" s="1" t="s">
        <v>927</v>
      </c>
      <c r="N2477" s="1" t="s">
        <v>1086</v>
      </c>
      <c r="O2477" s="1" t="s">
        <v>920</v>
      </c>
      <c r="P2477" s="1"/>
      <c r="Q2477" s="1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25">
      <c r="A2478" s="8" t="s">
        <v>472</v>
      </c>
      <c r="C2478" s="7" t="s">
        <v>10600</v>
      </c>
      <c r="D2478">
        <f t="shared" si="38"/>
        <v>1</v>
      </c>
      <c r="I2478" s="1" t="s">
        <v>918</v>
      </c>
      <c r="J2478" s="1" t="s">
        <v>25</v>
      </c>
      <c r="K2478" s="1" t="s">
        <v>1148</v>
      </c>
      <c r="L2478" s="1" t="s">
        <v>923</v>
      </c>
      <c r="M2478" s="1" t="s">
        <v>927</v>
      </c>
      <c r="N2478" s="1" t="s">
        <v>1086</v>
      </c>
      <c r="O2478" s="1" t="s">
        <v>920</v>
      </c>
      <c r="P2478" s="1"/>
      <c r="Q2478" s="1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25">
      <c r="A2479" s="7" t="s">
        <v>4953</v>
      </c>
      <c r="C2479" s="7" t="s">
        <v>4585</v>
      </c>
      <c r="D2479">
        <f t="shared" si="38"/>
        <v>1</v>
      </c>
      <c r="I2479" s="1" t="s">
        <v>918</v>
      </c>
      <c r="J2479" s="1" t="s">
        <v>25</v>
      </c>
      <c r="K2479" s="1" t="s">
        <v>1148</v>
      </c>
      <c r="L2479" s="1" t="s">
        <v>923</v>
      </c>
      <c r="M2479" s="1" t="s">
        <v>927</v>
      </c>
      <c r="N2479" s="1" t="s">
        <v>1086</v>
      </c>
      <c r="O2479" s="1" t="s">
        <v>920</v>
      </c>
      <c r="P2479" s="1"/>
      <c r="Q2479" s="1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25">
      <c r="A2480" s="8" t="s">
        <v>9505</v>
      </c>
      <c r="C2480" s="7" t="s">
        <v>10527</v>
      </c>
      <c r="D2480">
        <f t="shared" si="38"/>
        <v>1</v>
      </c>
      <c r="I2480" s="1" t="s">
        <v>996</v>
      </c>
      <c r="J2480" s="1" t="s">
        <v>1053</v>
      </c>
      <c r="K2480" s="1" t="s">
        <v>1086</v>
      </c>
      <c r="L2480" s="1" t="s">
        <v>933</v>
      </c>
      <c r="M2480" s="1" t="s">
        <v>2541</v>
      </c>
      <c r="N2480" s="1" t="s">
        <v>1066</v>
      </c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25">
      <c r="A2481" s="8" t="s">
        <v>10320</v>
      </c>
      <c r="C2481" s="7" t="s">
        <v>9349</v>
      </c>
      <c r="D2481">
        <f t="shared" si="38"/>
        <v>1</v>
      </c>
      <c r="I2481" s="1" t="s">
        <v>50</v>
      </c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25">
      <c r="A2482" s="8" t="s">
        <v>9194</v>
      </c>
      <c r="C2482" s="8" t="s">
        <v>10408</v>
      </c>
      <c r="D2482">
        <f t="shared" si="38"/>
        <v>1</v>
      </c>
      <c r="I2482" s="1" t="s">
        <v>923</v>
      </c>
      <c r="J2482" s="1" t="s">
        <v>998</v>
      </c>
      <c r="K2482" s="1" t="s">
        <v>992</v>
      </c>
      <c r="L2482" s="1" t="s">
        <v>1066</v>
      </c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25">
      <c r="A2483" s="8" t="s">
        <v>9148</v>
      </c>
      <c r="C2483" s="8" t="s">
        <v>9147</v>
      </c>
      <c r="D2483">
        <f t="shared" si="38"/>
        <v>1</v>
      </c>
      <c r="I2483" s="1" t="s">
        <v>1069</v>
      </c>
      <c r="J2483" s="1" t="s">
        <v>25</v>
      </c>
      <c r="K2483" s="1" t="s">
        <v>923</v>
      </c>
      <c r="L2483" s="1" t="s">
        <v>927</v>
      </c>
      <c r="M2483" s="1" t="s">
        <v>976</v>
      </c>
      <c r="N2483" s="1" t="s">
        <v>998</v>
      </c>
      <c r="O2483" s="1" t="s">
        <v>1098</v>
      </c>
      <c r="P2483" s="1" t="s">
        <v>920</v>
      </c>
      <c r="Q2483" s="1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25">
      <c r="A2484" s="7" t="s">
        <v>1312</v>
      </c>
      <c r="C2484" s="7" t="s">
        <v>10257</v>
      </c>
      <c r="D2484">
        <f t="shared" si="38"/>
        <v>1</v>
      </c>
      <c r="I2484" s="1" t="s">
        <v>1069</v>
      </c>
      <c r="J2484" s="1" t="s">
        <v>25</v>
      </c>
      <c r="K2484" s="1" t="s">
        <v>923</v>
      </c>
      <c r="L2484" s="1" t="s">
        <v>927</v>
      </c>
      <c r="M2484" s="1" t="s">
        <v>976</v>
      </c>
      <c r="N2484" s="1" t="s">
        <v>998</v>
      </c>
      <c r="O2484" s="1" t="s">
        <v>1098</v>
      </c>
      <c r="P2484" s="1" t="s">
        <v>920</v>
      </c>
      <c r="Q2484" s="1" t="s">
        <v>1097</v>
      </c>
      <c r="R2484" s="1"/>
      <c r="S2484" s="1"/>
      <c r="T2484" s="1"/>
      <c r="U2484" s="1"/>
      <c r="V2484" s="1"/>
      <c r="W2484" s="1"/>
      <c r="X2484" s="1"/>
      <c r="Y2484" s="1"/>
    </row>
    <row r="2485" spans="1:25" x14ac:dyDescent="0.25">
      <c r="A2485" s="7" t="s">
        <v>1312</v>
      </c>
      <c r="C2485" s="7" t="s">
        <v>9193</v>
      </c>
      <c r="D2485">
        <f t="shared" si="38"/>
        <v>1</v>
      </c>
      <c r="I2485" s="1" t="s">
        <v>975</v>
      </c>
      <c r="J2485" s="1" t="s">
        <v>25</v>
      </c>
      <c r="K2485" s="1" t="s">
        <v>981</v>
      </c>
      <c r="L2485" s="1" t="s">
        <v>982</v>
      </c>
      <c r="M2485" s="1" t="s">
        <v>921</v>
      </c>
      <c r="N2485" s="1" t="s">
        <v>933</v>
      </c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25">
      <c r="A2486" s="7" t="s">
        <v>1312</v>
      </c>
      <c r="C2486" s="8" t="s">
        <v>3282</v>
      </c>
      <c r="D2486">
        <f t="shared" si="38"/>
        <v>1</v>
      </c>
      <c r="I2486" s="1" t="s">
        <v>927</v>
      </c>
      <c r="J2486" s="1" t="s">
        <v>919</v>
      </c>
      <c r="K2486" s="1" t="s">
        <v>924</v>
      </c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25">
      <c r="A2487" s="8" t="s">
        <v>9206</v>
      </c>
      <c r="C2487" s="7" t="s">
        <v>10233</v>
      </c>
      <c r="D2487">
        <f t="shared" si="38"/>
        <v>1</v>
      </c>
      <c r="I2487" s="1" t="s">
        <v>927</v>
      </c>
      <c r="J2487" s="1" t="s">
        <v>919</v>
      </c>
      <c r="K2487" s="1" t="s">
        <v>924</v>
      </c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25">
      <c r="A2488" s="8" t="s">
        <v>10394</v>
      </c>
      <c r="C2488" s="8" t="s">
        <v>9973</v>
      </c>
      <c r="D2488">
        <f t="shared" si="38"/>
        <v>1</v>
      </c>
      <c r="I2488" s="1" t="s">
        <v>927</v>
      </c>
      <c r="J2488" s="1" t="s">
        <v>919</v>
      </c>
      <c r="K2488" s="1" t="s">
        <v>924</v>
      </c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25">
      <c r="A2489" s="7" t="s">
        <v>5646</v>
      </c>
      <c r="C2489" s="8" t="s">
        <v>10627</v>
      </c>
      <c r="D2489">
        <f t="shared" si="38"/>
        <v>1</v>
      </c>
      <c r="I2489" s="1" t="s">
        <v>10810</v>
      </c>
      <c r="J2489" s="1" t="s">
        <v>1058</v>
      </c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25">
      <c r="A2490" s="7" t="s">
        <v>5646</v>
      </c>
      <c r="C2490" s="8" t="s">
        <v>9844</v>
      </c>
      <c r="D2490">
        <f t="shared" si="38"/>
        <v>1</v>
      </c>
      <c r="I2490" s="1" t="s">
        <v>10733</v>
      </c>
      <c r="J2490" s="1" t="s">
        <v>948</v>
      </c>
      <c r="K2490" s="1" t="s">
        <v>298</v>
      </c>
      <c r="L2490" s="1" t="s">
        <v>25</v>
      </c>
      <c r="M2490" s="1" t="s">
        <v>923</v>
      </c>
      <c r="N2490" s="1" t="s">
        <v>997</v>
      </c>
      <c r="O2490" s="1" t="s">
        <v>1167</v>
      </c>
      <c r="P2490" s="1" t="s">
        <v>1069</v>
      </c>
      <c r="Q2490" s="1" t="s">
        <v>1149</v>
      </c>
      <c r="R2490" s="1" t="s">
        <v>998</v>
      </c>
      <c r="S2490" s="1" t="s">
        <v>1150</v>
      </c>
      <c r="T2490" s="1" t="s">
        <v>1086</v>
      </c>
      <c r="U2490" s="1"/>
      <c r="V2490" s="1"/>
      <c r="W2490" s="1"/>
      <c r="X2490" s="1"/>
      <c r="Y2490" s="1"/>
    </row>
    <row r="2491" spans="1:25" x14ac:dyDescent="0.25">
      <c r="A2491" s="7" t="s">
        <v>9847</v>
      </c>
      <c r="C2491" s="8" t="s">
        <v>10425</v>
      </c>
      <c r="D2491">
        <f t="shared" si="38"/>
        <v>1</v>
      </c>
      <c r="I2491" s="1" t="s">
        <v>10733</v>
      </c>
      <c r="J2491" s="1" t="s">
        <v>948</v>
      </c>
      <c r="K2491" s="1" t="s">
        <v>298</v>
      </c>
      <c r="L2491" s="1" t="s">
        <v>25</v>
      </c>
      <c r="M2491" s="1" t="s">
        <v>923</v>
      </c>
      <c r="N2491" s="1" t="s">
        <v>997</v>
      </c>
      <c r="O2491" s="1" t="s">
        <v>1167</v>
      </c>
      <c r="P2491" s="1" t="s">
        <v>1069</v>
      </c>
      <c r="Q2491" s="1" t="s">
        <v>1149</v>
      </c>
      <c r="R2491" s="1" t="s">
        <v>998</v>
      </c>
      <c r="S2491" s="1" t="s">
        <v>1150</v>
      </c>
      <c r="T2491" s="1" t="s">
        <v>1086</v>
      </c>
      <c r="U2491" s="1"/>
      <c r="V2491" s="1"/>
      <c r="W2491" s="1"/>
      <c r="X2491" s="1"/>
      <c r="Y2491" s="1"/>
    </row>
    <row r="2492" spans="1:25" x14ac:dyDescent="0.25">
      <c r="A2492" s="7" t="s">
        <v>10512</v>
      </c>
      <c r="C2492" s="8" t="s">
        <v>9639</v>
      </c>
      <c r="D2492">
        <f t="shared" si="38"/>
        <v>1</v>
      </c>
      <c r="I2492" s="1" t="s">
        <v>996</v>
      </c>
      <c r="J2492" s="1" t="s">
        <v>948</v>
      </c>
      <c r="K2492" s="1" t="s">
        <v>10788</v>
      </c>
      <c r="L2492" s="1" t="s">
        <v>25</v>
      </c>
      <c r="M2492" s="1" t="s">
        <v>923</v>
      </c>
      <c r="N2492" s="1" t="s">
        <v>997</v>
      </c>
      <c r="O2492" s="1" t="s">
        <v>1086</v>
      </c>
      <c r="P2492" s="1" t="s">
        <v>920</v>
      </c>
      <c r="Q2492" s="1" t="s">
        <v>1149</v>
      </c>
      <c r="R2492" s="1" t="s">
        <v>1150</v>
      </c>
      <c r="S2492" s="1"/>
      <c r="T2492" s="1"/>
      <c r="U2492" s="1"/>
      <c r="V2492" s="1"/>
      <c r="W2492" s="1"/>
      <c r="X2492" s="1"/>
      <c r="Y2492" s="1"/>
    </row>
    <row r="2493" spans="1:25" x14ac:dyDescent="0.25">
      <c r="A2493" s="7" t="s">
        <v>10512</v>
      </c>
      <c r="C2493" s="8" t="s">
        <v>9991</v>
      </c>
      <c r="D2493">
        <f t="shared" si="38"/>
        <v>1</v>
      </c>
      <c r="I2493" s="1" t="s">
        <v>996</v>
      </c>
      <c r="J2493" s="1" t="s">
        <v>948</v>
      </c>
      <c r="K2493" s="1" t="s">
        <v>10788</v>
      </c>
      <c r="L2493" s="1" t="s">
        <v>25</v>
      </c>
      <c r="M2493" s="1" t="s">
        <v>923</v>
      </c>
      <c r="N2493" s="1" t="s">
        <v>997</v>
      </c>
      <c r="O2493" s="1" t="s">
        <v>1086</v>
      </c>
      <c r="P2493" s="1" t="s">
        <v>920</v>
      </c>
      <c r="Q2493" s="1" t="s">
        <v>941</v>
      </c>
      <c r="R2493" s="1" t="s">
        <v>955</v>
      </c>
      <c r="S2493" s="1" t="s">
        <v>1014</v>
      </c>
      <c r="T2493" s="1"/>
      <c r="U2493" s="1"/>
      <c r="V2493" s="1"/>
      <c r="W2493" s="1"/>
      <c r="X2493" s="1"/>
      <c r="Y2493" s="1"/>
    </row>
    <row r="2494" spans="1:25" x14ac:dyDescent="0.25">
      <c r="A2494" s="8" t="s">
        <v>10512</v>
      </c>
      <c r="C2494" s="7" t="s">
        <v>10205</v>
      </c>
      <c r="D2494">
        <f t="shared" si="38"/>
        <v>1</v>
      </c>
      <c r="I2494" s="1" t="s">
        <v>996</v>
      </c>
      <c r="J2494" s="1" t="s">
        <v>948</v>
      </c>
      <c r="K2494" s="1" t="s">
        <v>10788</v>
      </c>
      <c r="L2494" s="1" t="s">
        <v>25</v>
      </c>
      <c r="M2494" s="1" t="s">
        <v>923</v>
      </c>
      <c r="N2494" s="1" t="s">
        <v>997</v>
      </c>
      <c r="O2494" s="1" t="s">
        <v>1086</v>
      </c>
      <c r="P2494" s="1" t="s">
        <v>920</v>
      </c>
      <c r="Q2494" s="1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25">
      <c r="A2495" s="7" t="s">
        <v>5561</v>
      </c>
      <c r="C2495" s="8" t="s">
        <v>9513</v>
      </c>
      <c r="D2495">
        <f t="shared" si="38"/>
        <v>1</v>
      </c>
      <c r="I2495" s="1" t="s">
        <v>1012</v>
      </c>
      <c r="J2495" s="1" t="s">
        <v>11011</v>
      </c>
      <c r="K2495" s="1" t="s">
        <v>10888</v>
      </c>
      <c r="L2495" s="1" t="s">
        <v>994</v>
      </c>
      <c r="M2495" s="1" t="s">
        <v>11012</v>
      </c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25">
      <c r="A2496" s="7" t="s">
        <v>5561</v>
      </c>
      <c r="C2496" s="7" t="s">
        <v>2393</v>
      </c>
      <c r="D2496">
        <f t="shared" si="38"/>
        <v>1</v>
      </c>
      <c r="I2496" s="1" t="s">
        <v>998</v>
      </c>
      <c r="J2496" s="1" t="s">
        <v>999</v>
      </c>
      <c r="K2496" s="1" t="s">
        <v>994</v>
      </c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25">
      <c r="A2497" s="7" t="s">
        <v>6480</v>
      </c>
      <c r="C2497" s="7" t="s">
        <v>3897</v>
      </c>
      <c r="D2497">
        <f t="shared" si="38"/>
        <v>1</v>
      </c>
      <c r="I2497" s="1" t="s">
        <v>998</v>
      </c>
      <c r="J2497" s="1" t="s">
        <v>993</v>
      </c>
      <c r="K2497" s="1" t="s">
        <v>994</v>
      </c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25">
      <c r="A2498" s="8" t="s">
        <v>10633</v>
      </c>
      <c r="C2498" s="8" t="s">
        <v>10314</v>
      </c>
      <c r="D2498">
        <f t="shared" ref="D2498:D2539" si="39">COUNTIF(A:A,C2498)</f>
        <v>1</v>
      </c>
      <c r="I2498" s="1" t="s">
        <v>25</v>
      </c>
      <c r="J2498" s="1" t="s">
        <v>923</v>
      </c>
      <c r="K2498" s="1" t="s">
        <v>927</v>
      </c>
      <c r="L2498" s="1" t="s">
        <v>916</v>
      </c>
      <c r="M2498" s="1" t="s">
        <v>921</v>
      </c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25">
      <c r="A2499" s="7" t="s">
        <v>9596</v>
      </c>
      <c r="C2499" s="7" t="s">
        <v>6374</v>
      </c>
      <c r="D2499">
        <f t="shared" si="39"/>
        <v>1</v>
      </c>
      <c r="I2499" s="1" t="s">
        <v>25</v>
      </c>
      <c r="J2499" s="1" t="s">
        <v>923</v>
      </c>
      <c r="K2499" s="1" t="s">
        <v>1095</v>
      </c>
      <c r="L2499" s="1" t="s">
        <v>1096</v>
      </c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25">
      <c r="A2500" s="7" t="s">
        <v>5040</v>
      </c>
      <c r="C2500" s="7" t="s">
        <v>6658</v>
      </c>
      <c r="D2500">
        <f t="shared" si="39"/>
        <v>1</v>
      </c>
      <c r="I2500" s="1" t="s">
        <v>1013</v>
      </c>
      <c r="J2500" s="1" t="s">
        <v>919</v>
      </c>
      <c r="K2500" s="1" t="s">
        <v>1037</v>
      </c>
      <c r="L2500" s="1" t="s">
        <v>918</v>
      </c>
      <c r="M2500" s="1" t="s">
        <v>936</v>
      </c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25">
      <c r="A2501" s="8" t="s">
        <v>10092</v>
      </c>
      <c r="C2501" s="8" t="s">
        <v>9075</v>
      </c>
      <c r="D2501">
        <f t="shared" si="39"/>
        <v>1</v>
      </c>
      <c r="I2501" s="1" t="s">
        <v>10723</v>
      </c>
      <c r="J2501" s="1" t="s">
        <v>10724</v>
      </c>
      <c r="K2501" s="1" t="s">
        <v>1058</v>
      </c>
      <c r="L2501" s="1" t="s">
        <v>10725</v>
      </c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25">
      <c r="A2502" s="8" t="s">
        <v>10092</v>
      </c>
      <c r="C2502" s="8" t="s">
        <v>10134</v>
      </c>
      <c r="D2502">
        <f t="shared" si="39"/>
        <v>1</v>
      </c>
      <c r="I2502" s="1" t="s">
        <v>50</v>
      </c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25">
      <c r="A2503" s="7" t="s">
        <v>9463</v>
      </c>
      <c r="C2503" s="7" t="s">
        <v>4344</v>
      </c>
      <c r="D2503">
        <f t="shared" si="39"/>
        <v>1</v>
      </c>
      <c r="I2503" s="1" t="s">
        <v>11013</v>
      </c>
      <c r="J2503" s="1" t="s">
        <v>25</v>
      </c>
      <c r="K2503" s="1" t="s">
        <v>947</v>
      </c>
      <c r="L2503" s="1" t="s">
        <v>920</v>
      </c>
      <c r="M2503" s="1" t="s">
        <v>946</v>
      </c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25">
      <c r="A2504" s="8" t="s">
        <v>9629</v>
      </c>
      <c r="C2504" s="7" t="s">
        <v>2880</v>
      </c>
      <c r="D2504">
        <f t="shared" si="39"/>
        <v>1</v>
      </c>
      <c r="I2504" s="1" t="s">
        <v>918</v>
      </c>
      <c r="J2504" s="1" t="s">
        <v>25</v>
      </c>
      <c r="K2504" s="1" t="s">
        <v>919</v>
      </c>
      <c r="L2504" s="1" t="s">
        <v>920</v>
      </c>
      <c r="M2504" s="1" t="s">
        <v>921</v>
      </c>
      <c r="N2504" s="1" t="s">
        <v>922</v>
      </c>
      <c r="O2504" s="1" t="s">
        <v>10964</v>
      </c>
      <c r="P2504" s="1" t="s">
        <v>929</v>
      </c>
      <c r="Q2504" s="1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25">
      <c r="A2505" s="8" t="s">
        <v>9629</v>
      </c>
      <c r="C2505" s="8" t="s">
        <v>10574</v>
      </c>
      <c r="D2505">
        <f t="shared" si="39"/>
        <v>1</v>
      </c>
      <c r="I2505" s="1" t="s">
        <v>918</v>
      </c>
      <c r="J2505" s="1" t="s">
        <v>25</v>
      </c>
      <c r="K2505" s="1" t="s">
        <v>919</v>
      </c>
      <c r="L2505" s="1" t="s">
        <v>920</v>
      </c>
      <c r="M2505" s="1" t="s">
        <v>921</v>
      </c>
      <c r="N2505" s="1" t="s">
        <v>922</v>
      </c>
      <c r="O2505" s="1" t="s">
        <v>10964</v>
      </c>
      <c r="P2505" s="1" t="s">
        <v>936</v>
      </c>
      <c r="Q2505" s="1" t="s">
        <v>929</v>
      </c>
      <c r="R2505" s="1"/>
      <c r="S2505" s="1"/>
      <c r="T2505" s="1"/>
      <c r="U2505" s="1"/>
      <c r="V2505" s="1"/>
      <c r="W2505" s="1"/>
      <c r="X2505" s="1"/>
      <c r="Y2505" s="1"/>
    </row>
    <row r="2506" spans="1:25" x14ac:dyDescent="0.25">
      <c r="A2506" s="7" t="s">
        <v>9870</v>
      </c>
      <c r="C2506" s="7" t="s">
        <v>10142</v>
      </c>
      <c r="D2506">
        <f t="shared" si="39"/>
        <v>1</v>
      </c>
      <c r="I2506" s="1" t="s">
        <v>918</v>
      </c>
      <c r="J2506" s="1" t="s">
        <v>25</v>
      </c>
      <c r="K2506" s="1" t="s">
        <v>919</v>
      </c>
      <c r="L2506" s="1" t="s">
        <v>920</v>
      </c>
      <c r="M2506" s="1" t="s">
        <v>921</v>
      </c>
      <c r="N2506" s="1" t="s">
        <v>922</v>
      </c>
      <c r="O2506" s="1" t="s">
        <v>10964</v>
      </c>
      <c r="P2506" s="1" t="s">
        <v>927</v>
      </c>
      <c r="Q2506" s="1" t="s">
        <v>939</v>
      </c>
      <c r="R2506" s="1" t="s">
        <v>928</v>
      </c>
      <c r="S2506" s="1" t="s">
        <v>929</v>
      </c>
      <c r="T2506" s="1"/>
      <c r="U2506" s="1"/>
      <c r="V2506" s="1"/>
      <c r="W2506" s="1"/>
      <c r="X2506" s="1"/>
      <c r="Y2506" s="1"/>
    </row>
    <row r="2507" spans="1:25" x14ac:dyDescent="0.25">
      <c r="A2507" s="7" t="s">
        <v>9694</v>
      </c>
      <c r="C2507" s="7" t="s">
        <v>8886</v>
      </c>
      <c r="D2507">
        <f t="shared" si="39"/>
        <v>1</v>
      </c>
      <c r="I2507" s="1" t="s">
        <v>918</v>
      </c>
      <c r="J2507" s="1" t="s">
        <v>25</v>
      </c>
      <c r="K2507" s="1" t="s">
        <v>919</v>
      </c>
      <c r="L2507" s="1" t="s">
        <v>920</v>
      </c>
      <c r="M2507" s="1" t="s">
        <v>921</v>
      </c>
      <c r="N2507" s="1" t="s">
        <v>922</v>
      </c>
      <c r="O2507" s="1" t="s">
        <v>10964</v>
      </c>
      <c r="P2507" s="1" t="s">
        <v>927</v>
      </c>
      <c r="Q2507" s="1" t="s">
        <v>936</v>
      </c>
      <c r="R2507" s="1" t="s">
        <v>1108</v>
      </c>
      <c r="S2507" s="1" t="s">
        <v>960</v>
      </c>
      <c r="T2507" s="1" t="s">
        <v>961</v>
      </c>
      <c r="U2507" s="1"/>
      <c r="V2507" s="1"/>
      <c r="W2507" s="1"/>
      <c r="X2507" s="1"/>
      <c r="Y2507" s="1"/>
    </row>
    <row r="2508" spans="1:25" x14ac:dyDescent="0.25">
      <c r="A2508" s="8" t="s">
        <v>10188</v>
      </c>
      <c r="C2508" s="8" t="s">
        <v>9468</v>
      </c>
      <c r="D2508">
        <f t="shared" si="39"/>
        <v>1</v>
      </c>
      <c r="I2508" s="1" t="s">
        <v>918</v>
      </c>
      <c r="J2508" s="1" t="s">
        <v>25</v>
      </c>
      <c r="K2508" s="1" t="s">
        <v>919</v>
      </c>
      <c r="L2508" s="1" t="s">
        <v>920</v>
      </c>
      <c r="M2508" s="1" t="s">
        <v>921</v>
      </c>
      <c r="N2508" s="1" t="s">
        <v>922</v>
      </c>
      <c r="O2508" s="1" t="s">
        <v>10964</v>
      </c>
      <c r="P2508" s="1" t="s">
        <v>10849</v>
      </c>
      <c r="Q2508" s="1" t="s">
        <v>924</v>
      </c>
      <c r="R2508" s="1" t="s">
        <v>936</v>
      </c>
      <c r="S2508" s="1" t="s">
        <v>929</v>
      </c>
      <c r="T2508" s="1"/>
      <c r="U2508" s="1"/>
      <c r="V2508" s="1"/>
      <c r="W2508" s="1"/>
      <c r="X2508" s="1"/>
      <c r="Y2508" s="1"/>
    </row>
    <row r="2509" spans="1:25" x14ac:dyDescent="0.25">
      <c r="A2509" s="8" t="s">
        <v>10188</v>
      </c>
      <c r="C2509" s="8" t="s">
        <v>10674</v>
      </c>
      <c r="D2509">
        <f t="shared" si="39"/>
        <v>1</v>
      </c>
      <c r="I2509" s="1" t="s">
        <v>918</v>
      </c>
      <c r="J2509" s="1" t="s">
        <v>25</v>
      </c>
      <c r="K2509" s="1" t="s">
        <v>919</v>
      </c>
      <c r="L2509" s="1" t="s">
        <v>920</v>
      </c>
      <c r="M2509" s="1" t="s">
        <v>921</v>
      </c>
      <c r="N2509" s="1" t="s">
        <v>922</v>
      </c>
      <c r="O2509" s="1" t="s">
        <v>10964</v>
      </c>
      <c r="P2509" s="1" t="s">
        <v>936</v>
      </c>
      <c r="Q2509" s="1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25">
      <c r="A2510" s="7" t="s">
        <v>8843</v>
      </c>
      <c r="C2510" s="7" t="s">
        <v>4539</v>
      </c>
      <c r="D2510">
        <f t="shared" si="39"/>
        <v>1</v>
      </c>
      <c r="I2510" s="1" t="s">
        <v>918</v>
      </c>
      <c r="J2510" s="1" t="s">
        <v>927</v>
      </c>
      <c r="K2510" s="1" t="s">
        <v>919</v>
      </c>
      <c r="L2510" s="1" t="s">
        <v>936</v>
      </c>
      <c r="M2510" s="1" t="s">
        <v>929</v>
      </c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25">
      <c r="A2511" s="7" t="s">
        <v>9770</v>
      </c>
      <c r="C2511" s="7" t="s">
        <v>9622</v>
      </c>
      <c r="D2511">
        <f t="shared" si="39"/>
        <v>1</v>
      </c>
      <c r="I2511" s="1" t="s">
        <v>918</v>
      </c>
      <c r="J2511" s="1" t="s">
        <v>927</v>
      </c>
      <c r="K2511" s="1" t="s">
        <v>919</v>
      </c>
      <c r="L2511" s="1" t="s">
        <v>936</v>
      </c>
      <c r="M2511" s="1" t="s">
        <v>929</v>
      </c>
      <c r="N2511" s="1" t="s">
        <v>964</v>
      </c>
      <c r="O2511" s="1" t="s">
        <v>1109</v>
      </c>
      <c r="P2511" s="1"/>
      <c r="Q2511" s="1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25">
      <c r="A2512" s="8" t="s">
        <v>9770</v>
      </c>
      <c r="C2512" s="7" t="s">
        <v>10330</v>
      </c>
      <c r="D2512">
        <f t="shared" si="39"/>
        <v>1</v>
      </c>
      <c r="I2512" s="1" t="s">
        <v>934</v>
      </c>
      <c r="J2512" s="1" t="s">
        <v>918</v>
      </c>
      <c r="K2512" s="1" t="s">
        <v>25</v>
      </c>
      <c r="L2512" s="1" t="s">
        <v>919</v>
      </c>
      <c r="M2512" s="1" t="s">
        <v>920</v>
      </c>
      <c r="N2512" s="1" t="s">
        <v>924</v>
      </c>
      <c r="O2512" s="1" t="s">
        <v>949</v>
      </c>
      <c r="P2512" s="1" t="s">
        <v>923</v>
      </c>
      <c r="Q2512" s="1" t="s">
        <v>974</v>
      </c>
      <c r="R2512" s="1" t="s">
        <v>921</v>
      </c>
      <c r="S2512" s="1" t="s">
        <v>973</v>
      </c>
      <c r="T2512" s="1" t="s">
        <v>933</v>
      </c>
      <c r="U2512" s="1" t="s">
        <v>954</v>
      </c>
      <c r="V2512" s="1"/>
      <c r="W2512" s="1"/>
      <c r="X2512" s="1"/>
      <c r="Y2512" s="1"/>
    </row>
    <row r="2513" spans="1:25" x14ac:dyDescent="0.25">
      <c r="A2513" s="8" t="s">
        <v>9770</v>
      </c>
      <c r="C2513" s="7" t="s">
        <v>4036</v>
      </c>
      <c r="D2513">
        <f t="shared" si="39"/>
        <v>1</v>
      </c>
      <c r="I2513" s="1" t="s">
        <v>25</v>
      </c>
      <c r="J2513" s="1" t="s">
        <v>923</v>
      </c>
      <c r="K2513" s="1" t="s">
        <v>920</v>
      </c>
      <c r="L2513" s="1" t="s">
        <v>933</v>
      </c>
      <c r="M2513" s="1" t="s">
        <v>954</v>
      </c>
      <c r="N2513" s="1" t="s">
        <v>974</v>
      </c>
      <c r="O2513" s="1" t="s">
        <v>921</v>
      </c>
      <c r="P2513" s="1"/>
      <c r="Q2513" s="1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25">
      <c r="A2514" s="7" t="s">
        <v>4460</v>
      </c>
      <c r="C2514" s="8" t="s">
        <v>9031</v>
      </c>
      <c r="D2514">
        <f t="shared" si="39"/>
        <v>1</v>
      </c>
      <c r="I2514" s="1" t="s">
        <v>918</v>
      </c>
      <c r="J2514" s="1" t="s">
        <v>1110</v>
      </c>
      <c r="K2514" s="1" t="s">
        <v>25</v>
      </c>
      <c r="L2514" s="1" t="s">
        <v>923</v>
      </c>
      <c r="M2514" s="1" t="s">
        <v>919</v>
      </c>
      <c r="N2514" s="1" t="s">
        <v>920</v>
      </c>
      <c r="O2514" s="1" t="s">
        <v>954</v>
      </c>
      <c r="P2514" s="1" t="s">
        <v>328</v>
      </c>
      <c r="Q2514" s="1" t="s">
        <v>921</v>
      </c>
      <c r="R2514" s="1" t="s">
        <v>840</v>
      </c>
      <c r="S2514" s="1"/>
      <c r="T2514" s="1"/>
      <c r="U2514" s="1"/>
      <c r="V2514" s="1"/>
      <c r="W2514" s="1"/>
      <c r="X2514" s="1"/>
      <c r="Y2514" s="1"/>
    </row>
    <row r="2515" spans="1:25" x14ac:dyDescent="0.25">
      <c r="A2515" s="8" t="s">
        <v>10551</v>
      </c>
      <c r="C2515" s="7" t="s">
        <v>10332</v>
      </c>
      <c r="D2515">
        <f t="shared" si="39"/>
        <v>1</v>
      </c>
      <c r="I2515" s="1" t="s">
        <v>1053</v>
      </c>
      <c r="J2515" s="1" t="s">
        <v>256</v>
      </c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25">
      <c r="A2516" s="8" t="s">
        <v>10551</v>
      </c>
      <c r="C2516" s="8" t="s">
        <v>10348</v>
      </c>
      <c r="D2516">
        <f t="shared" si="39"/>
        <v>1</v>
      </c>
      <c r="I2516" s="1" t="s">
        <v>1053</v>
      </c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25">
      <c r="A2517" s="7" t="s">
        <v>7870</v>
      </c>
      <c r="C2517" s="7" t="s">
        <v>9917</v>
      </c>
      <c r="D2517">
        <f t="shared" si="39"/>
        <v>1</v>
      </c>
      <c r="I2517" s="1" t="s">
        <v>1053</v>
      </c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25">
      <c r="A2518" s="7" t="s">
        <v>7870</v>
      </c>
      <c r="C2518" s="8" t="s">
        <v>9201</v>
      </c>
      <c r="D2518">
        <f t="shared" si="39"/>
        <v>1</v>
      </c>
      <c r="I2518" s="1" t="s">
        <v>918</v>
      </c>
      <c r="J2518" s="1" t="s">
        <v>25</v>
      </c>
      <c r="K2518" s="1" t="s">
        <v>923</v>
      </c>
      <c r="L2518" s="1" t="s">
        <v>1078</v>
      </c>
      <c r="M2518" s="1" t="s">
        <v>919</v>
      </c>
      <c r="N2518" s="1" t="s">
        <v>920</v>
      </c>
      <c r="O2518" s="1" t="s">
        <v>924</v>
      </c>
      <c r="P2518" s="1" t="s">
        <v>921</v>
      </c>
      <c r="Q2518" s="1" t="s">
        <v>10948</v>
      </c>
      <c r="R2518" s="1" t="s">
        <v>1088</v>
      </c>
      <c r="S2518" s="1"/>
      <c r="T2518" s="1"/>
      <c r="U2518" s="1"/>
      <c r="V2518" s="1"/>
      <c r="W2518" s="1"/>
      <c r="X2518" s="1"/>
      <c r="Y2518" s="1"/>
    </row>
    <row r="2519" spans="1:25" x14ac:dyDescent="0.25">
      <c r="A2519" s="7" t="s">
        <v>7870</v>
      </c>
      <c r="C2519" s="8" t="s">
        <v>9796</v>
      </c>
      <c r="D2519">
        <f t="shared" si="39"/>
        <v>1</v>
      </c>
      <c r="I2519" s="1" t="s">
        <v>918</v>
      </c>
      <c r="J2519" s="1" t="s">
        <v>25</v>
      </c>
      <c r="K2519" s="1" t="s">
        <v>923</v>
      </c>
      <c r="L2519" s="1" t="s">
        <v>919</v>
      </c>
      <c r="M2519" s="1" t="s">
        <v>920</v>
      </c>
      <c r="N2519" s="1" t="s">
        <v>921</v>
      </c>
      <c r="O2519" s="1" t="s">
        <v>1031</v>
      </c>
      <c r="P2519" s="1" t="s">
        <v>916</v>
      </c>
      <c r="Q2519" s="1" t="s">
        <v>954</v>
      </c>
      <c r="R2519" s="1" t="s">
        <v>974</v>
      </c>
      <c r="S2519" s="1" t="s">
        <v>1033</v>
      </c>
      <c r="T2519" s="1"/>
      <c r="U2519" s="1"/>
      <c r="V2519" s="1"/>
      <c r="W2519" s="1"/>
      <c r="X2519" s="1"/>
      <c r="Y2519" s="1"/>
    </row>
    <row r="2520" spans="1:25" x14ac:dyDescent="0.25">
      <c r="A2520" s="7" t="s">
        <v>7870</v>
      </c>
      <c r="C2520" s="8" t="s">
        <v>10128</v>
      </c>
      <c r="D2520">
        <f t="shared" si="39"/>
        <v>1</v>
      </c>
      <c r="I2520" s="1" t="s">
        <v>918</v>
      </c>
      <c r="J2520" s="1" t="s">
        <v>1031</v>
      </c>
      <c r="K2520" s="1" t="s">
        <v>25</v>
      </c>
      <c r="L2520" s="1" t="s">
        <v>923</v>
      </c>
      <c r="M2520" s="1" t="s">
        <v>976</v>
      </c>
      <c r="N2520" s="1" t="s">
        <v>916</v>
      </c>
      <c r="O2520" s="1" t="s">
        <v>920</v>
      </c>
      <c r="P2520" s="1" t="s">
        <v>921</v>
      </c>
      <c r="Q2520" s="1" t="s">
        <v>1033</v>
      </c>
      <c r="R2520" s="1" t="s">
        <v>1000</v>
      </c>
      <c r="S2520" s="1"/>
      <c r="T2520" s="1"/>
      <c r="U2520" s="1"/>
      <c r="V2520" s="1"/>
      <c r="W2520" s="1"/>
      <c r="X2520" s="1"/>
      <c r="Y2520" s="1"/>
    </row>
    <row r="2521" spans="1:25" x14ac:dyDescent="0.25">
      <c r="A2521" s="7" t="s">
        <v>7870</v>
      </c>
      <c r="C2521" s="7" t="s">
        <v>9538</v>
      </c>
      <c r="D2521">
        <f t="shared" si="39"/>
        <v>1</v>
      </c>
      <c r="I2521" s="1" t="s">
        <v>996</v>
      </c>
      <c r="J2521" s="1" t="s">
        <v>10876</v>
      </c>
      <c r="K2521" s="1" t="s">
        <v>2541</v>
      </c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25">
      <c r="A2522" s="7" t="s">
        <v>7870</v>
      </c>
      <c r="C2522" s="7" t="s">
        <v>2895</v>
      </c>
      <c r="D2522">
        <f t="shared" si="39"/>
        <v>1</v>
      </c>
      <c r="I2522" s="1" t="s">
        <v>996</v>
      </c>
      <c r="J2522" s="1" t="s">
        <v>933</v>
      </c>
      <c r="K2522" s="1" t="s">
        <v>994</v>
      </c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25">
      <c r="A2523" s="7" t="s">
        <v>7870</v>
      </c>
      <c r="C2523" s="8" t="s">
        <v>10634</v>
      </c>
      <c r="D2523">
        <f t="shared" si="39"/>
        <v>1</v>
      </c>
      <c r="I2523" s="1" t="s">
        <v>933</v>
      </c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25">
      <c r="A2524" s="7" t="s">
        <v>9572</v>
      </c>
      <c r="C2524" s="8" t="s">
        <v>10502</v>
      </c>
      <c r="D2524">
        <f t="shared" si="39"/>
        <v>1</v>
      </c>
      <c r="I2524" s="1" t="s">
        <v>1001</v>
      </c>
      <c r="J2524" s="1" t="s">
        <v>927</v>
      </c>
      <c r="K2524" s="1" t="s">
        <v>981</v>
      </c>
      <c r="L2524" s="1" t="s">
        <v>919</v>
      </c>
      <c r="M2524" s="1" t="s">
        <v>921</v>
      </c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25">
      <c r="A2525" s="8" t="s">
        <v>9188</v>
      </c>
      <c r="C2525" s="7" t="s">
        <v>6072</v>
      </c>
      <c r="D2525">
        <f t="shared" si="39"/>
        <v>1</v>
      </c>
      <c r="I2525" s="1" t="s">
        <v>996</v>
      </c>
      <c r="J2525" s="1" t="s">
        <v>948</v>
      </c>
      <c r="K2525" s="1" t="s">
        <v>10788</v>
      </c>
      <c r="L2525" s="1" t="s">
        <v>25</v>
      </c>
      <c r="M2525" s="1" t="s">
        <v>923</v>
      </c>
      <c r="N2525" s="1" t="s">
        <v>997</v>
      </c>
      <c r="O2525" s="1" t="s">
        <v>1086</v>
      </c>
      <c r="P2525" s="1" t="s">
        <v>920</v>
      </c>
      <c r="Q2525" s="1" t="s">
        <v>1147</v>
      </c>
      <c r="R2525" s="1"/>
      <c r="S2525" s="1"/>
      <c r="T2525" s="1"/>
      <c r="U2525" s="1"/>
      <c r="V2525" s="1"/>
      <c r="W2525" s="1"/>
      <c r="X2525" s="1"/>
      <c r="Y2525" s="1"/>
    </row>
    <row r="2526" spans="1:25" x14ac:dyDescent="0.25">
      <c r="A2526" s="8" t="s">
        <v>10461</v>
      </c>
      <c r="C2526" s="8" t="s">
        <v>10413</v>
      </c>
      <c r="D2526">
        <f t="shared" si="39"/>
        <v>1</v>
      </c>
      <c r="I2526" s="1" t="s">
        <v>25</v>
      </c>
      <c r="J2526" s="1" t="s">
        <v>927</v>
      </c>
      <c r="K2526" s="1" t="s">
        <v>10837</v>
      </c>
      <c r="L2526" s="1" t="s">
        <v>981</v>
      </c>
      <c r="M2526" s="1" t="s">
        <v>994</v>
      </c>
      <c r="N2526" s="1" t="s">
        <v>975</v>
      </c>
      <c r="O2526" s="1" t="s">
        <v>982</v>
      </c>
      <c r="P2526" s="1" t="s">
        <v>921</v>
      </c>
      <c r="Q2526" s="1" t="s">
        <v>1060</v>
      </c>
      <c r="R2526" s="1"/>
      <c r="S2526" s="1"/>
      <c r="T2526" s="1"/>
      <c r="U2526" s="1"/>
      <c r="V2526" s="1"/>
      <c r="W2526" s="1"/>
      <c r="X2526" s="1"/>
      <c r="Y2526" s="1"/>
    </row>
    <row r="2527" spans="1:25" x14ac:dyDescent="0.25">
      <c r="A2527" s="8" t="s">
        <v>10461</v>
      </c>
      <c r="C2527" s="8" t="s">
        <v>9517</v>
      </c>
      <c r="D2527">
        <f t="shared" si="39"/>
        <v>1</v>
      </c>
      <c r="I2527" s="1" t="s">
        <v>10723</v>
      </c>
      <c r="J2527" s="1" t="s">
        <v>10724</v>
      </c>
      <c r="K2527" s="1" t="s">
        <v>1058</v>
      </c>
      <c r="L2527" s="1" t="s">
        <v>10725</v>
      </c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25">
      <c r="A2528" s="7" t="s">
        <v>9454</v>
      </c>
      <c r="C2528" s="7" t="s">
        <v>4313</v>
      </c>
      <c r="D2528">
        <f t="shared" si="39"/>
        <v>1</v>
      </c>
      <c r="I2528" s="1" t="s">
        <v>918</v>
      </c>
      <c r="J2528" s="1" t="s">
        <v>1031</v>
      </c>
      <c r="K2528" s="1" t="s">
        <v>25</v>
      </c>
      <c r="L2528" s="1" t="s">
        <v>923</v>
      </c>
      <c r="M2528" s="1" t="s">
        <v>976</v>
      </c>
      <c r="N2528" s="1" t="s">
        <v>916</v>
      </c>
      <c r="O2528" s="1" t="s">
        <v>920</v>
      </c>
      <c r="P2528" s="1" t="s">
        <v>921</v>
      </c>
      <c r="Q2528" s="1" t="s">
        <v>1033</v>
      </c>
      <c r="R2528" s="1"/>
      <c r="S2528" s="1"/>
      <c r="T2528" s="1"/>
      <c r="U2528" s="1"/>
      <c r="V2528" s="1"/>
      <c r="W2528" s="1"/>
      <c r="X2528" s="1"/>
      <c r="Y2528" s="1"/>
    </row>
    <row r="2529" spans="1:25" x14ac:dyDescent="0.25">
      <c r="A2529" s="8" t="s">
        <v>9384</v>
      </c>
      <c r="C2529" s="8" t="s">
        <v>9515</v>
      </c>
      <c r="D2529">
        <f t="shared" si="39"/>
        <v>1</v>
      </c>
      <c r="I2529" s="1" t="s">
        <v>918</v>
      </c>
      <c r="J2529" s="1" t="s">
        <v>25</v>
      </c>
      <c r="K2529" s="1" t="s">
        <v>919</v>
      </c>
      <c r="L2529" s="1" t="s">
        <v>920</v>
      </c>
      <c r="M2529" s="1" t="s">
        <v>921</v>
      </c>
      <c r="N2529" s="1" t="s">
        <v>922</v>
      </c>
      <c r="O2529" s="1" t="s">
        <v>10738</v>
      </c>
      <c r="P2529" s="1" t="s">
        <v>1114</v>
      </c>
      <c r="Q2529" s="1" t="s">
        <v>930</v>
      </c>
      <c r="R2529" s="1" t="s">
        <v>945</v>
      </c>
      <c r="S2529" s="1"/>
      <c r="T2529" s="1"/>
      <c r="U2529" s="1"/>
      <c r="V2529" s="1"/>
      <c r="W2529" s="1"/>
      <c r="X2529" s="1"/>
      <c r="Y2529" s="1"/>
    </row>
    <row r="2530" spans="1:25" x14ac:dyDescent="0.25">
      <c r="A2530" s="8" t="s">
        <v>9332</v>
      </c>
      <c r="C2530" s="8" t="s">
        <v>9619</v>
      </c>
      <c r="D2530">
        <f t="shared" si="39"/>
        <v>1</v>
      </c>
      <c r="I2530" s="1" t="s">
        <v>918</v>
      </c>
      <c r="J2530" s="1" t="s">
        <v>25</v>
      </c>
      <c r="K2530" s="1" t="s">
        <v>919</v>
      </c>
      <c r="L2530" s="1" t="s">
        <v>920</v>
      </c>
      <c r="M2530" s="1" t="s">
        <v>921</v>
      </c>
      <c r="N2530" s="1" t="s">
        <v>922</v>
      </c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25">
      <c r="A2531" s="8" t="s">
        <v>10589</v>
      </c>
      <c r="C2531" s="8" t="s">
        <v>10511</v>
      </c>
      <c r="D2531">
        <f t="shared" si="39"/>
        <v>1</v>
      </c>
      <c r="I2531" s="1" t="s">
        <v>918</v>
      </c>
      <c r="J2531" s="1" t="s">
        <v>25</v>
      </c>
      <c r="K2531" s="1" t="s">
        <v>919</v>
      </c>
      <c r="L2531" s="1" t="s">
        <v>920</v>
      </c>
      <c r="M2531" s="1" t="s">
        <v>921</v>
      </c>
      <c r="N2531" s="1" t="s">
        <v>922</v>
      </c>
      <c r="O2531" s="1" t="s">
        <v>952</v>
      </c>
      <c r="P2531" s="1" t="s">
        <v>929</v>
      </c>
      <c r="Q2531" s="1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25">
      <c r="A2532" s="7" t="s">
        <v>8082</v>
      </c>
      <c r="C2532" s="8" t="s">
        <v>10003</v>
      </c>
      <c r="D2532">
        <f t="shared" si="39"/>
        <v>1</v>
      </c>
      <c r="I2532" s="1" t="s">
        <v>918</v>
      </c>
      <c r="J2532" s="1" t="s">
        <v>25</v>
      </c>
      <c r="K2532" s="1" t="s">
        <v>923</v>
      </c>
      <c r="L2532" s="1" t="s">
        <v>916</v>
      </c>
      <c r="M2532" s="1" t="s">
        <v>919</v>
      </c>
      <c r="N2532" s="1" t="s">
        <v>924</v>
      </c>
      <c r="O2532" s="1" t="s">
        <v>974</v>
      </c>
      <c r="P2532" s="1" t="s">
        <v>922</v>
      </c>
      <c r="Q2532" s="1" t="s">
        <v>958</v>
      </c>
      <c r="R2532" s="1" t="s">
        <v>955</v>
      </c>
      <c r="S2532" s="1" t="s">
        <v>986</v>
      </c>
      <c r="T2532" s="1" t="s">
        <v>1040</v>
      </c>
      <c r="U2532" s="1" t="s">
        <v>941</v>
      </c>
      <c r="V2532" s="1" t="s">
        <v>1014</v>
      </c>
      <c r="W2532" s="1" t="s">
        <v>956</v>
      </c>
      <c r="X2532" s="1"/>
      <c r="Y2532" s="1"/>
    </row>
    <row r="2533" spans="1:25" x14ac:dyDescent="0.25">
      <c r="A2533" s="7" t="s">
        <v>8082</v>
      </c>
      <c r="C2533" s="7" t="s">
        <v>2808</v>
      </c>
      <c r="D2533">
        <f t="shared" si="39"/>
        <v>1</v>
      </c>
      <c r="I2533" s="1" t="s">
        <v>918</v>
      </c>
      <c r="J2533" s="1" t="s">
        <v>25</v>
      </c>
      <c r="K2533" s="1" t="s">
        <v>923</v>
      </c>
      <c r="L2533" s="1" t="s">
        <v>916</v>
      </c>
      <c r="M2533" s="1" t="s">
        <v>919</v>
      </c>
      <c r="N2533" s="1" t="s">
        <v>924</v>
      </c>
      <c r="O2533" s="1" t="s">
        <v>974</v>
      </c>
      <c r="P2533" s="1" t="s">
        <v>922</v>
      </c>
      <c r="Q2533" s="1" t="s">
        <v>955</v>
      </c>
      <c r="R2533" s="1" t="s">
        <v>936</v>
      </c>
      <c r="S2533" s="1" t="s">
        <v>10762</v>
      </c>
      <c r="T2533" s="1" t="s">
        <v>1014</v>
      </c>
      <c r="U2533" s="1" t="s">
        <v>944</v>
      </c>
      <c r="V2533" s="1" t="s">
        <v>956</v>
      </c>
      <c r="W2533" s="1"/>
      <c r="X2533" s="1"/>
      <c r="Y2533" s="1"/>
    </row>
    <row r="2534" spans="1:25" x14ac:dyDescent="0.25">
      <c r="A2534" s="7" t="s">
        <v>8082</v>
      </c>
      <c r="C2534" s="8" t="s">
        <v>9736</v>
      </c>
      <c r="D2534">
        <f t="shared" si="39"/>
        <v>1</v>
      </c>
      <c r="I2534" s="1" t="s">
        <v>918</v>
      </c>
      <c r="J2534" s="1" t="s">
        <v>25</v>
      </c>
      <c r="K2534" s="1" t="s">
        <v>923</v>
      </c>
      <c r="L2534" s="1" t="s">
        <v>916</v>
      </c>
      <c r="M2534" s="1" t="s">
        <v>919</v>
      </c>
      <c r="N2534" s="1" t="s">
        <v>924</v>
      </c>
      <c r="O2534" s="1" t="s">
        <v>974</v>
      </c>
      <c r="P2534" s="1" t="s">
        <v>922</v>
      </c>
      <c r="Q2534" s="1" t="s">
        <v>932</v>
      </c>
      <c r="R2534" s="1" t="s">
        <v>1031</v>
      </c>
      <c r="S2534" s="1" t="s">
        <v>920</v>
      </c>
      <c r="T2534" s="1" t="s">
        <v>921</v>
      </c>
      <c r="U2534" s="1"/>
      <c r="V2534" s="1"/>
      <c r="W2534" s="1"/>
      <c r="X2534" s="1"/>
      <c r="Y2534" s="1"/>
    </row>
    <row r="2535" spans="1:25" x14ac:dyDescent="0.25">
      <c r="A2535" s="7" t="s">
        <v>8082</v>
      </c>
      <c r="C2535" s="8" t="s">
        <v>10486</v>
      </c>
      <c r="D2535">
        <f t="shared" si="39"/>
        <v>1</v>
      </c>
      <c r="I2535" s="1" t="s">
        <v>918</v>
      </c>
      <c r="J2535" s="1" t="s">
        <v>25</v>
      </c>
      <c r="K2535" s="1" t="s">
        <v>923</v>
      </c>
      <c r="L2535" s="1" t="s">
        <v>916</v>
      </c>
      <c r="M2535" s="1" t="s">
        <v>919</v>
      </c>
      <c r="N2535" s="1" t="s">
        <v>924</v>
      </c>
      <c r="O2535" s="1" t="s">
        <v>974</v>
      </c>
      <c r="P2535" s="1" t="s">
        <v>922</v>
      </c>
      <c r="Q2535" s="1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25">
      <c r="A2536" s="7" t="s">
        <v>8082</v>
      </c>
      <c r="C2536" s="8" t="s">
        <v>8895</v>
      </c>
      <c r="D2536">
        <f t="shared" si="39"/>
        <v>1</v>
      </c>
      <c r="I2536" s="1" t="s">
        <v>918</v>
      </c>
      <c r="J2536" s="1" t="s">
        <v>25</v>
      </c>
      <c r="K2536" s="1" t="s">
        <v>923</v>
      </c>
      <c r="L2536" s="1" t="s">
        <v>916</v>
      </c>
      <c r="M2536" s="1" t="s">
        <v>919</v>
      </c>
      <c r="N2536" s="1" t="s">
        <v>924</v>
      </c>
      <c r="O2536" s="1" t="s">
        <v>974</v>
      </c>
      <c r="P2536" s="1" t="s">
        <v>922</v>
      </c>
      <c r="Q2536" s="1" t="s">
        <v>1107</v>
      </c>
      <c r="R2536" s="1" t="s">
        <v>945</v>
      </c>
      <c r="S2536" s="1"/>
      <c r="T2536" s="1"/>
      <c r="U2536" s="1"/>
      <c r="V2536" s="1"/>
      <c r="W2536" s="1"/>
      <c r="X2536" s="1"/>
      <c r="Y2536" s="1"/>
    </row>
    <row r="2537" spans="1:25" x14ac:dyDescent="0.25">
      <c r="A2537" s="7" t="s">
        <v>8082</v>
      </c>
      <c r="C2537" s="7" t="s">
        <v>4623</v>
      </c>
      <c r="D2537">
        <f t="shared" si="39"/>
        <v>1</v>
      </c>
      <c r="I2537" s="1" t="s">
        <v>918</v>
      </c>
      <c r="J2537" s="1" t="s">
        <v>25</v>
      </c>
      <c r="K2537" s="1" t="s">
        <v>923</v>
      </c>
      <c r="L2537" s="1" t="s">
        <v>916</v>
      </c>
      <c r="M2537" s="1" t="s">
        <v>919</v>
      </c>
      <c r="N2537" s="1" t="s">
        <v>924</v>
      </c>
      <c r="O2537" s="1" t="s">
        <v>974</v>
      </c>
      <c r="P2537" s="1" t="s">
        <v>922</v>
      </c>
      <c r="Q2537" s="1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25">
      <c r="A2538" s="7" t="s">
        <v>8082</v>
      </c>
      <c r="C2538" s="8" t="s">
        <v>10693</v>
      </c>
      <c r="D2538">
        <f t="shared" si="39"/>
        <v>1</v>
      </c>
      <c r="I2538" s="1" t="s">
        <v>918</v>
      </c>
      <c r="J2538" s="1" t="s">
        <v>25</v>
      </c>
      <c r="K2538" s="1" t="s">
        <v>923</v>
      </c>
      <c r="L2538" s="1" t="s">
        <v>916</v>
      </c>
      <c r="M2538" s="1" t="s">
        <v>919</v>
      </c>
      <c r="N2538" s="1" t="s">
        <v>920</v>
      </c>
      <c r="O2538" s="1" t="s">
        <v>924</v>
      </c>
      <c r="P2538" s="1" t="s">
        <v>921</v>
      </c>
      <c r="Q2538" s="1" t="s">
        <v>922</v>
      </c>
      <c r="R2538" s="1" t="s">
        <v>1031</v>
      </c>
      <c r="S2538" s="1" t="s">
        <v>976</v>
      </c>
      <c r="T2538" s="1" t="s">
        <v>1033</v>
      </c>
      <c r="U2538" s="1" t="s">
        <v>1001</v>
      </c>
      <c r="V2538" s="1" t="s">
        <v>927</v>
      </c>
      <c r="W2538" s="1" t="s">
        <v>936</v>
      </c>
      <c r="X2538" s="1"/>
      <c r="Y2538" s="1"/>
    </row>
    <row r="2539" spans="1:25" x14ac:dyDescent="0.25">
      <c r="A2539" s="8" t="s">
        <v>8082</v>
      </c>
      <c r="C2539" s="7" t="s">
        <v>4137</v>
      </c>
      <c r="D2539">
        <f t="shared" si="39"/>
        <v>1</v>
      </c>
      <c r="I2539" s="1" t="s">
        <v>955</v>
      </c>
      <c r="J2539" s="1" t="s">
        <v>1071</v>
      </c>
      <c r="K2539" s="1" t="s">
        <v>1014</v>
      </c>
      <c r="L2539" s="1" t="s">
        <v>975</v>
      </c>
      <c r="M2539" s="1" t="s">
        <v>939</v>
      </c>
      <c r="N2539" s="1" t="s">
        <v>983</v>
      </c>
      <c r="O2539" s="1" t="s">
        <v>984</v>
      </c>
      <c r="P2539" s="1" t="s">
        <v>1060</v>
      </c>
      <c r="Q2539" s="1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25">
      <c r="A2540" s="8" t="s">
        <v>8082</v>
      </c>
      <c r="I2540" s="1" t="s">
        <v>975</v>
      </c>
      <c r="J2540" s="1" t="s">
        <v>964</v>
      </c>
      <c r="K2540" s="1" t="s">
        <v>976</v>
      </c>
      <c r="L2540" s="1" t="s">
        <v>939</v>
      </c>
      <c r="M2540" s="1" t="s">
        <v>1060</v>
      </c>
      <c r="N2540" s="1" t="s">
        <v>982</v>
      </c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25">
      <c r="A2541" s="8" t="s">
        <v>8082</v>
      </c>
      <c r="I2541" s="1" t="s">
        <v>918</v>
      </c>
      <c r="J2541" s="1" t="s">
        <v>25</v>
      </c>
      <c r="K2541" s="1" t="s">
        <v>923</v>
      </c>
      <c r="L2541" s="1" t="s">
        <v>916</v>
      </c>
      <c r="M2541" s="1" t="s">
        <v>919</v>
      </c>
      <c r="N2541" s="1" t="s">
        <v>924</v>
      </c>
      <c r="O2541" s="1" t="s">
        <v>974</v>
      </c>
      <c r="P2541" s="1" t="s">
        <v>922</v>
      </c>
      <c r="Q2541" s="1" t="s">
        <v>929</v>
      </c>
      <c r="R2541" s="1" t="s">
        <v>1030</v>
      </c>
      <c r="S2541" s="1" t="s">
        <v>1013</v>
      </c>
      <c r="T2541" s="1" t="s">
        <v>930</v>
      </c>
      <c r="U2541" s="1"/>
      <c r="V2541" s="1"/>
      <c r="W2541" s="1"/>
      <c r="X2541" s="1"/>
      <c r="Y2541" s="1"/>
    </row>
    <row r="2542" spans="1:25" x14ac:dyDescent="0.25">
      <c r="A2542" s="8" t="s">
        <v>8082</v>
      </c>
      <c r="I2542" s="1" t="s">
        <v>918</v>
      </c>
      <c r="J2542" s="1" t="s">
        <v>25</v>
      </c>
      <c r="K2542" s="1" t="s">
        <v>919</v>
      </c>
      <c r="L2542" s="1" t="s">
        <v>920</v>
      </c>
      <c r="M2542" s="1" t="s">
        <v>921</v>
      </c>
      <c r="N2542" s="1" t="s">
        <v>922</v>
      </c>
      <c r="O2542" s="1" t="s">
        <v>936</v>
      </c>
      <c r="P2542" s="1" t="s">
        <v>10841</v>
      </c>
      <c r="Q2542" s="1" t="s">
        <v>4726</v>
      </c>
      <c r="R2542" s="1"/>
      <c r="S2542" s="1"/>
      <c r="T2542" s="1"/>
      <c r="U2542" s="1"/>
      <c r="V2542" s="1"/>
      <c r="W2542" s="1"/>
      <c r="X2542" s="1"/>
      <c r="Y2542" s="1"/>
    </row>
    <row r="2543" spans="1:25" x14ac:dyDescent="0.25">
      <c r="A2543" s="8" t="s">
        <v>8082</v>
      </c>
      <c r="I2543" s="1" t="s">
        <v>1011</v>
      </c>
      <c r="J2543" s="1" t="s">
        <v>999</v>
      </c>
      <c r="K2543" s="1" t="s">
        <v>921</v>
      </c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25">
      <c r="A2544" s="7" t="s">
        <v>8830</v>
      </c>
      <c r="I2544" s="1" t="s">
        <v>918</v>
      </c>
      <c r="J2544" s="1" t="s">
        <v>25</v>
      </c>
      <c r="K2544" s="1" t="s">
        <v>947</v>
      </c>
      <c r="L2544" s="1" t="s">
        <v>920</v>
      </c>
      <c r="M2544" s="1" t="s">
        <v>328</v>
      </c>
      <c r="N2544" s="1" t="s">
        <v>921</v>
      </c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25">
      <c r="A2545" s="8" t="s">
        <v>8830</v>
      </c>
      <c r="I2545" s="1" t="s">
        <v>918</v>
      </c>
      <c r="J2545" s="1" t="s">
        <v>25</v>
      </c>
      <c r="K2545" s="1" t="s">
        <v>923</v>
      </c>
      <c r="L2545" s="1" t="s">
        <v>965</v>
      </c>
      <c r="M2545" s="1" t="s">
        <v>840</v>
      </c>
      <c r="N2545" s="1" t="s">
        <v>920</v>
      </c>
      <c r="O2545" s="1" t="s">
        <v>954</v>
      </c>
      <c r="P2545" s="1"/>
      <c r="Q2545" s="1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25">
      <c r="A2546" s="8" t="s">
        <v>10516</v>
      </c>
      <c r="I2546" s="1" t="s">
        <v>918</v>
      </c>
      <c r="J2546" s="1" t="s">
        <v>25</v>
      </c>
      <c r="K2546" s="1" t="s">
        <v>923</v>
      </c>
      <c r="L2546" s="1" t="s">
        <v>919</v>
      </c>
      <c r="M2546" s="1" t="s">
        <v>920</v>
      </c>
      <c r="N2546" s="1" t="s">
        <v>921</v>
      </c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25">
      <c r="A2547" s="7" t="s">
        <v>9152</v>
      </c>
      <c r="I2547" s="1" t="s">
        <v>918</v>
      </c>
      <c r="J2547" s="1" t="s">
        <v>971</v>
      </c>
      <c r="K2547" s="1" t="s">
        <v>940</v>
      </c>
      <c r="L2547" s="1" t="s">
        <v>25</v>
      </c>
      <c r="M2547" s="1" t="s">
        <v>947</v>
      </c>
      <c r="N2547" s="1" t="s">
        <v>919</v>
      </c>
      <c r="O2547" s="1" t="s">
        <v>920</v>
      </c>
      <c r="P2547" s="1" t="s">
        <v>921</v>
      </c>
      <c r="Q2547" s="1" t="s">
        <v>952</v>
      </c>
      <c r="R2547" s="1" t="s">
        <v>1037</v>
      </c>
      <c r="S2547" s="1"/>
      <c r="T2547" s="1"/>
      <c r="U2547" s="1"/>
      <c r="V2547" s="1"/>
      <c r="W2547" s="1"/>
      <c r="X2547" s="1"/>
      <c r="Y2547" s="1"/>
    </row>
    <row r="2548" spans="1:25" x14ac:dyDescent="0.25">
      <c r="A2548" s="8" t="s">
        <v>9152</v>
      </c>
      <c r="I2548" s="1" t="s">
        <v>975</v>
      </c>
      <c r="J2548" s="1" t="s">
        <v>976</v>
      </c>
      <c r="K2548" s="1" t="s">
        <v>982</v>
      </c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25">
      <c r="A2549" s="8" t="s">
        <v>9152</v>
      </c>
      <c r="I2549" s="1" t="s">
        <v>948</v>
      </c>
      <c r="J2549" s="1" t="s">
        <v>918</v>
      </c>
      <c r="K2549" s="1" t="s">
        <v>25</v>
      </c>
      <c r="L2549" s="1" t="s">
        <v>919</v>
      </c>
      <c r="M2549" s="1" t="s">
        <v>920</v>
      </c>
      <c r="N2549" s="1" t="s">
        <v>954</v>
      </c>
      <c r="O2549" s="1" t="s">
        <v>936</v>
      </c>
      <c r="P2549" s="1" t="s">
        <v>921</v>
      </c>
      <c r="Q2549" s="1" t="s">
        <v>929</v>
      </c>
      <c r="R2549" s="1"/>
      <c r="S2549" s="1"/>
      <c r="T2549" s="1"/>
      <c r="U2549" s="1"/>
      <c r="V2549" s="1"/>
      <c r="W2549" s="1"/>
      <c r="X2549" s="1"/>
      <c r="Y2549" s="1"/>
    </row>
    <row r="2550" spans="1:25" x14ac:dyDescent="0.25">
      <c r="A2550" s="8" t="s">
        <v>9152</v>
      </c>
      <c r="I2550" s="1" t="s">
        <v>918</v>
      </c>
      <c r="J2550" s="1" t="s">
        <v>25</v>
      </c>
      <c r="K2550" s="1" t="s">
        <v>923</v>
      </c>
      <c r="L2550" s="1" t="s">
        <v>916</v>
      </c>
      <c r="M2550" s="1" t="s">
        <v>919</v>
      </c>
      <c r="N2550" s="1" t="s">
        <v>924</v>
      </c>
      <c r="O2550" s="1" t="s">
        <v>974</v>
      </c>
      <c r="P2550" s="1" t="s">
        <v>922</v>
      </c>
      <c r="Q2550" s="1" t="s">
        <v>920</v>
      </c>
      <c r="R2550" s="1" t="s">
        <v>921</v>
      </c>
      <c r="S2550" s="1" t="s">
        <v>928</v>
      </c>
      <c r="T2550" s="1" t="s">
        <v>1059</v>
      </c>
      <c r="U2550" s="1"/>
      <c r="V2550" s="1"/>
      <c r="W2550" s="1"/>
      <c r="X2550" s="1"/>
      <c r="Y2550" s="1"/>
    </row>
    <row r="2551" spans="1:25" x14ac:dyDescent="0.25">
      <c r="A2551" s="8" t="s">
        <v>9152</v>
      </c>
      <c r="I2551" s="1" t="s">
        <v>918</v>
      </c>
      <c r="J2551" s="1" t="s">
        <v>25</v>
      </c>
      <c r="K2551" s="1" t="s">
        <v>997</v>
      </c>
      <c r="L2551" s="1" t="s">
        <v>919</v>
      </c>
      <c r="M2551" s="1" t="s">
        <v>920</v>
      </c>
      <c r="N2551" s="1" t="s">
        <v>924</v>
      </c>
      <c r="O2551" s="1" t="s">
        <v>987</v>
      </c>
      <c r="P2551" s="1"/>
      <c r="Q2551" s="1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25">
      <c r="A2552" s="7" t="s">
        <v>9963</v>
      </c>
      <c r="I2552" s="1" t="s">
        <v>918</v>
      </c>
      <c r="J2552" s="1" t="s">
        <v>25</v>
      </c>
      <c r="K2552" s="1" t="s">
        <v>919</v>
      </c>
      <c r="L2552" s="1" t="s">
        <v>920</v>
      </c>
      <c r="M2552" s="1" t="s">
        <v>921</v>
      </c>
      <c r="N2552" s="1" t="s">
        <v>922</v>
      </c>
      <c r="O2552" s="1" t="s">
        <v>952</v>
      </c>
      <c r="P2552" s="1" t="s">
        <v>929</v>
      </c>
      <c r="Q2552" s="1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25">
      <c r="A2553" s="8" t="s">
        <v>9963</v>
      </c>
      <c r="I2553" s="1" t="s">
        <v>918</v>
      </c>
      <c r="J2553" s="1" t="s">
        <v>25</v>
      </c>
      <c r="K2553" s="1" t="s">
        <v>927</v>
      </c>
      <c r="L2553" s="1" t="s">
        <v>919</v>
      </c>
      <c r="M2553" s="1" t="s">
        <v>920</v>
      </c>
      <c r="N2553" s="1" t="s">
        <v>921</v>
      </c>
      <c r="O2553" s="1" t="s">
        <v>981</v>
      </c>
      <c r="P2553" s="1" t="s">
        <v>933</v>
      </c>
      <c r="Q2553" s="1" t="s">
        <v>996</v>
      </c>
      <c r="R2553" s="1" t="s">
        <v>923</v>
      </c>
      <c r="S2553" s="1" t="s">
        <v>997</v>
      </c>
      <c r="T2553" s="1" t="s">
        <v>998</v>
      </c>
      <c r="U2553" s="1"/>
      <c r="V2553" s="1"/>
      <c r="W2553" s="1"/>
      <c r="X2553" s="1"/>
      <c r="Y2553" s="1"/>
    </row>
    <row r="2554" spans="1:25" x14ac:dyDescent="0.25">
      <c r="A2554" s="7" t="s">
        <v>8829</v>
      </c>
      <c r="I2554" s="1" t="s">
        <v>918</v>
      </c>
      <c r="J2554" s="1" t="s">
        <v>25</v>
      </c>
      <c r="K2554" s="1" t="s">
        <v>927</v>
      </c>
      <c r="L2554" s="1" t="s">
        <v>919</v>
      </c>
      <c r="M2554" s="1" t="s">
        <v>920</v>
      </c>
      <c r="N2554" s="1" t="s">
        <v>921</v>
      </c>
      <c r="O2554" s="1" t="s">
        <v>923</v>
      </c>
      <c r="P2554" s="1" t="s">
        <v>1086</v>
      </c>
      <c r="Q2554" s="1" t="s">
        <v>933</v>
      </c>
      <c r="R2554" s="1" t="s">
        <v>954</v>
      </c>
      <c r="S2554" s="1" t="s">
        <v>974</v>
      </c>
      <c r="T2554" s="1" t="s">
        <v>10719</v>
      </c>
      <c r="U2554" s="1" t="s">
        <v>950</v>
      </c>
      <c r="V2554" s="1" t="s">
        <v>10720</v>
      </c>
      <c r="W2554" s="1" t="s">
        <v>978</v>
      </c>
      <c r="X2554" s="1"/>
      <c r="Y2554" s="1"/>
    </row>
    <row r="2555" spans="1:25" x14ac:dyDescent="0.25">
      <c r="A2555" s="7" t="s">
        <v>8963</v>
      </c>
      <c r="I2555" s="1" t="s">
        <v>918</v>
      </c>
      <c r="J2555" s="1" t="s">
        <v>25</v>
      </c>
      <c r="K2555" s="1" t="s">
        <v>927</v>
      </c>
      <c r="L2555" s="1" t="s">
        <v>919</v>
      </c>
      <c r="M2555" s="1" t="s">
        <v>920</v>
      </c>
      <c r="N2555" s="1" t="s">
        <v>921</v>
      </c>
      <c r="O2555" s="1" t="s">
        <v>981</v>
      </c>
      <c r="P2555" s="1" t="s">
        <v>933</v>
      </c>
      <c r="Q2555" s="1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25">
      <c r="A2556" s="7" t="s">
        <v>8963</v>
      </c>
      <c r="I2556" s="1" t="s">
        <v>918</v>
      </c>
      <c r="J2556" s="1" t="s">
        <v>25</v>
      </c>
      <c r="K2556" s="1" t="s">
        <v>927</v>
      </c>
      <c r="L2556" s="1" t="s">
        <v>919</v>
      </c>
      <c r="M2556" s="1" t="s">
        <v>920</v>
      </c>
      <c r="N2556" s="1" t="s">
        <v>921</v>
      </c>
      <c r="O2556" s="1" t="s">
        <v>1001</v>
      </c>
      <c r="P2556" s="1" t="s">
        <v>936</v>
      </c>
      <c r="Q2556" s="1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25">
      <c r="A2557" s="7" t="s">
        <v>8963</v>
      </c>
      <c r="I2557" s="1" t="s">
        <v>918</v>
      </c>
      <c r="J2557" s="1" t="s">
        <v>25</v>
      </c>
      <c r="K2557" s="1" t="s">
        <v>927</v>
      </c>
      <c r="L2557" s="1" t="s">
        <v>919</v>
      </c>
      <c r="M2557" s="1" t="s">
        <v>920</v>
      </c>
      <c r="N2557" s="1" t="s">
        <v>921</v>
      </c>
      <c r="O2557" s="1" t="s">
        <v>1001</v>
      </c>
      <c r="P2557" s="1" t="s">
        <v>961</v>
      </c>
      <c r="Q2557" s="1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25">
      <c r="A2558" s="8" t="s">
        <v>8963</v>
      </c>
      <c r="I2558" s="1" t="s">
        <v>918</v>
      </c>
      <c r="J2558" s="1" t="s">
        <v>25</v>
      </c>
      <c r="K2558" s="1" t="s">
        <v>927</v>
      </c>
      <c r="L2558" s="1" t="s">
        <v>919</v>
      </c>
      <c r="M2558" s="1" t="s">
        <v>920</v>
      </c>
      <c r="N2558" s="1" t="s">
        <v>921</v>
      </c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25">
      <c r="A2559" s="8" t="s">
        <v>8963</v>
      </c>
      <c r="I2559" s="1" t="s">
        <v>918</v>
      </c>
      <c r="J2559" s="1" t="s">
        <v>25</v>
      </c>
      <c r="K2559" s="1" t="s">
        <v>927</v>
      </c>
      <c r="L2559" s="1" t="s">
        <v>919</v>
      </c>
      <c r="M2559" s="1" t="s">
        <v>920</v>
      </c>
      <c r="N2559" s="1" t="s">
        <v>921</v>
      </c>
      <c r="O2559" s="1" t="s">
        <v>1056</v>
      </c>
      <c r="P2559" s="1" t="s">
        <v>981</v>
      </c>
      <c r="Q2559" s="1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25">
      <c r="A2560" s="7" t="s">
        <v>5686</v>
      </c>
      <c r="I2560" s="1" t="s">
        <v>996</v>
      </c>
      <c r="J2560" s="1" t="s">
        <v>997</v>
      </c>
      <c r="K2560" s="1" t="s">
        <v>998</v>
      </c>
      <c r="L2560" s="1" t="s">
        <v>992</v>
      </c>
      <c r="M2560" s="1" t="s">
        <v>933</v>
      </c>
      <c r="N2560" s="1" t="s">
        <v>994</v>
      </c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25">
      <c r="A2561" s="8" t="s">
        <v>9530</v>
      </c>
      <c r="I2561" s="1" t="s">
        <v>996</v>
      </c>
      <c r="J2561" s="1" t="s">
        <v>997</v>
      </c>
      <c r="K2561" s="1" t="s">
        <v>998</v>
      </c>
      <c r="L2561" s="1" t="s">
        <v>992</v>
      </c>
      <c r="M2561" s="1" t="s">
        <v>933</v>
      </c>
      <c r="N2561" s="1" t="s">
        <v>994</v>
      </c>
      <c r="O2561" s="1" t="s">
        <v>937</v>
      </c>
      <c r="P2561" s="1"/>
      <c r="Q2561" s="1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25">
      <c r="A2562" s="7" t="s">
        <v>2204</v>
      </c>
      <c r="I2562" s="1" t="s">
        <v>996</v>
      </c>
      <c r="J2562" s="1" t="s">
        <v>933</v>
      </c>
      <c r="K2562" s="1" t="s">
        <v>994</v>
      </c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25">
      <c r="A2563" s="8" t="s">
        <v>10333</v>
      </c>
      <c r="I2563" s="1" t="s">
        <v>998</v>
      </c>
      <c r="J2563" s="1" t="s">
        <v>993</v>
      </c>
      <c r="K2563" s="1" t="s">
        <v>994</v>
      </c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25">
      <c r="A2564" s="7" t="s">
        <v>9558</v>
      </c>
      <c r="I2564" s="1" t="s">
        <v>939</v>
      </c>
      <c r="J2564" s="1" t="s">
        <v>983</v>
      </c>
      <c r="K2564" s="1" t="s">
        <v>919</v>
      </c>
      <c r="L2564" s="1" t="s">
        <v>1020</v>
      </c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25">
      <c r="A2565" s="7" t="s">
        <v>9558</v>
      </c>
      <c r="I2565" s="1" t="s">
        <v>939</v>
      </c>
      <c r="J2565" s="1" t="s">
        <v>983</v>
      </c>
      <c r="K2565" s="1" t="s">
        <v>919</v>
      </c>
      <c r="L2565" s="1" t="s">
        <v>1020</v>
      </c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25">
      <c r="A2566" s="7" t="s">
        <v>9558</v>
      </c>
      <c r="I2566" s="1" t="s">
        <v>996</v>
      </c>
      <c r="J2566" s="1" t="s">
        <v>923</v>
      </c>
      <c r="K2566" s="1" t="s">
        <v>997</v>
      </c>
      <c r="L2566" s="1" t="s">
        <v>998</v>
      </c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25">
      <c r="A2567" s="8" t="s">
        <v>9558</v>
      </c>
      <c r="I2567" s="1" t="s">
        <v>90</v>
      </c>
      <c r="J2567" s="1" t="s">
        <v>996</v>
      </c>
      <c r="K2567" s="1" t="s">
        <v>25</v>
      </c>
      <c r="L2567" s="1" t="s">
        <v>923</v>
      </c>
      <c r="M2567" s="1" t="s">
        <v>997</v>
      </c>
      <c r="N2567" s="1" t="s">
        <v>927</v>
      </c>
      <c r="O2567" s="1" t="s">
        <v>998</v>
      </c>
      <c r="P2567" s="1" t="s">
        <v>1086</v>
      </c>
      <c r="Q2567" s="1" t="s">
        <v>994</v>
      </c>
      <c r="R2567" s="1" t="s">
        <v>948</v>
      </c>
      <c r="S2567" s="1" t="s">
        <v>920</v>
      </c>
      <c r="T2567" s="1"/>
      <c r="U2567" s="1"/>
      <c r="V2567" s="1"/>
      <c r="W2567" s="1"/>
      <c r="X2567" s="1"/>
      <c r="Y2567" s="1"/>
    </row>
    <row r="2568" spans="1:25" x14ac:dyDescent="0.25">
      <c r="A2568" s="8" t="s">
        <v>9558</v>
      </c>
      <c r="I2568" s="1" t="s">
        <v>948</v>
      </c>
      <c r="J2568" s="1" t="s">
        <v>25</v>
      </c>
      <c r="K2568" s="1" t="s">
        <v>923</v>
      </c>
      <c r="L2568" s="1" t="s">
        <v>997</v>
      </c>
      <c r="M2568" s="1" t="s">
        <v>998</v>
      </c>
      <c r="N2568" s="1" t="s">
        <v>920</v>
      </c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25">
      <c r="A2569" s="7" t="s">
        <v>115</v>
      </c>
      <c r="I2569" s="1" t="s">
        <v>948</v>
      </c>
      <c r="J2569" s="1" t="s">
        <v>25</v>
      </c>
      <c r="K2569" s="1" t="s">
        <v>923</v>
      </c>
      <c r="L2569" s="1" t="s">
        <v>997</v>
      </c>
      <c r="M2569" s="1" t="s">
        <v>998</v>
      </c>
      <c r="N2569" s="1" t="s">
        <v>920</v>
      </c>
      <c r="O2569" s="1" t="s">
        <v>918</v>
      </c>
      <c r="P2569" s="1" t="s">
        <v>919</v>
      </c>
      <c r="Q2569" s="1" t="s">
        <v>954</v>
      </c>
      <c r="R2569" s="1"/>
      <c r="S2569" s="1"/>
      <c r="T2569" s="1"/>
      <c r="U2569" s="1"/>
      <c r="V2569" s="1"/>
      <c r="W2569" s="1"/>
      <c r="X2569" s="1"/>
      <c r="Y2569" s="1"/>
    </row>
    <row r="2570" spans="1:25" x14ac:dyDescent="0.25">
      <c r="A2570" s="7" t="s">
        <v>115</v>
      </c>
      <c r="I2570" s="1" t="s">
        <v>948</v>
      </c>
      <c r="J2570" s="1" t="s">
        <v>25</v>
      </c>
      <c r="K2570" s="1" t="s">
        <v>923</v>
      </c>
      <c r="L2570" s="1" t="s">
        <v>997</v>
      </c>
      <c r="M2570" s="1" t="s">
        <v>998</v>
      </c>
      <c r="N2570" s="1" t="s">
        <v>920</v>
      </c>
      <c r="O2570" s="1" t="s">
        <v>918</v>
      </c>
      <c r="P2570" s="1" t="s">
        <v>919</v>
      </c>
      <c r="Q2570" s="1" t="s">
        <v>954</v>
      </c>
      <c r="R2570" s="1"/>
      <c r="S2570" s="1"/>
      <c r="T2570" s="1"/>
      <c r="U2570" s="1"/>
      <c r="V2570" s="1"/>
      <c r="W2570" s="1"/>
      <c r="X2570" s="1"/>
      <c r="Y2570" s="1"/>
    </row>
    <row r="2571" spans="1:25" x14ac:dyDescent="0.25">
      <c r="A2571" s="7" t="s">
        <v>8948</v>
      </c>
      <c r="I2571" s="1" t="s">
        <v>25</v>
      </c>
      <c r="J2571" s="1" t="s">
        <v>998</v>
      </c>
      <c r="K2571" s="1" t="s">
        <v>1086</v>
      </c>
      <c r="L2571" s="1" t="s">
        <v>920</v>
      </c>
      <c r="M2571" s="1" t="s">
        <v>933</v>
      </c>
      <c r="N2571" s="1" t="s">
        <v>992</v>
      </c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25">
      <c r="A2572" s="8" t="s">
        <v>8948</v>
      </c>
      <c r="I2572" s="1" t="s">
        <v>25</v>
      </c>
      <c r="J2572" s="1" t="s">
        <v>998</v>
      </c>
      <c r="K2572" s="1" t="s">
        <v>1086</v>
      </c>
      <c r="L2572" s="1" t="s">
        <v>920</v>
      </c>
      <c r="M2572" s="1" t="s">
        <v>933</v>
      </c>
      <c r="N2572" s="1" t="s">
        <v>10896</v>
      </c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25">
      <c r="A2573" s="8" t="s">
        <v>8977</v>
      </c>
      <c r="I2573" s="1" t="s">
        <v>25</v>
      </c>
      <c r="J2573" s="1" t="s">
        <v>1086</v>
      </c>
      <c r="K2573" s="1" t="s">
        <v>919</v>
      </c>
      <c r="L2573" s="1" t="s">
        <v>920</v>
      </c>
      <c r="M2573" s="1" t="s">
        <v>921</v>
      </c>
      <c r="N2573" s="1" t="s">
        <v>1149</v>
      </c>
      <c r="O2573" s="1" t="s">
        <v>923</v>
      </c>
      <c r="P2573" s="1" t="s">
        <v>998</v>
      </c>
      <c r="Q2573" s="1" t="s">
        <v>987</v>
      </c>
      <c r="R2573" s="1"/>
      <c r="S2573" s="1"/>
      <c r="T2573" s="1"/>
      <c r="U2573" s="1"/>
      <c r="V2573" s="1"/>
      <c r="W2573" s="1"/>
      <c r="X2573" s="1"/>
      <c r="Y2573" s="1"/>
    </row>
    <row r="2574" spans="1:25" x14ac:dyDescent="0.25">
      <c r="A2574" s="7" t="s">
        <v>10106</v>
      </c>
      <c r="I2574" s="1" t="s">
        <v>25</v>
      </c>
      <c r="J2574" s="1" t="s">
        <v>1086</v>
      </c>
      <c r="K2574" s="1" t="s">
        <v>919</v>
      </c>
      <c r="L2574" s="1" t="s">
        <v>920</v>
      </c>
      <c r="M2574" s="1" t="s">
        <v>921</v>
      </c>
      <c r="N2574" s="1" t="s">
        <v>1019</v>
      </c>
      <c r="O2574" s="1" t="s">
        <v>983</v>
      </c>
      <c r="P2574" s="1" t="s">
        <v>924</v>
      </c>
      <c r="Q2574" s="1" t="s">
        <v>1020</v>
      </c>
      <c r="R2574" s="1" t="s">
        <v>984</v>
      </c>
      <c r="S2574" s="1" t="s">
        <v>1021</v>
      </c>
      <c r="T2574" s="1"/>
      <c r="U2574" s="1"/>
      <c r="V2574" s="1"/>
      <c r="W2574" s="1"/>
      <c r="X2574" s="1"/>
      <c r="Y2574" s="1"/>
    </row>
    <row r="2575" spans="1:25" x14ac:dyDescent="0.25">
      <c r="A2575" s="8" t="s">
        <v>9020</v>
      </c>
      <c r="I2575" s="1" t="s">
        <v>25</v>
      </c>
      <c r="J2575" s="1" t="s">
        <v>1086</v>
      </c>
      <c r="K2575" s="1" t="s">
        <v>919</v>
      </c>
      <c r="L2575" s="1" t="s">
        <v>920</v>
      </c>
      <c r="M2575" s="1" t="s">
        <v>921</v>
      </c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25">
      <c r="A2576" s="8" t="s">
        <v>10648</v>
      </c>
      <c r="I2576" s="1" t="s">
        <v>25</v>
      </c>
      <c r="J2576" s="1" t="s">
        <v>1086</v>
      </c>
      <c r="K2576" s="1" t="s">
        <v>919</v>
      </c>
      <c r="L2576" s="1" t="s">
        <v>920</v>
      </c>
      <c r="M2576" s="1" t="s">
        <v>921</v>
      </c>
      <c r="N2576" s="1" t="s">
        <v>927</v>
      </c>
      <c r="O2576" s="1" t="s">
        <v>998</v>
      </c>
      <c r="P2576" s="1" t="s">
        <v>933</v>
      </c>
      <c r="Q2576" s="1" t="s">
        <v>1066</v>
      </c>
      <c r="R2576" s="1"/>
      <c r="S2576" s="1"/>
      <c r="T2576" s="1"/>
      <c r="U2576" s="1"/>
      <c r="V2576" s="1"/>
      <c r="W2576" s="1"/>
      <c r="X2576" s="1"/>
      <c r="Y2576" s="1"/>
    </row>
    <row r="2577" spans="1:25" x14ac:dyDescent="0.25">
      <c r="A2577" s="7" t="s">
        <v>2875</v>
      </c>
      <c r="I2577" s="1" t="s">
        <v>918</v>
      </c>
      <c r="J2577" s="1" t="s">
        <v>25</v>
      </c>
      <c r="K2577" s="1" t="s">
        <v>927</v>
      </c>
      <c r="L2577" s="1" t="s">
        <v>919</v>
      </c>
      <c r="M2577" s="1" t="s">
        <v>920</v>
      </c>
      <c r="N2577" s="1" t="s">
        <v>921</v>
      </c>
      <c r="O2577" s="1" t="s">
        <v>1086</v>
      </c>
      <c r="P2577" s="1" t="s">
        <v>1001</v>
      </c>
      <c r="Q2577" s="1" t="s">
        <v>1013</v>
      </c>
      <c r="R2577" s="1"/>
      <c r="S2577" s="1"/>
      <c r="T2577" s="1"/>
      <c r="U2577" s="1"/>
      <c r="V2577" s="1"/>
      <c r="W2577" s="1"/>
      <c r="X2577" s="1"/>
      <c r="Y2577" s="1"/>
    </row>
    <row r="2578" spans="1:25" x14ac:dyDescent="0.25">
      <c r="A2578" s="8" t="s">
        <v>9737</v>
      </c>
      <c r="I2578" s="1" t="s">
        <v>25</v>
      </c>
      <c r="J2578" s="1" t="s">
        <v>1086</v>
      </c>
      <c r="K2578" s="1" t="s">
        <v>919</v>
      </c>
      <c r="L2578" s="1" t="s">
        <v>920</v>
      </c>
      <c r="M2578" s="1" t="s">
        <v>921</v>
      </c>
      <c r="N2578" s="1" t="s">
        <v>1001</v>
      </c>
      <c r="O2578" s="1" t="s">
        <v>992</v>
      </c>
      <c r="P2578" s="1" t="s">
        <v>981</v>
      </c>
      <c r="Q2578" s="1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25">
      <c r="A2579" s="8" t="s">
        <v>9097</v>
      </c>
      <c r="I2579" s="1" t="s">
        <v>25</v>
      </c>
      <c r="J2579" s="1" t="s">
        <v>1086</v>
      </c>
      <c r="K2579" s="1" t="s">
        <v>919</v>
      </c>
      <c r="L2579" s="1" t="s">
        <v>920</v>
      </c>
      <c r="M2579" s="1" t="s">
        <v>921</v>
      </c>
      <c r="N2579" s="1" t="s">
        <v>1001</v>
      </c>
      <c r="O2579" s="1" t="s">
        <v>936</v>
      </c>
      <c r="P2579" s="1" t="s">
        <v>10841</v>
      </c>
      <c r="Q2579" s="1" t="s">
        <v>1037</v>
      </c>
      <c r="R2579" s="1"/>
      <c r="S2579" s="1"/>
      <c r="T2579" s="1"/>
      <c r="U2579" s="1"/>
      <c r="V2579" s="1"/>
      <c r="W2579" s="1"/>
      <c r="X2579" s="1"/>
      <c r="Y2579" s="1"/>
    </row>
    <row r="2580" spans="1:25" x14ac:dyDescent="0.25">
      <c r="A2580" s="8" t="s">
        <v>9416</v>
      </c>
      <c r="I2580" s="1" t="s">
        <v>25</v>
      </c>
      <c r="J2580" s="1" t="s">
        <v>1086</v>
      </c>
      <c r="K2580" s="1" t="s">
        <v>919</v>
      </c>
      <c r="L2580" s="1" t="s">
        <v>920</v>
      </c>
      <c r="M2580" s="1" t="s">
        <v>921</v>
      </c>
      <c r="N2580" s="1" t="s">
        <v>1001</v>
      </c>
      <c r="O2580" s="1" t="s">
        <v>992</v>
      </c>
      <c r="P2580" s="1" t="s">
        <v>981</v>
      </c>
      <c r="Q2580" s="1" t="s">
        <v>1066</v>
      </c>
      <c r="R2580" s="1"/>
      <c r="S2580" s="1"/>
      <c r="T2580" s="1"/>
      <c r="U2580" s="1"/>
      <c r="V2580" s="1"/>
      <c r="W2580" s="1"/>
      <c r="X2580" s="1"/>
      <c r="Y2580" s="1"/>
    </row>
    <row r="2581" spans="1:25" x14ac:dyDescent="0.25">
      <c r="A2581" s="8" t="s">
        <v>10234</v>
      </c>
      <c r="I2581" s="1" t="s">
        <v>25</v>
      </c>
      <c r="J2581" s="1" t="s">
        <v>1086</v>
      </c>
      <c r="K2581" s="1" t="s">
        <v>919</v>
      </c>
      <c r="L2581" s="1" t="s">
        <v>920</v>
      </c>
      <c r="M2581" s="1" t="s">
        <v>921</v>
      </c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25">
      <c r="A2582" s="8" t="s">
        <v>8883</v>
      </c>
      <c r="I2582" s="1" t="s">
        <v>25</v>
      </c>
      <c r="J2582" s="1" t="s">
        <v>1086</v>
      </c>
      <c r="K2582" s="1" t="s">
        <v>919</v>
      </c>
      <c r="L2582" s="1" t="s">
        <v>920</v>
      </c>
      <c r="M2582" s="1" t="s">
        <v>921</v>
      </c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25">
      <c r="A2583" s="8" t="s">
        <v>10489</v>
      </c>
      <c r="I2583" s="1" t="s">
        <v>25</v>
      </c>
      <c r="J2583" s="1" t="s">
        <v>1086</v>
      </c>
      <c r="K2583" s="1" t="s">
        <v>919</v>
      </c>
      <c r="L2583" s="1" t="s">
        <v>920</v>
      </c>
      <c r="M2583" s="1" t="s">
        <v>921</v>
      </c>
      <c r="N2583" s="1" t="s">
        <v>924</v>
      </c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25">
      <c r="A2584" s="8" t="s">
        <v>10023</v>
      </c>
      <c r="I2584" s="1" t="s">
        <v>25</v>
      </c>
      <c r="J2584" s="1" t="s">
        <v>1086</v>
      </c>
      <c r="K2584" s="1" t="s">
        <v>919</v>
      </c>
      <c r="L2584" s="1" t="s">
        <v>920</v>
      </c>
      <c r="M2584" s="1" t="s">
        <v>921</v>
      </c>
      <c r="N2584" s="1" t="s">
        <v>1066</v>
      </c>
      <c r="O2584" s="1" t="s">
        <v>1099</v>
      </c>
      <c r="P2584" s="1"/>
      <c r="Q2584" s="1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25">
      <c r="A2585" s="7" t="s">
        <v>9554</v>
      </c>
      <c r="I2585" s="1" t="s">
        <v>25</v>
      </c>
      <c r="J2585" s="1" t="s">
        <v>1086</v>
      </c>
      <c r="K2585" s="1" t="s">
        <v>919</v>
      </c>
      <c r="L2585" s="1" t="s">
        <v>920</v>
      </c>
      <c r="M2585" s="1" t="s">
        <v>921</v>
      </c>
      <c r="N2585" s="1" t="s">
        <v>929</v>
      </c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25">
      <c r="A2586" s="7" t="s">
        <v>7249</v>
      </c>
      <c r="I2586" s="1" t="s">
        <v>918</v>
      </c>
      <c r="J2586" s="1" t="s">
        <v>1136</v>
      </c>
      <c r="K2586" s="1" t="s">
        <v>1157</v>
      </c>
      <c r="L2586" s="1" t="s">
        <v>10752</v>
      </c>
      <c r="M2586" s="1" t="s">
        <v>920</v>
      </c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25">
      <c r="A2587" s="7" t="s">
        <v>7249</v>
      </c>
      <c r="I2587" s="1" t="s">
        <v>918</v>
      </c>
      <c r="J2587" s="1" t="s">
        <v>1136</v>
      </c>
      <c r="K2587" s="1" t="s">
        <v>1157</v>
      </c>
      <c r="L2587" s="1" t="s">
        <v>10752</v>
      </c>
      <c r="M2587" s="1" t="s">
        <v>920</v>
      </c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25">
      <c r="A2588" s="7" t="s">
        <v>7249</v>
      </c>
      <c r="I2588" s="1" t="s">
        <v>918</v>
      </c>
      <c r="J2588" s="1" t="s">
        <v>919</v>
      </c>
      <c r="K2588" s="1" t="s">
        <v>936</v>
      </c>
      <c r="L2588" s="1" t="s">
        <v>927</v>
      </c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25">
      <c r="A2589" s="7" t="s">
        <v>7249</v>
      </c>
      <c r="I2589" s="1" t="s">
        <v>1150</v>
      </c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25">
      <c r="A2590" s="7" t="s">
        <v>7249</v>
      </c>
      <c r="I2590" s="1" t="s">
        <v>2927</v>
      </c>
      <c r="J2590" s="1" t="s">
        <v>25</v>
      </c>
      <c r="K2590" s="1" t="s">
        <v>981</v>
      </c>
      <c r="L2590" s="1" t="s">
        <v>1086</v>
      </c>
      <c r="M2590" s="1" t="s">
        <v>983</v>
      </c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25">
      <c r="A2591" s="8" t="s">
        <v>7249</v>
      </c>
      <c r="I2591" s="1" t="s">
        <v>981</v>
      </c>
      <c r="J2591" s="1" t="s">
        <v>1019</v>
      </c>
      <c r="K2591" s="1" t="s">
        <v>983</v>
      </c>
      <c r="L2591" s="1" t="s">
        <v>10697</v>
      </c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25">
      <c r="A2592" s="8" t="s">
        <v>7249</v>
      </c>
      <c r="I2592" s="1" t="s">
        <v>1016</v>
      </c>
      <c r="J2592" s="1" t="s">
        <v>1019</v>
      </c>
      <c r="K2592" s="1" t="s">
        <v>10697</v>
      </c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25">
      <c r="A2593" s="7" t="s">
        <v>6839</v>
      </c>
      <c r="I2593" s="1" t="s">
        <v>1019</v>
      </c>
      <c r="J2593" s="1" t="s">
        <v>983</v>
      </c>
      <c r="K2593" s="1" t="s">
        <v>984</v>
      </c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25">
      <c r="A2594" s="7" t="s">
        <v>6839</v>
      </c>
      <c r="I2594" s="1" t="s">
        <v>1019</v>
      </c>
      <c r="J2594" s="1" t="s">
        <v>983</v>
      </c>
      <c r="K2594" s="1" t="s">
        <v>984</v>
      </c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25">
      <c r="A2595" s="7" t="s">
        <v>6839</v>
      </c>
      <c r="I2595" s="1" t="s">
        <v>1019</v>
      </c>
      <c r="J2595" s="1" t="s">
        <v>983</v>
      </c>
      <c r="K2595" s="1" t="s">
        <v>984</v>
      </c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25">
      <c r="A2596" s="7" t="s">
        <v>6839</v>
      </c>
      <c r="I2596" s="1" t="s">
        <v>1019</v>
      </c>
      <c r="J2596" s="1" t="s">
        <v>983</v>
      </c>
      <c r="K2596" s="1" t="s">
        <v>984</v>
      </c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25">
      <c r="A2597" s="8" t="s">
        <v>6839</v>
      </c>
      <c r="I2597" s="1" t="s">
        <v>1019</v>
      </c>
      <c r="J2597" s="1" t="s">
        <v>983</v>
      </c>
      <c r="K2597" s="1" t="s">
        <v>984</v>
      </c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25">
      <c r="A2598" s="8" t="s">
        <v>6839</v>
      </c>
      <c r="I2598" s="1" t="s">
        <v>1019</v>
      </c>
      <c r="J2598" s="1" t="s">
        <v>983</v>
      </c>
      <c r="K2598" s="1" t="s">
        <v>984</v>
      </c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25">
      <c r="A2599" s="8" t="s">
        <v>9111</v>
      </c>
      <c r="I2599" s="1" t="s">
        <v>1019</v>
      </c>
      <c r="J2599" s="1" t="s">
        <v>983</v>
      </c>
      <c r="K2599" s="1" t="s">
        <v>984</v>
      </c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25">
      <c r="A2600" s="8" t="s">
        <v>10076</v>
      </c>
      <c r="I2600" s="1" t="s">
        <v>1019</v>
      </c>
      <c r="J2600" s="1" t="s">
        <v>983</v>
      </c>
      <c r="K2600" s="1" t="s">
        <v>984</v>
      </c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25">
      <c r="A2601" s="8" t="s">
        <v>10076</v>
      </c>
      <c r="I2601" s="1" t="s">
        <v>1019</v>
      </c>
      <c r="J2601" s="1" t="s">
        <v>983</v>
      </c>
      <c r="K2601" s="1" t="s">
        <v>984</v>
      </c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25">
      <c r="A2602" s="8" t="s">
        <v>10076</v>
      </c>
      <c r="I2602" s="1" t="s">
        <v>934</v>
      </c>
      <c r="J2602" s="1" t="s">
        <v>25</v>
      </c>
      <c r="K2602" s="1" t="s">
        <v>923</v>
      </c>
      <c r="L2602" s="1" t="s">
        <v>6421</v>
      </c>
      <c r="M2602" s="1" t="s">
        <v>920</v>
      </c>
      <c r="N2602" s="1" t="s">
        <v>328</v>
      </c>
      <c r="O2602" s="1" t="s">
        <v>921</v>
      </c>
      <c r="P2602" s="1" t="s">
        <v>1061</v>
      </c>
      <c r="Q2602" s="1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25">
      <c r="A2603" s="8" t="s">
        <v>10076</v>
      </c>
      <c r="I2603" s="1" t="s">
        <v>1001</v>
      </c>
      <c r="J2603" s="1" t="s">
        <v>996</v>
      </c>
      <c r="K2603" s="1" t="s">
        <v>2541</v>
      </c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25">
      <c r="A2604" s="8" t="s">
        <v>9306</v>
      </c>
      <c r="I2604" s="1" t="s">
        <v>1086</v>
      </c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25">
      <c r="A2605" s="8" t="s">
        <v>9756</v>
      </c>
      <c r="I2605" s="1" t="s">
        <v>924</v>
      </c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25">
      <c r="A2606" s="8" t="s">
        <v>9664</v>
      </c>
      <c r="I2606" s="1" t="s">
        <v>919</v>
      </c>
      <c r="J2606" s="1" t="s">
        <v>918</v>
      </c>
      <c r="K2606" s="1" t="s">
        <v>924</v>
      </c>
      <c r="L2606" s="1" t="s">
        <v>1014</v>
      </c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25">
      <c r="A2607" s="8" t="s">
        <v>10584</v>
      </c>
      <c r="I2607" s="1" t="s">
        <v>921</v>
      </c>
      <c r="J2607" s="1" t="s">
        <v>996</v>
      </c>
      <c r="K2607" s="1" t="s">
        <v>25</v>
      </c>
      <c r="L2607" s="1" t="s">
        <v>997</v>
      </c>
      <c r="M2607" s="1" t="s">
        <v>927</v>
      </c>
      <c r="N2607" s="1" t="s">
        <v>998</v>
      </c>
      <c r="O2607" s="1" t="s">
        <v>992</v>
      </c>
      <c r="P2607" s="1" t="s">
        <v>933</v>
      </c>
      <c r="Q2607" s="1" t="s">
        <v>994</v>
      </c>
      <c r="R2607" s="1" t="s">
        <v>1000</v>
      </c>
      <c r="S2607" s="1"/>
      <c r="T2607" s="1"/>
      <c r="U2607" s="1"/>
      <c r="V2607" s="1"/>
      <c r="W2607" s="1"/>
      <c r="X2607" s="1"/>
      <c r="Y2607" s="1"/>
    </row>
    <row r="2608" spans="1:25" x14ac:dyDescent="0.25">
      <c r="A2608" s="8" t="s">
        <v>10326</v>
      </c>
      <c r="I2608" s="1" t="s">
        <v>1053</v>
      </c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25">
      <c r="A2609" s="8" t="s">
        <v>10429</v>
      </c>
      <c r="I2609" s="1" t="s">
        <v>2927</v>
      </c>
      <c r="J2609" s="1" t="s">
        <v>998</v>
      </c>
      <c r="K2609" s="1" t="s">
        <v>981</v>
      </c>
      <c r="L2609" s="1" t="s">
        <v>933</v>
      </c>
      <c r="M2609" s="1" t="s">
        <v>1053</v>
      </c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25">
      <c r="A2610" s="7" t="s">
        <v>8114</v>
      </c>
      <c r="I2610" s="1" t="s">
        <v>1053</v>
      </c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25">
      <c r="A2611" s="8" t="s">
        <v>9087</v>
      </c>
      <c r="I2611" s="1" t="s">
        <v>1053</v>
      </c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25">
      <c r="A2612" s="7" t="s">
        <v>9740</v>
      </c>
      <c r="I2612" s="1" t="s">
        <v>1053</v>
      </c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25">
      <c r="A2613" s="8" t="s">
        <v>9926</v>
      </c>
      <c r="I2613" s="1" t="s">
        <v>1053</v>
      </c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25">
      <c r="A2614" s="8" t="s">
        <v>9166</v>
      </c>
      <c r="I2614" s="1" t="s">
        <v>1053</v>
      </c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25">
      <c r="A2615" s="8" t="s">
        <v>9360</v>
      </c>
      <c r="I2615" s="1" t="s">
        <v>1053</v>
      </c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25">
      <c r="A2616" s="7" t="s">
        <v>10131</v>
      </c>
      <c r="I2616" s="1" t="s">
        <v>1053</v>
      </c>
      <c r="J2616" s="1" t="s">
        <v>25</v>
      </c>
      <c r="K2616" s="1" t="s">
        <v>923</v>
      </c>
      <c r="L2616" s="1" t="s">
        <v>998</v>
      </c>
      <c r="M2616" s="1" t="s">
        <v>1086</v>
      </c>
      <c r="N2616" s="1" t="s">
        <v>933</v>
      </c>
      <c r="O2616" s="1" t="s">
        <v>1477</v>
      </c>
      <c r="P2616" s="1" t="s">
        <v>1055</v>
      </c>
      <c r="Q2616" s="1" t="s">
        <v>994</v>
      </c>
      <c r="R2616" s="1"/>
      <c r="S2616" s="1"/>
      <c r="T2616" s="1"/>
      <c r="U2616" s="1"/>
      <c r="V2616" s="1"/>
      <c r="W2616" s="1"/>
      <c r="X2616" s="1"/>
      <c r="Y2616" s="1"/>
    </row>
    <row r="2617" spans="1:25" x14ac:dyDescent="0.25">
      <c r="A2617" s="8" t="s">
        <v>10131</v>
      </c>
      <c r="I2617" s="1" t="s">
        <v>1053</v>
      </c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25">
      <c r="A2618" s="7" t="s">
        <v>3667</v>
      </c>
      <c r="I2618" s="1" t="s">
        <v>1053</v>
      </c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25">
      <c r="A2619" s="7" t="s">
        <v>3667</v>
      </c>
      <c r="I2619" s="1" t="s">
        <v>1053</v>
      </c>
      <c r="J2619" s="1" t="s">
        <v>1149</v>
      </c>
      <c r="K2619" s="1" t="s">
        <v>1150</v>
      </c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25">
      <c r="A2620" s="7" t="s">
        <v>3667</v>
      </c>
      <c r="I2620" s="1" t="s">
        <v>25</v>
      </c>
      <c r="J2620" s="1" t="s">
        <v>1150</v>
      </c>
      <c r="K2620" s="1" t="s">
        <v>256</v>
      </c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25">
      <c r="A2621" s="7" t="s">
        <v>3667</v>
      </c>
      <c r="I2621" s="1" t="s">
        <v>25</v>
      </c>
      <c r="J2621" s="1" t="s">
        <v>1150</v>
      </c>
      <c r="K2621" s="1" t="s">
        <v>256</v>
      </c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25">
      <c r="A2622" s="7" t="s">
        <v>10365</v>
      </c>
      <c r="I2622" s="1" t="s">
        <v>25</v>
      </c>
      <c r="J2622" s="1" t="s">
        <v>1053</v>
      </c>
      <c r="K2622" s="1" t="s">
        <v>256</v>
      </c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25">
      <c r="A2623" s="7" t="s">
        <v>5056</v>
      </c>
      <c r="I2623" s="1" t="s">
        <v>25</v>
      </c>
      <c r="J2623" s="1" t="s">
        <v>1053</v>
      </c>
      <c r="K2623" s="1" t="s">
        <v>256</v>
      </c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25">
      <c r="A2624" s="7" t="s">
        <v>5056</v>
      </c>
      <c r="I2624" s="1" t="s">
        <v>25</v>
      </c>
      <c r="J2624" s="1" t="s">
        <v>1053</v>
      </c>
      <c r="K2624" s="1" t="s">
        <v>256</v>
      </c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25">
      <c r="A2625" s="7" t="s">
        <v>5056</v>
      </c>
      <c r="I2625" s="1" t="s">
        <v>25</v>
      </c>
      <c r="J2625" s="1" t="s">
        <v>1053</v>
      </c>
      <c r="K2625" s="1" t="s">
        <v>256</v>
      </c>
      <c r="L2625" s="1" t="s">
        <v>1150</v>
      </c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25">
      <c r="A2626" s="7" t="s">
        <v>5056</v>
      </c>
      <c r="I2626" s="1" t="s">
        <v>25</v>
      </c>
      <c r="J2626" s="1" t="s">
        <v>1053</v>
      </c>
      <c r="K2626" s="1" t="s">
        <v>256</v>
      </c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25">
      <c r="A2627" s="8" t="s">
        <v>9478</v>
      </c>
      <c r="I2627" s="1" t="s">
        <v>25</v>
      </c>
      <c r="J2627" s="1" t="s">
        <v>1053</v>
      </c>
      <c r="K2627" s="1" t="s">
        <v>256</v>
      </c>
      <c r="L2627" s="1" t="s">
        <v>1150</v>
      </c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25">
      <c r="A2628" s="8" t="s">
        <v>10514</v>
      </c>
      <c r="I2628" s="1" t="s">
        <v>50</v>
      </c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25">
      <c r="A2629" s="8" t="s">
        <v>10029</v>
      </c>
      <c r="I2629" s="1" t="s">
        <v>50</v>
      </c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25">
      <c r="A2630" s="7" t="s">
        <v>9953</v>
      </c>
      <c r="I2630" s="1" t="s">
        <v>25</v>
      </c>
      <c r="J2630" s="1" t="s">
        <v>1053</v>
      </c>
      <c r="K2630" s="1" t="s">
        <v>256</v>
      </c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25">
      <c r="A2631" s="7" t="s">
        <v>9953</v>
      </c>
      <c r="I2631" s="1" t="s">
        <v>996</v>
      </c>
      <c r="J2631" s="1" t="s">
        <v>25</v>
      </c>
      <c r="K2631" s="1" t="s">
        <v>997</v>
      </c>
      <c r="L2631" s="1" t="s">
        <v>927</v>
      </c>
      <c r="M2631" s="1" t="s">
        <v>998</v>
      </c>
      <c r="N2631" s="1" t="s">
        <v>992</v>
      </c>
      <c r="O2631" s="1" t="s">
        <v>933</v>
      </c>
      <c r="P2631" s="1" t="s">
        <v>994</v>
      </c>
      <c r="Q2631" s="1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25">
      <c r="A2632" s="7" t="s">
        <v>10644</v>
      </c>
      <c r="I2632" s="1" t="s">
        <v>25</v>
      </c>
      <c r="J2632" s="1" t="s">
        <v>1086</v>
      </c>
      <c r="K2632" s="1" t="s">
        <v>919</v>
      </c>
      <c r="L2632" s="1" t="s">
        <v>920</v>
      </c>
      <c r="M2632" s="1" t="s">
        <v>921</v>
      </c>
      <c r="N2632" s="1" t="s">
        <v>10919</v>
      </c>
      <c r="O2632" s="1" t="s">
        <v>10920</v>
      </c>
      <c r="P2632" s="1" t="s">
        <v>10921</v>
      </c>
      <c r="Q2632" s="1" t="s">
        <v>10749</v>
      </c>
      <c r="R2632" s="1" t="s">
        <v>952</v>
      </c>
      <c r="S2632" s="1" t="s">
        <v>10922</v>
      </c>
      <c r="T2632" s="1" t="s">
        <v>10732</v>
      </c>
      <c r="U2632" s="1" t="s">
        <v>10923</v>
      </c>
      <c r="V2632" s="1"/>
      <c r="W2632" s="1"/>
      <c r="X2632" s="1"/>
      <c r="Y2632" s="1"/>
    </row>
    <row r="2633" spans="1:25" x14ac:dyDescent="0.25">
      <c r="A2633" s="8" t="s">
        <v>9955</v>
      </c>
      <c r="I2633" s="1" t="s">
        <v>918</v>
      </c>
      <c r="J2633" s="1" t="s">
        <v>25</v>
      </c>
      <c r="K2633" s="1" t="s">
        <v>927</v>
      </c>
      <c r="L2633" s="1" t="s">
        <v>919</v>
      </c>
      <c r="M2633" s="1" t="s">
        <v>920</v>
      </c>
      <c r="N2633" s="1" t="s">
        <v>921</v>
      </c>
      <c r="O2633" s="1" t="s">
        <v>1001</v>
      </c>
      <c r="P2633" s="1" t="s">
        <v>936</v>
      </c>
      <c r="Q2633" s="1" t="s">
        <v>1086</v>
      </c>
      <c r="R2633" s="1"/>
      <c r="S2633" s="1"/>
      <c r="T2633" s="1"/>
      <c r="U2633" s="1"/>
      <c r="V2633" s="1"/>
      <c r="W2633" s="1"/>
      <c r="X2633" s="1"/>
      <c r="Y2633" s="1"/>
    </row>
    <row r="2634" spans="1:25" x14ac:dyDescent="0.25">
      <c r="A2634" s="8" t="s">
        <v>9955</v>
      </c>
      <c r="I2634" s="1" t="s">
        <v>918</v>
      </c>
      <c r="J2634" s="1" t="s">
        <v>25</v>
      </c>
      <c r="K2634" s="1" t="s">
        <v>927</v>
      </c>
      <c r="L2634" s="1" t="s">
        <v>919</v>
      </c>
      <c r="M2634" s="1" t="s">
        <v>920</v>
      </c>
      <c r="N2634" s="1" t="s">
        <v>921</v>
      </c>
      <c r="O2634" s="1" t="s">
        <v>1086</v>
      </c>
      <c r="P2634" s="1" t="s">
        <v>1001</v>
      </c>
      <c r="Q2634" s="1" t="s">
        <v>1013</v>
      </c>
      <c r="R2634" s="1"/>
      <c r="S2634" s="1"/>
      <c r="T2634" s="1"/>
      <c r="U2634" s="1"/>
      <c r="V2634" s="1"/>
      <c r="W2634" s="1"/>
      <c r="X2634" s="1"/>
      <c r="Y2634" s="1"/>
    </row>
    <row r="2635" spans="1:25" x14ac:dyDescent="0.25">
      <c r="A2635" s="8" t="s">
        <v>9955</v>
      </c>
      <c r="I2635" s="1" t="s">
        <v>1040</v>
      </c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25">
      <c r="A2636" s="8" t="s">
        <v>10434</v>
      </c>
      <c r="I2636" s="1" t="s">
        <v>1012</v>
      </c>
      <c r="J2636" s="1" t="s">
        <v>1013</v>
      </c>
      <c r="K2636" s="1" t="s">
        <v>955</v>
      </c>
      <c r="L2636" s="1" t="s">
        <v>1014</v>
      </c>
      <c r="M2636" s="1" t="s">
        <v>1015</v>
      </c>
      <c r="N2636" s="1" t="s">
        <v>10948</v>
      </c>
      <c r="O2636" s="1" t="s">
        <v>1044</v>
      </c>
      <c r="P2636" s="1" t="s">
        <v>1088</v>
      </c>
      <c r="Q2636" s="1" t="s">
        <v>11014</v>
      </c>
      <c r="R2636" s="1" t="s">
        <v>1492</v>
      </c>
      <c r="S2636" s="1" t="s">
        <v>10964</v>
      </c>
      <c r="T2636" s="1"/>
      <c r="U2636" s="1"/>
      <c r="V2636" s="1"/>
      <c r="W2636" s="1"/>
      <c r="X2636" s="1"/>
      <c r="Y2636" s="1"/>
    </row>
    <row r="2637" spans="1:25" x14ac:dyDescent="0.25">
      <c r="A2637" s="8" t="s">
        <v>9265</v>
      </c>
      <c r="I2637" s="1" t="s">
        <v>1035</v>
      </c>
      <c r="J2637" s="1" t="s">
        <v>1034</v>
      </c>
      <c r="K2637" s="1" t="s">
        <v>1014</v>
      </c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25">
      <c r="A2638" s="8" t="s">
        <v>9693</v>
      </c>
      <c r="I2638" s="1" t="s">
        <v>918</v>
      </c>
      <c r="J2638" s="1" t="s">
        <v>10849</v>
      </c>
      <c r="K2638" s="1" t="s">
        <v>919</v>
      </c>
      <c r="L2638" s="1" t="s">
        <v>924</v>
      </c>
      <c r="M2638" s="1" t="s">
        <v>929</v>
      </c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25">
      <c r="A2639" s="8" t="s">
        <v>9693</v>
      </c>
      <c r="I2639" s="1" t="s">
        <v>918</v>
      </c>
      <c r="J2639" s="1" t="s">
        <v>25</v>
      </c>
      <c r="K2639" s="1" t="s">
        <v>923</v>
      </c>
      <c r="L2639" s="1" t="s">
        <v>916</v>
      </c>
      <c r="M2639" s="1" t="s">
        <v>919</v>
      </c>
      <c r="N2639" s="1" t="s">
        <v>924</v>
      </c>
      <c r="O2639" s="1" t="s">
        <v>974</v>
      </c>
      <c r="P2639" s="1" t="s">
        <v>922</v>
      </c>
      <c r="Q2639" s="1" t="s">
        <v>1040</v>
      </c>
      <c r="R2639" s="1"/>
      <c r="S2639" s="1"/>
      <c r="T2639" s="1"/>
      <c r="U2639" s="1"/>
      <c r="V2639" s="1"/>
      <c r="W2639" s="1"/>
      <c r="X2639" s="1"/>
      <c r="Y2639" s="1"/>
    </row>
    <row r="2640" spans="1:25" x14ac:dyDescent="0.25">
      <c r="A2640" s="7" t="s">
        <v>6577</v>
      </c>
      <c r="I2640" s="1" t="s">
        <v>918</v>
      </c>
      <c r="J2640" s="1" t="s">
        <v>949</v>
      </c>
      <c r="K2640" s="1" t="s">
        <v>25</v>
      </c>
      <c r="L2640" s="1" t="s">
        <v>923</v>
      </c>
      <c r="M2640" s="1" t="s">
        <v>919</v>
      </c>
      <c r="N2640" s="1" t="s">
        <v>920</v>
      </c>
      <c r="O2640" s="1" t="s">
        <v>974</v>
      </c>
      <c r="P2640" s="1" t="s">
        <v>921</v>
      </c>
      <c r="Q2640" s="1" t="s">
        <v>927</v>
      </c>
      <c r="R2640" s="1" t="s">
        <v>936</v>
      </c>
      <c r="S2640" s="1"/>
      <c r="T2640" s="1"/>
      <c r="U2640" s="1"/>
      <c r="V2640" s="1"/>
      <c r="W2640" s="1"/>
      <c r="X2640" s="1"/>
      <c r="Y2640" s="1"/>
    </row>
    <row r="2641" spans="1:25" x14ac:dyDescent="0.25">
      <c r="A2641" s="7" t="s">
        <v>6577</v>
      </c>
      <c r="I2641" s="1" t="s">
        <v>918</v>
      </c>
      <c r="J2641" s="1" t="s">
        <v>25</v>
      </c>
      <c r="K2641" s="1" t="s">
        <v>916</v>
      </c>
      <c r="L2641" s="1" t="s">
        <v>919</v>
      </c>
      <c r="M2641" s="1" t="s">
        <v>920</v>
      </c>
      <c r="N2641" s="1" t="s">
        <v>921</v>
      </c>
      <c r="O2641" s="1" t="s">
        <v>922</v>
      </c>
      <c r="P2641" s="1" t="s">
        <v>10964</v>
      </c>
      <c r="Q2641" s="1" t="s">
        <v>936</v>
      </c>
      <c r="R2641" s="1" t="s">
        <v>929</v>
      </c>
      <c r="S2641" s="1" t="s">
        <v>924</v>
      </c>
      <c r="T2641" s="1" t="s">
        <v>1076</v>
      </c>
      <c r="U2641" s="1" t="s">
        <v>1040</v>
      </c>
      <c r="V2641" s="1" t="s">
        <v>1097</v>
      </c>
      <c r="W2641" s="1"/>
      <c r="X2641" s="1"/>
      <c r="Y2641" s="1"/>
    </row>
    <row r="2642" spans="1:25" x14ac:dyDescent="0.25">
      <c r="A2642" s="7" t="s">
        <v>6577</v>
      </c>
      <c r="I2642" s="1" t="s">
        <v>10705</v>
      </c>
      <c r="J2642" s="1" t="s">
        <v>933</v>
      </c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25">
      <c r="A2643" s="8" t="s">
        <v>6577</v>
      </c>
      <c r="I2643" s="1" t="s">
        <v>940</v>
      </c>
      <c r="J2643" s="1" t="s">
        <v>1011</v>
      </c>
      <c r="K2643" s="1" t="s">
        <v>999</v>
      </c>
      <c r="L2643" s="1" t="s">
        <v>920</v>
      </c>
      <c r="M2643" s="1" t="s">
        <v>921</v>
      </c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25">
      <c r="A2644" s="8" t="s">
        <v>10579</v>
      </c>
      <c r="I2644" s="1" t="s">
        <v>1011</v>
      </c>
      <c r="J2644" s="1" t="s">
        <v>921</v>
      </c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25">
      <c r="A2645" s="8" t="s">
        <v>9377</v>
      </c>
      <c r="I2645" s="1" t="s">
        <v>951</v>
      </c>
      <c r="J2645" s="1" t="s">
        <v>25</v>
      </c>
      <c r="K2645" s="1" t="s">
        <v>919</v>
      </c>
      <c r="L2645" s="1" t="s">
        <v>920</v>
      </c>
      <c r="M2645" s="1" t="s">
        <v>921</v>
      </c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25">
      <c r="A2646" s="8" t="s">
        <v>9377</v>
      </c>
      <c r="I2646" s="1" t="s">
        <v>951</v>
      </c>
      <c r="J2646" s="1" t="s">
        <v>25</v>
      </c>
      <c r="K2646" s="1" t="s">
        <v>919</v>
      </c>
      <c r="L2646" s="1" t="s">
        <v>920</v>
      </c>
      <c r="M2646" s="1" t="s">
        <v>921</v>
      </c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25">
      <c r="A2647" s="7" t="s">
        <v>8962</v>
      </c>
      <c r="I2647" s="1" t="s">
        <v>918</v>
      </c>
      <c r="J2647" s="1" t="s">
        <v>25</v>
      </c>
      <c r="K2647" s="1" t="s">
        <v>923</v>
      </c>
      <c r="L2647" s="1" t="s">
        <v>927</v>
      </c>
      <c r="M2647" s="1" t="s">
        <v>919</v>
      </c>
      <c r="N2647" s="1" t="s">
        <v>920</v>
      </c>
      <c r="O2647" s="1" t="s">
        <v>921</v>
      </c>
      <c r="P2647" s="1" t="s">
        <v>933</v>
      </c>
      <c r="Q2647" s="1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25">
      <c r="A2648" s="7" t="s">
        <v>8962</v>
      </c>
      <c r="I2648" s="1" t="s">
        <v>918</v>
      </c>
      <c r="J2648" s="1" t="s">
        <v>25</v>
      </c>
      <c r="K2648" s="1" t="s">
        <v>923</v>
      </c>
      <c r="L2648" s="1" t="s">
        <v>927</v>
      </c>
      <c r="M2648" s="1" t="s">
        <v>919</v>
      </c>
      <c r="N2648" s="1" t="s">
        <v>920</v>
      </c>
      <c r="O2648" s="1" t="s">
        <v>921</v>
      </c>
      <c r="P2648" s="1" t="s">
        <v>936</v>
      </c>
      <c r="Q2648" s="1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25">
      <c r="A2649" s="7" t="s">
        <v>8962</v>
      </c>
      <c r="I2649" s="1" t="s">
        <v>918</v>
      </c>
      <c r="J2649" s="1" t="s">
        <v>25</v>
      </c>
      <c r="K2649" s="1" t="s">
        <v>916</v>
      </c>
      <c r="L2649" s="1" t="s">
        <v>919</v>
      </c>
      <c r="M2649" s="1" t="s">
        <v>920</v>
      </c>
      <c r="N2649" s="1" t="s">
        <v>921</v>
      </c>
      <c r="O2649" s="1" t="s">
        <v>10950</v>
      </c>
      <c r="P2649" s="1"/>
      <c r="Q2649" s="1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25">
      <c r="A2650" s="8" t="s">
        <v>9156</v>
      </c>
      <c r="I2650" s="1" t="s">
        <v>918</v>
      </c>
      <c r="J2650" s="1" t="s">
        <v>25</v>
      </c>
      <c r="K2650" s="1" t="s">
        <v>916</v>
      </c>
      <c r="L2650" s="1" t="s">
        <v>919</v>
      </c>
      <c r="M2650" s="1" t="s">
        <v>920</v>
      </c>
      <c r="N2650" s="1" t="s">
        <v>921</v>
      </c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25">
      <c r="A2651" s="8" t="s">
        <v>10563</v>
      </c>
      <c r="I2651" s="1" t="s">
        <v>918</v>
      </c>
      <c r="J2651" s="1" t="s">
        <v>25</v>
      </c>
      <c r="K2651" s="1" t="s">
        <v>923</v>
      </c>
      <c r="L2651" s="1" t="s">
        <v>919</v>
      </c>
      <c r="M2651" s="1" t="s">
        <v>920</v>
      </c>
      <c r="N2651" s="1" t="s">
        <v>933</v>
      </c>
      <c r="O2651" s="1" t="s">
        <v>5548</v>
      </c>
      <c r="P2651" s="1" t="s">
        <v>921</v>
      </c>
      <c r="Q2651" s="1" t="s">
        <v>1001</v>
      </c>
      <c r="R2651" s="1" t="s">
        <v>927</v>
      </c>
      <c r="S2651" s="1" t="s">
        <v>960</v>
      </c>
      <c r="T2651" s="1"/>
      <c r="U2651" s="1"/>
      <c r="V2651" s="1"/>
      <c r="W2651" s="1"/>
      <c r="X2651" s="1"/>
      <c r="Y2651" s="1"/>
    </row>
    <row r="2652" spans="1:25" x14ac:dyDescent="0.25">
      <c r="A2652" s="8" t="s">
        <v>8893</v>
      </c>
      <c r="I2652" s="1" t="s">
        <v>918</v>
      </c>
      <c r="J2652" s="1" t="s">
        <v>25</v>
      </c>
      <c r="K2652" s="1" t="s">
        <v>923</v>
      </c>
      <c r="L2652" s="1" t="s">
        <v>973</v>
      </c>
      <c r="M2652" s="1" t="s">
        <v>916</v>
      </c>
      <c r="N2652" s="1" t="s">
        <v>920</v>
      </c>
      <c r="O2652" s="1" t="s">
        <v>954</v>
      </c>
      <c r="P2652" s="1" t="s">
        <v>974</v>
      </c>
      <c r="Q2652" s="1" t="s">
        <v>921</v>
      </c>
      <c r="R2652" s="1" t="s">
        <v>919</v>
      </c>
      <c r="S2652" s="1" t="s">
        <v>946</v>
      </c>
      <c r="T2652" s="1" t="s">
        <v>922</v>
      </c>
      <c r="U2652" s="1"/>
      <c r="V2652" s="1"/>
      <c r="W2652" s="1"/>
      <c r="X2652" s="1"/>
      <c r="Y2652" s="1"/>
    </row>
    <row r="2653" spans="1:25" x14ac:dyDescent="0.25">
      <c r="A2653" s="8" t="s">
        <v>8893</v>
      </c>
      <c r="I2653" s="1" t="s">
        <v>10755</v>
      </c>
      <c r="J2653" s="1" t="s">
        <v>998</v>
      </c>
      <c r="K2653" s="1" t="s">
        <v>3528</v>
      </c>
      <c r="L2653" s="1" t="s">
        <v>994</v>
      </c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25">
      <c r="A2654" s="8" t="s">
        <v>8893</v>
      </c>
      <c r="I2654" s="1" t="s">
        <v>919</v>
      </c>
      <c r="J2654" s="1" t="s">
        <v>924</v>
      </c>
      <c r="K2654" s="1" t="s">
        <v>1001</v>
      </c>
      <c r="L2654" s="1" t="s">
        <v>918</v>
      </c>
      <c r="M2654" s="1" t="s">
        <v>927</v>
      </c>
      <c r="N2654" s="1" t="s">
        <v>936</v>
      </c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25">
      <c r="A2655" s="7" t="s">
        <v>5172</v>
      </c>
      <c r="I2655" s="1" t="s">
        <v>918</v>
      </c>
      <c r="J2655" s="1" t="s">
        <v>927</v>
      </c>
      <c r="K2655" s="1" t="s">
        <v>919</v>
      </c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25">
      <c r="A2656" s="7" t="s">
        <v>5172</v>
      </c>
      <c r="I2656" s="1" t="s">
        <v>918</v>
      </c>
      <c r="J2656" s="1" t="s">
        <v>927</v>
      </c>
      <c r="K2656" s="1" t="s">
        <v>919</v>
      </c>
      <c r="L2656" s="1" t="s">
        <v>1109</v>
      </c>
      <c r="M2656" s="1" t="s">
        <v>1037</v>
      </c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25">
      <c r="A2657" s="8" t="s">
        <v>10081</v>
      </c>
      <c r="I2657" s="1" t="s">
        <v>918</v>
      </c>
      <c r="J2657" s="1" t="s">
        <v>25</v>
      </c>
      <c r="K2657" s="1" t="s">
        <v>923</v>
      </c>
      <c r="L2657" s="1" t="s">
        <v>927</v>
      </c>
      <c r="M2657" s="1" t="s">
        <v>919</v>
      </c>
      <c r="N2657" s="1" t="s">
        <v>920</v>
      </c>
      <c r="O2657" s="1" t="s">
        <v>933</v>
      </c>
      <c r="P2657" s="1" t="s">
        <v>921</v>
      </c>
      <c r="Q2657" s="1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25">
      <c r="A2658" s="8" t="s">
        <v>10081</v>
      </c>
      <c r="I2658" s="1" t="s">
        <v>1086</v>
      </c>
      <c r="J2658" s="1" t="s">
        <v>11015</v>
      </c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25">
      <c r="A2659" s="8" t="s">
        <v>10081</v>
      </c>
      <c r="I2659" s="1" t="s">
        <v>50</v>
      </c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25">
      <c r="A2660" s="8" t="s">
        <v>10081</v>
      </c>
      <c r="I2660" s="1" t="s">
        <v>90</v>
      </c>
      <c r="J2660" s="1" t="s">
        <v>25</v>
      </c>
      <c r="K2660" s="1" t="s">
        <v>987</v>
      </c>
      <c r="L2660" s="1" t="s">
        <v>916</v>
      </c>
      <c r="M2660" s="1" t="s">
        <v>920</v>
      </c>
      <c r="N2660" s="1" t="s">
        <v>921</v>
      </c>
      <c r="O2660" s="1" t="s">
        <v>922</v>
      </c>
      <c r="P2660" s="1"/>
      <c r="Q2660" s="1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25">
      <c r="A2661" s="8" t="s">
        <v>10678</v>
      </c>
      <c r="I2661" s="1" t="s">
        <v>918</v>
      </c>
      <c r="J2661" s="1" t="s">
        <v>1137</v>
      </c>
      <c r="K2661" s="1" t="s">
        <v>919</v>
      </c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25">
      <c r="A2662" s="7" t="s">
        <v>6288</v>
      </c>
      <c r="I2662" s="1" t="s">
        <v>918</v>
      </c>
      <c r="J2662" s="1" t="s">
        <v>25</v>
      </c>
      <c r="K2662" s="1" t="s">
        <v>923</v>
      </c>
      <c r="L2662" s="1" t="s">
        <v>919</v>
      </c>
      <c r="M2662" s="1" t="s">
        <v>920</v>
      </c>
      <c r="N2662" s="1" t="s">
        <v>921</v>
      </c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25">
      <c r="A2663" s="8" t="s">
        <v>6288</v>
      </c>
      <c r="I2663" s="1" t="s">
        <v>918</v>
      </c>
      <c r="J2663" s="1" t="s">
        <v>25</v>
      </c>
      <c r="K2663" s="1" t="s">
        <v>923</v>
      </c>
      <c r="L2663" s="1" t="s">
        <v>919</v>
      </c>
      <c r="M2663" s="1" t="s">
        <v>920</v>
      </c>
      <c r="N2663" s="1" t="s">
        <v>921</v>
      </c>
      <c r="O2663" s="1" t="s">
        <v>964</v>
      </c>
      <c r="P2663" s="1"/>
      <c r="Q2663" s="1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25">
      <c r="A2664" s="8" t="s">
        <v>6288</v>
      </c>
      <c r="I2664" s="1" t="s">
        <v>25</v>
      </c>
      <c r="J2664" s="1" t="s">
        <v>919</v>
      </c>
      <c r="K2664" s="1" t="s">
        <v>920</v>
      </c>
      <c r="L2664" s="1" t="s">
        <v>921</v>
      </c>
      <c r="M2664" s="1" t="s">
        <v>1001</v>
      </c>
      <c r="N2664" s="1" t="s">
        <v>1016</v>
      </c>
      <c r="O2664" s="1" t="s">
        <v>152</v>
      </c>
      <c r="P2664" s="1" t="s">
        <v>918</v>
      </c>
      <c r="Q2664" s="1" t="s">
        <v>923</v>
      </c>
      <c r="R2664" s="1"/>
      <c r="S2664" s="1"/>
      <c r="T2664" s="1"/>
      <c r="U2664" s="1"/>
      <c r="V2664" s="1"/>
      <c r="W2664" s="1"/>
      <c r="X2664" s="1"/>
      <c r="Y2664" s="1"/>
    </row>
    <row r="2665" spans="1:25" x14ac:dyDescent="0.25">
      <c r="A2665" s="8" t="s">
        <v>10178</v>
      </c>
      <c r="I2665" s="1" t="s">
        <v>918</v>
      </c>
      <c r="J2665" s="1" t="s">
        <v>25</v>
      </c>
      <c r="K2665" s="1" t="s">
        <v>923</v>
      </c>
      <c r="L2665" s="1" t="s">
        <v>919</v>
      </c>
      <c r="M2665" s="1" t="s">
        <v>920</v>
      </c>
      <c r="N2665" s="1" t="s">
        <v>921</v>
      </c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25">
      <c r="A2666" s="8" t="s">
        <v>1600</v>
      </c>
      <c r="I2666" s="1" t="s">
        <v>918</v>
      </c>
      <c r="J2666" s="1" t="s">
        <v>25</v>
      </c>
      <c r="K2666" s="1" t="s">
        <v>923</v>
      </c>
      <c r="L2666" s="1" t="s">
        <v>919</v>
      </c>
      <c r="M2666" s="1" t="s">
        <v>920</v>
      </c>
      <c r="N2666" s="1" t="s">
        <v>921</v>
      </c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25">
      <c r="A2667" s="8" t="s">
        <v>9455</v>
      </c>
      <c r="I2667" s="1" t="s">
        <v>918</v>
      </c>
      <c r="J2667" s="1" t="s">
        <v>25</v>
      </c>
      <c r="K2667" s="1" t="s">
        <v>923</v>
      </c>
      <c r="L2667" s="1" t="s">
        <v>919</v>
      </c>
      <c r="M2667" s="1" t="s">
        <v>920</v>
      </c>
      <c r="N2667" s="1" t="s">
        <v>921</v>
      </c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25">
      <c r="A2668" s="8" t="s">
        <v>9455</v>
      </c>
      <c r="I2668" s="1" t="s">
        <v>918</v>
      </c>
      <c r="J2668" s="1" t="s">
        <v>25</v>
      </c>
      <c r="K2668" s="1" t="s">
        <v>923</v>
      </c>
      <c r="L2668" s="1" t="s">
        <v>919</v>
      </c>
      <c r="M2668" s="1" t="s">
        <v>920</v>
      </c>
      <c r="N2668" s="1" t="s">
        <v>921</v>
      </c>
      <c r="O2668" s="1" t="s">
        <v>8695</v>
      </c>
      <c r="P2668" s="1" t="s">
        <v>1020</v>
      </c>
      <c r="Q2668" s="1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25">
      <c r="A2669" s="8" t="s">
        <v>9455</v>
      </c>
      <c r="I2669" s="1" t="s">
        <v>934</v>
      </c>
      <c r="J2669" s="1" t="s">
        <v>918</v>
      </c>
      <c r="K2669" s="1" t="s">
        <v>25</v>
      </c>
      <c r="L2669" s="1" t="s">
        <v>919</v>
      </c>
      <c r="M2669" s="1" t="s">
        <v>920</v>
      </c>
      <c r="N2669" s="1" t="s">
        <v>924</v>
      </c>
      <c r="O2669" s="1" t="s">
        <v>1110</v>
      </c>
      <c r="P2669" s="1" t="s">
        <v>923</v>
      </c>
      <c r="Q2669" s="1" t="s">
        <v>974</v>
      </c>
      <c r="R2669" s="1" t="s">
        <v>921</v>
      </c>
      <c r="S2669" s="1" t="s">
        <v>925</v>
      </c>
      <c r="T2669" s="1" t="s">
        <v>926</v>
      </c>
      <c r="U2669" s="1" t="s">
        <v>927</v>
      </c>
      <c r="V2669" s="1" t="s">
        <v>928</v>
      </c>
      <c r="W2669" s="1" t="s">
        <v>929</v>
      </c>
      <c r="X2669" s="1" t="s">
        <v>1085</v>
      </c>
      <c r="Y2669" s="1" t="s">
        <v>955</v>
      </c>
    </row>
    <row r="2670" spans="1:25" x14ac:dyDescent="0.25">
      <c r="A2670" s="8" t="s">
        <v>9654</v>
      </c>
      <c r="I2670" s="1" t="s">
        <v>25</v>
      </c>
      <c r="J2670" s="1" t="s">
        <v>919</v>
      </c>
      <c r="K2670" s="1" t="s">
        <v>920</v>
      </c>
      <c r="L2670" s="1" t="s">
        <v>921</v>
      </c>
      <c r="M2670" s="1" t="s">
        <v>918</v>
      </c>
      <c r="N2670" s="1" t="s">
        <v>927</v>
      </c>
      <c r="O2670" s="1" t="s">
        <v>939</v>
      </c>
      <c r="P2670" s="1" t="s">
        <v>928</v>
      </c>
      <c r="Q2670" s="1" t="s">
        <v>929</v>
      </c>
      <c r="R2670" s="1"/>
      <c r="S2670" s="1"/>
      <c r="T2670" s="1"/>
      <c r="U2670" s="1"/>
      <c r="V2670" s="1"/>
      <c r="W2670" s="1"/>
      <c r="X2670" s="1"/>
      <c r="Y2670" s="1"/>
    </row>
    <row r="2671" spans="1:25" x14ac:dyDescent="0.25">
      <c r="A2671" s="8" t="s">
        <v>9654</v>
      </c>
      <c r="I2671" s="1" t="s">
        <v>918</v>
      </c>
      <c r="J2671" s="1" t="s">
        <v>25</v>
      </c>
      <c r="K2671" s="1" t="s">
        <v>927</v>
      </c>
      <c r="L2671" s="1" t="s">
        <v>939</v>
      </c>
      <c r="M2671" s="1" t="s">
        <v>928</v>
      </c>
      <c r="N2671" s="1" t="s">
        <v>919</v>
      </c>
      <c r="O2671" s="1" t="s">
        <v>929</v>
      </c>
      <c r="P2671" s="1"/>
      <c r="Q2671" s="1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25">
      <c r="A2672" s="7" t="s">
        <v>8119</v>
      </c>
      <c r="I2672" s="1" t="s">
        <v>918</v>
      </c>
      <c r="J2672" s="1" t="s">
        <v>25</v>
      </c>
      <c r="K2672" s="1" t="s">
        <v>927</v>
      </c>
      <c r="L2672" s="1" t="s">
        <v>939</v>
      </c>
      <c r="M2672" s="1" t="s">
        <v>928</v>
      </c>
      <c r="N2672" s="1" t="s">
        <v>919</v>
      </c>
      <c r="O2672" s="1" t="s">
        <v>929</v>
      </c>
      <c r="P2672" s="1"/>
      <c r="Q2672" s="1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25">
      <c r="A2673" s="8" t="s">
        <v>8119</v>
      </c>
      <c r="I2673" s="1" t="s">
        <v>918</v>
      </c>
      <c r="J2673" s="1" t="s">
        <v>25</v>
      </c>
      <c r="K2673" s="1" t="s">
        <v>927</v>
      </c>
      <c r="L2673" s="1" t="s">
        <v>939</v>
      </c>
      <c r="M2673" s="1" t="s">
        <v>928</v>
      </c>
      <c r="N2673" s="1" t="s">
        <v>919</v>
      </c>
      <c r="O2673" s="1" t="s">
        <v>929</v>
      </c>
      <c r="P2673" s="1" t="s">
        <v>10741</v>
      </c>
      <c r="Q2673" s="1" t="s">
        <v>1034</v>
      </c>
      <c r="R2673" s="1"/>
      <c r="S2673" s="1"/>
      <c r="T2673" s="1"/>
      <c r="U2673" s="1"/>
      <c r="V2673" s="1"/>
      <c r="W2673" s="1"/>
      <c r="X2673" s="1"/>
      <c r="Y2673" s="1"/>
    </row>
    <row r="2674" spans="1:25" x14ac:dyDescent="0.25">
      <c r="A2674" s="8" t="s">
        <v>8119</v>
      </c>
      <c r="I2674" s="1" t="s">
        <v>924</v>
      </c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25">
      <c r="A2675" s="8" t="s">
        <v>8119</v>
      </c>
      <c r="I2675" s="1" t="s">
        <v>1130</v>
      </c>
      <c r="J2675" s="1" t="s">
        <v>921</v>
      </c>
      <c r="K2675" s="1" t="s">
        <v>918</v>
      </c>
      <c r="L2675" s="1" t="s">
        <v>971</v>
      </c>
      <c r="M2675" s="1" t="s">
        <v>940</v>
      </c>
      <c r="N2675" s="1" t="s">
        <v>25</v>
      </c>
      <c r="O2675" s="1" t="s">
        <v>947</v>
      </c>
      <c r="P2675" s="1" t="s">
        <v>919</v>
      </c>
      <c r="Q2675" s="1" t="s">
        <v>920</v>
      </c>
      <c r="R2675" s="1"/>
      <c r="S2675" s="1"/>
      <c r="T2675" s="1"/>
      <c r="U2675" s="1"/>
      <c r="V2675" s="1"/>
      <c r="W2675" s="1"/>
      <c r="X2675" s="1"/>
      <c r="Y2675" s="1"/>
    </row>
    <row r="2676" spans="1:25" x14ac:dyDescent="0.25">
      <c r="A2676" s="8" t="s">
        <v>8119</v>
      </c>
      <c r="I2676" s="1" t="s">
        <v>918</v>
      </c>
      <c r="J2676" s="1" t="s">
        <v>25</v>
      </c>
      <c r="K2676" s="1" t="s">
        <v>923</v>
      </c>
      <c r="L2676" s="1" t="s">
        <v>919</v>
      </c>
      <c r="M2676" s="1" t="s">
        <v>920</v>
      </c>
      <c r="N2676" s="1" t="s">
        <v>921</v>
      </c>
      <c r="O2676" s="1" t="s">
        <v>996</v>
      </c>
      <c r="P2676" s="1" t="s">
        <v>997</v>
      </c>
      <c r="Q2676" s="1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25">
      <c r="A2677" s="8" t="s">
        <v>9912</v>
      </c>
      <c r="I2677" s="1" t="s">
        <v>927</v>
      </c>
      <c r="J2677" s="1" t="s">
        <v>992</v>
      </c>
      <c r="K2677" s="1" t="s">
        <v>981</v>
      </c>
      <c r="L2677" s="1" t="s">
        <v>933</v>
      </c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25">
      <c r="A2678" s="7" t="s">
        <v>9146</v>
      </c>
      <c r="I2678" s="1" t="s">
        <v>927</v>
      </c>
      <c r="J2678" s="1" t="s">
        <v>978</v>
      </c>
      <c r="K2678" s="1" t="s">
        <v>933</v>
      </c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25">
      <c r="A2679" s="7" t="s">
        <v>9146</v>
      </c>
      <c r="I2679" s="1" t="s">
        <v>927</v>
      </c>
      <c r="J2679" s="1" t="s">
        <v>978</v>
      </c>
      <c r="K2679" s="1" t="s">
        <v>933</v>
      </c>
      <c r="L2679" s="1" t="s">
        <v>10726</v>
      </c>
      <c r="M2679" s="1" t="s">
        <v>919</v>
      </c>
      <c r="N2679" s="1" t="s">
        <v>924</v>
      </c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25">
      <c r="A2680" s="7" t="s">
        <v>9146</v>
      </c>
      <c r="I2680" s="1" t="s">
        <v>921</v>
      </c>
      <c r="J2680" s="1" t="s">
        <v>10755</v>
      </c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25">
      <c r="A2681" s="7" t="s">
        <v>9146</v>
      </c>
      <c r="I2681" s="1" t="s">
        <v>1045</v>
      </c>
      <c r="J2681" s="1" t="s">
        <v>1042</v>
      </c>
      <c r="K2681" s="1" t="s">
        <v>1006</v>
      </c>
      <c r="L2681" s="1" t="s">
        <v>921</v>
      </c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25">
      <c r="A2682" s="7" t="s">
        <v>9146</v>
      </c>
      <c r="I2682" s="1" t="s">
        <v>921</v>
      </c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25">
      <c r="A2683" s="7" t="s">
        <v>9146</v>
      </c>
      <c r="I2683" s="1" t="s">
        <v>921</v>
      </c>
      <c r="J2683" s="1" t="s">
        <v>918</v>
      </c>
      <c r="K2683" s="1" t="s">
        <v>952</v>
      </c>
      <c r="L2683" s="1" t="s">
        <v>919</v>
      </c>
      <c r="M2683" s="1" t="s">
        <v>929</v>
      </c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25">
      <c r="A2684" s="7" t="s">
        <v>9146</v>
      </c>
      <c r="I2684" s="1" t="s">
        <v>921</v>
      </c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25">
      <c r="A2685" s="8" t="s">
        <v>9146</v>
      </c>
      <c r="I2685" s="1" t="s">
        <v>918</v>
      </c>
      <c r="J2685" s="1" t="s">
        <v>919</v>
      </c>
      <c r="K2685" s="1" t="s">
        <v>936</v>
      </c>
      <c r="L2685" s="1" t="s">
        <v>25</v>
      </c>
      <c r="M2685" s="1" t="s">
        <v>923</v>
      </c>
      <c r="N2685" s="1" t="s">
        <v>920</v>
      </c>
      <c r="O2685" s="1" t="s">
        <v>921</v>
      </c>
      <c r="P2685" s="1" t="s">
        <v>10913</v>
      </c>
      <c r="Q2685" s="1" t="s">
        <v>10914</v>
      </c>
      <c r="R2685" s="1" t="s">
        <v>10916</v>
      </c>
      <c r="S2685" s="1" t="s">
        <v>10917</v>
      </c>
      <c r="T2685" s="1" t="s">
        <v>11016</v>
      </c>
      <c r="U2685" s="1" t="s">
        <v>1019</v>
      </c>
      <c r="V2685" s="1"/>
      <c r="W2685" s="1"/>
      <c r="X2685" s="1"/>
      <c r="Y2685" s="1"/>
    </row>
    <row r="2686" spans="1:25" x14ac:dyDescent="0.25">
      <c r="A2686" s="8" t="s">
        <v>9681</v>
      </c>
      <c r="I2686" s="1" t="s">
        <v>918</v>
      </c>
      <c r="J2686" s="1" t="s">
        <v>919</v>
      </c>
      <c r="K2686" s="1" t="s">
        <v>936</v>
      </c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25">
      <c r="A2687" s="7" t="s">
        <v>1648</v>
      </c>
      <c r="I2687" s="1" t="s">
        <v>918</v>
      </c>
      <c r="J2687" s="1" t="s">
        <v>919</v>
      </c>
      <c r="K2687" s="1" t="s">
        <v>936</v>
      </c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25">
      <c r="A2688" s="8" t="s">
        <v>1648</v>
      </c>
      <c r="I2688" s="1" t="s">
        <v>1001</v>
      </c>
      <c r="J2688" s="1" t="s">
        <v>918</v>
      </c>
      <c r="K2688" s="1" t="s">
        <v>927</v>
      </c>
      <c r="L2688" s="1" t="s">
        <v>919</v>
      </c>
      <c r="M2688" s="1" t="s">
        <v>936</v>
      </c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25">
      <c r="A2689" s="8" t="s">
        <v>10484</v>
      </c>
      <c r="I2689" s="1" t="s">
        <v>1001</v>
      </c>
      <c r="J2689" s="1" t="s">
        <v>918</v>
      </c>
      <c r="K2689" s="1" t="s">
        <v>927</v>
      </c>
      <c r="L2689" s="1" t="s">
        <v>919</v>
      </c>
      <c r="M2689" s="1" t="s">
        <v>936</v>
      </c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25">
      <c r="A2690" s="8" t="s">
        <v>10503</v>
      </c>
      <c r="I2690" s="1" t="s">
        <v>1001</v>
      </c>
      <c r="J2690" s="1" t="s">
        <v>918</v>
      </c>
      <c r="K2690" s="1" t="s">
        <v>927</v>
      </c>
      <c r="L2690" s="1" t="s">
        <v>919</v>
      </c>
      <c r="M2690" s="1" t="s">
        <v>936</v>
      </c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25">
      <c r="A2691" s="8" t="s">
        <v>10503</v>
      </c>
      <c r="I2691" s="1" t="s">
        <v>918</v>
      </c>
      <c r="J2691" s="1" t="s">
        <v>25</v>
      </c>
      <c r="K2691" s="1" t="s">
        <v>919</v>
      </c>
      <c r="L2691" s="1" t="s">
        <v>920</v>
      </c>
      <c r="M2691" s="1" t="s">
        <v>921</v>
      </c>
      <c r="N2691" s="1" t="s">
        <v>922</v>
      </c>
      <c r="O2691" s="1" t="s">
        <v>10964</v>
      </c>
      <c r="P2691" s="1" t="s">
        <v>1001</v>
      </c>
      <c r="Q2691" s="1" t="s">
        <v>927</v>
      </c>
      <c r="R2691" s="1" t="s">
        <v>936</v>
      </c>
      <c r="S2691" s="1"/>
      <c r="T2691" s="1"/>
      <c r="U2691" s="1"/>
      <c r="V2691" s="1"/>
      <c r="W2691" s="1"/>
      <c r="X2691" s="1"/>
      <c r="Y2691" s="1"/>
    </row>
    <row r="2692" spans="1:25" x14ac:dyDescent="0.25">
      <c r="A2692" s="8" t="s">
        <v>10503</v>
      </c>
      <c r="I2692" s="1" t="s">
        <v>918</v>
      </c>
      <c r="J2692" s="1" t="s">
        <v>927</v>
      </c>
      <c r="K2692" s="1" t="s">
        <v>919</v>
      </c>
      <c r="L2692" s="1" t="s">
        <v>1001</v>
      </c>
      <c r="M2692" s="1" t="s">
        <v>936</v>
      </c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25">
      <c r="A2693" s="8" t="s">
        <v>9252</v>
      </c>
      <c r="I2693" s="1" t="s">
        <v>918</v>
      </c>
      <c r="J2693" s="1" t="s">
        <v>25</v>
      </c>
      <c r="K2693" s="1" t="s">
        <v>919</v>
      </c>
      <c r="L2693" s="1" t="s">
        <v>924</v>
      </c>
      <c r="M2693" s="1" t="s">
        <v>936</v>
      </c>
      <c r="N2693" s="1" t="s">
        <v>921</v>
      </c>
      <c r="O2693" s="1" t="s">
        <v>929</v>
      </c>
      <c r="P2693" s="1"/>
      <c r="Q2693" s="1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25">
      <c r="A2694" s="7" t="s">
        <v>9205</v>
      </c>
      <c r="I2694" s="1" t="s">
        <v>918</v>
      </c>
      <c r="J2694" s="1" t="s">
        <v>919</v>
      </c>
      <c r="K2694" s="1" t="s">
        <v>929</v>
      </c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25">
      <c r="A2695" s="8" t="s">
        <v>10590</v>
      </c>
      <c r="I2695" s="1" t="s">
        <v>918</v>
      </c>
      <c r="J2695" s="1" t="s">
        <v>949</v>
      </c>
      <c r="K2695" s="1" t="s">
        <v>25</v>
      </c>
      <c r="L2695" s="1" t="s">
        <v>923</v>
      </c>
      <c r="M2695" s="1" t="s">
        <v>919</v>
      </c>
      <c r="N2695" s="1" t="s">
        <v>920</v>
      </c>
      <c r="O2695" s="1" t="s">
        <v>974</v>
      </c>
      <c r="P2695" s="1" t="s">
        <v>921</v>
      </c>
      <c r="Q2695" s="1" t="s">
        <v>929</v>
      </c>
      <c r="R2695" s="1"/>
      <c r="S2695" s="1"/>
      <c r="T2695" s="1"/>
      <c r="U2695" s="1"/>
      <c r="V2695" s="1"/>
      <c r="W2695" s="1"/>
      <c r="X2695" s="1"/>
      <c r="Y2695" s="1"/>
    </row>
    <row r="2696" spans="1:25" x14ac:dyDescent="0.25">
      <c r="A2696" s="8" t="s">
        <v>8859</v>
      </c>
      <c r="I2696" s="1" t="s">
        <v>918</v>
      </c>
      <c r="J2696" s="1" t="s">
        <v>25</v>
      </c>
      <c r="K2696" s="1" t="s">
        <v>923</v>
      </c>
      <c r="L2696" s="1" t="s">
        <v>916</v>
      </c>
      <c r="M2696" s="1" t="s">
        <v>919</v>
      </c>
      <c r="N2696" s="1" t="s">
        <v>924</v>
      </c>
      <c r="O2696" s="1" t="s">
        <v>974</v>
      </c>
      <c r="P2696" s="1" t="s">
        <v>922</v>
      </c>
      <c r="Q2696" s="1" t="s">
        <v>929</v>
      </c>
      <c r="R2696" s="1"/>
      <c r="S2696" s="1"/>
      <c r="T2696" s="1"/>
      <c r="U2696" s="1"/>
      <c r="V2696" s="1"/>
      <c r="W2696" s="1"/>
      <c r="X2696" s="1"/>
      <c r="Y2696" s="1"/>
    </row>
    <row r="2697" spans="1:25" x14ac:dyDescent="0.25">
      <c r="A2697" s="8" t="s">
        <v>9370</v>
      </c>
      <c r="I2697" s="1" t="s">
        <v>918</v>
      </c>
      <c r="J2697" s="1" t="s">
        <v>919</v>
      </c>
      <c r="K2697" s="1" t="s">
        <v>929</v>
      </c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25">
      <c r="A2698" s="8" t="s">
        <v>9763</v>
      </c>
      <c r="I2698" s="1" t="s">
        <v>918</v>
      </c>
      <c r="J2698" s="1" t="s">
        <v>919</v>
      </c>
      <c r="K2698" s="1" t="s">
        <v>929</v>
      </c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25">
      <c r="A2699" s="8" t="s">
        <v>10215</v>
      </c>
      <c r="I2699" s="1" t="s">
        <v>25</v>
      </c>
      <c r="J2699" s="1" t="s">
        <v>927</v>
      </c>
      <c r="K2699" s="1" t="s">
        <v>10837</v>
      </c>
      <c r="L2699" s="1" t="s">
        <v>981</v>
      </c>
      <c r="M2699" s="1" t="s">
        <v>994</v>
      </c>
      <c r="N2699" s="1" t="s">
        <v>1001</v>
      </c>
      <c r="O2699" s="1" t="s">
        <v>919</v>
      </c>
      <c r="P2699" s="1"/>
      <c r="Q2699" s="1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25">
      <c r="A2700" s="8" t="s">
        <v>10448</v>
      </c>
      <c r="I2700" s="1" t="s">
        <v>1001</v>
      </c>
      <c r="J2700" s="1" t="s">
        <v>25</v>
      </c>
      <c r="K2700" s="1" t="s">
        <v>927</v>
      </c>
      <c r="L2700" s="1" t="s">
        <v>998</v>
      </c>
      <c r="M2700" s="1" t="s">
        <v>992</v>
      </c>
      <c r="N2700" s="1" t="s">
        <v>981</v>
      </c>
      <c r="O2700" s="1" t="s">
        <v>939</v>
      </c>
      <c r="P2700" s="1" t="s">
        <v>1066</v>
      </c>
      <c r="Q2700" s="1" t="s">
        <v>993</v>
      </c>
      <c r="R2700" s="1" t="s">
        <v>994</v>
      </c>
      <c r="S2700" s="1" t="s">
        <v>10837</v>
      </c>
      <c r="T2700" s="1"/>
      <c r="U2700" s="1"/>
      <c r="V2700" s="1"/>
      <c r="W2700" s="1"/>
      <c r="X2700" s="1"/>
      <c r="Y2700" s="1"/>
    </row>
    <row r="2701" spans="1:25" x14ac:dyDescent="0.25">
      <c r="A2701" s="7" t="s">
        <v>9879</v>
      </c>
      <c r="I2701" s="1" t="s">
        <v>25</v>
      </c>
      <c r="J2701" s="1" t="s">
        <v>927</v>
      </c>
      <c r="K2701" s="1" t="s">
        <v>10837</v>
      </c>
      <c r="L2701" s="1" t="s">
        <v>981</v>
      </c>
      <c r="M2701" s="1" t="s">
        <v>994</v>
      </c>
      <c r="N2701" s="1" t="s">
        <v>919</v>
      </c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25">
      <c r="A2702" s="7" t="s">
        <v>9155</v>
      </c>
      <c r="I2702" s="1" t="s">
        <v>25</v>
      </c>
      <c r="J2702" s="1" t="s">
        <v>927</v>
      </c>
      <c r="K2702" s="1" t="s">
        <v>10837</v>
      </c>
      <c r="L2702" s="1" t="s">
        <v>981</v>
      </c>
      <c r="M2702" s="1" t="s">
        <v>994</v>
      </c>
      <c r="N2702" s="1" t="s">
        <v>918</v>
      </c>
      <c r="O2702" s="1" t="s">
        <v>919</v>
      </c>
      <c r="P2702" s="1" t="s">
        <v>929</v>
      </c>
      <c r="Q2702" s="1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25">
      <c r="A2703" s="8" t="s">
        <v>9314</v>
      </c>
      <c r="I2703" s="1" t="s">
        <v>25</v>
      </c>
      <c r="J2703" s="1" t="s">
        <v>927</v>
      </c>
      <c r="K2703" s="1" t="s">
        <v>10837</v>
      </c>
      <c r="L2703" s="1" t="s">
        <v>981</v>
      </c>
      <c r="M2703" s="1" t="s">
        <v>994</v>
      </c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25">
      <c r="A2704" s="7" t="s">
        <v>9708</v>
      </c>
      <c r="I2704" s="1" t="s">
        <v>25</v>
      </c>
      <c r="J2704" s="1" t="s">
        <v>927</v>
      </c>
      <c r="K2704" s="1" t="s">
        <v>10837</v>
      </c>
      <c r="L2704" s="1" t="s">
        <v>981</v>
      </c>
      <c r="M2704" s="1" t="s">
        <v>994</v>
      </c>
      <c r="N2704" s="1" t="s">
        <v>5407</v>
      </c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25">
      <c r="A2705" s="7" t="s">
        <v>8228</v>
      </c>
      <c r="I2705" s="1" t="s">
        <v>921</v>
      </c>
      <c r="J2705" s="1" t="s">
        <v>998</v>
      </c>
      <c r="K2705" s="1" t="s">
        <v>1000</v>
      </c>
      <c r="L2705" s="1" t="s">
        <v>994</v>
      </c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25">
      <c r="A2706" s="8" t="s">
        <v>8228</v>
      </c>
      <c r="I2706" s="1" t="s">
        <v>996</v>
      </c>
      <c r="J2706" s="1" t="s">
        <v>923</v>
      </c>
      <c r="K2706" s="1" t="s">
        <v>997</v>
      </c>
      <c r="L2706" s="1" t="s">
        <v>998</v>
      </c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25">
      <c r="A2707" s="8" t="s">
        <v>10022</v>
      </c>
      <c r="I2707" s="1" t="s">
        <v>927</v>
      </c>
      <c r="J2707" s="1" t="s">
        <v>919</v>
      </c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25">
      <c r="A2708" s="8" t="s">
        <v>9499</v>
      </c>
      <c r="I2708" s="1" t="s">
        <v>996</v>
      </c>
      <c r="J2708" s="1" t="s">
        <v>25</v>
      </c>
      <c r="K2708" s="1" t="s">
        <v>923</v>
      </c>
      <c r="L2708" s="1" t="s">
        <v>997</v>
      </c>
      <c r="M2708" s="1" t="s">
        <v>927</v>
      </c>
      <c r="N2708" s="1" t="s">
        <v>920</v>
      </c>
      <c r="O2708" s="1" t="s">
        <v>994</v>
      </c>
      <c r="P2708" s="1" t="s">
        <v>1001</v>
      </c>
      <c r="Q2708" s="1" t="s">
        <v>918</v>
      </c>
      <c r="R2708" s="1" t="s">
        <v>919</v>
      </c>
      <c r="S2708" s="1" t="s">
        <v>936</v>
      </c>
      <c r="T2708" s="1" t="s">
        <v>921</v>
      </c>
      <c r="U2708" s="1"/>
      <c r="V2708" s="1"/>
      <c r="W2708" s="1"/>
      <c r="X2708" s="1"/>
      <c r="Y2708" s="1"/>
    </row>
    <row r="2709" spans="1:25" x14ac:dyDescent="0.25">
      <c r="A2709" s="8" t="s">
        <v>9499</v>
      </c>
      <c r="I2709" s="1" t="s">
        <v>932</v>
      </c>
      <c r="J2709" s="1" t="s">
        <v>25</v>
      </c>
      <c r="K2709" s="1" t="s">
        <v>923</v>
      </c>
      <c r="L2709" s="1" t="s">
        <v>916</v>
      </c>
      <c r="M2709" s="1" t="s">
        <v>982</v>
      </c>
      <c r="N2709" s="1" t="s">
        <v>920</v>
      </c>
      <c r="O2709" s="1" t="s">
        <v>921</v>
      </c>
      <c r="P2709" s="1" t="s">
        <v>922</v>
      </c>
      <c r="Q2709" s="1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25">
      <c r="A2710" s="8" t="s">
        <v>9499</v>
      </c>
      <c r="I2710" s="1" t="s">
        <v>25</v>
      </c>
      <c r="J2710" s="1" t="s">
        <v>923</v>
      </c>
      <c r="K2710" s="1" t="s">
        <v>927</v>
      </c>
      <c r="L2710" s="1" t="s">
        <v>919</v>
      </c>
      <c r="M2710" s="1" t="s">
        <v>920</v>
      </c>
      <c r="N2710" s="1" t="s">
        <v>921</v>
      </c>
      <c r="O2710" s="1" t="s">
        <v>1109</v>
      </c>
      <c r="P2710" s="1"/>
      <c r="Q2710" s="1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25">
      <c r="A2711" s="8" t="s">
        <v>9657</v>
      </c>
      <c r="I2711" s="1" t="s">
        <v>25</v>
      </c>
      <c r="J2711" s="1" t="s">
        <v>919</v>
      </c>
      <c r="K2711" s="1" t="s">
        <v>920</v>
      </c>
      <c r="L2711" s="1" t="s">
        <v>946</v>
      </c>
      <c r="M2711" s="1" t="s">
        <v>921</v>
      </c>
      <c r="N2711" s="1" t="s">
        <v>922</v>
      </c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25">
      <c r="A2712" s="8" t="s">
        <v>9399</v>
      </c>
      <c r="I2712" s="1" t="s">
        <v>1001</v>
      </c>
      <c r="J2712" s="1" t="s">
        <v>10880</v>
      </c>
      <c r="K2712" s="1" t="s">
        <v>927</v>
      </c>
      <c r="L2712" s="1" t="s">
        <v>919</v>
      </c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25">
      <c r="A2713" s="8" t="s">
        <v>9348</v>
      </c>
      <c r="I2713" s="1" t="s">
        <v>1001</v>
      </c>
      <c r="J2713" s="1" t="s">
        <v>10880</v>
      </c>
      <c r="K2713" s="1" t="s">
        <v>927</v>
      </c>
      <c r="L2713" s="1" t="s">
        <v>919</v>
      </c>
      <c r="M2713" s="1" t="s">
        <v>1030</v>
      </c>
      <c r="N2713" s="1" t="s">
        <v>1013</v>
      </c>
      <c r="O2713" s="1" t="s">
        <v>918</v>
      </c>
      <c r="P2713" s="1" t="s">
        <v>936</v>
      </c>
      <c r="Q2713" s="1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25">
      <c r="A2714" s="8" t="s">
        <v>10358</v>
      </c>
      <c r="I2714" s="1" t="s">
        <v>1001</v>
      </c>
      <c r="J2714" s="1" t="s">
        <v>10880</v>
      </c>
      <c r="K2714" s="1" t="s">
        <v>927</v>
      </c>
      <c r="L2714" s="1" t="s">
        <v>919</v>
      </c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25">
      <c r="A2715" s="8" t="s">
        <v>10680</v>
      </c>
      <c r="I2715" s="1" t="s">
        <v>1001</v>
      </c>
      <c r="J2715" s="1" t="s">
        <v>10880</v>
      </c>
      <c r="K2715" s="1" t="s">
        <v>927</v>
      </c>
      <c r="L2715" s="1" t="s">
        <v>919</v>
      </c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25">
      <c r="A2716" s="7" t="s">
        <v>4964</v>
      </c>
      <c r="I2716" s="1" t="s">
        <v>919</v>
      </c>
      <c r="J2716" s="1" t="s">
        <v>1114</v>
      </c>
      <c r="K2716" s="1" t="s">
        <v>25</v>
      </c>
      <c r="L2716" s="1" t="s">
        <v>916</v>
      </c>
      <c r="M2716" s="1" t="s">
        <v>922</v>
      </c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25">
      <c r="A2717" s="7" t="s">
        <v>4964</v>
      </c>
      <c r="I2717" s="1" t="s">
        <v>25</v>
      </c>
      <c r="J2717" s="1" t="s">
        <v>916</v>
      </c>
      <c r="K2717" s="1" t="s">
        <v>919</v>
      </c>
      <c r="L2717" s="1" t="s">
        <v>922</v>
      </c>
      <c r="M2717" s="1" t="s">
        <v>925</v>
      </c>
      <c r="N2717" s="1" t="s">
        <v>918</v>
      </c>
      <c r="O2717" s="1" t="s">
        <v>927</v>
      </c>
      <c r="P2717" s="1" t="s">
        <v>928</v>
      </c>
      <c r="Q2717" s="1" t="s">
        <v>8195</v>
      </c>
      <c r="R2717" s="1"/>
      <c r="S2717" s="1"/>
      <c r="T2717" s="1"/>
      <c r="U2717" s="1"/>
      <c r="V2717" s="1"/>
      <c r="W2717" s="1"/>
      <c r="X2717" s="1"/>
      <c r="Y2717" s="1"/>
    </row>
    <row r="2718" spans="1:25" x14ac:dyDescent="0.25">
      <c r="A2718" s="8" t="s">
        <v>10426</v>
      </c>
      <c r="I2718" s="1" t="s">
        <v>25</v>
      </c>
      <c r="J2718" s="1" t="s">
        <v>916</v>
      </c>
      <c r="K2718" s="1" t="s">
        <v>919</v>
      </c>
      <c r="L2718" s="1" t="s">
        <v>922</v>
      </c>
      <c r="M2718" s="1" t="s">
        <v>918</v>
      </c>
      <c r="N2718" s="1" t="s">
        <v>929</v>
      </c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25">
      <c r="A2719" s="8" t="s">
        <v>10426</v>
      </c>
      <c r="I2719" s="1" t="s">
        <v>934</v>
      </c>
      <c r="J2719" s="1" t="s">
        <v>940</v>
      </c>
      <c r="K2719" s="1" t="s">
        <v>1011</v>
      </c>
      <c r="L2719" s="1" t="s">
        <v>25</v>
      </c>
      <c r="M2719" s="1" t="s">
        <v>923</v>
      </c>
      <c r="N2719" s="1" t="s">
        <v>916</v>
      </c>
      <c r="O2719" s="1" t="s">
        <v>920</v>
      </c>
      <c r="P2719" s="1" t="s">
        <v>933</v>
      </c>
      <c r="Q2719" s="1" t="s">
        <v>921</v>
      </c>
      <c r="R2719" s="1"/>
      <c r="S2719" s="1"/>
      <c r="T2719" s="1"/>
      <c r="U2719" s="1"/>
      <c r="V2719" s="1"/>
      <c r="W2719" s="1"/>
      <c r="X2719" s="1"/>
      <c r="Y2719" s="1"/>
    </row>
    <row r="2720" spans="1:25" x14ac:dyDescent="0.25">
      <c r="A2720" s="8" t="s">
        <v>10426</v>
      </c>
      <c r="I2720" s="1" t="s">
        <v>934</v>
      </c>
      <c r="J2720" s="1" t="s">
        <v>940</v>
      </c>
      <c r="K2720" s="1" t="s">
        <v>1011</v>
      </c>
      <c r="L2720" s="1" t="s">
        <v>25</v>
      </c>
      <c r="M2720" s="1" t="s">
        <v>923</v>
      </c>
      <c r="N2720" s="1" t="s">
        <v>916</v>
      </c>
      <c r="O2720" s="1" t="s">
        <v>920</v>
      </c>
      <c r="P2720" s="1" t="s">
        <v>933</v>
      </c>
      <c r="Q2720" s="1" t="s">
        <v>921</v>
      </c>
      <c r="R2720" s="1" t="s">
        <v>11017</v>
      </c>
      <c r="S2720" s="1" t="s">
        <v>1131</v>
      </c>
      <c r="T2720" s="1" t="s">
        <v>11018</v>
      </c>
      <c r="U2720" s="1" t="s">
        <v>1061</v>
      </c>
      <c r="V2720" s="1"/>
      <c r="W2720" s="1"/>
      <c r="X2720" s="1"/>
      <c r="Y2720" s="1"/>
    </row>
    <row r="2721" spans="1:25" x14ac:dyDescent="0.25">
      <c r="A2721" s="7" t="s">
        <v>6164</v>
      </c>
      <c r="I2721" s="1" t="s">
        <v>934</v>
      </c>
      <c r="J2721" s="1" t="s">
        <v>940</v>
      </c>
      <c r="K2721" s="1" t="s">
        <v>1011</v>
      </c>
      <c r="L2721" s="1" t="s">
        <v>25</v>
      </c>
      <c r="M2721" s="1" t="s">
        <v>923</v>
      </c>
      <c r="N2721" s="1" t="s">
        <v>916</v>
      </c>
      <c r="O2721" s="1" t="s">
        <v>920</v>
      </c>
      <c r="P2721" s="1" t="s">
        <v>933</v>
      </c>
      <c r="Q2721" s="1" t="s">
        <v>921</v>
      </c>
      <c r="R2721" s="1"/>
      <c r="S2721" s="1"/>
      <c r="T2721" s="1"/>
      <c r="U2721" s="1"/>
      <c r="V2721" s="1"/>
      <c r="W2721" s="1"/>
      <c r="X2721" s="1"/>
      <c r="Y2721" s="1"/>
    </row>
    <row r="2722" spans="1:25" x14ac:dyDescent="0.25">
      <c r="A2722" s="7" t="s">
        <v>6164</v>
      </c>
      <c r="I2722" s="1" t="s">
        <v>934</v>
      </c>
      <c r="J2722" s="1" t="s">
        <v>940</v>
      </c>
      <c r="K2722" s="1" t="s">
        <v>1011</v>
      </c>
      <c r="L2722" s="1" t="s">
        <v>25</v>
      </c>
      <c r="M2722" s="1" t="s">
        <v>923</v>
      </c>
      <c r="N2722" s="1" t="s">
        <v>916</v>
      </c>
      <c r="O2722" s="1" t="s">
        <v>920</v>
      </c>
      <c r="P2722" s="1" t="s">
        <v>933</v>
      </c>
      <c r="Q2722" s="1" t="s">
        <v>921</v>
      </c>
      <c r="R2722" s="1"/>
      <c r="S2722" s="1"/>
      <c r="T2722" s="1"/>
      <c r="U2722" s="1"/>
      <c r="V2722" s="1"/>
      <c r="W2722" s="1"/>
      <c r="X2722" s="1"/>
      <c r="Y2722" s="1"/>
    </row>
    <row r="2723" spans="1:25" x14ac:dyDescent="0.25">
      <c r="A2723" s="7" t="s">
        <v>6164</v>
      </c>
      <c r="I2723" s="1" t="s">
        <v>1070</v>
      </c>
      <c r="J2723" s="1" t="s">
        <v>976</v>
      </c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25">
      <c r="A2724" s="7" t="s">
        <v>6164</v>
      </c>
      <c r="I2724" s="1" t="s">
        <v>1070</v>
      </c>
      <c r="J2724" s="1" t="s">
        <v>976</v>
      </c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25">
      <c r="A2725" s="7" t="s">
        <v>6164</v>
      </c>
      <c r="I2725" s="1" t="s">
        <v>1001</v>
      </c>
      <c r="J2725" s="1" t="s">
        <v>927</v>
      </c>
      <c r="K2725" s="1" t="s">
        <v>992</v>
      </c>
      <c r="L2725" s="1" t="s">
        <v>981</v>
      </c>
      <c r="M2725" s="1" t="s">
        <v>1066</v>
      </c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25">
      <c r="A2726" s="7" t="s">
        <v>6164</v>
      </c>
      <c r="I2726" s="1" t="s">
        <v>1001</v>
      </c>
      <c r="J2726" s="1" t="s">
        <v>927</v>
      </c>
      <c r="K2726" s="1" t="s">
        <v>992</v>
      </c>
      <c r="L2726" s="1" t="s">
        <v>981</v>
      </c>
      <c r="M2726" s="1" t="s">
        <v>1066</v>
      </c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25">
      <c r="A2727" s="8" t="s">
        <v>6164</v>
      </c>
      <c r="I2727" s="1" t="s">
        <v>997</v>
      </c>
      <c r="J2727" s="1" t="s">
        <v>994</v>
      </c>
      <c r="K2727" s="1" t="s">
        <v>10755</v>
      </c>
      <c r="L2727" s="1" t="s">
        <v>1109</v>
      </c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25">
      <c r="A2728" s="8" t="s">
        <v>9676</v>
      </c>
      <c r="I2728" s="1" t="s">
        <v>996</v>
      </c>
      <c r="J2728" s="1" t="s">
        <v>25</v>
      </c>
      <c r="K2728" s="1" t="s">
        <v>923</v>
      </c>
      <c r="L2728" s="1" t="s">
        <v>997</v>
      </c>
      <c r="M2728" s="1" t="s">
        <v>927</v>
      </c>
      <c r="N2728" s="1" t="s">
        <v>920</v>
      </c>
      <c r="O2728" s="1" t="s">
        <v>994</v>
      </c>
      <c r="P2728" s="1" t="s">
        <v>918</v>
      </c>
      <c r="Q2728" s="1" t="s">
        <v>919</v>
      </c>
      <c r="R2728" s="1" t="s">
        <v>930</v>
      </c>
      <c r="S2728" s="1" t="s">
        <v>945</v>
      </c>
      <c r="T2728" s="1"/>
      <c r="U2728" s="1"/>
      <c r="V2728" s="1"/>
      <c r="W2728" s="1"/>
      <c r="X2728" s="1"/>
      <c r="Y2728" s="1"/>
    </row>
    <row r="2729" spans="1:25" x14ac:dyDescent="0.25">
      <c r="A2729" s="8" t="s">
        <v>10174</v>
      </c>
      <c r="I2729" s="1" t="s">
        <v>996</v>
      </c>
      <c r="J2729" s="1" t="s">
        <v>25</v>
      </c>
      <c r="K2729" s="1" t="s">
        <v>923</v>
      </c>
      <c r="L2729" s="1" t="s">
        <v>997</v>
      </c>
      <c r="M2729" s="1" t="s">
        <v>927</v>
      </c>
      <c r="N2729" s="1" t="s">
        <v>920</v>
      </c>
      <c r="O2729" s="1" t="s">
        <v>994</v>
      </c>
      <c r="P2729" s="1" t="s">
        <v>918</v>
      </c>
      <c r="Q2729" s="1" t="s">
        <v>919</v>
      </c>
      <c r="R2729" s="1" t="s">
        <v>930</v>
      </c>
      <c r="S2729" s="1" t="s">
        <v>945</v>
      </c>
      <c r="T2729" s="1" t="s">
        <v>1001</v>
      </c>
      <c r="U2729" s="1" t="s">
        <v>936</v>
      </c>
      <c r="V2729" s="1"/>
      <c r="W2729" s="1"/>
      <c r="X2729" s="1"/>
      <c r="Y2729" s="1"/>
    </row>
    <row r="2730" spans="1:25" x14ac:dyDescent="0.25">
      <c r="A2730" s="8" t="s">
        <v>10174</v>
      </c>
      <c r="I2730" s="1" t="s">
        <v>996</v>
      </c>
      <c r="J2730" s="1" t="s">
        <v>25</v>
      </c>
      <c r="K2730" s="1" t="s">
        <v>923</v>
      </c>
      <c r="L2730" s="1" t="s">
        <v>997</v>
      </c>
      <c r="M2730" s="1" t="s">
        <v>927</v>
      </c>
      <c r="N2730" s="1" t="s">
        <v>920</v>
      </c>
      <c r="O2730" s="1" t="s">
        <v>994</v>
      </c>
      <c r="P2730" s="1" t="s">
        <v>1001</v>
      </c>
      <c r="Q2730" s="1" t="s">
        <v>918</v>
      </c>
      <c r="R2730" s="1" t="s">
        <v>919</v>
      </c>
      <c r="S2730" s="1" t="s">
        <v>936</v>
      </c>
      <c r="T2730" s="1" t="s">
        <v>921</v>
      </c>
      <c r="U2730" s="1"/>
      <c r="V2730" s="1"/>
      <c r="W2730" s="1"/>
      <c r="X2730" s="1"/>
      <c r="Y2730" s="1"/>
    </row>
    <row r="2731" spans="1:25" x14ac:dyDescent="0.25">
      <c r="A2731" s="7" t="s">
        <v>6282</v>
      </c>
      <c r="I2731" s="1" t="s">
        <v>981</v>
      </c>
      <c r="J2731" s="1" t="s">
        <v>983</v>
      </c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25">
      <c r="A2732" s="8" t="s">
        <v>6282</v>
      </c>
      <c r="I2732" s="1" t="s">
        <v>981</v>
      </c>
      <c r="J2732" s="1" t="s">
        <v>983</v>
      </c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25">
      <c r="A2733" s="8" t="s">
        <v>6282</v>
      </c>
      <c r="I2733" s="1" t="s">
        <v>981</v>
      </c>
      <c r="J2733" s="1" t="s">
        <v>983</v>
      </c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25">
      <c r="A2734" s="8" t="s">
        <v>10080</v>
      </c>
      <c r="I2734" s="1" t="s">
        <v>981</v>
      </c>
      <c r="J2734" s="1" t="s">
        <v>983</v>
      </c>
      <c r="K2734" s="1" t="s">
        <v>919</v>
      </c>
      <c r="L2734" s="1" t="s">
        <v>924</v>
      </c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25">
      <c r="A2735" s="7" t="s">
        <v>2971</v>
      </c>
      <c r="I2735" s="1" t="s">
        <v>981</v>
      </c>
      <c r="J2735" s="1" t="s">
        <v>983</v>
      </c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25">
      <c r="A2736" s="7" t="s">
        <v>2971</v>
      </c>
      <c r="I2736" s="1" t="s">
        <v>981</v>
      </c>
      <c r="J2736" s="1" t="s">
        <v>983</v>
      </c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25">
      <c r="A2737" s="8" t="s">
        <v>2971</v>
      </c>
      <c r="I2737" s="1" t="s">
        <v>981</v>
      </c>
      <c r="J2737" s="1" t="s">
        <v>983</v>
      </c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25">
      <c r="A2738" s="7" t="s">
        <v>3499</v>
      </c>
      <c r="I2738" s="1" t="s">
        <v>981</v>
      </c>
      <c r="J2738" s="1" t="s">
        <v>983</v>
      </c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25">
      <c r="A2739" s="7" t="s">
        <v>3499</v>
      </c>
      <c r="I2739" s="1" t="s">
        <v>981</v>
      </c>
      <c r="J2739" s="1" t="s">
        <v>983</v>
      </c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25">
      <c r="A2740" s="7" t="s">
        <v>3499</v>
      </c>
      <c r="I2740" s="1" t="s">
        <v>981</v>
      </c>
      <c r="J2740" s="1" t="s">
        <v>983</v>
      </c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25">
      <c r="A2741" s="7" t="s">
        <v>3499</v>
      </c>
      <c r="I2741" s="1" t="s">
        <v>1149</v>
      </c>
      <c r="J2741" s="1" t="s">
        <v>25</v>
      </c>
      <c r="K2741" s="1" t="s">
        <v>923</v>
      </c>
      <c r="L2741" s="1" t="s">
        <v>998</v>
      </c>
      <c r="M2741" s="1" t="s">
        <v>1086</v>
      </c>
      <c r="N2741" s="1" t="s">
        <v>920</v>
      </c>
      <c r="O2741" s="1" t="s">
        <v>933</v>
      </c>
      <c r="P2741" s="1" t="s">
        <v>10719</v>
      </c>
      <c r="Q2741" s="1" t="s">
        <v>974</v>
      </c>
      <c r="R2741" s="1"/>
      <c r="S2741" s="1"/>
      <c r="T2741" s="1"/>
      <c r="U2741" s="1"/>
      <c r="V2741" s="1"/>
      <c r="W2741" s="1"/>
      <c r="X2741" s="1"/>
      <c r="Y2741" s="1"/>
    </row>
    <row r="2742" spans="1:25" x14ac:dyDescent="0.25">
      <c r="A2742" s="8" t="s">
        <v>3499</v>
      </c>
      <c r="I2742" s="1" t="s">
        <v>1149</v>
      </c>
      <c r="J2742" s="1" t="s">
        <v>25</v>
      </c>
      <c r="K2742" s="1" t="s">
        <v>923</v>
      </c>
      <c r="L2742" s="1" t="s">
        <v>998</v>
      </c>
      <c r="M2742" s="1" t="s">
        <v>1086</v>
      </c>
      <c r="N2742" s="1" t="s">
        <v>920</v>
      </c>
      <c r="O2742" s="1" t="s">
        <v>933</v>
      </c>
      <c r="P2742" s="1" t="s">
        <v>10719</v>
      </c>
      <c r="Q2742" s="1" t="s">
        <v>10805</v>
      </c>
      <c r="R2742" s="1"/>
      <c r="S2742" s="1"/>
      <c r="T2742" s="1"/>
      <c r="U2742" s="1"/>
      <c r="V2742" s="1"/>
      <c r="W2742" s="1"/>
      <c r="X2742" s="1"/>
      <c r="Y2742" s="1"/>
    </row>
    <row r="2743" spans="1:25" x14ac:dyDescent="0.25">
      <c r="A2743" s="8" t="s">
        <v>3499</v>
      </c>
      <c r="I2743" s="1" t="s">
        <v>1149</v>
      </c>
      <c r="J2743" s="1" t="s">
        <v>25</v>
      </c>
      <c r="K2743" s="1" t="s">
        <v>923</v>
      </c>
      <c r="L2743" s="1" t="s">
        <v>998</v>
      </c>
      <c r="M2743" s="1" t="s">
        <v>1086</v>
      </c>
      <c r="N2743" s="1" t="s">
        <v>920</v>
      </c>
      <c r="O2743" s="1" t="s">
        <v>933</v>
      </c>
      <c r="P2743" s="1" t="s">
        <v>10719</v>
      </c>
      <c r="Q2743" s="1" t="s">
        <v>732</v>
      </c>
      <c r="R2743" s="1" t="s">
        <v>10805</v>
      </c>
      <c r="S2743" s="1"/>
      <c r="T2743" s="1"/>
      <c r="U2743" s="1"/>
      <c r="V2743" s="1"/>
      <c r="W2743" s="1"/>
      <c r="X2743" s="1"/>
      <c r="Y2743" s="1"/>
    </row>
    <row r="2744" spans="1:25" x14ac:dyDescent="0.25">
      <c r="A2744" s="8" t="s">
        <v>3499</v>
      </c>
      <c r="I2744" s="1" t="s">
        <v>1149</v>
      </c>
      <c r="J2744" s="1" t="s">
        <v>25</v>
      </c>
      <c r="K2744" s="1" t="s">
        <v>923</v>
      </c>
      <c r="L2744" s="1" t="s">
        <v>998</v>
      </c>
      <c r="M2744" s="1" t="s">
        <v>1086</v>
      </c>
      <c r="N2744" s="1" t="s">
        <v>920</v>
      </c>
      <c r="O2744" s="1" t="s">
        <v>933</v>
      </c>
      <c r="P2744" s="1" t="s">
        <v>10719</v>
      </c>
      <c r="Q2744" s="1" t="s">
        <v>974</v>
      </c>
      <c r="R2744" s="1"/>
      <c r="S2744" s="1"/>
      <c r="T2744" s="1"/>
      <c r="U2744" s="1"/>
      <c r="V2744" s="1"/>
      <c r="W2744" s="1"/>
      <c r="X2744" s="1"/>
      <c r="Y2744" s="1"/>
    </row>
    <row r="2745" spans="1:25" x14ac:dyDescent="0.25">
      <c r="A2745" s="8" t="s">
        <v>3499</v>
      </c>
      <c r="I2745" s="1" t="s">
        <v>1149</v>
      </c>
      <c r="J2745" s="1" t="s">
        <v>25</v>
      </c>
      <c r="K2745" s="1" t="s">
        <v>923</v>
      </c>
      <c r="L2745" s="1" t="s">
        <v>998</v>
      </c>
      <c r="M2745" s="1" t="s">
        <v>1086</v>
      </c>
      <c r="N2745" s="1" t="s">
        <v>920</v>
      </c>
      <c r="O2745" s="1" t="s">
        <v>933</v>
      </c>
      <c r="P2745" s="1" t="s">
        <v>10719</v>
      </c>
      <c r="Q2745" s="1" t="s">
        <v>298</v>
      </c>
      <c r="R2745" s="1" t="s">
        <v>927</v>
      </c>
      <c r="S2745" s="1"/>
      <c r="T2745" s="1"/>
      <c r="U2745" s="1"/>
      <c r="V2745" s="1"/>
      <c r="W2745" s="1"/>
      <c r="X2745" s="1"/>
      <c r="Y2745" s="1"/>
    </row>
    <row r="2746" spans="1:25" x14ac:dyDescent="0.25">
      <c r="A2746" s="7" t="s">
        <v>10339</v>
      </c>
      <c r="I2746" s="1" t="s">
        <v>1149</v>
      </c>
      <c r="J2746" s="1" t="s">
        <v>25</v>
      </c>
      <c r="K2746" s="1" t="s">
        <v>923</v>
      </c>
      <c r="L2746" s="1" t="s">
        <v>998</v>
      </c>
      <c r="M2746" s="1" t="s">
        <v>1086</v>
      </c>
      <c r="N2746" s="1" t="s">
        <v>920</v>
      </c>
      <c r="O2746" s="1" t="s">
        <v>933</v>
      </c>
      <c r="P2746" s="1" t="s">
        <v>10719</v>
      </c>
      <c r="Q2746" s="1" t="s">
        <v>954</v>
      </c>
      <c r="R2746" s="1" t="s">
        <v>974</v>
      </c>
      <c r="S2746" s="1" t="s">
        <v>950</v>
      </c>
      <c r="T2746" s="1" t="s">
        <v>921</v>
      </c>
      <c r="U2746" s="1" t="s">
        <v>10720</v>
      </c>
      <c r="V2746" s="1" t="s">
        <v>948</v>
      </c>
      <c r="W2746" s="1" t="s">
        <v>997</v>
      </c>
      <c r="X2746" s="1" t="s">
        <v>10873</v>
      </c>
      <c r="Y2746" s="1"/>
    </row>
    <row r="2747" spans="1:25" x14ac:dyDescent="0.25">
      <c r="A2747" s="8" t="s">
        <v>10209</v>
      </c>
      <c r="I2747" s="1" t="s">
        <v>1149</v>
      </c>
      <c r="J2747" s="1" t="s">
        <v>25</v>
      </c>
      <c r="K2747" s="1" t="s">
        <v>923</v>
      </c>
      <c r="L2747" s="1" t="s">
        <v>998</v>
      </c>
      <c r="M2747" s="1" t="s">
        <v>1086</v>
      </c>
      <c r="N2747" s="1" t="s">
        <v>920</v>
      </c>
      <c r="O2747" s="1" t="s">
        <v>933</v>
      </c>
      <c r="P2747" s="1" t="s">
        <v>10719</v>
      </c>
      <c r="Q2747" s="1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25">
      <c r="A2748" s="8" t="s">
        <v>9447</v>
      </c>
      <c r="I2748" s="1" t="s">
        <v>25</v>
      </c>
      <c r="J2748" s="1" t="s">
        <v>920</v>
      </c>
      <c r="K2748" s="1" t="s">
        <v>974</v>
      </c>
      <c r="L2748" s="1" t="s">
        <v>10719</v>
      </c>
      <c r="M2748" s="1" t="s">
        <v>950</v>
      </c>
      <c r="N2748" s="1" t="s">
        <v>10720</v>
      </c>
      <c r="O2748" s="1" t="s">
        <v>10805</v>
      </c>
      <c r="P2748" s="1" t="s">
        <v>1149</v>
      </c>
      <c r="Q2748" s="1" t="s">
        <v>923</v>
      </c>
      <c r="R2748" s="1" t="s">
        <v>998</v>
      </c>
      <c r="S2748" s="1" t="s">
        <v>1086</v>
      </c>
      <c r="T2748" s="1" t="s">
        <v>933</v>
      </c>
      <c r="U2748" s="1"/>
      <c r="V2748" s="1"/>
      <c r="W2748" s="1"/>
      <c r="X2748" s="1"/>
      <c r="Y2748" s="1"/>
    </row>
    <row r="2749" spans="1:25" x14ac:dyDescent="0.25">
      <c r="A2749" s="7" t="s">
        <v>5610</v>
      </c>
      <c r="I2749" s="1" t="s">
        <v>25</v>
      </c>
      <c r="J2749" s="1" t="s">
        <v>923</v>
      </c>
      <c r="K2749" s="1" t="s">
        <v>920</v>
      </c>
      <c r="L2749" s="1" t="s">
        <v>933</v>
      </c>
      <c r="M2749" s="1" t="s">
        <v>954</v>
      </c>
      <c r="N2749" s="1" t="s">
        <v>974</v>
      </c>
      <c r="O2749" s="1" t="s">
        <v>921</v>
      </c>
      <c r="P2749" s="1"/>
      <c r="Q2749" s="1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25">
      <c r="A2750" s="7" t="s">
        <v>5610</v>
      </c>
      <c r="I2750" s="1" t="s">
        <v>933</v>
      </c>
      <c r="J2750" s="1" t="s">
        <v>10896</v>
      </c>
      <c r="K2750" s="1" t="s">
        <v>1013</v>
      </c>
      <c r="L2750" s="1" t="s">
        <v>927</v>
      </c>
      <c r="M2750" s="1" t="s">
        <v>981</v>
      </c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25">
      <c r="A2751" s="8" t="s">
        <v>5610</v>
      </c>
      <c r="I2751" s="1" t="s">
        <v>996</v>
      </c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25">
      <c r="A2752" s="8" t="s">
        <v>5610</v>
      </c>
      <c r="I2752" s="1" t="s">
        <v>1053</v>
      </c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25">
      <c r="A2753" s="8" t="s">
        <v>5610</v>
      </c>
      <c r="I2753" s="1" t="s">
        <v>1001</v>
      </c>
      <c r="J2753" s="1" t="s">
        <v>992</v>
      </c>
      <c r="K2753" s="1" t="s">
        <v>981</v>
      </c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25">
      <c r="A2754" s="7" t="s">
        <v>6627</v>
      </c>
      <c r="I2754" s="1" t="s">
        <v>1001</v>
      </c>
      <c r="J2754" s="1" t="s">
        <v>992</v>
      </c>
      <c r="K2754" s="1" t="s">
        <v>981</v>
      </c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25">
      <c r="A2755" s="8" t="s">
        <v>9692</v>
      </c>
      <c r="I2755" s="1" t="s">
        <v>1001</v>
      </c>
      <c r="J2755" s="1" t="s">
        <v>992</v>
      </c>
      <c r="K2755" s="1" t="s">
        <v>981</v>
      </c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25">
      <c r="A2756" s="8" t="s">
        <v>10455</v>
      </c>
      <c r="I2756" s="1" t="s">
        <v>1149</v>
      </c>
      <c r="J2756" s="1" t="s">
        <v>25</v>
      </c>
      <c r="K2756" s="1" t="s">
        <v>923</v>
      </c>
      <c r="L2756" s="1" t="s">
        <v>998</v>
      </c>
      <c r="M2756" s="1" t="s">
        <v>1086</v>
      </c>
      <c r="N2756" s="1" t="s">
        <v>920</v>
      </c>
      <c r="O2756" s="1" t="s">
        <v>933</v>
      </c>
      <c r="P2756" s="1" t="s">
        <v>10719</v>
      </c>
      <c r="Q2756" s="1" t="s">
        <v>1001</v>
      </c>
      <c r="R2756" s="1" t="s">
        <v>992</v>
      </c>
      <c r="S2756" s="1" t="s">
        <v>981</v>
      </c>
      <c r="T2756" s="1"/>
      <c r="U2756" s="1"/>
      <c r="V2756" s="1"/>
      <c r="W2756" s="1"/>
      <c r="X2756" s="1"/>
      <c r="Y2756" s="1"/>
    </row>
    <row r="2757" spans="1:25" x14ac:dyDescent="0.25">
      <c r="A2757" s="7" t="s">
        <v>3913</v>
      </c>
      <c r="I2757" s="1" t="s">
        <v>1001</v>
      </c>
      <c r="J2757" s="1" t="s">
        <v>992</v>
      </c>
      <c r="K2757" s="1" t="s">
        <v>981</v>
      </c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25">
      <c r="A2758" s="7" t="s">
        <v>3913</v>
      </c>
      <c r="I2758" s="1" t="s">
        <v>1001</v>
      </c>
      <c r="J2758" s="1" t="s">
        <v>992</v>
      </c>
      <c r="K2758" s="1" t="s">
        <v>981</v>
      </c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25">
      <c r="A2759" s="7" t="s">
        <v>9032</v>
      </c>
      <c r="I2759" s="1" t="s">
        <v>1001</v>
      </c>
      <c r="J2759" s="1" t="s">
        <v>992</v>
      </c>
      <c r="K2759" s="1" t="s">
        <v>981</v>
      </c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25">
      <c r="A2760" s="7" t="s">
        <v>9032</v>
      </c>
      <c r="I2760" s="1" t="s">
        <v>1001</v>
      </c>
      <c r="J2760" s="1" t="s">
        <v>992</v>
      </c>
      <c r="K2760" s="1" t="s">
        <v>981</v>
      </c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25">
      <c r="A2761" s="7" t="s">
        <v>9032</v>
      </c>
      <c r="I2761" s="1" t="s">
        <v>298</v>
      </c>
      <c r="J2761" s="1" t="s">
        <v>2927</v>
      </c>
      <c r="K2761" s="1" t="s">
        <v>1069</v>
      </c>
      <c r="L2761" s="1" t="s">
        <v>25</v>
      </c>
      <c r="M2761" s="1" t="s">
        <v>923</v>
      </c>
      <c r="N2761" s="1" t="s">
        <v>998</v>
      </c>
      <c r="O2761" s="1" t="s">
        <v>1053</v>
      </c>
      <c r="P2761" s="1" t="s">
        <v>933</v>
      </c>
      <c r="Q2761" s="1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25">
      <c r="A2762" s="7" t="s">
        <v>9032</v>
      </c>
      <c r="I2762" s="1" t="s">
        <v>2927</v>
      </c>
      <c r="J2762" s="1" t="s">
        <v>1069</v>
      </c>
      <c r="K2762" s="1" t="s">
        <v>1051</v>
      </c>
      <c r="L2762" s="1" t="s">
        <v>25</v>
      </c>
      <c r="M2762" s="1" t="s">
        <v>923</v>
      </c>
      <c r="N2762" s="1" t="s">
        <v>1053</v>
      </c>
      <c r="O2762" s="1" t="s">
        <v>256</v>
      </c>
      <c r="P2762" s="1"/>
      <c r="Q2762" s="1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25">
      <c r="A2763" s="7" t="s">
        <v>9032</v>
      </c>
      <c r="I2763" s="1" t="s">
        <v>948</v>
      </c>
      <c r="J2763" s="1" t="s">
        <v>298</v>
      </c>
      <c r="K2763" s="1" t="s">
        <v>25</v>
      </c>
      <c r="L2763" s="1" t="s">
        <v>923</v>
      </c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25">
      <c r="A2764" s="7" t="s">
        <v>9032</v>
      </c>
      <c r="I2764" s="1" t="s">
        <v>948</v>
      </c>
      <c r="J2764" s="1" t="s">
        <v>298</v>
      </c>
      <c r="K2764" s="1" t="s">
        <v>25</v>
      </c>
      <c r="L2764" s="1" t="s">
        <v>923</v>
      </c>
      <c r="M2764" s="1" t="s">
        <v>1086</v>
      </c>
      <c r="N2764" s="1" t="s">
        <v>919</v>
      </c>
      <c r="O2764" s="1" t="s">
        <v>920</v>
      </c>
      <c r="P2764" s="1" t="s">
        <v>921</v>
      </c>
      <c r="Q2764" s="1" t="s">
        <v>992</v>
      </c>
      <c r="R2764" s="1"/>
      <c r="S2764" s="1"/>
      <c r="T2764" s="1"/>
      <c r="U2764" s="1"/>
      <c r="V2764" s="1"/>
      <c r="W2764" s="1"/>
      <c r="X2764" s="1"/>
      <c r="Y2764" s="1"/>
    </row>
    <row r="2765" spans="1:25" x14ac:dyDescent="0.25">
      <c r="A2765" s="7" t="s">
        <v>9032</v>
      </c>
      <c r="I2765" s="1" t="s">
        <v>10723</v>
      </c>
      <c r="J2765" s="1" t="s">
        <v>10733</v>
      </c>
      <c r="K2765" s="1" t="s">
        <v>996</v>
      </c>
      <c r="L2765" s="1" t="s">
        <v>948</v>
      </c>
      <c r="M2765" s="1" t="s">
        <v>10788</v>
      </c>
      <c r="N2765" s="1" t="s">
        <v>25</v>
      </c>
      <c r="O2765" s="1" t="s">
        <v>923</v>
      </c>
      <c r="P2765" s="1" t="s">
        <v>997</v>
      </c>
      <c r="Q2765" s="1" t="s">
        <v>1086</v>
      </c>
      <c r="R2765" s="1" t="s">
        <v>920</v>
      </c>
      <c r="S2765" s="1"/>
      <c r="T2765" s="1"/>
      <c r="U2765" s="1"/>
      <c r="V2765" s="1"/>
      <c r="W2765" s="1"/>
      <c r="X2765" s="1"/>
      <c r="Y2765" s="1"/>
    </row>
    <row r="2766" spans="1:25" x14ac:dyDescent="0.25">
      <c r="A2766" s="7" t="s">
        <v>9032</v>
      </c>
      <c r="I2766" s="1" t="s">
        <v>948</v>
      </c>
      <c r="J2766" s="1" t="s">
        <v>298</v>
      </c>
      <c r="K2766" s="1" t="s">
        <v>1149</v>
      </c>
      <c r="L2766" s="1" t="s">
        <v>25</v>
      </c>
      <c r="M2766" s="1" t="s">
        <v>923</v>
      </c>
      <c r="N2766" s="1" t="s">
        <v>997</v>
      </c>
      <c r="O2766" s="1" t="s">
        <v>954</v>
      </c>
      <c r="P2766" s="1" t="s">
        <v>994</v>
      </c>
      <c r="Q2766" s="1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25">
      <c r="A2767" s="7" t="s">
        <v>9032</v>
      </c>
      <c r="I2767" s="1" t="s">
        <v>948</v>
      </c>
      <c r="J2767" s="1" t="s">
        <v>298</v>
      </c>
      <c r="K2767" s="1" t="s">
        <v>1149</v>
      </c>
      <c r="L2767" s="1" t="s">
        <v>25</v>
      </c>
      <c r="M2767" s="1" t="s">
        <v>923</v>
      </c>
      <c r="N2767" s="1" t="s">
        <v>997</v>
      </c>
      <c r="O2767" s="1" t="s">
        <v>954</v>
      </c>
      <c r="P2767" s="1" t="s">
        <v>994</v>
      </c>
      <c r="Q2767" s="1" t="s">
        <v>1166</v>
      </c>
      <c r="R2767" s="1" t="s">
        <v>1150</v>
      </c>
      <c r="S2767" s="1" t="s">
        <v>1053</v>
      </c>
      <c r="T2767" s="1" t="s">
        <v>1086</v>
      </c>
      <c r="U2767" s="1" t="s">
        <v>1001</v>
      </c>
      <c r="V2767" s="1" t="s">
        <v>937</v>
      </c>
      <c r="W2767" s="1"/>
      <c r="X2767" s="1"/>
      <c r="Y2767" s="1"/>
    </row>
    <row r="2768" spans="1:25" x14ac:dyDescent="0.25">
      <c r="A2768" s="7" t="s">
        <v>9032</v>
      </c>
      <c r="I2768" s="1" t="s">
        <v>25</v>
      </c>
      <c r="J2768" s="1" t="s">
        <v>923</v>
      </c>
      <c r="K2768" s="1" t="s">
        <v>920</v>
      </c>
      <c r="L2768" s="1" t="s">
        <v>948</v>
      </c>
      <c r="M2768" s="1" t="s">
        <v>1069</v>
      </c>
      <c r="N2768" s="1" t="s">
        <v>1070</v>
      </c>
      <c r="O2768" s="1" t="s">
        <v>916</v>
      </c>
      <c r="P2768" s="1" t="s">
        <v>1078</v>
      </c>
      <c r="Q2768" s="1" t="s">
        <v>980</v>
      </c>
      <c r="R2768" s="1" t="s">
        <v>919</v>
      </c>
      <c r="S2768" s="1" t="s">
        <v>921</v>
      </c>
      <c r="T2768" s="1" t="s">
        <v>1013</v>
      </c>
      <c r="U2768" s="1"/>
      <c r="V2768" s="1"/>
      <c r="W2768" s="1"/>
      <c r="X2768" s="1"/>
      <c r="Y2768" s="1"/>
    </row>
    <row r="2769" spans="1:25" x14ac:dyDescent="0.25">
      <c r="A2769" s="7" t="s">
        <v>9032</v>
      </c>
      <c r="I2769" s="1" t="s">
        <v>964</v>
      </c>
      <c r="J2769" s="1" t="s">
        <v>1109</v>
      </c>
      <c r="K2769" s="1" t="s">
        <v>919</v>
      </c>
      <c r="L2769" s="1" t="s">
        <v>25</v>
      </c>
      <c r="M2769" s="1" t="s">
        <v>923</v>
      </c>
      <c r="N2769" s="1" t="s">
        <v>916</v>
      </c>
      <c r="O2769" s="1" t="s">
        <v>1078</v>
      </c>
      <c r="P2769" s="1" t="s">
        <v>980</v>
      </c>
      <c r="Q2769" s="1" t="s">
        <v>920</v>
      </c>
      <c r="R2769" s="1" t="s">
        <v>921</v>
      </c>
      <c r="S2769" s="1" t="s">
        <v>981</v>
      </c>
      <c r="T2769" s="1"/>
      <c r="U2769" s="1"/>
      <c r="V2769" s="1"/>
      <c r="W2769" s="1"/>
      <c r="X2769" s="1"/>
      <c r="Y2769" s="1"/>
    </row>
    <row r="2770" spans="1:25" x14ac:dyDescent="0.25">
      <c r="A2770" s="8" t="s">
        <v>9032</v>
      </c>
      <c r="I2770" s="1" t="s">
        <v>964</v>
      </c>
      <c r="J2770" s="1" t="s">
        <v>1109</v>
      </c>
      <c r="K2770" s="1" t="s">
        <v>919</v>
      </c>
      <c r="L2770" s="1" t="s">
        <v>25</v>
      </c>
      <c r="M2770" s="1" t="s">
        <v>923</v>
      </c>
      <c r="N2770" s="1" t="s">
        <v>916</v>
      </c>
      <c r="O2770" s="1" t="s">
        <v>1078</v>
      </c>
      <c r="P2770" s="1" t="s">
        <v>980</v>
      </c>
      <c r="Q2770" s="1" t="s">
        <v>920</v>
      </c>
      <c r="R2770" s="1" t="s">
        <v>921</v>
      </c>
      <c r="S2770" s="1" t="s">
        <v>981</v>
      </c>
      <c r="T2770" s="1"/>
      <c r="U2770" s="1"/>
      <c r="V2770" s="1"/>
      <c r="W2770" s="1"/>
      <c r="X2770" s="1"/>
      <c r="Y2770" s="1"/>
    </row>
    <row r="2771" spans="1:25" x14ac:dyDescent="0.25">
      <c r="A2771" s="8" t="s">
        <v>9032</v>
      </c>
      <c r="I2771" s="1" t="s">
        <v>964</v>
      </c>
      <c r="J2771" s="1" t="s">
        <v>1109</v>
      </c>
      <c r="K2771" s="1" t="s">
        <v>919</v>
      </c>
      <c r="L2771" s="1" t="s">
        <v>25</v>
      </c>
      <c r="M2771" s="1" t="s">
        <v>923</v>
      </c>
      <c r="N2771" s="1" t="s">
        <v>916</v>
      </c>
      <c r="O2771" s="1" t="s">
        <v>1078</v>
      </c>
      <c r="P2771" s="1" t="s">
        <v>980</v>
      </c>
      <c r="Q2771" s="1" t="s">
        <v>920</v>
      </c>
      <c r="R2771" s="1" t="s">
        <v>921</v>
      </c>
      <c r="S2771" s="1" t="s">
        <v>981</v>
      </c>
      <c r="T2771" s="1"/>
      <c r="U2771" s="1"/>
      <c r="V2771" s="1"/>
      <c r="W2771" s="1"/>
      <c r="X2771" s="1"/>
      <c r="Y2771" s="1"/>
    </row>
    <row r="2772" spans="1:25" x14ac:dyDescent="0.25">
      <c r="A2772" s="7" t="s">
        <v>10478</v>
      </c>
      <c r="I2772" s="1" t="s">
        <v>964</v>
      </c>
      <c r="J2772" s="1" t="s">
        <v>1109</v>
      </c>
      <c r="K2772" s="1" t="s">
        <v>919</v>
      </c>
      <c r="L2772" s="1" t="s">
        <v>25</v>
      </c>
      <c r="M2772" s="1" t="s">
        <v>923</v>
      </c>
      <c r="N2772" s="1" t="s">
        <v>916</v>
      </c>
      <c r="O2772" s="1" t="s">
        <v>1078</v>
      </c>
      <c r="P2772" s="1" t="s">
        <v>980</v>
      </c>
      <c r="Q2772" s="1" t="s">
        <v>920</v>
      </c>
      <c r="R2772" s="1" t="s">
        <v>921</v>
      </c>
      <c r="S2772" s="1" t="s">
        <v>981</v>
      </c>
      <c r="T2772" s="1"/>
      <c r="U2772" s="1"/>
      <c r="V2772" s="1"/>
      <c r="W2772" s="1"/>
      <c r="X2772" s="1"/>
      <c r="Y2772" s="1"/>
    </row>
    <row r="2773" spans="1:25" x14ac:dyDescent="0.25">
      <c r="A2773" s="7" t="s">
        <v>2238</v>
      </c>
      <c r="I2773" s="1" t="s">
        <v>25</v>
      </c>
      <c r="J2773" s="1" t="s">
        <v>918</v>
      </c>
      <c r="K2773" s="1" t="s">
        <v>919</v>
      </c>
      <c r="L2773" s="1" t="s">
        <v>929</v>
      </c>
      <c r="M2773" s="1" t="s">
        <v>923</v>
      </c>
      <c r="N2773" s="1" t="s">
        <v>916</v>
      </c>
      <c r="O2773" s="1" t="s">
        <v>1078</v>
      </c>
      <c r="P2773" s="1" t="s">
        <v>980</v>
      </c>
      <c r="Q2773" s="1" t="s">
        <v>920</v>
      </c>
      <c r="R2773" s="1" t="s">
        <v>921</v>
      </c>
      <c r="S2773" s="1"/>
      <c r="T2773" s="1"/>
      <c r="U2773" s="1"/>
      <c r="V2773" s="1"/>
      <c r="W2773" s="1"/>
      <c r="X2773" s="1"/>
      <c r="Y2773" s="1"/>
    </row>
    <row r="2774" spans="1:25" x14ac:dyDescent="0.25">
      <c r="A2774" s="7" t="s">
        <v>2238</v>
      </c>
      <c r="I2774" s="1" t="s">
        <v>918</v>
      </c>
      <c r="J2774" s="1" t="s">
        <v>25</v>
      </c>
      <c r="K2774" s="1" t="s">
        <v>927</v>
      </c>
      <c r="L2774" s="1" t="s">
        <v>939</v>
      </c>
      <c r="M2774" s="1" t="s">
        <v>928</v>
      </c>
      <c r="N2774" s="1" t="s">
        <v>919</v>
      </c>
      <c r="O2774" s="1" t="s">
        <v>929</v>
      </c>
      <c r="P2774" s="1" t="s">
        <v>923</v>
      </c>
      <c r="Q2774" s="1" t="s">
        <v>916</v>
      </c>
      <c r="R2774" s="1" t="s">
        <v>1078</v>
      </c>
      <c r="S2774" s="1" t="s">
        <v>980</v>
      </c>
      <c r="T2774" s="1" t="s">
        <v>920</v>
      </c>
      <c r="U2774" s="1" t="s">
        <v>921</v>
      </c>
      <c r="V2774" s="1" t="s">
        <v>1034</v>
      </c>
      <c r="W2774" s="1" t="s">
        <v>956</v>
      </c>
      <c r="X2774" s="1"/>
      <c r="Y2774" s="1"/>
    </row>
    <row r="2775" spans="1:25" x14ac:dyDescent="0.25">
      <c r="A2775" s="7" t="s">
        <v>2238</v>
      </c>
      <c r="I2775" s="1" t="s">
        <v>996</v>
      </c>
      <c r="J2775" s="1" t="s">
        <v>25</v>
      </c>
      <c r="K2775" s="1" t="s">
        <v>923</v>
      </c>
      <c r="L2775" s="1" t="s">
        <v>997</v>
      </c>
      <c r="M2775" s="1" t="s">
        <v>916</v>
      </c>
      <c r="N2775" s="1" t="s">
        <v>1078</v>
      </c>
      <c r="O2775" s="1" t="s">
        <v>980</v>
      </c>
      <c r="P2775" s="1" t="s">
        <v>919</v>
      </c>
      <c r="Q2775" s="1" t="s">
        <v>920</v>
      </c>
      <c r="R2775" s="1" t="s">
        <v>921</v>
      </c>
      <c r="S2775" s="1" t="s">
        <v>943</v>
      </c>
      <c r="T2775" s="1" t="s">
        <v>945</v>
      </c>
      <c r="U2775" s="1"/>
      <c r="V2775" s="1"/>
      <c r="W2775" s="1"/>
      <c r="X2775" s="1"/>
      <c r="Y2775" s="1"/>
    </row>
    <row r="2776" spans="1:25" x14ac:dyDescent="0.25">
      <c r="A2776" s="7" t="s">
        <v>2238</v>
      </c>
      <c r="I2776" s="1" t="s">
        <v>10751</v>
      </c>
      <c r="J2776" s="1" t="s">
        <v>958</v>
      </c>
      <c r="K2776" s="1" t="s">
        <v>925</v>
      </c>
      <c r="L2776" s="1" t="s">
        <v>1081</v>
      </c>
      <c r="M2776" s="1" t="s">
        <v>953</v>
      </c>
      <c r="N2776" s="1" t="s">
        <v>919</v>
      </c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25">
      <c r="A2777" s="7" t="s">
        <v>2238</v>
      </c>
      <c r="I2777" s="1" t="s">
        <v>964</v>
      </c>
      <c r="J2777" s="1" t="s">
        <v>4258</v>
      </c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25">
      <c r="A2778" s="7" t="s">
        <v>2238</v>
      </c>
      <c r="I2778" s="1" t="s">
        <v>964</v>
      </c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25">
      <c r="A2779" s="7" t="s">
        <v>8914</v>
      </c>
      <c r="I2779" s="1" t="s">
        <v>964</v>
      </c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25">
      <c r="A2780" s="8" t="s">
        <v>8914</v>
      </c>
      <c r="I2780" s="1" t="s">
        <v>964</v>
      </c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25">
      <c r="A2781" s="8" t="s">
        <v>8914</v>
      </c>
      <c r="I2781" s="1" t="s">
        <v>90</v>
      </c>
      <c r="J2781" s="1" t="s">
        <v>996</v>
      </c>
      <c r="K2781" s="1" t="s">
        <v>25</v>
      </c>
      <c r="L2781" s="1" t="s">
        <v>923</v>
      </c>
      <c r="M2781" s="1" t="s">
        <v>997</v>
      </c>
      <c r="N2781" s="1" t="s">
        <v>927</v>
      </c>
      <c r="O2781" s="1" t="s">
        <v>998</v>
      </c>
      <c r="P2781" s="1" t="s">
        <v>1086</v>
      </c>
      <c r="Q2781" s="1" t="s">
        <v>994</v>
      </c>
      <c r="R2781" s="1" t="s">
        <v>981</v>
      </c>
      <c r="S2781" s="1" t="s">
        <v>920</v>
      </c>
      <c r="T2781" s="1" t="s">
        <v>933</v>
      </c>
      <c r="U2781" s="1" t="s">
        <v>960</v>
      </c>
      <c r="V2781" s="1" t="s">
        <v>921</v>
      </c>
      <c r="W2781" s="1" t="s">
        <v>993</v>
      </c>
      <c r="X2781" s="1"/>
      <c r="Y2781" s="1"/>
    </row>
    <row r="2782" spans="1:25" x14ac:dyDescent="0.25">
      <c r="A2782" s="8" t="s">
        <v>8914</v>
      </c>
      <c r="I2782" s="1" t="s">
        <v>90</v>
      </c>
      <c r="J2782" s="1" t="s">
        <v>996</v>
      </c>
      <c r="K2782" s="1" t="s">
        <v>25</v>
      </c>
      <c r="L2782" s="1" t="s">
        <v>923</v>
      </c>
      <c r="M2782" s="1" t="s">
        <v>997</v>
      </c>
      <c r="N2782" s="1" t="s">
        <v>927</v>
      </c>
      <c r="O2782" s="1" t="s">
        <v>998</v>
      </c>
      <c r="P2782" s="1" t="s">
        <v>1086</v>
      </c>
      <c r="Q2782" s="1" t="s">
        <v>994</v>
      </c>
      <c r="R2782" s="1" t="s">
        <v>10751</v>
      </c>
      <c r="S2782" s="1"/>
      <c r="T2782" s="1"/>
      <c r="U2782" s="1"/>
      <c r="V2782" s="1"/>
      <c r="W2782" s="1"/>
      <c r="X2782" s="1"/>
      <c r="Y2782" s="1"/>
    </row>
    <row r="2783" spans="1:25" x14ac:dyDescent="0.25">
      <c r="A2783" s="8" t="s">
        <v>8914</v>
      </c>
      <c r="I2783" s="1" t="s">
        <v>90</v>
      </c>
      <c r="J2783" s="1" t="s">
        <v>996</v>
      </c>
      <c r="K2783" s="1" t="s">
        <v>25</v>
      </c>
      <c r="L2783" s="1" t="s">
        <v>923</v>
      </c>
      <c r="M2783" s="1" t="s">
        <v>997</v>
      </c>
      <c r="N2783" s="1" t="s">
        <v>927</v>
      </c>
      <c r="O2783" s="1" t="s">
        <v>998</v>
      </c>
      <c r="P2783" s="1" t="s">
        <v>1086</v>
      </c>
      <c r="Q2783" s="1" t="s">
        <v>994</v>
      </c>
      <c r="R2783" s="1"/>
      <c r="S2783" s="1"/>
      <c r="T2783" s="1"/>
      <c r="U2783" s="1"/>
      <c r="V2783" s="1"/>
      <c r="W2783" s="1"/>
      <c r="X2783" s="1"/>
      <c r="Y2783" s="1"/>
    </row>
    <row r="2784" spans="1:25" x14ac:dyDescent="0.25">
      <c r="A2784" s="8" t="s">
        <v>8914</v>
      </c>
      <c r="I2784" s="1" t="s">
        <v>25</v>
      </c>
      <c r="J2784" s="1" t="s">
        <v>1086</v>
      </c>
      <c r="K2784" s="1" t="s">
        <v>919</v>
      </c>
      <c r="L2784" s="1" t="s">
        <v>920</v>
      </c>
      <c r="M2784" s="1" t="s">
        <v>921</v>
      </c>
      <c r="N2784" s="1" t="s">
        <v>90</v>
      </c>
      <c r="O2784" s="1" t="s">
        <v>996</v>
      </c>
      <c r="P2784" s="1" t="s">
        <v>923</v>
      </c>
      <c r="Q2784" s="1" t="s">
        <v>997</v>
      </c>
      <c r="R2784" s="1" t="s">
        <v>927</v>
      </c>
      <c r="S2784" s="1" t="s">
        <v>998</v>
      </c>
      <c r="T2784" s="1" t="s">
        <v>994</v>
      </c>
      <c r="U2784" s="1"/>
      <c r="V2784" s="1"/>
      <c r="W2784" s="1"/>
      <c r="X2784" s="1"/>
      <c r="Y2784" s="1"/>
    </row>
    <row r="2785" spans="1:25" x14ac:dyDescent="0.25">
      <c r="A2785" s="7" t="s">
        <v>9556</v>
      </c>
      <c r="I2785" s="1" t="s">
        <v>998</v>
      </c>
      <c r="J2785" s="1" t="s">
        <v>933</v>
      </c>
      <c r="K2785" s="1" t="s">
        <v>994</v>
      </c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25">
      <c r="A2786" s="7" t="s">
        <v>9556</v>
      </c>
      <c r="I2786" s="1" t="s">
        <v>998</v>
      </c>
      <c r="J2786" s="1" t="s">
        <v>933</v>
      </c>
      <c r="K2786" s="1" t="s">
        <v>994</v>
      </c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25">
      <c r="A2787" s="8" t="s">
        <v>9556</v>
      </c>
      <c r="I2787" s="1" t="s">
        <v>998</v>
      </c>
      <c r="J2787" s="1" t="s">
        <v>933</v>
      </c>
      <c r="K2787" s="1" t="s">
        <v>994</v>
      </c>
      <c r="L2787" s="1" t="s">
        <v>25</v>
      </c>
      <c r="M2787" s="1" t="s">
        <v>997</v>
      </c>
      <c r="N2787" s="1" t="s">
        <v>927</v>
      </c>
      <c r="O2787" s="1" t="s">
        <v>920</v>
      </c>
      <c r="P2787" s="1"/>
      <c r="Q2787" s="1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25">
      <c r="A2788" s="8" t="s">
        <v>9556</v>
      </c>
      <c r="I2788" s="1" t="s">
        <v>998</v>
      </c>
      <c r="J2788" s="1" t="s">
        <v>933</v>
      </c>
      <c r="K2788" s="1" t="s">
        <v>994</v>
      </c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25">
      <c r="A2789" s="8" t="s">
        <v>9556</v>
      </c>
      <c r="I2789" s="1" t="s">
        <v>951</v>
      </c>
      <c r="J2789" s="1" t="s">
        <v>1051</v>
      </c>
      <c r="K2789" s="1" t="s">
        <v>1052</v>
      </c>
      <c r="L2789" s="1" t="s">
        <v>1100</v>
      </c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25">
      <c r="A2790" s="8" t="s">
        <v>10598</v>
      </c>
      <c r="I2790" s="1" t="s">
        <v>951</v>
      </c>
      <c r="J2790" s="1" t="s">
        <v>1051</v>
      </c>
      <c r="K2790" s="1" t="s">
        <v>1052</v>
      </c>
      <c r="L2790" s="1" t="s">
        <v>1100</v>
      </c>
      <c r="M2790" s="1" t="s">
        <v>1000</v>
      </c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25">
      <c r="A2791" s="8" t="s">
        <v>9059</v>
      </c>
      <c r="I2791" s="1" t="s">
        <v>918</v>
      </c>
      <c r="J2791" s="1" t="s">
        <v>25</v>
      </c>
      <c r="K2791" s="1" t="s">
        <v>919</v>
      </c>
      <c r="L2791" s="1" t="s">
        <v>920</v>
      </c>
      <c r="M2791" s="1" t="s">
        <v>924</v>
      </c>
      <c r="N2791" s="1" t="s">
        <v>983</v>
      </c>
      <c r="O2791" s="1" t="s">
        <v>984</v>
      </c>
      <c r="P2791" s="1"/>
      <c r="Q2791" s="1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25">
      <c r="A2792" s="7" t="s">
        <v>9564</v>
      </c>
      <c r="I2792" s="1" t="s">
        <v>918</v>
      </c>
      <c r="J2792" s="1" t="s">
        <v>25</v>
      </c>
      <c r="K2792" s="1" t="s">
        <v>919</v>
      </c>
      <c r="L2792" s="1" t="s">
        <v>920</v>
      </c>
      <c r="M2792" s="1" t="s">
        <v>924</v>
      </c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25">
      <c r="A2793" s="7" t="s">
        <v>9671</v>
      </c>
      <c r="I2793" s="1" t="s">
        <v>918</v>
      </c>
      <c r="J2793" s="1" t="s">
        <v>25</v>
      </c>
      <c r="K2793" s="1" t="s">
        <v>919</v>
      </c>
      <c r="L2793" s="1" t="s">
        <v>920</v>
      </c>
      <c r="M2793" s="1" t="s">
        <v>924</v>
      </c>
      <c r="N2793" s="1" t="s">
        <v>927</v>
      </c>
      <c r="O2793" s="1" t="s">
        <v>981</v>
      </c>
      <c r="P2793" s="1" t="s">
        <v>921</v>
      </c>
      <c r="Q2793" s="1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25">
      <c r="A2794" s="7" t="s">
        <v>5382</v>
      </c>
      <c r="I2794" s="1" t="s">
        <v>918</v>
      </c>
      <c r="J2794" s="1" t="s">
        <v>25</v>
      </c>
      <c r="K2794" s="1" t="s">
        <v>919</v>
      </c>
      <c r="L2794" s="1" t="s">
        <v>920</v>
      </c>
      <c r="M2794" s="1" t="s">
        <v>924</v>
      </c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25">
      <c r="A2795" s="7" t="s">
        <v>5003</v>
      </c>
      <c r="I2795" s="1" t="s">
        <v>918</v>
      </c>
      <c r="J2795" s="1" t="s">
        <v>25</v>
      </c>
      <c r="K2795" s="1" t="s">
        <v>919</v>
      </c>
      <c r="L2795" s="1" t="s">
        <v>920</v>
      </c>
      <c r="M2795" s="1" t="s">
        <v>924</v>
      </c>
      <c r="N2795" s="1" t="s">
        <v>961</v>
      </c>
      <c r="O2795" s="1" t="s">
        <v>921</v>
      </c>
      <c r="P2795" s="1"/>
      <c r="Q2795" s="1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25">
      <c r="A2796" s="7" t="s">
        <v>5003</v>
      </c>
      <c r="I2796" s="1" t="s">
        <v>918</v>
      </c>
      <c r="J2796" s="1" t="s">
        <v>25</v>
      </c>
      <c r="K2796" s="1" t="s">
        <v>919</v>
      </c>
      <c r="L2796" s="1" t="s">
        <v>920</v>
      </c>
      <c r="M2796" s="1" t="s">
        <v>924</v>
      </c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25">
      <c r="A2797" s="7" t="s">
        <v>5003</v>
      </c>
      <c r="I2797" s="1" t="s">
        <v>931</v>
      </c>
      <c r="J2797" s="1" t="s">
        <v>25</v>
      </c>
      <c r="K2797" s="1" t="s">
        <v>923</v>
      </c>
      <c r="L2797" s="1" t="s">
        <v>973</v>
      </c>
      <c r="M2797" s="1" t="s">
        <v>916</v>
      </c>
      <c r="N2797" s="1" t="s">
        <v>920</v>
      </c>
      <c r="O2797" s="1" t="s">
        <v>974</v>
      </c>
      <c r="P2797" s="1" t="s">
        <v>949</v>
      </c>
      <c r="Q2797" s="1" t="s">
        <v>933</v>
      </c>
      <c r="R2797" s="1"/>
      <c r="S2797" s="1"/>
      <c r="T2797" s="1"/>
      <c r="U2797" s="1"/>
      <c r="V2797" s="1"/>
      <c r="W2797" s="1"/>
      <c r="X2797" s="1"/>
      <c r="Y2797" s="1"/>
    </row>
    <row r="2798" spans="1:25" x14ac:dyDescent="0.25">
      <c r="A2798" s="7" t="s">
        <v>5003</v>
      </c>
      <c r="I2798" s="1" t="s">
        <v>918</v>
      </c>
      <c r="J2798" s="1" t="s">
        <v>949</v>
      </c>
      <c r="K2798" s="1" t="s">
        <v>25</v>
      </c>
      <c r="L2798" s="1" t="s">
        <v>923</v>
      </c>
      <c r="M2798" s="1" t="s">
        <v>919</v>
      </c>
      <c r="N2798" s="1" t="s">
        <v>920</v>
      </c>
      <c r="O2798" s="1" t="s">
        <v>974</v>
      </c>
      <c r="P2798" s="1" t="s">
        <v>921</v>
      </c>
      <c r="Q2798" s="1" t="s">
        <v>1110</v>
      </c>
      <c r="R2798" s="1" t="s">
        <v>916</v>
      </c>
      <c r="S2798" s="1" t="s">
        <v>933</v>
      </c>
      <c r="T2798" s="1" t="s">
        <v>954</v>
      </c>
      <c r="U2798" s="1"/>
      <c r="V2798" s="1"/>
      <c r="W2798" s="1"/>
      <c r="X2798" s="1"/>
      <c r="Y2798" s="1"/>
    </row>
    <row r="2799" spans="1:25" x14ac:dyDescent="0.25">
      <c r="A2799" s="7" t="s">
        <v>5003</v>
      </c>
      <c r="I2799" s="1" t="s">
        <v>949</v>
      </c>
      <c r="J2799" s="1" t="s">
        <v>1110</v>
      </c>
      <c r="K2799" s="1" t="s">
        <v>25</v>
      </c>
      <c r="L2799" s="1" t="s">
        <v>923</v>
      </c>
      <c r="M2799" s="1" t="s">
        <v>920</v>
      </c>
      <c r="N2799" s="1" t="s">
        <v>954</v>
      </c>
      <c r="O2799" s="1" t="s">
        <v>328</v>
      </c>
      <c r="P2799" s="1"/>
      <c r="Q2799" s="1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25">
      <c r="A2800" s="7" t="s">
        <v>5003</v>
      </c>
      <c r="I2800" s="1" t="s">
        <v>918</v>
      </c>
      <c r="J2800" s="1" t="s">
        <v>1110</v>
      </c>
      <c r="K2800" s="1" t="s">
        <v>25</v>
      </c>
      <c r="L2800" s="1" t="s">
        <v>923</v>
      </c>
      <c r="M2800" s="1" t="s">
        <v>919</v>
      </c>
      <c r="N2800" s="1" t="s">
        <v>920</v>
      </c>
      <c r="O2800" s="1" t="s">
        <v>954</v>
      </c>
      <c r="P2800" s="1" t="s">
        <v>328</v>
      </c>
      <c r="Q2800" s="1" t="s">
        <v>921</v>
      </c>
      <c r="R2800" s="1" t="s">
        <v>949</v>
      </c>
      <c r="S2800" s="1"/>
      <c r="T2800" s="1"/>
      <c r="U2800" s="1"/>
      <c r="V2800" s="1"/>
      <c r="W2800" s="1"/>
      <c r="X2800" s="1"/>
      <c r="Y2800" s="1"/>
    </row>
    <row r="2801" spans="1:25" x14ac:dyDescent="0.25">
      <c r="A2801" s="8" t="s">
        <v>5003</v>
      </c>
      <c r="I2801" s="1" t="s">
        <v>918</v>
      </c>
      <c r="J2801" s="1" t="s">
        <v>25</v>
      </c>
      <c r="K2801" s="1" t="s">
        <v>919</v>
      </c>
      <c r="L2801" s="1" t="s">
        <v>920</v>
      </c>
      <c r="M2801" s="1" t="s">
        <v>924</v>
      </c>
      <c r="N2801" s="1" t="s">
        <v>934</v>
      </c>
      <c r="O2801" s="1" t="s">
        <v>949</v>
      </c>
      <c r="P2801" s="1" t="s">
        <v>923</v>
      </c>
      <c r="Q2801" s="1" t="s">
        <v>916</v>
      </c>
      <c r="R2801" s="1" t="s">
        <v>933</v>
      </c>
      <c r="S2801" s="1" t="s">
        <v>954</v>
      </c>
      <c r="T2801" s="1" t="s">
        <v>974</v>
      </c>
      <c r="U2801" s="1" t="s">
        <v>921</v>
      </c>
      <c r="V2801" s="1"/>
      <c r="W2801" s="1"/>
      <c r="X2801" s="1"/>
      <c r="Y2801" s="1"/>
    </row>
    <row r="2802" spans="1:25" x14ac:dyDescent="0.25">
      <c r="A2802" s="8" t="s">
        <v>5003</v>
      </c>
      <c r="I2802" s="1" t="s">
        <v>918</v>
      </c>
      <c r="J2802" s="1" t="s">
        <v>949</v>
      </c>
      <c r="K2802" s="1" t="s">
        <v>25</v>
      </c>
      <c r="L2802" s="1" t="s">
        <v>923</v>
      </c>
      <c r="M2802" s="1" t="s">
        <v>919</v>
      </c>
      <c r="N2802" s="1" t="s">
        <v>920</v>
      </c>
      <c r="O2802" s="1" t="s">
        <v>974</v>
      </c>
      <c r="P2802" s="1" t="s">
        <v>921</v>
      </c>
      <c r="Q2802" s="1" t="s">
        <v>954</v>
      </c>
      <c r="R2802" s="1"/>
      <c r="S2802" s="1"/>
      <c r="T2802" s="1"/>
      <c r="U2802" s="1"/>
      <c r="V2802" s="1"/>
      <c r="W2802" s="1"/>
      <c r="X2802" s="1"/>
      <c r="Y2802" s="1"/>
    </row>
    <row r="2803" spans="1:25" x14ac:dyDescent="0.25">
      <c r="A2803" s="8" t="s">
        <v>5003</v>
      </c>
      <c r="I2803" s="1" t="s">
        <v>25</v>
      </c>
      <c r="J2803" s="1" t="s">
        <v>923</v>
      </c>
      <c r="K2803" s="1" t="s">
        <v>920</v>
      </c>
      <c r="L2803" s="1" t="s">
        <v>954</v>
      </c>
      <c r="M2803" s="1" t="s">
        <v>921</v>
      </c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25">
      <c r="A2804" s="8" t="s">
        <v>5003</v>
      </c>
      <c r="I2804" s="1" t="s">
        <v>25</v>
      </c>
      <c r="J2804" s="1" t="s">
        <v>923</v>
      </c>
      <c r="K2804" s="1" t="s">
        <v>920</v>
      </c>
      <c r="L2804" s="1" t="s">
        <v>954</v>
      </c>
      <c r="M2804" s="1" t="s">
        <v>921</v>
      </c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25">
      <c r="A2805" s="8" t="s">
        <v>5003</v>
      </c>
      <c r="I2805" s="1" t="s">
        <v>25</v>
      </c>
      <c r="J2805" s="1" t="s">
        <v>923</v>
      </c>
      <c r="K2805" s="1" t="s">
        <v>920</v>
      </c>
      <c r="L2805" s="1" t="s">
        <v>933</v>
      </c>
      <c r="M2805" s="1" t="s">
        <v>954</v>
      </c>
      <c r="N2805" s="1" t="s">
        <v>974</v>
      </c>
      <c r="O2805" s="1" t="s">
        <v>921</v>
      </c>
      <c r="P2805" s="1"/>
      <c r="Q2805" s="1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25">
      <c r="A2806" s="7" t="s">
        <v>9176</v>
      </c>
      <c r="I2806" s="1" t="s">
        <v>25</v>
      </c>
      <c r="J2806" s="1" t="s">
        <v>923</v>
      </c>
      <c r="K2806" s="1" t="s">
        <v>920</v>
      </c>
      <c r="L2806" s="1" t="s">
        <v>933</v>
      </c>
      <c r="M2806" s="1" t="s">
        <v>954</v>
      </c>
      <c r="N2806" s="1" t="s">
        <v>974</v>
      </c>
      <c r="O2806" s="1" t="s">
        <v>921</v>
      </c>
      <c r="P2806" s="1"/>
      <c r="Q2806" s="1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25">
      <c r="A2807" s="7" t="s">
        <v>9778</v>
      </c>
      <c r="I2807" s="1" t="s">
        <v>25</v>
      </c>
      <c r="J2807" s="1" t="s">
        <v>923</v>
      </c>
      <c r="K2807" s="1" t="s">
        <v>920</v>
      </c>
      <c r="L2807" s="1" t="s">
        <v>933</v>
      </c>
      <c r="M2807" s="1" t="s">
        <v>954</v>
      </c>
      <c r="N2807" s="1" t="s">
        <v>974</v>
      </c>
      <c r="O2807" s="1" t="s">
        <v>921</v>
      </c>
      <c r="P2807" s="1"/>
      <c r="Q2807" s="1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25">
      <c r="A2808" s="8" t="s">
        <v>9778</v>
      </c>
      <c r="I2808" s="1" t="s">
        <v>298</v>
      </c>
      <c r="J2808" s="1" t="s">
        <v>918</v>
      </c>
      <c r="K2808" s="1" t="s">
        <v>25</v>
      </c>
      <c r="L2808" s="1" t="s">
        <v>923</v>
      </c>
      <c r="M2808" s="1" t="s">
        <v>919</v>
      </c>
      <c r="N2808" s="1" t="s">
        <v>920</v>
      </c>
      <c r="O2808" s="1" t="s">
        <v>933</v>
      </c>
      <c r="P2808" s="1" t="s">
        <v>328</v>
      </c>
      <c r="Q2808" s="1" t="s">
        <v>921</v>
      </c>
      <c r="R2808" s="1" t="s">
        <v>954</v>
      </c>
      <c r="S2808" s="1" t="s">
        <v>974</v>
      </c>
      <c r="T2808" s="1"/>
      <c r="U2808" s="1"/>
      <c r="V2808" s="1"/>
      <c r="W2808" s="1"/>
      <c r="X2808" s="1"/>
      <c r="Y2808" s="1"/>
    </row>
    <row r="2809" spans="1:25" x14ac:dyDescent="0.25">
      <c r="A2809" s="7" t="s">
        <v>9064</v>
      </c>
      <c r="I2809" s="1" t="s">
        <v>1001</v>
      </c>
      <c r="J2809" s="1" t="s">
        <v>918</v>
      </c>
      <c r="K2809" s="1" t="s">
        <v>927</v>
      </c>
      <c r="L2809" s="1" t="s">
        <v>1000</v>
      </c>
      <c r="M2809" s="1" t="s">
        <v>919</v>
      </c>
      <c r="N2809" s="1" t="s">
        <v>936</v>
      </c>
      <c r="O2809" s="1" t="s">
        <v>921</v>
      </c>
      <c r="P2809" s="1"/>
      <c r="Q2809" s="1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25">
      <c r="A2810" s="7" t="s">
        <v>9064</v>
      </c>
      <c r="I2810" s="1" t="s">
        <v>1001</v>
      </c>
      <c r="J2810" s="1" t="s">
        <v>918</v>
      </c>
      <c r="K2810" s="1" t="s">
        <v>927</v>
      </c>
      <c r="L2810" s="1" t="s">
        <v>981</v>
      </c>
      <c r="M2810" s="1" t="s">
        <v>919</v>
      </c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25">
      <c r="A2811" s="7" t="s">
        <v>9064</v>
      </c>
      <c r="I2811" s="1" t="s">
        <v>1001</v>
      </c>
      <c r="J2811" s="1" t="s">
        <v>918</v>
      </c>
      <c r="K2811" s="1" t="s">
        <v>927</v>
      </c>
      <c r="L2811" s="1" t="s">
        <v>981</v>
      </c>
      <c r="M2811" s="1" t="s">
        <v>919</v>
      </c>
      <c r="N2811" s="1" t="s">
        <v>25</v>
      </c>
      <c r="O2811" s="1" t="s">
        <v>998</v>
      </c>
      <c r="P2811" s="1" t="s">
        <v>920</v>
      </c>
      <c r="Q2811" s="1" t="s">
        <v>933</v>
      </c>
      <c r="R2811" s="1" t="s">
        <v>921</v>
      </c>
      <c r="S2811" s="1" t="s">
        <v>994</v>
      </c>
      <c r="T2811" s="1"/>
      <c r="U2811" s="1"/>
      <c r="V2811" s="1"/>
      <c r="W2811" s="1"/>
      <c r="X2811" s="1"/>
      <c r="Y2811" s="1"/>
    </row>
    <row r="2812" spans="1:25" x14ac:dyDescent="0.25">
      <c r="A2812" s="8" t="s">
        <v>9064</v>
      </c>
      <c r="I2812" s="1" t="s">
        <v>955</v>
      </c>
      <c r="J2812" s="1" t="s">
        <v>919</v>
      </c>
      <c r="K2812" s="1" t="s">
        <v>924</v>
      </c>
      <c r="L2812" s="1" t="s">
        <v>930</v>
      </c>
      <c r="M2812" s="1" t="s">
        <v>944</v>
      </c>
      <c r="N2812" s="1" t="s">
        <v>956</v>
      </c>
      <c r="O2812" s="1" t="s">
        <v>957</v>
      </c>
      <c r="P2812" s="1" t="s">
        <v>941</v>
      </c>
      <c r="Q2812" s="1" t="s">
        <v>1014</v>
      </c>
      <c r="R2812" s="1" t="s">
        <v>1001</v>
      </c>
      <c r="S2812" s="1" t="s">
        <v>918</v>
      </c>
      <c r="T2812" s="1" t="s">
        <v>927</v>
      </c>
      <c r="U2812" s="1" t="s">
        <v>981</v>
      </c>
      <c r="V2812" s="1"/>
      <c r="W2812" s="1"/>
      <c r="X2812" s="1"/>
      <c r="Y2812" s="1"/>
    </row>
    <row r="2813" spans="1:25" x14ac:dyDescent="0.25">
      <c r="A2813" s="8" t="s">
        <v>9064</v>
      </c>
      <c r="I2813" s="1" t="s">
        <v>1001</v>
      </c>
      <c r="J2813" s="1" t="s">
        <v>918</v>
      </c>
      <c r="K2813" s="1" t="s">
        <v>927</v>
      </c>
      <c r="L2813" s="1" t="s">
        <v>981</v>
      </c>
      <c r="M2813" s="1" t="s">
        <v>919</v>
      </c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25">
      <c r="A2814" s="8" t="s">
        <v>9064</v>
      </c>
      <c r="I2814" s="1" t="s">
        <v>927</v>
      </c>
      <c r="J2814" s="1" t="s">
        <v>981</v>
      </c>
      <c r="K2814" s="1" t="s">
        <v>919</v>
      </c>
      <c r="L2814" s="1" t="s">
        <v>920</v>
      </c>
      <c r="M2814" s="1" t="s">
        <v>921</v>
      </c>
      <c r="N2814" s="1" t="s">
        <v>1001</v>
      </c>
      <c r="O2814" s="1" t="s">
        <v>918</v>
      </c>
      <c r="P2814" s="1"/>
      <c r="Q2814" s="1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25">
      <c r="A2815" s="8" t="s">
        <v>9064</v>
      </c>
      <c r="I2815" s="1" t="s">
        <v>1001</v>
      </c>
      <c r="J2815" s="1" t="s">
        <v>918</v>
      </c>
      <c r="K2815" s="1" t="s">
        <v>927</v>
      </c>
      <c r="L2815" s="1" t="s">
        <v>981</v>
      </c>
      <c r="M2815" s="1" t="s">
        <v>919</v>
      </c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25">
      <c r="A2816" s="8" t="s">
        <v>9333</v>
      </c>
      <c r="I2816" s="1" t="s">
        <v>1001</v>
      </c>
      <c r="J2816" s="1" t="s">
        <v>918</v>
      </c>
      <c r="K2816" s="1" t="s">
        <v>927</v>
      </c>
      <c r="L2816" s="1" t="s">
        <v>981</v>
      </c>
      <c r="M2816" s="1" t="s">
        <v>919</v>
      </c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25">
      <c r="A2817" s="8" t="s">
        <v>10190</v>
      </c>
      <c r="I2817" s="1" t="s">
        <v>1001</v>
      </c>
      <c r="J2817" s="1" t="s">
        <v>992</v>
      </c>
      <c r="K2817" s="1" t="s">
        <v>981</v>
      </c>
      <c r="L2817" s="1" t="s">
        <v>1066</v>
      </c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25">
      <c r="A2818" s="8" t="s">
        <v>10190</v>
      </c>
      <c r="I2818" s="1" t="s">
        <v>918</v>
      </c>
      <c r="J2818" s="1" t="s">
        <v>25</v>
      </c>
      <c r="K2818" s="1" t="s">
        <v>919</v>
      </c>
      <c r="L2818" s="1" t="s">
        <v>924</v>
      </c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25">
      <c r="A2819" s="8" t="s">
        <v>10190</v>
      </c>
      <c r="I2819" s="1" t="s">
        <v>918</v>
      </c>
      <c r="J2819" s="1" t="s">
        <v>919</v>
      </c>
      <c r="K2819" s="1" t="s">
        <v>936</v>
      </c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25">
      <c r="A2820" s="7" t="s">
        <v>4767</v>
      </c>
      <c r="I2820" s="1" t="s">
        <v>918</v>
      </c>
      <c r="J2820" s="1" t="s">
        <v>919</v>
      </c>
      <c r="K2820" s="1" t="s">
        <v>936</v>
      </c>
      <c r="L2820" s="1" t="s">
        <v>1069</v>
      </c>
      <c r="M2820" s="1" t="s">
        <v>25</v>
      </c>
      <c r="N2820" s="1" t="s">
        <v>923</v>
      </c>
      <c r="O2820" s="1" t="s">
        <v>927</v>
      </c>
      <c r="P2820" s="1" t="s">
        <v>10761</v>
      </c>
      <c r="Q2820" s="1" t="s">
        <v>920</v>
      </c>
      <c r="R2820" s="1" t="s">
        <v>924</v>
      </c>
      <c r="S2820" s="1" t="s">
        <v>921</v>
      </c>
      <c r="T2820" s="1"/>
      <c r="U2820" s="1"/>
      <c r="V2820" s="1"/>
      <c r="W2820" s="1"/>
      <c r="X2820" s="1"/>
      <c r="Y2820" s="1"/>
    </row>
    <row r="2821" spans="1:25" x14ac:dyDescent="0.25">
      <c r="A2821" s="8" t="s">
        <v>9159</v>
      </c>
      <c r="I2821" s="1" t="s">
        <v>1001</v>
      </c>
      <c r="J2821" s="1" t="s">
        <v>927</v>
      </c>
      <c r="K2821" s="1" t="s">
        <v>992</v>
      </c>
      <c r="L2821" s="1" t="s">
        <v>981</v>
      </c>
      <c r="M2821" s="1" t="s">
        <v>993</v>
      </c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25">
      <c r="A2822" s="8" t="s">
        <v>10005</v>
      </c>
      <c r="I2822" s="1" t="s">
        <v>921</v>
      </c>
      <c r="J2822" s="1" t="s">
        <v>1001</v>
      </c>
      <c r="K2822" s="1" t="s">
        <v>927</v>
      </c>
      <c r="L2822" s="1" t="s">
        <v>992</v>
      </c>
      <c r="M2822" s="1" t="s">
        <v>981</v>
      </c>
      <c r="N2822" s="1" t="s">
        <v>993</v>
      </c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25">
      <c r="A2823" s="8" t="s">
        <v>10030</v>
      </c>
      <c r="I2823" s="1" t="s">
        <v>1001</v>
      </c>
      <c r="J2823" s="1" t="s">
        <v>927</v>
      </c>
      <c r="K2823" s="1" t="s">
        <v>992</v>
      </c>
      <c r="L2823" s="1" t="s">
        <v>981</v>
      </c>
      <c r="M2823" s="1" t="s">
        <v>993</v>
      </c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25">
      <c r="A2824" s="7" t="s">
        <v>9434</v>
      </c>
      <c r="I2824" s="1" t="s">
        <v>1001</v>
      </c>
      <c r="J2824" s="1" t="s">
        <v>927</v>
      </c>
      <c r="K2824" s="1" t="s">
        <v>992</v>
      </c>
      <c r="L2824" s="1" t="s">
        <v>981</v>
      </c>
      <c r="M2824" s="1" t="s">
        <v>993</v>
      </c>
      <c r="N2824" s="1" t="s">
        <v>987</v>
      </c>
      <c r="O2824" s="1" t="s">
        <v>994</v>
      </c>
      <c r="P2824" s="1"/>
      <c r="Q2824" s="1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25">
      <c r="A2825" s="7" t="s">
        <v>8638</v>
      </c>
      <c r="I2825" s="1" t="s">
        <v>927</v>
      </c>
      <c r="J2825" s="1" t="s">
        <v>919</v>
      </c>
      <c r="K2825" s="1" t="s">
        <v>924</v>
      </c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25">
      <c r="A2826" s="7" t="s">
        <v>8638</v>
      </c>
      <c r="I2826" s="1" t="s">
        <v>298</v>
      </c>
      <c r="J2826" s="1" t="s">
        <v>918</v>
      </c>
      <c r="K2826" s="1" t="s">
        <v>25</v>
      </c>
      <c r="L2826" s="1" t="s">
        <v>923</v>
      </c>
      <c r="M2826" s="1" t="s">
        <v>919</v>
      </c>
      <c r="N2826" s="1" t="s">
        <v>920</v>
      </c>
      <c r="O2826" s="1" t="s">
        <v>933</v>
      </c>
      <c r="P2826" s="1" t="s">
        <v>328</v>
      </c>
      <c r="Q2826" s="1" t="s">
        <v>921</v>
      </c>
      <c r="R2826" s="1" t="s">
        <v>927</v>
      </c>
      <c r="S2826" s="1" t="s">
        <v>924</v>
      </c>
      <c r="T2826" s="1"/>
      <c r="U2826" s="1"/>
      <c r="V2826" s="1"/>
      <c r="W2826" s="1"/>
      <c r="X2826" s="1"/>
      <c r="Y2826" s="1"/>
    </row>
    <row r="2827" spans="1:25" x14ac:dyDescent="0.25">
      <c r="A2827" s="7" t="s">
        <v>6309</v>
      </c>
      <c r="I2827" s="1" t="s">
        <v>927</v>
      </c>
      <c r="J2827" s="1" t="s">
        <v>919</v>
      </c>
      <c r="K2827" s="1" t="s">
        <v>924</v>
      </c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25">
      <c r="A2828" s="7" t="s">
        <v>9207</v>
      </c>
      <c r="I2828" s="1" t="s">
        <v>927</v>
      </c>
      <c r="J2828" s="1" t="s">
        <v>919</v>
      </c>
      <c r="K2828" s="1" t="s">
        <v>924</v>
      </c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25">
      <c r="A2829" s="8" t="s">
        <v>9207</v>
      </c>
      <c r="I2829" s="1" t="s">
        <v>927</v>
      </c>
      <c r="J2829" s="1" t="s">
        <v>919</v>
      </c>
      <c r="K2829" s="1" t="s">
        <v>924</v>
      </c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25">
      <c r="A2830" s="8" t="s">
        <v>9459</v>
      </c>
      <c r="I2830" s="1" t="s">
        <v>927</v>
      </c>
      <c r="J2830" s="1" t="s">
        <v>919</v>
      </c>
      <c r="K2830" s="1" t="s">
        <v>924</v>
      </c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25">
      <c r="A2831" s="8" t="s">
        <v>10439</v>
      </c>
      <c r="I2831" s="1" t="s">
        <v>925</v>
      </c>
      <c r="J2831" s="1" t="s">
        <v>927</v>
      </c>
      <c r="K2831" s="1" t="s">
        <v>919</v>
      </c>
      <c r="L2831" s="1" t="s">
        <v>924</v>
      </c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25">
      <c r="A2832" s="8" t="s">
        <v>10439</v>
      </c>
      <c r="I2832" s="1" t="s">
        <v>927</v>
      </c>
      <c r="J2832" s="1" t="s">
        <v>919</v>
      </c>
      <c r="K2832" s="1" t="s">
        <v>924</v>
      </c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25">
      <c r="A2833" s="7" t="s">
        <v>10085</v>
      </c>
      <c r="I2833" s="1" t="s">
        <v>927</v>
      </c>
      <c r="J2833" s="1" t="s">
        <v>919</v>
      </c>
      <c r="K2833" s="1" t="s">
        <v>924</v>
      </c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25">
      <c r="A2834" s="7" t="s">
        <v>2185</v>
      </c>
      <c r="I2834" s="1" t="s">
        <v>50</v>
      </c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25">
      <c r="A2835" s="7" t="s">
        <v>2185</v>
      </c>
      <c r="I2835" s="1" t="s">
        <v>927</v>
      </c>
      <c r="J2835" s="1" t="s">
        <v>919</v>
      </c>
      <c r="K2835" s="1" t="s">
        <v>924</v>
      </c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25">
      <c r="A2836" s="7" t="s">
        <v>2185</v>
      </c>
      <c r="I2836" s="1" t="s">
        <v>1001</v>
      </c>
      <c r="J2836" s="1" t="s">
        <v>919</v>
      </c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25">
      <c r="A2837" s="7" t="s">
        <v>2185</v>
      </c>
      <c r="I2837" s="1" t="s">
        <v>1001</v>
      </c>
      <c r="J2837" s="1" t="s">
        <v>919</v>
      </c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25">
      <c r="A2838" s="7" t="s">
        <v>2185</v>
      </c>
      <c r="I2838" s="1" t="s">
        <v>256</v>
      </c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25">
      <c r="A2839" s="7" t="s">
        <v>2185</v>
      </c>
      <c r="I2839" s="1" t="s">
        <v>256</v>
      </c>
      <c r="J2839" s="1" t="s">
        <v>1053</v>
      </c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25">
      <c r="A2840" s="8" t="s">
        <v>2185</v>
      </c>
      <c r="I2840" s="1" t="s">
        <v>11019</v>
      </c>
      <c r="J2840" s="1" t="s">
        <v>1049</v>
      </c>
      <c r="K2840" s="1" t="s">
        <v>256</v>
      </c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25">
      <c r="A2841" s="8" t="s">
        <v>2185</v>
      </c>
      <c r="I2841" s="1" t="s">
        <v>256</v>
      </c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25">
      <c r="A2842" s="8" t="s">
        <v>2185</v>
      </c>
      <c r="I2842" s="1" t="s">
        <v>918</v>
      </c>
      <c r="J2842" s="1" t="s">
        <v>25</v>
      </c>
      <c r="K2842" s="1" t="s">
        <v>923</v>
      </c>
      <c r="L2842" s="1" t="s">
        <v>840</v>
      </c>
      <c r="M2842" s="1" t="s">
        <v>920</v>
      </c>
      <c r="N2842" s="1" t="s">
        <v>328</v>
      </c>
      <c r="O2842" s="1" t="s">
        <v>921</v>
      </c>
      <c r="P2842" s="1" t="s">
        <v>1013</v>
      </c>
      <c r="Q2842" s="1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25">
      <c r="A2843" s="7" t="s">
        <v>4595</v>
      </c>
      <c r="I2843" s="1" t="s">
        <v>256</v>
      </c>
      <c r="J2843" s="1" t="s">
        <v>1013</v>
      </c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25">
      <c r="A2844" s="7" t="s">
        <v>4595</v>
      </c>
      <c r="I2844" s="1" t="s">
        <v>1013</v>
      </c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25">
      <c r="A2845" s="8" t="s">
        <v>9687</v>
      </c>
      <c r="I2845" s="1" t="s">
        <v>918</v>
      </c>
      <c r="J2845" s="1" t="s">
        <v>25</v>
      </c>
      <c r="K2845" s="1" t="s">
        <v>923</v>
      </c>
      <c r="L2845" s="1" t="s">
        <v>840</v>
      </c>
      <c r="M2845" s="1" t="s">
        <v>920</v>
      </c>
      <c r="N2845" s="1" t="s">
        <v>328</v>
      </c>
      <c r="O2845" s="1" t="s">
        <v>921</v>
      </c>
      <c r="P2845" s="1" t="s">
        <v>1013</v>
      </c>
      <c r="Q2845" s="1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25">
      <c r="A2846" s="8" t="s">
        <v>9052</v>
      </c>
      <c r="I2846" s="1" t="s">
        <v>996</v>
      </c>
      <c r="J2846" s="1" t="s">
        <v>25</v>
      </c>
      <c r="K2846" s="1" t="s">
        <v>923</v>
      </c>
      <c r="L2846" s="1" t="s">
        <v>998</v>
      </c>
      <c r="M2846" s="1" t="s">
        <v>1053</v>
      </c>
      <c r="N2846" s="1" t="s">
        <v>933</v>
      </c>
      <c r="O2846" s="1" t="s">
        <v>2541</v>
      </c>
      <c r="P2846" s="1" t="s">
        <v>1013</v>
      </c>
      <c r="Q2846" s="1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25">
      <c r="A2847" s="7" t="s">
        <v>10210</v>
      </c>
      <c r="I2847" s="1" t="s">
        <v>996</v>
      </c>
      <c r="J2847" s="1" t="s">
        <v>25</v>
      </c>
      <c r="K2847" s="1" t="s">
        <v>923</v>
      </c>
      <c r="L2847" s="1" t="s">
        <v>998</v>
      </c>
      <c r="M2847" s="1" t="s">
        <v>1053</v>
      </c>
      <c r="N2847" s="1" t="s">
        <v>933</v>
      </c>
      <c r="O2847" s="1" t="s">
        <v>2541</v>
      </c>
      <c r="P2847" s="1"/>
      <c r="Q2847" s="1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25">
      <c r="A2848" s="8" t="s">
        <v>9493</v>
      </c>
      <c r="I2848" s="1" t="s">
        <v>996</v>
      </c>
      <c r="J2848" s="1" t="s">
        <v>25</v>
      </c>
      <c r="K2848" s="1" t="s">
        <v>923</v>
      </c>
      <c r="L2848" s="1" t="s">
        <v>998</v>
      </c>
      <c r="M2848" s="1" t="s">
        <v>1053</v>
      </c>
      <c r="N2848" s="1" t="s">
        <v>933</v>
      </c>
      <c r="O2848" s="1" t="s">
        <v>2541</v>
      </c>
      <c r="P2848" s="1"/>
      <c r="Q2848" s="1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25">
      <c r="A2849" s="7" t="s">
        <v>10350</v>
      </c>
      <c r="I2849" s="1" t="s">
        <v>25</v>
      </c>
      <c r="J2849" s="1" t="s">
        <v>998</v>
      </c>
      <c r="K2849" s="1" t="s">
        <v>933</v>
      </c>
      <c r="L2849" s="1" t="s">
        <v>994</v>
      </c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25">
      <c r="A2850" s="8" t="s">
        <v>10350</v>
      </c>
      <c r="I2850" s="1" t="s">
        <v>25</v>
      </c>
      <c r="J2850" s="1" t="s">
        <v>998</v>
      </c>
      <c r="K2850" s="1" t="s">
        <v>933</v>
      </c>
      <c r="L2850" s="1" t="s">
        <v>994</v>
      </c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25">
      <c r="A2851" s="8" t="s">
        <v>9026</v>
      </c>
      <c r="I2851" s="1" t="s">
        <v>25</v>
      </c>
      <c r="J2851" s="1" t="s">
        <v>998</v>
      </c>
      <c r="K2851" s="1" t="s">
        <v>933</v>
      </c>
      <c r="L2851" s="1" t="s">
        <v>994</v>
      </c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25">
      <c r="A2852" s="8" t="s">
        <v>9026</v>
      </c>
      <c r="I2852" s="1" t="s">
        <v>25</v>
      </c>
      <c r="J2852" s="1" t="s">
        <v>998</v>
      </c>
      <c r="K2852" s="1" t="s">
        <v>933</v>
      </c>
      <c r="L2852" s="1" t="s">
        <v>994</v>
      </c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25">
      <c r="A2853" s="8" t="s">
        <v>9026</v>
      </c>
      <c r="I2853" s="1" t="s">
        <v>25</v>
      </c>
      <c r="J2853" s="1" t="s">
        <v>1086</v>
      </c>
      <c r="K2853" s="1" t="s">
        <v>920</v>
      </c>
      <c r="L2853" s="1" t="s">
        <v>933</v>
      </c>
      <c r="M2853" s="1" t="s">
        <v>978</v>
      </c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25">
      <c r="A2854" s="8" t="s">
        <v>9026</v>
      </c>
      <c r="I2854" s="1" t="s">
        <v>25</v>
      </c>
      <c r="J2854" s="1" t="s">
        <v>1086</v>
      </c>
      <c r="K2854" s="1" t="s">
        <v>920</v>
      </c>
      <c r="L2854" s="1" t="s">
        <v>933</v>
      </c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25">
      <c r="A2855" s="8" t="s">
        <v>9026</v>
      </c>
      <c r="I2855" s="1" t="s">
        <v>25</v>
      </c>
      <c r="J2855" s="1" t="s">
        <v>1086</v>
      </c>
      <c r="K2855" s="1" t="s">
        <v>920</v>
      </c>
      <c r="L2855" s="1" t="s">
        <v>933</v>
      </c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25">
      <c r="A2856" s="8" t="s">
        <v>9026</v>
      </c>
      <c r="I2856" s="1" t="s">
        <v>25</v>
      </c>
      <c r="J2856" s="1" t="s">
        <v>1086</v>
      </c>
      <c r="K2856" s="1" t="s">
        <v>920</v>
      </c>
      <c r="L2856" s="1" t="s">
        <v>933</v>
      </c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25">
      <c r="A2857" s="8" t="s">
        <v>9026</v>
      </c>
      <c r="I2857" s="1" t="s">
        <v>25</v>
      </c>
      <c r="J2857" s="1" t="s">
        <v>1086</v>
      </c>
      <c r="K2857" s="1" t="s">
        <v>920</v>
      </c>
      <c r="L2857" s="1" t="s">
        <v>933</v>
      </c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25">
      <c r="A2858" s="8" t="s">
        <v>9026</v>
      </c>
      <c r="I2858" s="1" t="s">
        <v>960</v>
      </c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25">
      <c r="A2859" s="8" t="s">
        <v>9026</v>
      </c>
      <c r="I2859" s="1" t="s">
        <v>50</v>
      </c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25">
      <c r="A2860" s="8" t="s">
        <v>9026</v>
      </c>
      <c r="I2860" s="1" t="s">
        <v>1149</v>
      </c>
      <c r="J2860" s="1" t="s">
        <v>25</v>
      </c>
      <c r="K2860" s="1" t="s">
        <v>923</v>
      </c>
      <c r="L2860" s="1" t="s">
        <v>998</v>
      </c>
      <c r="M2860" s="1" t="s">
        <v>1086</v>
      </c>
      <c r="N2860" s="1" t="s">
        <v>920</v>
      </c>
      <c r="O2860" s="1" t="s">
        <v>933</v>
      </c>
      <c r="P2860" s="1" t="s">
        <v>10719</v>
      </c>
      <c r="Q2860" s="1" t="s">
        <v>974</v>
      </c>
      <c r="R2860" s="1" t="s">
        <v>950</v>
      </c>
      <c r="S2860" s="1" t="s">
        <v>10720</v>
      </c>
      <c r="T2860" s="1" t="s">
        <v>925</v>
      </c>
      <c r="U2860" s="1" t="s">
        <v>918</v>
      </c>
      <c r="V2860" s="1" t="s">
        <v>927</v>
      </c>
      <c r="W2860" s="1" t="s">
        <v>928</v>
      </c>
      <c r="X2860" s="1" t="s">
        <v>919</v>
      </c>
      <c r="Y2860" s="1" t="s">
        <v>960</v>
      </c>
    </row>
    <row r="2861" spans="1:25" x14ac:dyDescent="0.25">
      <c r="A2861" s="8" t="s">
        <v>9026</v>
      </c>
      <c r="I2861" s="1" t="s">
        <v>2927</v>
      </c>
      <c r="J2861" s="1" t="s">
        <v>998</v>
      </c>
      <c r="K2861" s="1" t="s">
        <v>1086</v>
      </c>
      <c r="L2861" s="1" t="s">
        <v>933</v>
      </c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25">
      <c r="A2862" s="8" t="s">
        <v>9026</v>
      </c>
      <c r="I2862" s="1" t="s">
        <v>2927</v>
      </c>
      <c r="J2862" s="1" t="s">
        <v>998</v>
      </c>
      <c r="K2862" s="1" t="s">
        <v>1086</v>
      </c>
      <c r="L2862" s="1" t="s">
        <v>933</v>
      </c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25">
      <c r="A2863" s="8" t="s">
        <v>9026</v>
      </c>
      <c r="I2863" s="1" t="s">
        <v>2927</v>
      </c>
      <c r="J2863" s="1" t="s">
        <v>998</v>
      </c>
      <c r="K2863" s="1" t="s">
        <v>1086</v>
      </c>
      <c r="L2863" s="1" t="s">
        <v>933</v>
      </c>
      <c r="M2863" s="1" t="s">
        <v>1053</v>
      </c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25">
      <c r="A2864" s="8" t="s">
        <v>9026</v>
      </c>
      <c r="I2864" s="1" t="s">
        <v>2927</v>
      </c>
      <c r="J2864" s="1" t="s">
        <v>998</v>
      </c>
      <c r="K2864" s="1" t="s">
        <v>1086</v>
      </c>
      <c r="L2864" s="1" t="s">
        <v>933</v>
      </c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25">
      <c r="A2865" s="7" t="s">
        <v>9705</v>
      </c>
      <c r="I2865" s="1" t="s">
        <v>2927</v>
      </c>
      <c r="J2865" s="1" t="s">
        <v>998</v>
      </c>
      <c r="K2865" s="1" t="s">
        <v>1086</v>
      </c>
      <c r="L2865" s="1" t="s">
        <v>933</v>
      </c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25">
      <c r="A2866" s="7" t="s">
        <v>9705</v>
      </c>
      <c r="I2866" s="1" t="s">
        <v>2927</v>
      </c>
      <c r="J2866" s="1" t="s">
        <v>998</v>
      </c>
      <c r="K2866" s="1" t="s">
        <v>1086</v>
      </c>
      <c r="L2866" s="1" t="s">
        <v>933</v>
      </c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25">
      <c r="A2867" s="7" t="s">
        <v>9705</v>
      </c>
      <c r="I2867" s="1" t="s">
        <v>2927</v>
      </c>
      <c r="J2867" s="1" t="s">
        <v>998</v>
      </c>
      <c r="K2867" s="1" t="s">
        <v>1086</v>
      </c>
      <c r="L2867" s="1" t="s">
        <v>933</v>
      </c>
      <c r="M2867" s="1" t="s">
        <v>1001</v>
      </c>
      <c r="N2867" s="1" t="s">
        <v>927</v>
      </c>
      <c r="O2867" s="1" t="s">
        <v>981</v>
      </c>
      <c r="P2867" s="1" t="s">
        <v>1019</v>
      </c>
      <c r="Q2867" s="1" t="s">
        <v>983</v>
      </c>
      <c r="R2867" s="1" t="s">
        <v>984</v>
      </c>
      <c r="S2867" s="1"/>
      <c r="T2867" s="1"/>
      <c r="U2867" s="1"/>
      <c r="V2867" s="1"/>
      <c r="W2867" s="1"/>
      <c r="X2867" s="1"/>
      <c r="Y2867" s="1"/>
    </row>
    <row r="2868" spans="1:25" x14ac:dyDescent="0.25">
      <c r="A2868" s="8" t="s">
        <v>9705</v>
      </c>
      <c r="I2868" s="1" t="s">
        <v>2927</v>
      </c>
      <c r="J2868" s="1" t="s">
        <v>25</v>
      </c>
      <c r="K2868" s="1" t="s">
        <v>981</v>
      </c>
      <c r="L2868" s="1" t="s">
        <v>1086</v>
      </c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25">
      <c r="A2869" s="8" t="s">
        <v>9705</v>
      </c>
      <c r="I2869" s="1" t="s">
        <v>979</v>
      </c>
      <c r="J2869" s="1" t="s">
        <v>998</v>
      </c>
      <c r="K2869" s="1" t="s">
        <v>987</v>
      </c>
      <c r="L2869" s="1" t="s">
        <v>10998</v>
      </c>
      <c r="M2869" s="1" t="s">
        <v>993</v>
      </c>
      <c r="N2869" s="1" t="s">
        <v>994</v>
      </c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25">
      <c r="A2870" s="8" t="s">
        <v>9705</v>
      </c>
      <c r="I2870" s="1" t="s">
        <v>2927</v>
      </c>
      <c r="J2870" s="1" t="s">
        <v>998</v>
      </c>
      <c r="K2870" s="1" t="s">
        <v>933</v>
      </c>
      <c r="L2870" s="1" t="s">
        <v>994</v>
      </c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25">
      <c r="A2871" s="7" t="s">
        <v>9503</v>
      </c>
      <c r="I2871" s="1" t="s">
        <v>10726</v>
      </c>
      <c r="J2871" s="1" t="s">
        <v>10924</v>
      </c>
      <c r="K2871" s="1" t="s">
        <v>960</v>
      </c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25">
      <c r="A2872" s="7" t="s">
        <v>9503</v>
      </c>
      <c r="I2872" s="1" t="s">
        <v>999</v>
      </c>
      <c r="J2872" s="1" t="s">
        <v>921</v>
      </c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25">
      <c r="A2873" s="7" t="s">
        <v>9503</v>
      </c>
      <c r="I2873" s="1" t="s">
        <v>927</v>
      </c>
      <c r="J2873" s="1" t="s">
        <v>10726</v>
      </c>
      <c r="K2873" s="1" t="s">
        <v>933</v>
      </c>
      <c r="L2873" s="1" t="s">
        <v>924</v>
      </c>
      <c r="M2873" s="1" t="s">
        <v>1099</v>
      </c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25">
      <c r="A2874" s="8" t="s">
        <v>9503</v>
      </c>
      <c r="I2874" s="1" t="s">
        <v>50</v>
      </c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25">
      <c r="A2875" s="8" t="s">
        <v>9754</v>
      </c>
      <c r="I2875" s="1" t="s">
        <v>1053</v>
      </c>
      <c r="J2875" s="1" t="s">
        <v>1086</v>
      </c>
      <c r="K2875" s="1" t="s">
        <v>933</v>
      </c>
      <c r="L2875" s="1" t="s">
        <v>2541</v>
      </c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25">
      <c r="A2876" s="8" t="s">
        <v>9108</v>
      </c>
      <c r="I2876" s="1" t="s">
        <v>50</v>
      </c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25">
      <c r="A2877" s="8" t="s">
        <v>9108</v>
      </c>
      <c r="I2877" s="1" t="s">
        <v>1001</v>
      </c>
      <c r="J2877" s="1" t="s">
        <v>927</v>
      </c>
      <c r="K2877" s="1" t="s">
        <v>919</v>
      </c>
      <c r="L2877" s="1" t="s">
        <v>960</v>
      </c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25">
      <c r="A2878" s="8" t="s">
        <v>9108</v>
      </c>
      <c r="I2878" s="1" t="s">
        <v>918</v>
      </c>
      <c r="J2878" s="1" t="s">
        <v>10726</v>
      </c>
      <c r="K2878" s="1" t="s">
        <v>919</v>
      </c>
      <c r="L2878" s="1" t="s">
        <v>920</v>
      </c>
      <c r="M2878" s="1" t="s">
        <v>924</v>
      </c>
      <c r="N2878" s="1" t="s">
        <v>1020</v>
      </c>
      <c r="O2878" s="1" t="s">
        <v>936</v>
      </c>
      <c r="P2878" s="1" t="s">
        <v>921</v>
      </c>
      <c r="Q2878" s="1" t="s">
        <v>1001</v>
      </c>
      <c r="R2878" s="1" t="s">
        <v>927</v>
      </c>
      <c r="S2878" s="1" t="s">
        <v>960</v>
      </c>
      <c r="T2878" s="1"/>
      <c r="U2878" s="1"/>
      <c r="V2878" s="1"/>
      <c r="W2878" s="1"/>
      <c r="X2878" s="1"/>
      <c r="Y2878" s="1"/>
    </row>
    <row r="2879" spans="1:25" x14ac:dyDescent="0.25">
      <c r="A2879" s="7" t="s">
        <v>2511</v>
      </c>
      <c r="I2879" s="1" t="s">
        <v>1001</v>
      </c>
      <c r="J2879" s="1" t="s">
        <v>927</v>
      </c>
      <c r="K2879" s="1" t="s">
        <v>919</v>
      </c>
      <c r="L2879" s="1" t="s">
        <v>960</v>
      </c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25">
      <c r="A2880" s="7" t="s">
        <v>449</v>
      </c>
      <c r="I2880" s="1" t="s">
        <v>1001</v>
      </c>
      <c r="J2880" s="1" t="s">
        <v>927</v>
      </c>
      <c r="K2880" s="1" t="s">
        <v>919</v>
      </c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25">
      <c r="A2881" s="7" t="s">
        <v>449</v>
      </c>
      <c r="I2881" s="1" t="s">
        <v>1001</v>
      </c>
      <c r="J2881" s="1" t="s">
        <v>927</v>
      </c>
      <c r="K2881" s="1" t="s">
        <v>919</v>
      </c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25">
      <c r="A2882" s="8" t="s">
        <v>449</v>
      </c>
      <c r="I2882" s="1" t="s">
        <v>1001</v>
      </c>
      <c r="J2882" s="1" t="s">
        <v>927</v>
      </c>
      <c r="K2882" s="1" t="s">
        <v>919</v>
      </c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25">
      <c r="A2883" s="8" t="s">
        <v>10191</v>
      </c>
      <c r="I2883" s="1" t="s">
        <v>1001</v>
      </c>
      <c r="J2883" s="1" t="s">
        <v>927</v>
      </c>
      <c r="K2883" s="1" t="s">
        <v>919</v>
      </c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25">
      <c r="A2884" s="8" t="s">
        <v>9371</v>
      </c>
      <c r="I2884" s="1" t="s">
        <v>1001</v>
      </c>
      <c r="J2884" s="1" t="s">
        <v>927</v>
      </c>
      <c r="K2884" s="1" t="s">
        <v>919</v>
      </c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25">
      <c r="A2885" s="7" t="s">
        <v>2487</v>
      </c>
      <c r="I2885" s="1" t="s">
        <v>1001</v>
      </c>
      <c r="J2885" s="1" t="s">
        <v>927</v>
      </c>
      <c r="K2885" s="1" t="s">
        <v>919</v>
      </c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25">
      <c r="A2886" s="7" t="s">
        <v>2487</v>
      </c>
      <c r="I2886" s="1" t="s">
        <v>1001</v>
      </c>
      <c r="J2886" s="1" t="s">
        <v>927</v>
      </c>
      <c r="K2886" s="1" t="s">
        <v>919</v>
      </c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25">
      <c r="A2887" s="7" t="s">
        <v>2487</v>
      </c>
      <c r="I2887" s="1" t="s">
        <v>1001</v>
      </c>
      <c r="J2887" s="1" t="s">
        <v>927</v>
      </c>
      <c r="K2887" s="1" t="s">
        <v>981</v>
      </c>
      <c r="L2887" s="1" t="s">
        <v>919</v>
      </c>
      <c r="M2887" s="1" t="s">
        <v>921</v>
      </c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25">
      <c r="A2888" s="7" t="s">
        <v>2487</v>
      </c>
      <c r="I2888" s="1" t="s">
        <v>1001</v>
      </c>
      <c r="J2888" s="1" t="s">
        <v>927</v>
      </c>
      <c r="K2888" s="1" t="s">
        <v>981</v>
      </c>
      <c r="L2888" s="1" t="s">
        <v>919</v>
      </c>
      <c r="M2888" s="1" t="s">
        <v>921</v>
      </c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25">
      <c r="A2889" s="7" t="s">
        <v>2487</v>
      </c>
      <c r="I2889" s="1" t="s">
        <v>927</v>
      </c>
      <c r="J2889" s="1" t="s">
        <v>919</v>
      </c>
      <c r="K2889" s="1" t="s">
        <v>1001</v>
      </c>
      <c r="L2889" s="1" t="s">
        <v>981</v>
      </c>
      <c r="M2889" s="1" t="s">
        <v>921</v>
      </c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25">
      <c r="A2890" s="7" t="s">
        <v>2487</v>
      </c>
      <c r="I2890" s="1" t="s">
        <v>1069</v>
      </c>
      <c r="J2890" s="1" t="s">
        <v>25</v>
      </c>
      <c r="K2890" s="1" t="s">
        <v>998</v>
      </c>
      <c r="L2890" s="1" t="s">
        <v>1086</v>
      </c>
      <c r="M2890" s="1" t="s">
        <v>954</v>
      </c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25">
      <c r="A2891" s="7" t="s">
        <v>2487</v>
      </c>
      <c r="I2891" s="1" t="s">
        <v>1069</v>
      </c>
      <c r="J2891" s="1" t="s">
        <v>25</v>
      </c>
      <c r="K2891" s="1" t="s">
        <v>998</v>
      </c>
      <c r="L2891" s="1" t="s">
        <v>1086</v>
      </c>
      <c r="M2891" s="1" t="s">
        <v>954</v>
      </c>
      <c r="N2891" s="1" t="s">
        <v>10928</v>
      </c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25">
      <c r="A2892" s="7" t="s">
        <v>2487</v>
      </c>
      <c r="I2892" s="1" t="s">
        <v>1069</v>
      </c>
      <c r="J2892" s="1" t="s">
        <v>25</v>
      </c>
      <c r="K2892" s="1" t="s">
        <v>998</v>
      </c>
      <c r="L2892" s="1" t="s">
        <v>1086</v>
      </c>
      <c r="M2892" s="1" t="s">
        <v>954</v>
      </c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25">
      <c r="A2893" s="7" t="s">
        <v>2487</v>
      </c>
      <c r="I2893" s="1" t="s">
        <v>1069</v>
      </c>
      <c r="J2893" s="1" t="s">
        <v>25</v>
      </c>
      <c r="K2893" s="1" t="s">
        <v>998</v>
      </c>
      <c r="L2893" s="1" t="s">
        <v>1086</v>
      </c>
      <c r="M2893" s="1" t="s">
        <v>954</v>
      </c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25">
      <c r="A2894" s="7" t="s">
        <v>2487</v>
      </c>
      <c r="I2894" s="1" t="s">
        <v>1069</v>
      </c>
      <c r="J2894" s="1" t="s">
        <v>25</v>
      </c>
      <c r="K2894" s="1" t="s">
        <v>998</v>
      </c>
      <c r="L2894" s="1" t="s">
        <v>1086</v>
      </c>
      <c r="M2894" s="1" t="s">
        <v>954</v>
      </c>
      <c r="N2894" s="1" t="s">
        <v>10907</v>
      </c>
      <c r="O2894" s="1" t="s">
        <v>11020</v>
      </c>
      <c r="P2894" s="1"/>
      <c r="Q2894" s="1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25">
      <c r="A2895" s="8" t="s">
        <v>2487</v>
      </c>
      <c r="I2895" s="1" t="s">
        <v>1069</v>
      </c>
      <c r="J2895" s="1" t="s">
        <v>25</v>
      </c>
      <c r="K2895" s="1" t="s">
        <v>998</v>
      </c>
      <c r="L2895" s="1" t="s">
        <v>1086</v>
      </c>
      <c r="M2895" s="1" t="s">
        <v>954</v>
      </c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25">
      <c r="A2896" s="8" t="s">
        <v>2487</v>
      </c>
      <c r="I2896" s="1" t="s">
        <v>1069</v>
      </c>
      <c r="J2896" s="1" t="s">
        <v>25</v>
      </c>
      <c r="K2896" s="1" t="s">
        <v>998</v>
      </c>
      <c r="L2896" s="1" t="s">
        <v>1086</v>
      </c>
      <c r="M2896" s="1" t="s">
        <v>954</v>
      </c>
      <c r="N2896" s="1" t="s">
        <v>923</v>
      </c>
      <c r="O2896" s="1" t="s">
        <v>927</v>
      </c>
      <c r="P2896" s="1" t="s">
        <v>976</v>
      </c>
      <c r="Q2896" s="1" t="s">
        <v>1098</v>
      </c>
      <c r="R2896" s="1" t="s">
        <v>920</v>
      </c>
      <c r="S2896" s="1"/>
      <c r="T2896" s="1"/>
      <c r="U2896" s="1"/>
      <c r="V2896" s="1"/>
      <c r="W2896" s="1"/>
      <c r="X2896" s="1"/>
      <c r="Y2896" s="1"/>
    </row>
    <row r="2897" spans="1:25" x14ac:dyDescent="0.25">
      <c r="A2897" s="8" t="s">
        <v>9269</v>
      </c>
      <c r="I2897" s="1" t="s">
        <v>918</v>
      </c>
      <c r="J2897" s="1" t="s">
        <v>25</v>
      </c>
      <c r="K2897" s="1" t="s">
        <v>927</v>
      </c>
      <c r="L2897" s="1" t="s">
        <v>919</v>
      </c>
      <c r="M2897" s="1" t="s">
        <v>920</v>
      </c>
      <c r="N2897" s="1" t="s">
        <v>936</v>
      </c>
      <c r="O2897" s="1" t="s">
        <v>1108</v>
      </c>
      <c r="P2897" s="1" t="s">
        <v>960</v>
      </c>
      <c r="Q2897" s="1" t="s">
        <v>961</v>
      </c>
      <c r="R2897" s="1" t="s">
        <v>921</v>
      </c>
      <c r="S2897" s="1"/>
      <c r="T2897" s="1"/>
      <c r="U2897" s="1"/>
      <c r="V2897" s="1"/>
      <c r="W2897" s="1"/>
      <c r="X2897" s="1"/>
      <c r="Y2897" s="1"/>
    </row>
    <row r="2898" spans="1:25" x14ac:dyDescent="0.25">
      <c r="A2898" s="8" t="s">
        <v>9269</v>
      </c>
      <c r="I2898" s="1" t="s">
        <v>918</v>
      </c>
      <c r="J2898" s="1" t="s">
        <v>25</v>
      </c>
      <c r="K2898" s="1" t="s">
        <v>927</v>
      </c>
      <c r="L2898" s="1" t="s">
        <v>919</v>
      </c>
      <c r="M2898" s="1" t="s">
        <v>920</v>
      </c>
      <c r="N2898" s="1" t="s">
        <v>936</v>
      </c>
      <c r="O2898" s="1" t="s">
        <v>1108</v>
      </c>
      <c r="P2898" s="1" t="s">
        <v>960</v>
      </c>
      <c r="Q2898" s="1" t="s">
        <v>961</v>
      </c>
      <c r="R2898" s="1" t="s">
        <v>921</v>
      </c>
      <c r="S2898" s="1"/>
      <c r="T2898" s="1"/>
      <c r="U2898" s="1"/>
      <c r="V2898" s="1"/>
      <c r="W2898" s="1"/>
      <c r="X2898" s="1"/>
      <c r="Y2898" s="1"/>
    </row>
    <row r="2899" spans="1:25" x14ac:dyDescent="0.25">
      <c r="A2899" s="7" t="s">
        <v>2427</v>
      </c>
      <c r="I2899" s="1" t="s">
        <v>918</v>
      </c>
      <c r="J2899" s="1" t="s">
        <v>25</v>
      </c>
      <c r="K2899" s="1" t="s">
        <v>927</v>
      </c>
      <c r="L2899" s="1" t="s">
        <v>919</v>
      </c>
      <c r="M2899" s="1" t="s">
        <v>920</v>
      </c>
      <c r="N2899" s="1" t="s">
        <v>936</v>
      </c>
      <c r="O2899" s="1" t="s">
        <v>1108</v>
      </c>
      <c r="P2899" s="1" t="s">
        <v>960</v>
      </c>
      <c r="Q2899" s="1" t="s">
        <v>961</v>
      </c>
      <c r="R2899" s="1" t="s">
        <v>921</v>
      </c>
      <c r="S2899" s="1"/>
      <c r="T2899" s="1"/>
      <c r="U2899" s="1"/>
      <c r="V2899" s="1"/>
      <c r="W2899" s="1"/>
      <c r="X2899" s="1"/>
      <c r="Y2899" s="1"/>
    </row>
    <row r="2900" spans="1:25" x14ac:dyDescent="0.25">
      <c r="A2900" s="7" t="s">
        <v>2427</v>
      </c>
      <c r="I2900" s="1" t="s">
        <v>918</v>
      </c>
      <c r="J2900" s="1" t="s">
        <v>919</v>
      </c>
      <c r="K2900" s="1" t="s">
        <v>936</v>
      </c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25">
      <c r="A2901" s="7" t="s">
        <v>2427</v>
      </c>
      <c r="I2901" s="1" t="s">
        <v>918</v>
      </c>
      <c r="J2901" s="1" t="s">
        <v>919</v>
      </c>
      <c r="K2901" s="1" t="s">
        <v>936</v>
      </c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25">
      <c r="A2902" s="7" t="s">
        <v>2427</v>
      </c>
      <c r="I2902" s="1" t="s">
        <v>918</v>
      </c>
      <c r="J2902" s="1" t="s">
        <v>919</v>
      </c>
      <c r="K2902" s="1" t="s">
        <v>936</v>
      </c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25">
      <c r="A2903" s="7" t="s">
        <v>2427</v>
      </c>
      <c r="I2903" s="1" t="s">
        <v>918</v>
      </c>
      <c r="J2903" s="1" t="s">
        <v>919</v>
      </c>
      <c r="K2903" s="1" t="s">
        <v>936</v>
      </c>
      <c r="L2903" s="1" t="s">
        <v>10734</v>
      </c>
      <c r="M2903" s="1" t="s">
        <v>955</v>
      </c>
      <c r="N2903" s="1" t="s">
        <v>1014</v>
      </c>
      <c r="O2903" s="1" t="s">
        <v>956</v>
      </c>
      <c r="P2903" s="1"/>
      <c r="Q2903" s="1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25">
      <c r="A2904" s="7" t="s">
        <v>2427</v>
      </c>
      <c r="I2904" s="1" t="s">
        <v>918</v>
      </c>
      <c r="J2904" s="1" t="s">
        <v>919</v>
      </c>
      <c r="K2904" s="1" t="s">
        <v>936</v>
      </c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25">
      <c r="A2905" s="7" t="s">
        <v>2427</v>
      </c>
      <c r="I2905" s="1" t="s">
        <v>918</v>
      </c>
      <c r="J2905" s="1" t="s">
        <v>919</v>
      </c>
      <c r="K2905" s="1" t="s">
        <v>936</v>
      </c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25">
      <c r="A2906" s="7" t="s">
        <v>2427</v>
      </c>
      <c r="I2906" s="1" t="s">
        <v>918</v>
      </c>
      <c r="J2906" s="1" t="s">
        <v>919</v>
      </c>
      <c r="K2906" s="1" t="s">
        <v>936</v>
      </c>
      <c r="L2906" s="1" t="s">
        <v>941</v>
      </c>
      <c r="M2906" s="1" t="s">
        <v>1143</v>
      </c>
      <c r="N2906" s="1" t="s">
        <v>1085</v>
      </c>
      <c r="O2906" s="1" t="s">
        <v>955</v>
      </c>
      <c r="P2906" s="1" t="s">
        <v>924</v>
      </c>
      <c r="Q2906" s="1" t="s">
        <v>1014</v>
      </c>
      <c r="R2906" s="1" t="s">
        <v>944</v>
      </c>
      <c r="S2906" s="1" t="s">
        <v>956</v>
      </c>
      <c r="T2906" s="1"/>
      <c r="U2906" s="1"/>
      <c r="V2906" s="1"/>
      <c r="W2906" s="1"/>
      <c r="X2906" s="1"/>
      <c r="Y2906" s="1"/>
    </row>
    <row r="2907" spans="1:25" x14ac:dyDescent="0.25">
      <c r="A2907" s="7" t="s">
        <v>2427</v>
      </c>
      <c r="I2907" s="1" t="s">
        <v>918</v>
      </c>
      <c r="J2907" s="1" t="s">
        <v>919</v>
      </c>
      <c r="K2907" s="1" t="s">
        <v>936</v>
      </c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25">
      <c r="A2908" s="7" t="s">
        <v>2427</v>
      </c>
      <c r="I2908" s="1" t="s">
        <v>918</v>
      </c>
      <c r="J2908" s="1" t="s">
        <v>919</v>
      </c>
      <c r="K2908" s="1" t="s">
        <v>936</v>
      </c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25">
      <c r="A2909" s="7" t="s">
        <v>2427</v>
      </c>
      <c r="I2909" s="1" t="s">
        <v>918</v>
      </c>
      <c r="J2909" s="1" t="s">
        <v>919</v>
      </c>
      <c r="K2909" s="1" t="s">
        <v>936</v>
      </c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25">
      <c r="A2910" s="7" t="s">
        <v>2427</v>
      </c>
      <c r="I2910" s="1" t="s">
        <v>918</v>
      </c>
      <c r="J2910" s="1" t="s">
        <v>919</v>
      </c>
      <c r="K2910" s="1" t="s">
        <v>936</v>
      </c>
      <c r="L2910" s="1" t="s">
        <v>941</v>
      </c>
      <c r="M2910" s="1" t="s">
        <v>1084</v>
      </c>
      <c r="N2910" s="1" t="s">
        <v>1085</v>
      </c>
      <c r="O2910" s="1" t="s">
        <v>955</v>
      </c>
      <c r="P2910" s="1" t="s">
        <v>1034</v>
      </c>
      <c r="Q2910" s="1" t="s">
        <v>924</v>
      </c>
      <c r="R2910" s="1" t="s">
        <v>1014</v>
      </c>
      <c r="S2910" s="1" t="s">
        <v>956</v>
      </c>
      <c r="T2910" s="1"/>
      <c r="U2910" s="1"/>
      <c r="V2910" s="1"/>
      <c r="W2910" s="1"/>
      <c r="X2910" s="1"/>
      <c r="Y2910" s="1"/>
    </row>
    <row r="2911" spans="1:25" x14ac:dyDescent="0.25">
      <c r="A2911" s="7" t="s">
        <v>2427</v>
      </c>
      <c r="I2911" s="1" t="s">
        <v>1071</v>
      </c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25">
      <c r="A2912" s="8" t="s">
        <v>10107</v>
      </c>
      <c r="I2912" s="1" t="s">
        <v>1071</v>
      </c>
      <c r="J2912" s="1" t="s">
        <v>1019</v>
      </c>
      <c r="K2912" s="1" t="s">
        <v>983</v>
      </c>
      <c r="L2912" s="1" t="s">
        <v>919</v>
      </c>
      <c r="M2912" s="1" t="s">
        <v>924</v>
      </c>
      <c r="N2912" s="1" t="s">
        <v>1020</v>
      </c>
      <c r="O2912" s="1" t="s">
        <v>984</v>
      </c>
      <c r="P2912" s="1" t="s">
        <v>1021</v>
      </c>
      <c r="Q2912" s="1" t="s">
        <v>918</v>
      </c>
      <c r="R2912" s="1" t="s">
        <v>927</v>
      </c>
      <c r="S2912" s="1" t="s">
        <v>936</v>
      </c>
      <c r="T2912" s="1"/>
      <c r="U2912" s="1"/>
      <c r="V2912" s="1"/>
      <c r="W2912" s="1"/>
      <c r="X2912" s="1"/>
      <c r="Y2912" s="1"/>
    </row>
    <row r="2913" spans="1:25" x14ac:dyDescent="0.25">
      <c r="A2913" s="8" t="s">
        <v>10111</v>
      </c>
      <c r="I2913" s="1" t="s">
        <v>1071</v>
      </c>
      <c r="J2913" s="1" t="s">
        <v>918</v>
      </c>
      <c r="K2913" s="1" t="s">
        <v>919</v>
      </c>
      <c r="L2913" s="1" t="s">
        <v>936</v>
      </c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25">
      <c r="A2914" s="7" t="s">
        <v>10184</v>
      </c>
      <c r="I2914" s="1" t="s">
        <v>10726</v>
      </c>
      <c r="J2914" s="1" t="s">
        <v>10962</v>
      </c>
      <c r="K2914" s="1" t="s">
        <v>919</v>
      </c>
      <c r="L2914" s="1" t="s">
        <v>924</v>
      </c>
      <c r="M2914" s="1" t="s">
        <v>1014</v>
      </c>
      <c r="N2914" s="1" t="s">
        <v>918</v>
      </c>
      <c r="O2914" s="1" t="s">
        <v>927</v>
      </c>
      <c r="P2914" s="1" t="s">
        <v>936</v>
      </c>
      <c r="Q2914" s="1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25">
      <c r="A2915" s="7" t="s">
        <v>9957</v>
      </c>
      <c r="I2915" s="1" t="s">
        <v>10739</v>
      </c>
      <c r="J2915" s="1" t="s">
        <v>10870</v>
      </c>
      <c r="K2915" s="1" t="s">
        <v>955</v>
      </c>
      <c r="L2915" s="1" t="s">
        <v>924</v>
      </c>
      <c r="M2915" s="1" t="s">
        <v>1014</v>
      </c>
      <c r="N2915" s="1" t="s">
        <v>918</v>
      </c>
      <c r="O2915" s="1" t="s">
        <v>1036</v>
      </c>
      <c r="P2915" s="1" t="s">
        <v>944</v>
      </c>
      <c r="Q2915" s="1" t="s">
        <v>956</v>
      </c>
      <c r="R2915" s="1"/>
      <c r="S2915" s="1"/>
      <c r="T2915" s="1"/>
      <c r="U2915" s="1"/>
      <c r="V2915" s="1"/>
      <c r="W2915" s="1"/>
      <c r="X2915" s="1"/>
      <c r="Y2915" s="1"/>
    </row>
    <row r="2916" spans="1:25" x14ac:dyDescent="0.25">
      <c r="A2916" s="8" t="s">
        <v>9567</v>
      </c>
      <c r="I2916" s="1" t="s">
        <v>10739</v>
      </c>
      <c r="J2916" s="1" t="s">
        <v>10870</v>
      </c>
      <c r="K2916" s="1" t="s">
        <v>955</v>
      </c>
      <c r="L2916" s="1" t="s">
        <v>924</v>
      </c>
      <c r="M2916" s="1" t="s">
        <v>1014</v>
      </c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25">
      <c r="A2917" s="7" t="s">
        <v>3847</v>
      </c>
      <c r="I2917" s="1" t="s">
        <v>10739</v>
      </c>
      <c r="J2917" s="1" t="s">
        <v>10870</v>
      </c>
      <c r="K2917" s="1" t="s">
        <v>955</v>
      </c>
      <c r="L2917" s="1" t="s">
        <v>924</v>
      </c>
      <c r="M2917" s="1" t="s">
        <v>1014</v>
      </c>
      <c r="N2917" s="1" t="s">
        <v>948</v>
      </c>
      <c r="O2917" s="1" t="s">
        <v>918</v>
      </c>
      <c r="P2917" s="1" t="s">
        <v>25</v>
      </c>
      <c r="Q2917" s="1" t="s">
        <v>919</v>
      </c>
      <c r="R2917" s="1" t="s">
        <v>920</v>
      </c>
      <c r="S2917" s="1" t="s">
        <v>954</v>
      </c>
      <c r="T2917" s="1"/>
      <c r="U2917" s="1"/>
      <c r="V2917" s="1"/>
      <c r="W2917" s="1"/>
      <c r="X2917" s="1"/>
      <c r="Y2917" s="1"/>
    </row>
    <row r="2918" spans="1:25" x14ac:dyDescent="0.25">
      <c r="A2918" s="8" t="s">
        <v>9771</v>
      </c>
      <c r="I2918" s="1" t="s">
        <v>10739</v>
      </c>
      <c r="J2918" s="1" t="s">
        <v>10870</v>
      </c>
      <c r="K2918" s="1" t="s">
        <v>955</v>
      </c>
      <c r="L2918" s="1" t="s">
        <v>924</v>
      </c>
      <c r="M2918" s="1" t="s">
        <v>1014</v>
      </c>
      <c r="N2918" s="1" t="s">
        <v>10762</v>
      </c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25">
      <c r="A2919" s="7" t="s">
        <v>121</v>
      </c>
      <c r="I2919" s="1" t="s">
        <v>10739</v>
      </c>
      <c r="J2919" s="1" t="s">
        <v>10870</v>
      </c>
      <c r="K2919" s="1" t="s">
        <v>955</v>
      </c>
      <c r="L2919" s="1" t="s">
        <v>924</v>
      </c>
      <c r="M2919" s="1" t="s">
        <v>1014</v>
      </c>
      <c r="N2919" s="1" t="s">
        <v>1040</v>
      </c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25">
      <c r="A2920" s="8" t="s">
        <v>121</v>
      </c>
      <c r="I2920" s="1" t="s">
        <v>955</v>
      </c>
      <c r="J2920" s="1" t="s">
        <v>924</v>
      </c>
      <c r="K2920" s="1" t="s">
        <v>1014</v>
      </c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25">
      <c r="A2921" s="8" t="s">
        <v>10538</v>
      </c>
      <c r="I2921" s="1" t="s">
        <v>955</v>
      </c>
      <c r="J2921" s="1" t="s">
        <v>924</v>
      </c>
      <c r="K2921" s="1" t="s">
        <v>1014</v>
      </c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25">
      <c r="A2922" s="8" t="s">
        <v>10629</v>
      </c>
      <c r="I2922" s="1" t="s">
        <v>955</v>
      </c>
      <c r="J2922" s="1" t="s">
        <v>924</v>
      </c>
      <c r="K2922" s="1" t="s">
        <v>1014</v>
      </c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25">
      <c r="A2923" s="7" t="s">
        <v>2789</v>
      </c>
      <c r="I2923" s="1" t="s">
        <v>948</v>
      </c>
      <c r="J2923" s="1" t="s">
        <v>25</v>
      </c>
      <c r="K2923" s="1" t="s">
        <v>923</v>
      </c>
      <c r="L2923" s="1" t="s">
        <v>1053</v>
      </c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25">
      <c r="A2924" s="7" t="s">
        <v>2789</v>
      </c>
      <c r="I2924" s="1" t="s">
        <v>948</v>
      </c>
      <c r="J2924" s="1" t="s">
        <v>25</v>
      </c>
      <c r="K2924" s="1" t="s">
        <v>923</v>
      </c>
      <c r="L2924" s="1" t="s">
        <v>1053</v>
      </c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25">
      <c r="A2925" s="8" t="s">
        <v>10641</v>
      </c>
      <c r="I2925" s="1" t="s">
        <v>2927</v>
      </c>
      <c r="J2925" s="1" t="s">
        <v>1069</v>
      </c>
      <c r="K2925" s="1" t="s">
        <v>1149</v>
      </c>
      <c r="L2925" s="1" t="s">
        <v>25</v>
      </c>
      <c r="M2925" s="1" t="s">
        <v>923</v>
      </c>
      <c r="N2925" s="1" t="s">
        <v>998</v>
      </c>
      <c r="O2925" s="1" t="s">
        <v>1053</v>
      </c>
      <c r="P2925" s="1" t="s">
        <v>1086</v>
      </c>
      <c r="Q2925" s="1" t="s">
        <v>933</v>
      </c>
      <c r="R2925" s="1"/>
      <c r="S2925" s="1"/>
      <c r="T2925" s="1"/>
      <c r="U2925" s="1"/>
      <c r="V2925" s="1"/>
      <c r="W2925" s="1"/>
      <c r="X2925" s="1"/>
      <c r="Y2925" s="1"/>
    </row>
    <row r="2926" spans="1:25" x14ac:dyDescent="0.25">
      <c r="A2926" s="8" t="s">
        <v>9672</v>
      </c>
      <c r="I2926" s="1" t="s">
        <v>2927</v>
      </c>
      <c r="J2926" s="1" t="s">
        <v>1069</v>
      </c>
      <c r="K2926" s="1" t="s">
        <v>25</v>
      </c>
      <c r="L2926" s="1" t="s">
        <v>923</v>
      </c>
      <c r="M2926" s="1" t="s">
        <v>998</v>
      </c>
      <c r="N2926" s="1" t="s">
        <v>1053</v>
      </c>
      <c r="O2926" s="1" t="s">
        <v>1086</v>
      </c>
      <c r="P2926" s="1"/>
      <c r="Q2926" s="1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25">
      <c r="A2927" s="8" t="s">
        <v>10263</v>
      </c>
      <c r="I2927" s="1" t="s">
        <v>2927</v>
      </c>
      <c r="J2927" s="1" t="s">
        <v>1069</v>
      </c>
      <c r="K2927" s="1" t="s">
        <v>25</v>
      </c>
      <c r="L2927" s="1" t="s">
        <v>923</v>
      </c>
      <c r="M2927" s="1" t="s">
        <v>998</v>
      </c>
      <c r="N2927" s="1" t="s">
        <v>1053</v>
      </c>
      <c r="O2927" s="1" t="s">
        <v>1086</v>
      </c>
      <c r="P2927" s="1"/>
      <c r="Q2927" s="1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25">
      <c r="A2928" s="7" t="s">
        <v>2173</v>
      </c>
      <c r="I2928" s="1" t="s">
        <v>2927</v>
      </c>
      <c r="J2928" s="1" t="s">
        <v>1149</v>
      </c>
      <c r="K2928" s="1" t="s">
        <v>25</v>
      </c>
      <c r="L2928" s="1" t="s">
        <v>923</v>
      </c>
      <c r="M2928" s="1" t="s">
        <v>998</v>
      </c>
      <c r="N2928" s="1" t="s">
        <v>1053</v>
      </c>
      <c r="O2928" s="1" t="s">
        <v>1086</v>
      </c>
      <c r="P2928" s="1" t="s">
        <v>920</v>
      </c>
      <c r="Q2928" s="1" t="s">
        <v>933</v>
      </c>
      <c r="R2928" s="1"/>
      <c r="S2928" s="1"/>
      <c r="T2928" s="1"/>
      <c r="U2928" s="1"/>
      <c r="V2928" s="1"/>
      <c r="W2928" s="1"/>
      <c r="X2928" s="1"/>
      <c r="Y2928" s="1"/>
    </row>
    <row r="2929" spans="1:25" x14ac:dyDescent="0.25">
      <c r="A2929" s="7" t="s">
        <v>2173</v>
      </c>
      <c r="I2929" s="1" t="s">
        <v>2927</v>
      </c>
      <c r="J2929" s="1" t="s">
        <v>1149</v>
      </c>
      <c r="K2929" s="1" t="s">
        <v>25</v>
      </c>
      <c r="L2929" s="1" t="s">
        <v>923</v>
      </c>
      <c r="M2929" s="1" t="s">
        <v>998</v>
      </c>
      <c r="N2929" s="1" t="s">
        <v>1053</v>
      </c>
      <c r="O2929" s="1" t="s">
        <v>1086</v>
      </c>
      <c r="P2929" s="1" t="s">
        <v>920</v>
      </c>
      <c r="Q2929" s="1" t="s">
        <v>933</v>
      </c>
      <c r="R2929" s="1" t="s">
        <v>1066</v>
      </c>
      <c r="S2929" s="1"/>
      <c r="T2929" s="1"/>
      <c r="U2929" s="1"/>
      <c r="V2929" s="1"/>
      <c r="W2929" s="1"/>
      <c r="X2929" s="1"/>
      <c r="Y2929" s="1"/>
    </row>
    <row r="2930" spans="1:25" x14ac:dyDescent="0.25">
      <c r="A2930" s="8" t="s">
        <v>2173</v>
      </c>
      <c r="I2930" s="1" t="s">
        <v>25</v>
      </c>
      <c r="J2930" s="1" t="s">
        <v>1086</v>
      </c>
      <c r="K2930" s="1" t="s">
        <v>919</v>
      </c>
      <c r="L2930" s="1" t="s">
        <v>920</v>
      </c>
      <c r="M2930" s="1" t="s">
        <v>921</v>
      </c>
      <c r="N2930" s="1" t="s">
        <v>2927</v>
      </c>
      <c r="O2930" s="1" t="s">
        <v>1149</v>
      </c>
      <c r="P2930" s="1" t="s">
        <v>923</v>
      </c>
      <c r="Q2930" s="1" t="s">
        <v>998</v>
      </c>
      <c r="R2930" s="1" t="s">
        <v>1053</v>
      </c>
      <c r="S2930" s="1" t="s">
        <v>933</v>
      </c>
      <c r="T2930" s="1"/>
      <c r="U2930" s="1"/>
      <c r="V2930" s="1"/>
      <c r="W2930" s="1"/>
      <c r="X2930" s="1"/>
      <c r="Y2930" s="1"/>
    </row>
    <row r="2931" spans="1:25" x14ac:dyDescent="0.25">
      <c r="A2931" s="8" t="s">
        <v>2173</v>
      </c>
      <c r="I2931" s="1" t="s">
        <v>1149</v>
      </c>
      <c r="J2931" s="1" t="s">
        <v>25</v>
      </c>
      <c r="K2931" s="1" t="s">
        <v>923</v>
      </c>
      <c r="L2931" s="1" t="s">
        <v>998</v>
      </c>
      <c r="M2931" s="1" t="s">
        <v>1086</v>
      </c>
      <c r="N2931" s="1" t="s">
        <v>920</v>
      </c>
      <c r="O2931" s="1" t="s">
        <v>933</v>
      </c>
      <c r="P2931" s="1" t="s">
        <v>10719</v>
      </c>
      <c r="Q2931" s="1" t="s">
        <v>948</v>
      </c>
      <c r="R2931" s="1" t="s">
        <v>997</v>
      </c>
      <c r="S2931" s="1" t="s">
        <v>1150</v>
      </c>
      <c r="T2931" s="1" t="s">
        <v>2927</v>
      </c>
      <c r="U2931" s="1" t="s">
        <v>1053</v>
      </c>
      <c r="V2931" s="1"/>
      <c r="W2931" s="1"/>
      <c r="X2931" s="1"/>
      <c r="Y2931" s="1"/>
    </row>
    <row r="2932" spans="1:25" x14ac:dyDescent="0.25">
      <c r="A2932" s="8" t="s">
        <v>2173</v>
      </c>
      <c r="I2932" s="1" t="s">
        <v>996</v>
      </c>
      <c r="J2932" s="1" t="s">
        <v>25</v>
      </c>
      <c r="K2932" s="1" t="s">
        <v>1053</v>
      </c>
      <c r="L2932" s="1" t="s">
        <v>2541</v>
      </c>
      <c r="M2932" s="1" t="s">
        <v>2927</v>
      </c>
      <c r="N2932" s="1" t="s">
        <v>1069</v>
      </c>
      <c r="O2932" s="1" t="s">
        <v>923</v>
      </c>
      <c r="P2932" s="1" t="s">
        <v>1167</v>
      </c>
      <c r="Q2932" s="1" t="s">
        <v>1086</v>
      </c>
      <c r="R2932" s="1"/>
      <c r="S2932" s="1"/>
      <c r="T2932" s="1"/>
      <c r="U2932" s="1"/>
      <c r="V2932" s="1"/>
      <c r="W2932" s="1"/>
      <c r="X2932" s="1"/>
      <c r="Y2932" s="1"/>
    </row>
    <row r="2933" spans="1:25" x14ac:dyDescent="0.25">
      <c r="A2933" s="8" t="s">
        <v>10201</v>
      </c>
      <c r="I2933" s="1" t="s">
        <v>2927</v>
      </c>
      <c r="J2933" s="1" t="s">
        <v>1069</v>
      </c>
      <c r="K2933" s="1" t="s">
        <v>25</v>
      </c>
      <c r="L2933" s="1" t="s">
        <v>923</v>
      </c>
      <c r="M2933" s="1" t="s">
        <v>1167</v>
      </c>
      <c r="N2933" s="1" t="s">
        <v>1086</v>
      </c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25">
      <c r="A2934" s="7" t="s">
        <v>8514</v>
      </c>
      <c r="I2934" s="1" t="s">
        <v>2927</v>
      </c>
      <c r="J2934" s="1" t="s">
        <v>1069</v>
      </c>
      <c r="K2934" s="1" t="s">
        <v>25</v>
      </c>
      <c r="L2934" s="1" t="s">
        <v>923</v>
      </c>
      <c r="M2934" s="1" t="s">
        <v>1167</v>
      </c>
      <c r="N2934" s="1" t="s">
        <v>1086</v>
      </c>
      <c r="O2934" s="1" t="s">
        <v>11021</v>
      </c>
      <c r="P2934" s="1"/>
      <c r="Q2934" s="1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25">
      <c r="A2935" s="7" t="s">
        <v>8514</v>
      </c>
      <c r="I2935" s="1" t="s">
        <v>2927</v>
      </c>
      <c r="J2935" s="1" t="s">
        <v>1069</v>
      </c>
      <c r="K2935" s="1" t="s">
        <v>25</v>
      </c>
      <c r="L2935" s="1" t="s">
        <v>923</v>
      </c>
      <c r="M2935" s="1" t="s">
        <v>1167</v>
      </c>
      <c r="N2935" s="1" t="s">
        <v>1086</v>
      </c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25">
      <c r="A2936" s="7" t="s">
        <v>8514</v>
      </c>
      <c r="I2936" s="1" t="s">
        <v>25</v>
      </c>
      <c r="J2936" s="1" t="s">
        <v>919</v>
      </c>
      <c r="K2936" s="1" t="s">
        <v>920</v>
      </c>
      <c r="L2936" s="1" t="s">
        <v>954</v>
      </c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25">
      <c r="A2937" s="7" t="s">
        <v>8514</v>
      </c>
      <c r="I2937" s="1" t="s">
        <v>25</v>
      </c>
      <c r="J2937" s="1" t="s">
        <v>919</v>
      </c>
      <c r="K2937" s="1" t="s">
        <v>920</v>
      </c>
      <c r="L2937" s="1" t="s">
        <v>954</v>
      </c>
      <c r="M2937" s="1" t="s">
        <v>918</v>
      </c>
      <c r="N2937" s="1" t="s">
        <v>10766</v>
      </c>
      <c r="O2937" s="1" t="s">
        <v>916</v>
      </c>
      <c r="P2937" s="1" t="s">
        <v>924</v>
      </c>
      <c r="Q2937" s="1" t="s">
        <v>921</v>
      </c>
      <c r="R2937" s="1"/>
      <c r="S2937" s="1"/>
      <c r="T2937" s="1"/>
      <c r="U2937" s="1"/>
      <c r="V2937" s="1"/>
      <c r="W2937" s="1"/>
      <c r="X2937" s="1"/>
      <c r="Y2937" s="1"/>
    </row>
    <row r="2938" spans="1:25" x14ac:dyDescent="0.25">
      <c r="A2938" s="7" t="s">
        <v>8514</v>
      </c>
      <c r="I2938" s="1" t="s">
        <v>25</v>
      </c>
      <c r="J2938" s="1" t="s">
        <v>919</v>
      </c>
      <c r="K2938" s="1" t="s">
        <v>920</v>
      </c>
      <c r="L2938" s="1" t="s">
        <v>954</v>
      </c>
      <c r="M2938" s="1" t="s">
        <v>955</v>
      </c>
      <c r="N2938" s="1" t="s">
        <v>924</v>
      </c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25">
      <c r="A2939" s="8" t="s">
        <v>8514</v>
      </c>
      <c r="I2939" s="1" t="s">
        <v>25</v>
      </c>
      <c r="J2939" s="1" t="s">
        <v>919</v>
      </c>
      <c r="K2939" s="1" t="s">
        <v>920</v>
      </c>
      <c r="L2939" s="1" t="s">
        <v>954</v>
      </c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25">
      <c r="A2940" s="8" t="s">
        <v>8514</v>
      </c>
      <c r="I2940" s="1" t="s">
        <v>25</v>
      </c>
      <c r="J2940" s="1" t="s">
        <v>919</v>
      </c>
      <c r="K2940" s="1" t="s">
        <v>920</v>
      </c>
      <c r="L2940" s="1" t="s">
        <v>954</v>
      </c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25">
      <c r="A2941" s="8" t="s">
        <v>8514</v>
      </c>
      <c r="I2941" s="1" t="s">
        <v>25</v>
      </c>
      <c r="J2941" s="1" t="s">
        <v>919</v>
      </c>
      <c r="K2941" s="1" t="s">
        <v>920</v>
      </c>
      <c r="L2941" s="1" t="s">
        <v>954</v>
      </c>
      <c r="M2941" s="1" t="s">
        <v>933</v>
      </c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25">
      <c r="A2942" s="8" t="s">
        <v>8514</v>
      </c>
      <c r="I2942" s="1" t="s">
        <v>1070</v>
      </c>
      <c r="J2942" s="1" t="s">
        <v>976</v>
      </c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25">
      <c r="A2943" s="8" t="s">
        <v>8514</v>
      </c>
      <c r="I2943" s="1" t="s">
        <v>1070</v>
      </c>
      <c r="J2943" s="1" t="s">
        <v>976</v>
      </c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25">
      <c r="A2944" s="7" t="s">
        <v>8296</v>
      </c>
      <c r="I2944" s="1" t="s">
        <v>1070</v>
      </c>
      <c r="J2944" s="1" t="s">
        <v>976</v>
      </c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25">
      <c r="A2945" s="7" t="s">
        <v>8296</v>
      </c>
      <c r="I2945" s="1" t="s">
        <v>1070</v>
      </c>
      <c r="J2945" s="1" t="s">
        <v>976</v>
      </c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25">
      <c r="A2946" s="7" t="s">
        <v>8296</v>
      </c>
      <c r="I2946" s="1" t="s">
        <v>1070</v>
      </c>
      <c r="J2946" s="1" t="s">
        <v>976</v>
      </c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25">
      <c r="A2947" s="8" t="s">
        <v>10357</v>
      </c>
      <c r="I2947" s="1" t="s">
        <v>1070</v>
      </c>
      <c r="J2947" s="1" t="s">
        <v>976</v>
      </c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25">
      <c r="A2948" s="8" t="s">
        <v>10108</v>
      </c>
      <c r="I2948" s="1" t="s">
        <v>1070</v>
      </c>
      <c r="J2948" s="1" t="s">
        <v>976</v>
      </c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25">
      <c r="A2949" s="7" t="s">
        <v>9829</v>
      </c>
      <c r="I2949" s="1" t="s">
        <v>1070</v>
      </c>
      <c r="J2949" s="1" t="s">
        <v>976</v>
      </c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25">
      <c r="A2950" s="7" t="s">
        <v>9829</v>
      </c>
      <c r="I2950" s="1" t="s">
        <v>1070</v>
      </c>
      <c r="J2950" s="1" t="s">
        <v>976</v>
      </c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25">
      <c r="A2951" s="8" t="s">
        <v>10536</v>
      </c>
      <c r="I2951" s="1" t="s">
        <v>1070</v>
      </c>
      <c r="J2951" s="1" t="s">
        <v>976</v>
      </c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25">
      <c r="A2952" s="7" t="s">
        <v>8833</v>
      </c>
      <c r="I2952" s="1" t="s">
        <v>1070</v>
      </c>
      <c r="J2952" s="1" t="s">
        <v>976</v>
      </c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25">
      <c r="A2953" s="7" t="s">
        <v>8833</v>
      </c>
      <c r="I2953" s="1" t="s">
        <v>1070</v>
      </c>
      <c r="J2953" s="1" t="s">
        <v>976</v>
      </c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25">
      <c r="A2954" s="8" t="s">
        <v>8833</v>
      </c>
      <c r="I2954" s="1" t="s">
        <v>1070</v>
      </c>
      <c r="J2954" s="1" t="s">
        <v>976</v>
      </c>
      <c r="K2954" s="1" t="s">
        <v>25</v>
      </c>
      <c r="L2954" s="1" t="s">
        <v>923</v>
      </c>
      <c r="M2954" s="1" t="s">
        <v>10814</v>
      </c>
      <c r="N2954" s="1" t="s">
        <v>10775</v>
      </c>
      <c r="O2954" s="1" t="s">
        <v>939</v>
      </c>
      <c r="P2954" s="1"/>
      <c r="Q2954" s="1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25">
      <c r="A2955" s="8" t="s">
        <v>8833</v>
      </c>
      <c r="I2955" s="1" t="s">
        <v>1070</v>
      </c>
      <c r="J2955" s="1" t="s">
        <v>976</v>
      </c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25">
      <c r="A2956" s="8" t="s">
        <v>8833</v>
      </c>
      <c r="I2956" s="1" t="s">
        <v>1070</v>
      </c>
      <c r="J2956" s="1" t="s">
        <v>976</v>
      </c>
      <c r="K2956" s="1" t="s">
        <v>925</v>
      </c>
      <c r="L2956" s="1" t="s">
        <v>979</v>
      </c>
      <c r="M2956" s="1" t="s">
        <v>11022</v>
      </c>
      <c r="N2956" s="1" t="s">
        <v>10810</v>
      </c>
      <c r="O2956" s="1" t="s">
        <v>10863</v>
      </c>
      <c r="P2956" s="1" t="s">
        <v>1029</v>
      </c>
      <c r="Q2956" s="1" t="s">
        <v>11023</v>
      </c>
      <c r="R2956" s="1"/>
      <c r="S2956" s="1"/>
      <c r="T2956" s="1"/>
      <c r="U2956" s="1"/>
      <c r="V2956" s="1"/>
      <c r="W2956" s="1"/>
      <c r="X2956" s="1"/>
      <c r="Y2956" s="1"/>
    </row>
    <row r="2957" spans="1:25" x14ac:dyDescent="0.25">
      <c r="A2957" s="8" t="s">
        <v>8833</v>
      </c>
      <c r="I2957" s="1" t="s">
        <v>1070</v>
      </c>
      <c r="J2957" s="1" t="s">
        <v>976</v>
      </c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25">
      <c r="A2958" s="8" t="s">
        <v>8833</v>
      </c>
      <c r="I2958" s="1" t="s">
        <v>1070</v>
      </c>
      <c r="J2958" s="1" t="s">
        <v>976</v>
      </c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25">
      <c r="A2959" s="8" t="s">
        <v>8833</v>
      </c>
      <c r="I2959" s="1" t="s">
        <v>1070</v>
      </c>
      <c r="J2959" s="1" t="s">
        <v>976</v>
      </c>
      <c r="K2959" s="1" t="s">
        <v>955</v>
      </c>
      <c r="L2959" s="1" t="s">
        <v>919</v>
      </c>
      <c r="M2959" s="1" t="s">
        <v>924</v>
      </c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25">
      <c r="A2960" s="7" t="s">
        <v>9040</v>
      </c>
      <c r="I2960" s="1" t="s">
        <v>1070</v>
      </c>
      <c r="J2960" s="1" t="s">
        <v>976</v>
      </c>
      <c r="K2960" s="1" t="s">
        <v>955</v>
      </c>
      <c r="L2960" s="1" t="s">
        <v>919</v>
      </c>
      <c r="M2960" s="1" t="s">
        <v>924</v>
      </c>
      <c r="N2960" s="1" t="s">
        <v>10957</v>
      </c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25">
      <c r="A2961" s="7" t="s">
        <v>9040</v>
      </c>
      <c r="I2961" s="1" t="s">
        <v>1070</v>
      </c>
      <c r="J2961" s="1" t="s">
        <v>976</v>
      </c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25">
      <c r="A2962" s="8" t="s">
        <v>9040</v>
      </c>
      <c r="I2962" s="1" t="s">
        <v>1070</v>
      </c>
      <c r="J2962" s="1" t="s">
        <v>976</v>
      </c>
      <c r="K2962" s="1" t="s">
        <v>955</v>
      </c>
      <c r="L2962" s="1" t="s">
        <v>919</v>
      </c>
      <c r="M2962" s="1" t="s">
        <v>924</v>
      </c>
      <c r="N2962" s="1" t="s">
        <v>10957</v>
      </c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25">
      <c r="A2963" s="7" t="s">
        <v>2146</v>
      </c>
      <c r="I2963" s="1" t="s">
        <v>919</v>
      </c>
      <c r="J2963" s="1" t="s">
        <v>936</v>
      </c>
      <c r="K2963" s="1" t="s">
        <v>918</v>
      </c>
      <c r="L2963" s="1" t="s">
        <v>927</v>
      </c>
      <c r="M2963" s="1" t="s">
        <v>922</v>
      </c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25">
      <c r="A2964" s="7" t="s">
        <v>2146</v>
      </c>
      <c r="I2964" s="1" t="s">
        <v>983</v>
      </c>
      <c r="J2964" s="1" t="s">
        <v>984</v>
      </c>
      <c r="K2964" s="1" t="s">
        <v>927</v>
      </c>
      <c r="L2964" s="1" t="s">
        <v>953</v>
      </c>
      <c r="M2964" s="1" t="s">
        <v>943</v>
      </c>
      <c r="N2964" s="1" t="s">
        <v>919</v>
      </c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25">
      <c r="A2965" s="7" t="s">
        <v>4608</v>
      </c>
      <c r="I2965" s="1" t="s">
        <v>918</v>
      </c>
      <c r="J2965" s="1" t="s">
        <v>981</v>
      </c>
      <c r="K2965" s="1" t="s">
        <v>1020</v>
      </c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25">
      <c r="A2966" s="7" t="s">
        <v>4608</v>
      </c>
      <c r="I2966" s="1" t="s">
        <v>7701</v>
      </c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25">
      <c r="A2967" s="7" t="s">
        <v>4608</v>
      </c>
      <c r="I2967" s="1" t="s">
        <v>998</v>
      </c>
      <c r="J2967" s="1" t="s">
        <v>993</v>
      </c>
      <c r="K2967" s="1" t="s">
        <v>994</v>
      </c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25">
      <c r="A2968" s="7" t="s">
        <v>4608</v>
      </c>
      <c r="I2968" s="1" t="s">
        <v>925</v>
      </c>
      <c r="J2968" s="1" t="s">
        <v>927</v>
      </c>
      <c r="K2968" s="1" t="s">
        <v>919</v>
      </c>
      <c r="L2968" s="1" t="s">
        <v>998</v>
      </c>
      <c r="M2968" s="1" t="s">
        <v>993</v>
      </c>
      <c r="N2968" s="1" t="s">
        <v>994</v>
      </c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25">
      <c r="A2969" s="8" t="s">
        <v>4608</v>
      </c>
      <c r="I2969" s="1" t="s">
        <v>940</v>
      </c>
      <c r="J2969" s="1" t="s">
        <v>1011</v>
      </c>
      <c r="K2969" s="1" t="s">
        <v>981</v>
      </c>
      <c r="L2969" s="1" t="s">
        <v>10830</v>
      </c>
      <c r="M2969" s="1" t="s">
        <v>999</v>
      </c>
      <c r="N2969" s="1" t="s">
        <v>921</v>
      </c>
      <c r="O2969" s="1" t="s">
        <v>993</v>
      </c>
      <c r="P2969" s="1"/>
      <c r="Q2969" s="1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25">
      <c r="A2970" s="8" t="s">
        <v>4608</v>
      </c>
      <c r="I2970" s="1" t="s">
        <v>940</v>
      </c>
      <c r="J2970" s="1" t="s">
        <v>1011</v>
      </c>
      <c r="K2970" s="1" t="s">
        <v>981</v>
      </c>
      <c r="L2970" s="1" t="s">
        <v>10830</v>
      </c>
      <c r="M2970" s="1" t="s">
        <v>999</v>
      </c>
      <c r="N2970" s="1" t="s">
        <v>921</v>
      </c>
      <c r="O2970" s="1" t="s">
        <v>993</v>
      </c>
      <c r="P2970" s="1"/>
      <c r="Q2970" s="1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25">
      <c r="A2971" s="8" t="s">
        <v>4608</v>
      </c>
      <c r="I2971" s="1" t="s">
        <v>940</v>
      </c>
      <c r="J2971" s="1" t="s">
        <v>1011</v>
      </c>
      <c r="K2971" s="1" t="s">
        <v>981</v>
      </c>
      <c r="L2971" s="1" t="s">
        <v>10830</v>
      </c>
      <c r="M2971" s="1" t="s">
        <v>999</v>
      </c>
      <c r="N2971" s="1" t="s">
        <v>921</v>
      </c>
      <c r="O2971" s="1" t="s">
        <v>993</v>
      </c>
      <c r="P2971" s="1"/>
      <c r="Q2971" s="1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25">
      <c r="A2972" s="8" t="s">
        <v>8954</v>
      </c>
      <c r="I2972" s="1" t="s">
        <v>940</v>
      </c>
      <c r="J2972" s="1" t="s">
        <v>1011</v>
      </c>
      <c r="K2972" s="1" t="s">
        <v>981</v>
      </c>
      <c r="L2972" s="1" t="s">
        <v>10830</v>
      </c>
      <c r="M2972" s="1" t="s">
        <v>999</v>
      </c>
      <c r="N2972" s="1" t="s">
        <v>921</v>
      </c>
      <c r="O2972" s="1" t="s">
        <v>993</v>
      </c>
      <c r="P2972" s="1"/>
      <c r="Q2972" s="1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25">
      <c r="A2973" s="8" t="s">
        <v>8954</v>
      </c>
      <c r="I2973" s="1" t="s">
        <v>927</v>
      </c>
      <c r="J2973" s="1" t="s">
        <v>998</v>
      </c>
      <c r="K2973" s="1" t="s">
        <v>992</v>
      </c>
      <c r="L2973" s="1" t="s">
        <v>981</v>
      </c>
      <c r="M2973" s="1" t="s">
        <v>993</v>
      </c>
      <c r="N2973" s="1" t="s">
        <v>994</v>
      </c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25">
      <c r="A2974" s="7" t="s">
        <v>9511</v>
      </c>
      <c r="I2974" s="1" t="s">
        <v>927</v>
      </c>
      <c r="J2974" s="1" t="s">
        <v>998</v>
      </c>
      <c r="K2974" s="1" t="s">
        <v>992</v>
      </c>
      <c r="L2974" s="1" t="s">
        <v>981</v>
      </c>
      <c r="M2974" s="1" t="s">
        <v>993</v>
      </c>
      <c r="N2974" s="1" t="s">
        <v>994</v>
      </c>
      <c r="O2974" s="1" t="s">
        <v>1086</v>
      </c>
      <c r="P2974" s="1" t="s">
        <v>933</v>
      </c>
      <c r="Q2974" s="1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25">
      <c r="A2975" s="8" t="s">
        <v>9077</v>
      </c>
      <c r="I2975" s="1" t="s">
        <v>927</v>
      </c>
      <c r="J2975" s="1" t="s">
        <v>981</v>
      </c>
      <c r="K2975" s="1" t="s">
        <v>999</v>
      </c>
      <c r="L2975" s="1" t="s">
        <v>921</v>
      </c>
      <c r="M2975" s="1" t="s">
        <v>993</v>
      </c>
      <c r="N2975" s="1" t="s">
        <v>10722</v>
      </c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25">
      <c r="A2976" s="7" t="s">
        <v>9041</v>
      </c>
      <c r="I2976" s="1" t="s">
        <v>927</v>
      </c>
      <c r="J2976" s="1" t="s">
        <v>981</v>
      </c>
      <c r="K2976" s="1" t="s">
        <v>999</v>
      </c>
      <c r="L2976" s="1" t="s">
        <v>921</v>
      </c>
      <c r="M2976" s="1" t="s">
        <v>993</v>
      </c>
      <c r="N2976" s="1" t="s">
        <v>992</v>
      </c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25">
      <c r="A2977" s="7" t="s">
        <v>9041</v>
      </c>
      <c r="I2977" s="1" t="s">
        <v>25</v>
      </c>
      <c r="J2977" s="1" t="s">
        <v>927</v>
      </c>
      <c r="K2977" s="1" t="s">
        <v>998</v>
      </c>
      <c r="L2977" s="1" t="s">
        <v>981</v>
      </c>
      <c r="M2977" s="1" t="s">
        <v>920</v>
      </c>
      <c r="N2977" s="1" t="s">
        <v>933</v>
      </c>
      <c r="O2977" s="1" t="s">
        <v>960</v>
      </c>
      <c r="P2977" s="1" t="s">
        <v>921</v>
      </c>
      <c r="Q2977" s="1" t="s">
        <v>993</v>
      </c>
      <c r="R2977" s="1" t="s">
        <v>994</v>
      </c>
      <c r="S2977" s="1"/>
      <c r="T2977" s="1"/>
      <c r="U2977" s="1"/>
      <c r="V2977" s="1"/>
      <c r="W2977" s="1"/>
      <c r="X2977" s="1"/>
      <c r="Y2977" s="1"/>
    </row>
    <row r="2978" spans="1:25" x14ac:dyDescent="0.25">
      <c r="A2978" s="8" t="s">
        <v>9041</v>
      </c>
      <c r="I2978" s="1" t="s">
        <v>927</v>
      </c>
      <c r="J2978" s="1" t="s">
        <v>981</v>
      </c>
      <c r="K2978" s="1" t="s">
        <v>999</v>
      </c>
      <c r="L2978" s="1" t="s">
        <v>921</v>
      </c>
      <c r="M2978" s="1" t="s">
        <v>993</v>
      </c>
      <c r="N2978" s="1" t="s">
        <v>25</v>
      </c>
      <c r="O2978" s="1" t="s">
        <v>998</v>
      </c>
      <c r="P2978" s="1" t="s">
        <v>920</v>
      </c>
      <c r="Q2978" s="1" t="s">
        <v>933</v>
      </c>
      <c r="R2978" s="1" t="s">
        <v>960</v>
      </c>
      <c r="S2978" s="1" t="s">
        <v>994</v>
      </c>
      <c r="T2978" s="1" t="s">
        <v>992</v>
      </c>
      <c r="U2978" s="1" t="s">
        <v>1066</v>
      </c>
      <c r="V2978" s="1"/>
      <c r="W2978" s="1"/>
      <c r="X2978" s="1"/>
      <c r="Y2978" s="1"/>
    </row>
    <row r="2979" spans="1:25" x14ac:dyDescent="0.25">
      <c r="A2979" s="7" t="s">
        <v>5371</v>
      </c>
      <c r="I2979" s="1" t="s">
        <v>25</v>
      </c>
      <c r="J2979" s="1" t="s">
        <v>927</v>
      </c>
      <c r="K2979" s="1" t="s">
        <v>998</v>
      </c>
      <c r="L2979" s="1" t="s">
        <v>981</v>
      </c>
      <c r="M2979" s="1" t="s">
        <v>920</v>
      </c>
      <c r="N2979" s="1" t="s">
        <v>933</v>
      </c>
      <c r="O2979" s="1" t="s">
        <v>960</v>
      </c>
      <c r="P2979" s="1" t="s">
        <v>921</v>
      </c>
      <c r="Q2979" s="1" t="s">
        <v>993</v>
      </c>
      <c r="R2979" s="1" t="s">
        <v>994</v>
      </c>
      <c r="S2979" s="1" t="s">
        <v>1001</v>
      </c>
      <c r="T2979" s="1" t="s">
        <v>919</v>
      </c>
      <c r="U2979" s="1"/>
      <c r="V2979" s="1"/>
      <c r="W2979" s="1"/>
      <c r="X2979" s="1"/>
      <c r="Y2979" s="1"/>
    </row>
    <row r="2980" spans="1:25" x14ac:dyDescent="0.25">
      <c r="A2980" s="8" t="s">
        <v>5371</v>
      </c>
      <c r="I2980" s="1" t="s">
        <v>931</v>
      </c>
      <c r="J2980" s="1" t="s">
        <v>932</v>
      </c>
      <c r="K2980" s="1" t="s">
        <v>25</v>
      </c>
      <c r="L2980" s="1" t="s">
        <v>923</v>
      </c>
      <c r="M2980" s="1" t="s">
        <v>916</v>
      </c>
      <c r="N2980" s="1" t="s">
        <v>920</v>
      </c>
      <c r="O2980" s="1" t="s">
        <v>974</v>
      </c>
      <c r="P2980" s="1" t="s">
        <v>921</v>
      </c>
      <c r="Q2980" s="1" t="s">
        <v>10781</v>
      </c>
      <c r="R2980" s="1" t="s">
        <v>1085</v>
      </c>
      <c r="S2980" s="1" t="s">
        <v>955</v>
      </c>
      <c r="T2980" s="1" t="s">
        <v>924</v>
      </c>
      <c r="U2980" s="1" t="s">
        <v>1014</v>
      </c>
      <c r="V2980" s="1" t="s">
        <v>10740</v>
      </c>
      <c r="W2980" s="1"/>
      <c r="X2980" s="1"/>
      <c r="Y2980" s="1"/>
    </row>
    <row r="2981" spans="1:25" x14ac:dyDescent="0.25">
      <c r="A2981" s="7" t="s">
        <v>7442</v>
      </c>
      <c r="I2981" s="1" t="s">
        <v>931</v>
      </c>
      <c r="J2981" s="1" t="s">
        <v>932</v>
      </c>
      <c r="K2981" s="1" t="s">
        <v>25</v>
      </c>
      <c r="L2981" s="1" t="s">
        <v>923</v>
      </c>
      <c r="M2981" s="1" t="s">
        <v>916</v>
      </c>
      <c r="N2981" s="1" t="s">
        <v>920</v>
      </c>
      <c r="O2981" s="1" t="s">
        <v>974</v>
      </c>
      <c r="P2981" s="1" t="s">
        <v>921</v>
      </c>
      <c r="Q2981" s="1" t="s">
        <v>1019</v>
      </c>
      <c r="R2981" s="1"/>
      <c r="S2981" s="1"/>
      <c r="T2981" s="1"/>
      <c r="U2981" s="1"/>
      <c r="V2981" s="1"/>
      <c r="W2981" s="1"/>
      <c r="X2981" s="1"/>
      <c r="Y2981" s="1"/>
    </row>
    <row r="2982" spans="1:25" x14ac:dyDescent="0.25">
      <c r="A2982" s="7" t="s">
        <v>7442</v>
      </c>
      <c r="I2982" s="1" t="s">
        <v>931</v>
      </c>
      <c r="J2982" s="1" t="s">
        <v>932</v>
      </c>
      <c r="K2982" s="1" t="s">
        <v>25</v>
      </c>
      <c r="L2982" s="1" t="s">
        <v>923</v>
      </c>
      <c r="M2982" s="1" t="s">
        <v>916</v>
      </c>
      <c r="N2982" s="1" t="s">
        <v>920</v>
      </c>
      <c r="O2982" s="1" t="s">
        <v>974</v>
      </c>
      <c r="P2982" s="1" t="s">
        <v>921</v>
      </c>
      <c r="Q2982" s="1" t="s">
        <v>926</v>
      </c>
      <c r="R2982" s="1" t="s">
        <v>10731</v>
      </c>
      <c r="S2982" s="1" t="s">
        <v>927</v>
      </c>
      <c r="T2982" s="1" t="s">
        <v>10975</v>
      </c>
      <c r="U2982" s="1" t="s">
        <v>981</v>
      </c>
      <c r="V2982" s="1" t="s">
        <v>928</v>
      </c>
      <c r="W2982" s="1"/>
      <c r="X2982" s="1"/>
      <c r="Y2982" s="1"/>
    </row>
    <row r="2983" spans="1:25" x14ac:dyDescent="0.25">
      <c r="A2983" s="7" t="s">
        <v>7442</v>
      </c>
      <c r="I2983" s="1" t="s">
        <v>940</v>
      </c>
      <c r="J2983" s="1" t="s">
        <v>1011</v>
      </c>
      <c r="K2983" s="1" t="s">
        <v>25</v>
      </c>
      <c r="L2983" s="1" t="s">
        <v>927</v>
      </c>
      <c r="M2983" s="1" t="s">
        <v>916</v>
      </c>
      <c r="N2983" s="1" t="s">
        <v>981</v>
      </c>
      <c r="O2983" s="1" t="s">
        <v>982</v>
      </c>
      <c r="P2983" s="1" t="s">
        <v>920</v>
      </c>
      <c r="Q2983" s="1" t="s">
        <v>933</v>
      </c>
      <c r="R2983" s="1" t="s">
        <v>921</v>
      </c>
      <c r="S2983" s="1" t="s">
        <v>993</v>
      </c>
      <c r="T2983" s="1" t="s">
        <v>994</v>
      </c>
      <c r="U2983" s="1" t="s">
        <v>937</v>
      </c>
      <c r="V2983" s="1" t="s">
        <v>1013</v>
      </c>
      <c r="W2983" s="1" t="s">
        <v>1057</v>
      </c>
      <c r="X2983" s="1" t="s">
        <v>928</v>
      </c>
      <c r="Y2983" s="1" t="s">
        <v>1059</v>
      </c>
    </row>
    <row r="2984" spans="1:25" x14ac:dyDescent="0.25">
      <c r="A2984" s="7" t="s">
        <v>7442</v>
      </c>
      <c r="I2984" s="1" t="s">
        <v>940</v>
      </c>
      <c r="J2984" s="1" t="s">
        <v>1011</v>
      </c>
      <c r="K2984" s="1" t="s">
        <v>25</v>
      </c>
      <c r="L2984" s="1" t="s">
        <v>927</v>
      </c>
      <c r="M2984" s="1" t="s">
        <v>916</v>
      </c>
      <c r="N2984" s="1" t="s">
        <v>981</v>
      </c>
      <c r="O2984" s="1" t="s">
        <v>982</v>
      </c>
      <c r="P2984" s="1" t="s">
        <v>920</v>
      </c>
      <c r="Q2984" s="1" t="s">
        <v>933</v>
      </c>
      <c r="R2984" s="1" t="s">
        <v>921</v>
      </c>
      <c r="S2984" s="1" t="s">
        <v>993</v>
      </c>
      <c r="T2984" s="1" t="s">
        <v>994</v>
      </c>
      <c r="U2984" s="1" t="s">
        <v>1066</v>
      </c>
      <c r="V2984" s="1"/>
      <c r="W2984" s="1"/>
      <c r="X2984" s="1"/>
      <c r="Y2984" s="1"/>
    </row>
    <row r="2985" spans="1:25" x14ac:dyDescent="0.25">
      <c r="A2985" s="7" t="s">
        <v>7442</v>
      </c>
      <c r="I2985" s="1" t="s">
        <v>940</v>
      </c>
      <c r="J2985" s="1" t="s">
        <v>1011</v>
      </c>
      <c r="K2985" s="1" t="s">
        <v>25</v>
      </c>
      <c r="L2985" s="1" t="s">
        <v>927</v>
      </c>
      <c r="M2985" s="1" t="s">
        <v>916</v>
      </c>
      <c r="N2985" s="1" t="s">
        <v>981</v>
      </c>
      <c r="O2985" s="1" t="s">
        <v>982</v>
      </c>
      <c r="P2985" s="1" t="s">
        <v>920</v>
      </c>
      <c r="Q2985" s="1" t="s">
        <v>933</v>
      </c>
      <c r="R2985" s="1" t="s">
        <v>921</v>
      </c>
      <c r="S2985" s="1" t="s">
        <v>993</v>
      </c>
      <c r="T2985" s="1" t="s">
        <v>994</v>
      </c>
      <c r="U2985" s="1"/>
      <c r="V2985" s="1"/>
      <c r="W2985" s="1"/>
      <c r="X2985" s="1"/>
      <c r="Y2985" s="1"/>
    </row>
    <row r="2986" spans="1:25" x14ac:dyDescent="0.25">
      <c r="A2986" s="7" t="s">
        <v>7442</v>
      </c>
      <c r="I2986" s="1" t="s">
        <v>25</v>
      </c>
      <c r="J2986" s="1" t="s">
        <v>923</v>
      </c>
      <c r="K2986" s="1" t="s">
        <v>948</v>
      </c>
      <c r="L2986" s="1" t="s">
        <v>1069</v>
      </c>
      <c r="M2986" s="1" t="s">
        <v>1070</v>
      </c>
      <c r="N2986" s="1" t="s">
        <v>958</v>
      </c>
      <c r="O2986" s="1" t="s">
        <v>957</v>
      </c>
      <c r="P2986" s="1" t="s">
        <v>10797</v>
      </c>
      <c r="Q2986" s="1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25">
      <c r="A2987" s="8" t="s">
        <v>7442</v>
      </c>
      <c r="I2987" s="1" t="s">
        <v>25</v>
      </c>
      <c r="J2987" s="1" t="s">
        <v>923</v>
      </c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25">
      <c r="A2988" s="8" t="s">
        <v>7442</v>
      </c>
      <c r="I2988" s="1" t="s">
        <v>298</v>
      </c>
      <c r="J2988" s="1" t="s">
        <v>25</v>
      </c>
      <c r="K2988" s="1" t="s">
        <v>923</v>
      </c>
      <c r="L2988" s="1" t="s">
        <v>997</v>
      </c>
      <c r="M2988" s="1" t="s">
        <v>927</v>
      </c>
      <c r="N2988" s="1" t="s">
        <v>998</v>
      </c>
      <c r="O2988" s="1" t="s">
        <v>992</v>
      </c>
      <c r="P2988" s="1" t="s">
        <v>1086</v>
      </c>
      <c r="Q2988" s="1" t="s">
        <v>920</v>
      </c>
      <c r="R2988" s="1" t="s">
        <v>933</v>
      </c>
      <c r="S2988" s="1" t="s">
        <v>994</v>
      </c>
      <c r="T2988" s="1" t="s">
        <v>10830</v>
      </c>
      <c r="U2988" s="1" t="s">
        <v>993</v>
      </c>
      <c r="V2988" s="1" t="s">
        <v>1001</v>
      </c>
      <c r="W2988" s="1" t="s">
        <v>981</v>
      </c>
      <c r="X2988" s="1" t="s">
        <v>939</v>
      </c>
      <c r="Y2988" s="1" t="s">
        <v>1066</v>
      </c>
    </row>
    <row r="2989" spans="1:25" x14ac:dyDescent="0.25">
      <c r="A2989" s="8" t="s">
        <v>7442</v>
      </c>
      <c r="I2989" s="1" t="s">
        <v>298</v>
      </c>
      <c r="J2989" s="1" t="s">
        <v>25</v>
      </c>
      <c r="K2989" s="1" t="s">
        <v>923</v>
      </c>
      <c r="L2989" s="1" t="s">
        <v>997</v>
      </c>
      <c r="M2989" s="1" t="s">
        <v>927</v>
      </c>
      <c r="N2989" s="1" t="s">
        <v>998</v>
      </c>
      <c r="O2989" s="1" t="s">
        <v>992</v>
      </c>
      <c r="P2989" s="1" t="s">
        <v>1086</v>
      </c>
      <c r="Q2989" s="1" t="s">
        <v>920</v>
      </c>
      <c r="R2989" s="1" t="s">
        <v>933</v>
      </c>
      <c r="S2989" s="1" t="s">
        <v>994</v>
      </c>
      <c r="T2989" s="1" t="s">
        <v>958</v>
      </c>
      <c r="U2989" s="1" t="s">
        <v>10972</v>
      </c>
      <c r="V2989" s="1"/>
      <c r="W2989" s="1"/>
      <c r="X2989" s="1"/>
      <c r="Y2989" s="1"/>
    </row>
    <row r="2990" spans="1:25" x14ac:dyDescent="0.25">
      <c r="A2990" s="7" t="s">
        <v>9441</v>
      </c>
      <c r="I2990" s="1" t="s">
        <v>25</v>
      </c>
      <c r="J2990" s="1" t="s">
        <v>997</v>
      </c>
      <c r="K2990" s="1" t="s">
        <v>927</v>
      </c>
      <c r="L2990" s="1" t="s">
        <v>998</v>
      </c>
      <c r="M2990" s="1" t="s">
        <v>920</v>
      </c>
      <c r="N2990" s="1" t="s">
        <v>933</v>
      </c>
      <c r="O2990" s="1" t="s">
        <v>994</v>
      </c>
      <c r="P2990" s="1"/>
      <c r="Q2990" s="1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25">
      <c r="A2991" s="7" t="s">
        <v>9441</v>
      </c>
      <c r="I2991" s="1" t="s">
        <v>998</v>
      </c>
      <c r="J2991" s="1" t="s">
        <v>933</v>
      </c>
      <c r="K2991" s="1" t="s">
        <v>994</v>
      </c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25">
      <c r="A2992" s="8" t="s">
        <v>9441</v>
      </c>
      <c r="I2992" s="1" t="s">
        <v>996</v>
      </c>
      <c r="J2992" s="1" t="s">
        <v>25</v>
      </c>
      <c r="K2992" s="1" t="s">
        <v>997</v>
      </c>
      <c r="L2992" s="1" t="s">
        <v>927</v>
      </c>
      <c r="M2992" s="1" t="s">
        <v>998</v>
      </c>
      <c r="N2992" s="1" t="s">
        <v>933</v>
      </c>
      <c r="O2992" s="1" t="s">
        <v>993</v>
      </c>
      <c r="P2992" s="1" t="s">
        <v>994</v>
      </c>
      <c r="Q2992" s="1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25">
      <c r="A2993" s="8" t="s">
        <v>9486</v>
      </c>
      <c r="I2993" s="1" t="s">
        <v>948</v>
      </c>
      <c r="J2993" s="1" t="s">
        <v>298</v>
      </c>
      <c r="K2993" s="1" t="s">
        <v>1149</v>
      </c>
      <c r="L2993" s="1" t="s">
        <v>25</v>
      </c>
      <c r="M2993" s="1" t="s">
        <v>923</v>
      </c>
      <c r="N2993" s="1" t="s">
        <v>997</v>
      </c>
      <c r="O2993" s="1" t="s">
        <v>954</v>
      </c>
      <c r="P2993" s="1" t="s">
        <v>994</v>
      </c>
      <c r="Q2993" s="1" t="s">
        <v>996</v>
      </c>
      <c r="R2993" s="1" t="s">
        <v>927</v>
      </c>
      <c r="S2993" s="1" t="s">
        <v>998</v>
      </c>
      <c r="T2993" s="1" t="s">
        <v>933</v>
      </c>
      <c r="U2993" s="1" t="s">
        <v>993</v>
      </c>
      <c r="V2993" s="1"/>
      <c r="W2993" s="1"/>
      <c r="X2993" s="1"/>
      <c r="Y2993" s="1"/>
    </row>
    <row r="2994" spans="1:25" x14ac:dyDescent="0.25">
      <c r="A2994" s="8" t="s">
        <v>9486</v>
      </c>
      <c r="I2994" s="1" t="s">
        <v>996</v>
      </c>
      <c r="J2994" s="1" t="s">
        <v>25</v>
      </c>
      <c r="K2994" s="1" t="s">
        <v>923</v>
      </c>
      <c r="L2994" s="1" t="s">
        <v>998</v>
      </c>
      <c r="M2994" s="1" t="s">
        <v>1053</v>
      </c>
      <c r="N2994" s="1" t="s">
        <v>933</v>
      </c>
      <c r="O2994" s="1" t="s">
        <v>2541</v>
      </c>
      <c r="P2994" s="1"/>
      <c r="Q2994" s="1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25">
      <c r="A2995" s="8" t="s">
        <v>9862</v>
      </c>
      <c r="I2995" s="1" t="s">
        <v>996</v>
      </c>
      <c r="J2995" s="1" t="s">
        <v>25</v>
      </c>
      <c r="K2995" s="1" t="s">
        <v>923</v>
      </c>
      <c r="L2995" s="1" t="s">
        <v>998</v>
      </c>
      <c r="M2995" s="1" t="s">
        <v>1053</v>
      </c>
      <c r="N2995" s="1" t="s">
        <v>933</v>
      </c>
      <c r="O2995" s="1" t="s">
        <v>2541</v>
      </c>
      <c r="P2995" s="1"/>
      <c r="Q2995" s="1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25">
      <c r="A2996" s="8" t="s">
        <v>9862</v>
      </c>
      <c r="I2996" s="1" t="s">
        <v>996</v>
      </c>
      <c r="J2996" s="1" t="s">
        <v>25</v>
      </c>
      <c r="K2996" s="1" t="s">
        <v>997</v>
      </c>
      <c r="L2996" s="1" t="s">
        <v>927</v>
      </c>
      <c r="M2996" s="1" t="s">
        <v>998</v>
      </c>
      <c r="N2996" s="1" t="s">
        <v>992</v>
      </c>
      <c r="O2996" s="1" t="s">
        <v>933</v>
      </c>
      <c r="P2996" s="1" t="s">
        <v>994</v>
      </c>
      <c r="Q2996" s="1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25">
      <c r="A2997" s="8" t="s">
        <v>10601</v>
      </c>
      <c r="I2997" s="1" t="s">
        <v>1001</v>
      </c>
      <c r="J2997" s="1" t="s">
        <v>992</v>
      </c>
      <c r="K2997" s="1" t="s">
        <v>981</v>
      </c>
      <c r="L2997" s="1" t="s">
        <v>1066</v>
      </c>
      <c r="M2997" s="1" t="s">
        <v>10848</v>
      </c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25">
      <c r="A2998" s="8" t="s">
        <v>8876</v>
      </c>
      <c r="I2998" s="1" t="s">
        <v>928</v>
      </c>
      <c r="J2998" s="1" t="s">
        <v>919</v>
      </c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25">
      <c r="A2999" s="8" t="s">
        <v>9102</v>
      </c>
      <c r="I2999" s="1" t="s">
        <v>918</v>
      </c>
      <c r="J2999" s="1" t="s">
        <v>25</v>
      </c>
      <c r="K2999" s="1" t="s">
        <v>923</v>
      </c>
      <c r="L2999" s="1" t="s">
        <v>927</v>
      </c>
      <c r="M2999" s="1" t="s">
        <v>10768</v>
      </c>
      <c r="N2999" s="1" t="s">
        <v>919</v>
      </c>
      <c r="O2999" s="1" t="s">
        <v>920</v>
      </c>
      <c r="P2999" s="1" t="s">
        <v>933</v>
      </c>
      <c r="Q2999" s="1" t="s">
        <v>921</v>
      </c>
      <c r="R2999" s="1" t="s">
        <v>981</v>
      </c>
      <c r="S2999" s="1"/>
      <c r="T2999" s="1"/>
      <c r="U2999" s="1"/>
      <c r="V2999" s="1"/>
      <c r="W2999" s="1"/>
      <c r="X2999" s="1"/>
      <c r="Y2999" s="1"/>
    </row>
    <row r="3000" spans="1:25" x14ac:dyDescent="0.25">
      <c r="A3000" s="8" t="s">
        <v>10694</v>
      </c>
      <c r="I3000" s="1" t="s">
        <v>918</v>
      </c>
      <c r="J3000" s="1" t="s">
        <v>25</v>
      </c>
      <c r="K3000" s="1" t="s">
        <v>923</v>
      </c>
      <c r="L3000" s="1" t="s">
        <v>919</v>
      </c>
      <c r="M3000" s="1" t="s">
        <v>920</v>
      </c>
      <c r="N3000" s="1" t="s">
        <v>921</v>
      </c>
      <c r="O3000" s="1" t="s">
        <v>927</v>
      </c>
      <c r="P3000" s="1" t="s">
        <v>981</v>
      </c>
      <c r="Q3000" s="1" t="s">
        <v>933</v>
      </c>
      <c r="R3000" s="1"/>
      <c r="S3000" s="1"/>
      <c r="T3000" s="1"/>
      <c r="U3000" s="1"/>
      <c r="V3000" s="1"/>
      <c r="W3000" s="1"/>
      <c r="X3000" s="1"/>
      <c r="Y3000" s="1"/>
    </row>
    <row r="3001" spans="1:25" x14ac:dyDescent="0.25">
      <c r="A3001" s="8" t="s">
        <v>9954</v>
      </c>
      <c r="I3001" s="1" t="s">
        <v>1001</v>
      </c>
      <c r="J3001" s="1" t="s">
        <v>927</v>
      </c>
      <c r="K3001" s="1" t="s">
        <v>992</v>
      </c>
      <c r="L3001" s="1" t="s">
        <v>981</v>
      </c>
      <c r="M3001" s="1" t="s">
        <v>919</v>
      </c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25">
      <c r="A3002" s="8" t="s">
        <v>10529</v>
      </c>
      <c r="I3002" s="1" t="s">
        <v>1001</v>
      </c>
      <c r="J3002" s="1" t="s">
        <v>927</v>
      </c>
      <c r="K3002" s="1" t="s">
        <v>992</v>
      </c>
      <c r="L3002" s="1" t="s">
        <v>981</v>
      </c>
      <c r="M3002" s="1" t="s">
        <v>919</v>
      </c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25">
      <c r="A3003" s="8" t="s">
        <v>9906</v>
      </c>
      <c r="I3003" s="1" t="s">
        <v>1001</v>
      </c>
      <c r="J3003" s="1" t="s">
        <v>927</v>
      </c>
      <c r="K3003" s="1" t="s">
        <v>992</v>
      </c>
      <c r="L3003" s="1" t="s">
        <v>981</v>
      </c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25">
      <c r="A3004" s="8" t="s">
        <v>10042</v>
      </c>
      <c r="I3004" s="1" t="s">
        <v>983</v>
      </c>
      <c r="J3004" s="1" t="s">
        <v>919</v>
      </c>
      <c r="K3004" s="1" t="s">
        <v>1001</v>
      </c>
      <c r="L3004" s="1" t="s">
        <v>927</v>
      </c>
      <c r="M3004" s="1" t="s">
        <v>992</v>
      </c>
      <c r="N3004" s="1" t="s">
        <v>981</v>
      </c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25">
      <c r="A3005" s="7" t="s">
        <v>9070</v>
      </c>
      <c r="I3005" s="1" t="s">
        <v>1001</v>
      </c>
      <c r="J3005" s="1" t="s">
        <v>927</v>
      </c>
      <c r="K3005" s="1" t="s">
        <v>992</v>
      </c>
      <c r="L3005" s="1" t="s">
        <v>981</v>
      </c>
      <c r="M3005" s="1" t="s">
        <v>919</v>
      </c>
      <c r="N3005" s="1" t="s">
        <v>924</v>
      </c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25">
      <c r="A3006" s="8" t="s">
        <v>9070</v>
      </c>
      <c r="I3006" s="1" t="s">
        <v>1001</v>
      </c>
      <c r="J3006" s="1" t="s">
        <v>927</v>
      </c>
      <c r="K3006" s="1" t="s">
        <v>992</v>
      </c>
      <c r="L3006" s="1" t="s">
        <v>981</v>
      </c>
      <c r="M3006" s="1" t="s">
        <v>1066</v>
      </c>
      <c r="N3006" s="1" t="s">
        <v>919</v>
      </c>
      <c r="O3006" s="1" t="s">
        <v>993</v>
      </c>
      <c r="P3006" s="1"/>
      <c r="Q3006" s="1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25">
      <c r="A3007" s="8" t="s">
        <v>10415</v>
      </c>
      <c r="I3007" s="1" t="s">
        <v>1001</v>
      </c>
      <c r="J3007" s="1" t="s">
        <v>927</v>
      </c>
      <c r="K3007" s="1" t="s">
        <v>992</v>
      </c>
      <c r="L3007" s="1" t="s">
        <v>981</v>
      </c>
      <c r="M3007" s="1" t="s">
        <v>1066</v>
      </c>
      <c r="N3007" s="1" t="s">
        <v>919</v>
      </c>
      <c r="O3007" s="1" t="s">
        <v>993</v>
      </c>
      <c r="P3007" s="1"/>
      <c r="Q3007" s="1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25">
      <c r="A3008" s="7" t="s">
        <v>4930</v>
      </c>
      <c r="I3008" s="1" t="s">
        <v>1001</v>
      </c>
      <c r="J3008" s="1" t="s">
        <v>927</v>
      </c>
      <c r="K3008" s="1" t="s">
        <v>992</v>
      </c>
      <c r="L3008" s="1" t="s">
        <v>981</v>
      </c>
      <c r="M3008" s="1" t="s">
        <v>1066</v>
      </c>
      <c r="N3008" s="1" t="s">
        <v>919</v>
      </c>
      <c r="O3008" s="1" t="s">
        <v>993</v>
      </c>
      <c r="P3008" s="1"/>
      <c r="Q3008" s="1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25">
      <c r="A3009" s="7" t="s">
        <v>4930</v>
      </c>
      <c r="I3009" s="1" t="s">
        <v>1001</v>
      </c>
      <c r="J3009" s="1" t="s">
        <v>927</v>
      </c>
      <c r="K3009" s="1" t="s">
        <v>992</v>
      </c>
      <c r="L3009" s="1" t="s">
        <v>981</v>
      </c>
      <c r="M3009" s="1" t="s">
        <v>1066</v>
      </c>
      <c r="N3009" s="1" t="s">
        <v>919</v>
      </c>
      <c r="O3009" s="1" t="s">
        <v>993</v>
      </c>
      <c r="P3009" s="1"/>
      <c r="Q3009" s="1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25">
      <c r="A3010" s="8" t="s">
        <v>9028</v>
      </c>
      <c r="I3010" s="1" t="s">
        <v>918</v>
      </c>
      <c r="J3010" s="1" t="s">
        <v>25</v>
      </c>
      <c r="K3010" s="1" t="s">
        <v>927</v>
      </c>
      <c r="L3010" s="1" t="s">
        <v>919</v>
      </c>
      <c r="M3010" s="1" t="s">
        <v>920</v>
      </c>
      <c r="N3010" s="1" t="s">
        <v>921</v>
      </c>
      <c r="O3010" s="1" t="s">
        <v>1001</v>
      </c>
      <c r="P3010" s="1" t="s">
        <v>992</v>
      </c>
      <c r="Q3010" s="1" t="s">
        <v>981</v>
      </c>
      <c r="R3010" s="1" t="s">
        <v>1066</v>
      </c>
      <c r="S3010" s="1" t="s">
        <v>993</v>
      </c>
      <c r="T3010" s="1"/>
      <c r="U3010" s="1"/>
      <c r="V3010" s="1"/>
      <c r="W3010" s="1"/>
      <c r="X3010" s="1"/>
      <c r="Y3010" s="1"/>
    </row>
    <row r="3011" spans="1:25" x14ac:dyDescent="0.25">
      <c r="A3011" s="7" t="s">
        <v>7650</v>
      </c>
      <c r="I3011" s="1" t="s">
        <v>1001</v>
      </c>
      <c r="J3011" s="1" t="s">
        <v>927</v>
      </c>
      <c r="K3011" s="1" t="s">
        <v>992</v>
      </c>
      <c r="L3011" s="1" t="s">
        <v>981</v>
      </c>
      <c r="M3011" s="1" t="s">
        <v>993</v>
      </c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25">
      <c r="A3012" s="7" t="s">
        <v>7650</v>
      </c>
      <c r="I3012" s="1" t="s">
        <v>1001</v>
      </c>
      <c r="J3012" s="1" t="s">
        <v>927</v>
      </c>
      <c r="K3012" s="1" t="s">
        <v>992</v>
      </c>
      <c r="L3012" s="1" t="s">
        <v>981</v>
      </c>
      <c r="M3012" s="1" t="s">
        <v>993</v>
      </c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25">
      <c r="A3013" s="7" t="s">
        <v>7650</v>
      </c>
      <c r="I3013" s="1" t="s">
        <v>1001</v>
      </c>
      <c r="J3013" s="1" t="s">
        <v>927</v>
      </c>
      <c r="K3013" s="1" t="s">
        <v>992</v>
      </c>
      <c r="L3013" s="1" t="s">
        <v>981</v>
      </c>
      <c r="M3013" s="1" t="s">
        <v>993</v>
      </c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25">
      <c r="A3014" s="8" t="s">
        <v>7650</v>
      </c>
      <c r="I3014" s="1" t="s">
        <v>25</v>
      </c>
      <c r="J3014" s="1" t="s">
        <v>923</v>
      </c>
      <c r="K3014" s="1" t="s">
        <v>927</v>
      </c>
      <c r="L3014" s="1" t="s">
        <v>919</v>
      </c>
      <c r="M3014" s="1" t="s">
        <v>920</v>
      </c>
      <c r="N3014" s="1" t="s">
        <v>921</v>
      </c>
      <c r="O3014" s="1" t="s">
        <v>1001</v>
      </c>
      <c r="P3014" s="1" t="s">
        <v>992</v>
      </c>
      <c r="Q3014" s="1" t="s">
        <v>981</v>
      </c>
      <c r="R3014" s="1" t="s">
        <v>993</v>
      </c>
      <c r="S3014" s="1"/>
      <c r="T3014" s="1"/>
      <c r="U3014" s="1"/>
      <c r="V3014" s="1"/>
      <c r="W3014" s="1"/>
      <c r="X3014" s="1"/>
      <c r="Y3014" s="1"/>
    </row>
    <row r="3015" spans="1:25" x14ac:dyDescent="0.25">
      <c r="A3015" s="7" t="s">
        <v>5712</v>
      </c>
      <c r="I3015" s="1" t="s">
        <v>1011</v>
      </c>
      <c r="J3015" s="1" t="s">
        <v>921</v>
      </c>
      <c r="K3015" s="1" t="s">
        <v>940</v>
      </c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25">
      <c r="A3016" s="7" t="s">
        <v>5712</v>
      </c>
      <c r="I3016" s="1" t="s">
        <v>1011</v>
      </c>
      <c r="J3016" s="1" t="s">
        <v>921</v>
      </c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25">
      <c r="A3017" s="8" t="s">
        <v>5712</v>
      </c>
      <c r="I3017" s="1" t="s">
        <v>999</v>
      </c>
      <c r="J3017" s="1" t="s">
        <v>921</v>
      </c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25">
      <c r="A3018" s="7" t="s">
        <v>6891</v>
      </c>
      <c r="I3018" s="1" t="s">
        <v>999</v>
      </c>
      <c r="J3018" s="1" t="s">
        <v>921</v>
      </c>
      <c r="K3018" s="1" t="s">
        <v>936</v>
      </c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25">
      <c r="A3019" s="7" t="s">
        <v>6891</v>
      </c>
      <c r="I3019" s="1" t="s">
        <v>999</v>
      </c>
      <c r="J3019" s="1" t="s">
        <v>921</v>
      </c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25">
      <c r="A3020" s="7" t="s">
        <v>6891</v>
      </c>
      <c r="I3020" s="1" t="s">
        <v>25</v>
      </c>
      <c r="J3020" s="1" t="s">
        <v>920</v>
      </c>
      <c r="K3020" s="1" t="s">
        <v>921</v>
      </c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25">
      <c r="A3021" s="8" t="s">
        <v>6891</v>
      </c>
      <c r="I3021" s="1" t="s">
        <v>25</v>
      </c>
      <c r="J3021" s="1" t="s">
        <v>920</v>
      </c>
      <c r="K3021" s="1" t="s">
        <v>921</v>
      </c>
      <c r="L3021" s="1" t="s">
        <v>1019</v>
      </c>
      <c r="M3021" s="1" t="s">
        <v>10758</v>
      </c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25">
      <c r="A3022" s="7" t="s">
        <v>10603</v>
      </c>
      <c r="I3022" s="1" t="s">
        <v>25</v>
      </c>
      <c r="J3022" s="1" t="s">
        <v>920</v>
      </c>
      <c r="K3022" s="1" t="s">
        <v>921</v>
      </c>
      <c r="L3022" s="1" t="s">
        <v>11024</v>
      </c>
      <c r="M3022" s="1" t="s">
        <v>1102</v>
      </c>
      <c r="N3022" s="1" t="s">
        <v>11025</v>
      </c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25">
      <c r="A3023" s="7" t="s">
        <v>4028</v>
      </c>
      <c r="I3023" s="1" t="s">
        <v>918</v>
      </c>
      <c r="J3023" s="1" t="s">
        <v>25</v>
      </c>
      <c r="K3023" s="1" t="s">
        <v>923</v>
      </c>
      <c r="L3023" s="1" t="s">
        <v>947</v>
      </c>
      <c r="M3023" s="1" t="s">
        <v>919</v>
      </c>
      <c r="N3023" s="1" t="s">
        <v>920</v>
      </c>
      <c r="O3023" s="1" t="s">
        <v>924</v>
      </c>
      <c r="P3023" s="1" t="s">
        <v>921</v>
      </c>
      <c r="Q3023" s="1" t="s">
        <v>952</v>
      </c>
      <c r="R3023" s="1" t="s">
        <v>1037</v>
      </c>
      <c r="S3023" s="1"/>
      <c r="T3023" s="1"/>
      <c r="U3023" s="1"/>
      <c r="V3023" s="1"/>
      <c r="W3023" s="1"/>
      <c r="X3023" s="1"/>
      <c r="Y3023" s="1"/>
    </row>
    <row r="3024" spans="1:25" x14ac:dyDescent="0.25">
      <c r="A3024" s="7" t="s">
        <v>5840</v>
      </c>
      <c r="I3024" s="1" t="s">
        <v>918</v>
      </c>
      <c r="J3024" s="1" t="s">
        <v>25</v>
      </c>
      <c r="K3024" s="1" t="s">
        <v>923</v>
      </c>
      <c r="L3024" s="1" t="s">
        <v>947</v>
      </c>
      <c r="M3024" s="1" t="s">
        <v>919</v>
      </c>
      <c r="N3024" s="1" t="s">
        <v>920</v>
      </c>
      <c r="O3024" s="1" t="s">
        <v>924</v>
      </c>
      <c r="P3024" s="1" t="s">
        <v>921</v>
      </c>
      <c r="Q3024" s="1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25">
      <c r="A3025" s="7" t="s">
        <v>5840</v>
      </c>
      <c r="I3025" s="1" t="s">
        <v>918</v>
      </c>
      <c r="J3025" s="1" t="s">
        <v>25</v>
      </c>
      <c r="K3025" s="1" t="s">
        <v>923</v>
      </c>
      <c r="L3025" s="1" t="s">
        <v>927</v>
      </c>
      <c r="M3025" s="1" t="s">
        <v>919</v>
      </c>
      <c r="N3025" s="1" t="s">
        <v>920</v>
      </c>
      <c r="O3025" s="1" t="s">
        <v>933</v>
      </c>
      <c r="P3025" s="1" t="s">
        <v>921</v>
      </c>
      <c r="Q3025" s="1" t="s">
        <v>10734</v>
      </c>
      <c r="R3025" s="1" t="s">
        <v>1085</v>
      </c>
      <c r="S3025" s="1" t="s">
        <v>10735</v>
      </c>
      <c r="T3025" s="1" t="s">
        <v>955</v>
      </c>
      <c r="U3025" s="1" t="s">
        <v>1014</v>
      </c>
      <c r="V3025" s="1" t="s">
        <v>924</v>
      </c>
      <c r="W3025" s="1" t="s">
        <v>1079</v>
      </c>
      <c r="X3025" s="1" t="s">
        <v>945</v>
      </c>
      <c r="Y3025" s="1" t="s">
        <v>11026</v>
      </c>
    </row>
    <row r="3026" spans="1:25" x14ac:dyDescent="0.25">
      <c r="A3026" s="7" t="s">
        <v>5840</v>
      </c>
      <c r="I3026" s="1" t="s">
        <v>918</v>
      </c>
      <c r="J3026" s="1" t="s">
        <v>25</v>
      </c>
      <c r="K3026" s="1" t="s">
        <v>923</v>
      </c>
      <c r="L3026" s="1" t="s">
        <v>927</v>
      </c>
      <c r="M3026" s="1" t="s">
        <v>919</v>
      </c>
      <c r="N3026" s="1" t="s">
        <v>920</v>
      </c>
      <c r="O3026" s="1" t="s">
        <v>933</v>
      </c>
      <c r="P3026" s="1" t="s">
        <v>921</v>
      </c>
      <c r="Q3026" s="1" t="s">
        <v>936</v>
      </c>
      <c r="R3026" s="1" t="s">
        <v>1037</v>
      </c>
      <c r="S3026" s="1"/>
      <c r="T3026" s="1"/>
      <c r="U3026" s="1"/>
      <c r="V3026" s="1"/>
      <c r="W3026" s="1"/>
      <c r="X3026" s="1"/>
      <c r="Y3026" s="1"/>
    </row>
    <row r="3027" spans="1:25" x14ac:dyDescent="0.25">
      <c r="A3027" s="7" t="s">
        <v>9231</v>
      </c>
      <c r="I3027" s="1" t="s">
        <v>918</v>
      </c>
      <c r="J3027" s="1" t="s">
        <v>25</v>
      </c>
      <c r="K3027" s="1" t="s">
        <v>923</v>
      </c>
      <c r="L3027" s="1" t="s">
        <v>927</v>
      </c>
      <c r="M3027" s="1" t="s">
        <v>919</v>
      </c>
      <c r="N3027" s="1" t="s">
        <v>920</v>
      </c>
      <c r="O3027" s="1" t="s">
        <v>933</v>
      </c>
      <c r="P3027" s="1" t="s">
        <v>921</v>
      </c>
      <c r="Q3027" s="1" t="s">
        <v>1001</v>
      </c>
      <c r="R3027" s="1" t="s">
        <v>1000</v>
      </c>
      <c r="S3027" s="1" t="s">
        <v>936</v>
      </c>
      <c r="T3027" s="1"/>
      <c r="U3027" s="1"/>
      <c r="V3027" s="1"/>
      <c r="W3027" s="1"/>
      <c r="X3027" s="1"/>
      <c r="Y3027" s="1"/>
    </row>
    <row r="3028" spans="1:25" x14ac:dyDescent="0.25">
      <c r="A3028" s="7" t="s">
        <v>8941</v>
      </c>
      <c r="I3028" s="1" t="s">
        <v>918</v>
      </c>
      <c r="J3028" s="1" t="s">
        <v>25</v>
      </c>
      <c r="K3028" s="1" t="s">
        <v>923</v>
      </c>
      <c r="L3028" s="1" t="s">
        <v>927</v>
      </c>
      <c r="M3028" s="1" t="s">
        <v>919</v>
      </c>
      <c r="N3028" s="1" t="s">
        <v>920</v>
      </c>
      <c r="O3028" s="1" t="s">
        <v>933</v>
      </c>
      <c r="P3028" s="1" t="s">
        <v>921</v>
      </c>
      <c r="Q3028" s="1" t="s">
        <v>946</v>
      </c>
      <c r="R3028" s="1" t="s">
        <v>922</v>
      </c>
      <c r="S3028" s="1"/>
      <c r="T3028" s="1"/>
      <c r="U3028" s="1"/>
      <c r="V3028" s="1"/>
      <c r="W3028" s="1"/>
      <c r="X3028" s="1"/>
      <c r="Y3028" s="1"/>
    </row>
    <row r="3029" spans="1:25" x14ac:dyDescent="0.25">
      <c r="A3029" s="7" t="s">
        <v>8941</v>
      </c>
      <c r="I3029" s="1" t="s">
        <v>1001</v>
      </c>
      <c r="J3029" s="1" t="s">
        <v>927</v>
      </c>
      <c r="K3029" s="1" t="s">
        <v>981</v>
      </c>
      <c r="L3029" s="1" t="s">
        <v>1019</v>
      </c>
      <c r="M3029" s="1" t="s">
        <v>983</v>
      </c>
      <c r="N3029" s="1" t="s">
        <v>984</v>
      </c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25">
      <c r="A3030" s="8" t="s">
        <v>8941</v>
      </c>
      <c r="I3030" s="1" t="s">
        <v>1001</v>
      </c>
      <c r="J3030" s="1" t="s">
        <v>10722</v>
      </c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25">
      <c r="A3031" s="8" t="s">
        <v>8941</v>
      </c>
      <c r="I3031" s="1" t="s">
        <v>1069</v>
      </c>
      <c r="J3031" s="1" t="s">
        <v>25</v>
      </c>
      <c r="K3031" s="1" t="s">
        <v>923</v>
      </c>
      <c r="L3031" s="1" t="s">
        <v>975</v>
      </c>
      <c r="M3031" s="1" t="s">
        <v>1060</v>
      </c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25">
      <c r="A3032" s="8" t="s">
        <v>10046</v>
      </c>
      <c r="I3032" s="1" t="s">
        <v>25</v>
      </c>
      <c r="J3032" s="1" t="s">
        <v>997</v>
      </c>
      <c r="K3032" s="1" t="s">
        <v>927</v>
      </c>
      <c r="L3032" s="1" t="s">
        <v>994</v>
      </c>
      <c r="M3032" s="1" t="s">
        <v>998</v>
      </c>
      <c r="N3032" s="1" t="s">
        <v>981</v>
      </c>
      <c r="O3032" s="1" t="s">
        <v>920</v>
      </c>
      <c r="P3032" s="1" t="s">
        <v>933</v>
      </c>
      <c r="Q3032" s="1" t="s">
        <v>960</v>
      </c>
      <c r="R3032" s="1" t="s">
        <v>921</v>
      </c>
      <c r="S3032" s="1" t="s">
        <v>993</v>
      </c>
      <c r="T3032" s="1" t="s">
        <v>11027</v>
      </c>
      <c r="U3032" s="1"/>
      <c r="V3032" s="1"/>
      <c r="W3032" s="1"/>
      <c r="X3032" s="1"/>
      <c r="Y3032" s="1"/>
    </row>
    <row r="3033" spans="1:25" x14ac:dyDescent="0.25">
      <c r="A3033" s="7" t="s">
        <v>9236</v>
      </c>
      <c r="I3033" s="1" t="s">
        <v>948</v>
      </c>
      <c r="J3033" s="1" t="s">
        <v>298</v>
      </c>
      <c r="K3033" s="1" t="s">
        <v>1149</v>
      </c>
      <c r="L3033" s="1" t="s">
        <v>25</v>
      </c>
      <c r="M3033" s="1" t="s">
        <v>923</v>
      </c>
      <c r="N3033" s="1" t="s">
        <v>997</v>
      </c>
      <c r="O3033" s="1" t="s">
        <v>954</v>
      </c>
      <c r="P3033" s="1" t="s">
        <v>994</v>
      </c>
      <c r="Q3033" s="1" t="s">
        <v>922</v>
      </c>
      <c r="R3033" s="1"/>
      <c r="S3033" s="1"/>
      <c r="T3033" s="1"/>
      <c r="U3033" s="1"/>
      <c r="V3033" s="1"/>
      <c r="W3033" s="1"/>
      <c r="X3033" s="1"/>
      <c r="Y3033" s="1"/>
    </row>
    <row r="3034" spans="1:25" x14ac:dyDescent="0.25">
      <c r="A3034" s="7" t="s">
        <v>9792</v>
      </c>
      <c r="I3034" s="1" t="s">
        <v>948</v>
      </c>
      <c r="J3034" s="1" t="s">
        <v>298</v>
      </c>
      <c r="K3034" s="1" t="s">
        <v>1149</v>
      </c>
      <c r="L3034" s="1" t="s">
        <v>25</v>
      </c>
      <c r="M3034" s="1" t="s">
        <v>923</v>
      </c>
      <c r="N3034" s="1" t="s">
        <v>997</v>
      </c>
      <c r="O3034" s="1" t="s">
        <v>954</v>
      </c>
      <c r="P3034" s="1" t="s">
        <v>994</v>
      </c>
      <c r="Q3034" s="1" t="s">
        <v>937</v>
      </c>
      <c r="R3034" s="1" t="s">
        <v>1013</v>
      </c>
      <c r="S3034" s="1" t="s">
        <v>1057</v>
      </c>
      <c r="T3034" s="1" t="s">
        <v>927</v>
      </c>
      <c r="U3034" s="1" t="s">
        <v>928</v>
      </c>
      <c r="V3034" s="1" t="s">
        <v>1059</v>
      </c>
      <c r="W3034" s="1"/>
      <c r="X3034" s="1"/>
      <c r="Y3034" s="1"/>
    </row>
    <row r="3035" spans="1:25" x14ac:dyDescent="0.25">
      <c r="A3035" s="8" t="s">
        <v>9888</v>
      </c>
      <c r="I3035" s="1" t="s">
        <v>948</v>
      </c>
      <c r="J3035" s="1" t="s">
        <v>298</v>
      </c>
      <c r="K3035" s="1" t="s">
        <v>1149</v>
      </c>
      <c r="L3035" s="1" t="s">
        <v>25</v>
      </c>
      <c r="M3035" s="1" t="s">
        <v>923</v>
      </c>
      <c r="N3035" s="1" t="s">
        <v>997</v>
      </c>
      <c r="O3035" s="1" t="s">
        <v>954</v>
      </c>
      <c r="P3035" s="1" t="s">
        <v>994</v>
      </c>
      <c r="Q3035" s="1" t="s">
        <v>152</v>
      </c>
      <c r="R3035" s="1" t="s">
        <v>929</v>
      </c>
      <c r="S3035" s="1" t="s">
        <v>10722</v>
      </c>
      <c r="T3035" s="1"/>
      <c r="U3035" s="1"/>
      <c r="V3035" s="1"/>
      <c r="W3035" s="1"/>
      <c r="X3035" s="1"/>
      <c r="Y3035" s="1"/>
    </row>
    <row r="3036" spans="1:25" x14ac:dyDescent="0.25">
      <c r="A3036" s="8" t="s">
        <v>9516</v>
      </c>
      <c r="I3036" s="1" t="s">
        <v>948</v>
      </c>
      <c r="J3036" s="1" t="s">
        <v>298</v>
      </c>
      <c r="K3036" s="1" t="s">
        <v>1149</v>
      </c>
      <c r="L3036" s="1" t="s">
        <v>25</v>
      </c>
      <c r="M3036" s="1" t="s">
        <v>923</v>
      </c>
      <c r="N3036" s="1" t="s">
        <v>997</v>
      </c>
      <c r="O3036" s="1" t="s">
        <v>954</v>
      </c>
      <c r="P3036" s="1" t="s">
        <v>994</v>
      </c>
      <c r="Q3036" s="1" t="s">
        <v>11028</v>
      </c>
      <c r="R3036" s="1"/>
      <c r="S3036" s="1"/>
      <c r="T3036" s="1"/>
      <c r="U3036" s="1"/>
      <c r="V3036" s="1"/>
      <c r="W3036" s="1"/>
      <c r="X3036" s="1"/>
      <c r="Y3036" s="1"/>
    </row>
    <row r="3037" spans="1:25" x14ac:dyDescent="0.25">
      <c r="A3037" s="7" t="s">
        <v>9297</v>
      </c>
      <c r="I3037" s="1" t="s">
        <v>948</v>
      </c>
      <c r="J3037" s="1" t="s">
        <v>298</v>
      </c>
      <c r="K3037" s="1" t="s">
        <v>1149</v>
      </c>
      <c r="L3037" s="1" t="s">
        <v>25</v>
      </c>
      <c r="M3037" s="1" t="s">
        <v>923</v>
      </c>
      <c r="N3037" s="1" t="s">
        <v>997</v>
      </c>
      <c r="O3037" s="1" t="s">
        <v>954</v>
      </c>
      <c r="P3037" s="1" t="s">
        <v>994</v>
      </c>
      <c r="Q3037" s="1" t="s">
        <v>1023</v>
      </c>
      <c r="R3037" s="1" t="s">
        <v>1085</v>
      </c>
      <c r="S3037" s="1" t="s">
        <v>955</v>
      </c>
      <c r="T3037" s="1" t="s">
        <v>1014</v>
      </c>
      <c r="U3037" s="1" t="s">
        <v>944</v>
      </c>
      <c r="V3037" s="1" t="s">
        <v>956</v>
      </c>
      <c r="W3037" s="1" t="s">
        <v>10820</v>
      </c>
      <c r="X3037" s="1"/>
      <c r="Y3037" s="1"/>
    </row>
    <row r="3038" spans="1:25" x14ac:dyDescent="0.25">
      <c r="A3038" s="8" t="s">
        <v>9638</v>
      </c>
      <c r="I3038" s="1" t="s">
        <v>996</v>
      </c>
      <c r="J3038" s="1" t="s">
        <v>927</v>
      </c>
      <c r="K3038" s="1" t="s">
        <v>10726</v>
      </c>
      <c r="L3038" s="1" t="s">
        <v>933</v>
      </c>
      <c r="M3038" s="1" t="s">
        <v>924</v>
      </c>
      <c r="N3038" s="1" t="s">
        <v>1099</v>
      </c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25">
      <c r="A3039" s="8" t="s">
        <v>9047</v>
      </c>
      <c r="I3039" s="1" t="s">
        <v>996</v>
      </c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25">
      <c r="A3040" s="7" t="s">
        <v>5354</v>
      </c>
      <c r="I3040" s="1" t="s">
        <v>948</v>
      </c>
      <c r="J3040" s="1" t="s">
        <v>298</v>
      </c>
      <c r="K3040" s="1" t="s">
        <v>1149</v>
      </c>
      <c r="L3040" s="1" t="s">
        <v>25</v>
      </c>
      <c r="M3040" s="1" t="s">
        <v>923</v>
      </c>
      <c r="N3040" s="1" t="s">
        <v>997</v>
      </c>
      <c r="O3040" s="1" t="s">
        <v>954</v>
      </c>
      <c r="P3040" s="1" t="s">
        <v>994</v>
      </c>
      <c r="Q3040" s="1" t="s">
        <v>996</v>
      </c>
      <c r="R3040" s="1" t="s">
        <v>920</v>
      </c>
      <c r="S3040" s="1"/>
      <c r="T3040" s="1"/>
      <c r="U3040" s="1"/>
      <c r="V3040" s="1"/>
      <c r="W3040" s="1"/>
      <c r="X3040" s="1"/>
      <c r="Y3040" s="1"/>
    </row>
    <row r="3041" spans="1:25" x14ac:dyDescent="0.25">
      <c r="A3041" s="7" t="s">
        <v>3146</v>
      </c>
      <c r="I3041" s="1" t="s">
        <v>10810</v>
      </c>
      <c r="J3041" s="1" t="s">
        <v>1058</v>
      </c>
      <c r="K3041" s="1" t="s">
        <v>948</v>
      </c>
      <c r="L3041" s="1" t="s">
        <v>298</v>
      </c>
      <c r="M3041" s="1" t="s">
        <v>1149</v>
      </c>
      <c r="N3041" s="1" t="s">
        <v>25</v>
      </c>
      <c r="O3041" s="1" t="s">
        <v>923</v>
      </c>
      <c r="P3041" s="1" t="s">
        <v>997</v>
      </c>
      <c r="Q3041" s="1" t="s">
        <v>954</v>
      </c>
      <c r="R3041" s="1" t="s">
        <v>994</v>
      </c>
      <c r="S3041" s="1"/>
      <c r="T3041" s="1"/>
      <c r="U3041" s="1"/>
      <c r="V3041" s="1"/>
      <c r="W3041" s="1"/>
      <c r="X3041" s="1"/>
      <c r="Y3041" s="1"/>
    </row>
    <row r="3042" spans="1:25" x14ac:dyDescent="0.25">
      <c r="A3042" s="7" t="s">
        <v>4889</v>
      </c>
      <c r="I3042" s="1" t="s">
        <v>933</v>
      </c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25">
      <c r="A3043" s="7" t="s">
        <v>9514</v>
      </c>
      <c r="I3043" s="1" t="s">
        <v>997</v>
      </c>
      <c r="J3043" s="1" t="s">
        <v>933</v>
      </c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25">
      <c r="A3044" s="8" t="s">
        <v>10652</v>
      </c>
      <c r="I3044" s="1" t="s">
        <v>996</v>
      </c>
      <c r="J3044" s="1" t="s">
        <v>10804</v>
      </c>
      <c r="K3044" s="1" t="s">
        <v>961</v>
      </c>
      <c r="L3044" s="1" t="s">
        <v>10781</v>
      </c>
      <c r="M3044" s="1" t="s">
        <v>1085</v>
      </c>
      <c r="N3044" s="1" t="s">
        <v>955</v>
      </c>
      <c r="O3044" s="1" t="s">
        <v>1014</v>
      </c>
      <c r="P3044" s="1" t="s">
        <v>10740</v>
      </c>
      <c r="Q3044" s="1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25">
      <c r="A3045" s="7" t="s">
        <v>9830</v>
      </c>
      <c r="I3045" s="1" t="s">
        <v>996</v>
      </c>
      <c r="J3045" s="1" t="s">
        <v>948</v>
      </c>
      <c r="K3045" s="1" t="s">
        <v>10788</v>
      </c>
      <c r="L3045" s="1" t="s">
        <v>25</v>
      </c>
      <c r="M3045" s="1" t="s">
        <v>923</v>
      </c>
      <c r="N3045" s="1" t="s">
        <v>997</v>
      </c>
      <c r="O3045" s="1" t="s">
        <v>1086</v>
      </c>
      <c r="P3045" s="1" t="s">
        <v>920</v>
      </c>
      <c r="Q3045" s="1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25">
      <c r="A3046" s="8" t="s">
        <v>9830</v>
      </c>
      <c r="I3046" s="1" t="s">
        <v>996</v>
      </c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25">
      <c r="A3047" s="8" t="s">
        <v>9830</v>
      </c>
      <c r="I3047" s="1" t="s">
        <v>298</v>
      </c>
      <c r="J3047" s="1" t="s">
        <v>25</v>
      </c>
      <c r="K3047" s="1" t="s">
        <v>923</v>
      </c>
      <c r="L3047" s="1" t="s">
        <v>997</v>
      </c>
      <c r="M3047" s="1" t="s">
        <v>927</v>
      </c>
      <c r="N3047" s="1" t="s">
        <v>998</v>
      </c>
      <c r="O3047" s="1" t="s">
        <v>992</v>
      </c>
      <c r="P3047" s="1" t="s">
        <v>1086</v>
      </c>
      <c r="Q3047" s="1" t="s">
        <v>920</v>
      </c>
      <c r="R3047" s="1" t="s">
        <v>933</v>
      </c>
      <c r="S3047" s="1" t="s">
        <v>994</v>
      </c>
      <c r="T3047" s="1"/>
      <c r="U3047" s="1"/>
      <c r="V3047" s="1"/>
      <c r="W3047" s="1"/>
      <c r="X3047" s="1"/>
      <c r="Y3047" s="1"/>
    </row>
    <row r="3048" spans="1:25" x14ac:dyDescent="0.25">
      <c r="A3048" s="8" t="s">
        <v>9992</v>
      </c>
      <c r="I3048" s="1" t="s">
        <v>90</v>
      </c>
      <c r="J3048" s="1" t="s">
        <v>996</v>
      </c>
      <c r="K3048" s="1" t="s">
        <v>25</v>
      </c>
      <c r="L3048" s="1" t="s">
        <v>923</v>
      </c>
      <c r="M3048" s="1" t="s">
        <v>997</v>
      </c>
      <c r="N3048" s="1" t="s">
        <v>927</v>
      </c>
      <c r="O3048" s="1" t="s">
        <v>998</v>
      </c>
      <c r="P3048" s="1" t="s">
        <v>1086</v>
      </c>
      <c r="Q3048" s="1" t="s">
        <v>994</v>
      </c>
      <c r="R3048" s="1" t="s">
        <v>1001</v>
      </c>
      <c r="S3048" s="1" t="s">
        <v>992</v>
      </c>
      <c r="T3048" s="1" t="s">
        <v>981</v>
      </c>
      <c r="U3048" s="1" t="s">
        <v>1066</v>
      </c>
      <c r="V3048" s="1"/>
      <c r="W3048" s="1"/>
      <c r="X3048" s="1"/>
      <c r="Y3048" s="1"/>
    </row>
    <row r="3049" spans="1:25" x14ac:dyDescent="0.25">
      <c r="A3049" s="7" t="s">
        <v>9318</v>
      </c>
      <c r="I3049" s="1" t="s">
        <v>1077</v>
      </c>
      <c r="J3049" s="1" t="s">
        <v>983</v>
      </c>
      <c r="K3049" s="1" t="s">
        <v>984</v>
      </c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25">
      <c r="A3050" s="7" t="s">
        <v>9318</v>
      </c>
      <c r="I3050" s="1" t="s">
        <v>1053</v>
      </c>
      <c r="J3050" s="1" t="s">
        <v>933</v>
      </c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25">
      <c r="A3051" s="7" t="s">
        <v>683</v>
      </c>
      <c r="I3051" s="1" t="s">
        <v>933</v>
      </c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25">
      <c r="A3052" s="7" t="s">
        <v>683</v>
      </c>
      <c r="I3052" s="1" t="s">
        <v>933</v>
      </c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25">
      <c r="A3053" s="7" t="s">
        <v>683</v>
      </c>
      <c r="I3053" s="1" t="s">
        <v>933</v>
      </c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25">
      <c r="A3054" s="7" t="s">
        <v>683</v>
      </c>
      <c r="I3054" s="1" t="s">
        <v>996</v>
      </c>
      <c r="J3054" s="1" t="s">
        <v>998</v>
      </c>
      <c r="K3054" s="1" t="s">
        <v>933</v>
      </c>
      <c r="L3054" s="1" t="s">
        <v>2541</v>
      </c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25">
      <c r="A3055" s="7" t="s">
        <v>683</v>
      </c>
      <c r="I3055" s="1" t="s">
        <v>933</v>
      </c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25">
      <c r="A3056" s="7" t="s">
        <v>683</v>
      </c>
      <c r="I3056" s="1" t="s">
        <v>933</v>
      </c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25">
      <c r="A3057" s="7" t="s">
        <v>683</v>
      </c>
      <c r="I3057" s="1" t="s">
        <v>996</v>
      </c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25">
      <c r="A3058" s="7" t="s">
        <v>683</v>
      </c>
      <c r="I3058" s="1" t="s">
        <v>996</v>
      </c>
      <c r="J3058" s="1" t="s">
        <v>998</v>
      </c>
      <c r="K3058" s="1" t="s">
        <v>933</v>
      </c>
      <c r="L3058" s="1" t="s">
        <v>2541</v>
      </c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25">
      <c r="A3059" s="7" t="s">
        <v>683</v>
      </c>
      <c r="I3059" s="1" t="s">
        <v>1053</v>
      </c>
      <c r="J3059" s="1" t="s">
        <v>961</v>
      </c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25">
      <c r="A3060" s="7" t="s">
        <v>683</v>
      </c>
      <c r="I3060" s="1" t="s">
        <v>1167</v>
      </c>
      <c r="J3060" s="1" t="s">
        <v>998</v>
      </c>
      <c r="K3060" s="1" t="s">
        <v>10730</v>
      </c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25">
      <c r="A3061" s="7" t="s">
        <v>683</v>
      </c>
      <c r="I3061" s="1" t="s">
        <v>996</v>
      </c>
      <c r="J3061" s="1" t="s">
        <v>998</v>
      </c>
      <c r="K3061" s="1" t="s">
        <v>933</v>
      </c>
      <c r="L3061" s="1" t="s">
        <v>2541</v>
      </c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25">
      <c r="A3062" s="7" t="s">
        <v>683</v>
      </c>
      <c r="I3062" s="1" t="s">
        <v>933</v>
      </c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25">
      <c r="A3063" s="7" t="s">
        <v>683</v>
      </c>
      <c r="I3063" s="1" t="s">
        <v>933</v>
      </c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25">
      <c r="A3064" s="7" t="s">
        <v>683</v>
      </c>
      <c r="I3064" s="1" t="s">
        <v>996</v>
      </c>
      <c r="J3064" s="1" t="s">
        <v>10804</v>
      </c>
      <c r="K3064" s="1" t="s">
        <v>961</v>
      </c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25">
      <c r="A3065" s="7" t="s">
        <v>683</v>
      </c>
      <c r="I3065" s="1" t="s">
        <v>996</v>
      </c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25">
      <c r="A3066" s="7" t="s">
        <v>683</v>
      </c>
      <c r="I3066" s="1" t="s">
        <v>918</v>
      </c>
      <c r="J3066" s="1" t="s">
        <v>1110</v>
      </c>
      <c r="K3066" s="1" t="s">
        <v>25</v>
      </c>
      <c r="L3066" s="1" t="s">
        <v>923</v>
      </c>
      <c r="M3066" s="1" t="s">
        <v>919</v>
      </c>
      <c r="N3066" s="1" t="s">
        <v>920</v>
      </c>
      <c r="O3066" s="1" t="s">
        <v>954</v>
      </c>
      <c r="P3066" s="1" t="s">
        <v>328</v>
      </c>
      <c r="Q3066" s="1" t="s">
        <v>921</v>
      </c>
      <c r="R3066" s="1" t="s">
        <v>1135</v>
      </c>
      <c r="S3066" s="1" t="s">
        <v>1136</v>
      </c>
      <c r="T3066" s="1" t="s">
        <v>1137</v>
      </c>
      <c r="U3066" s="1"/>
      <c r="V3066" s="1"/>
      <c r="W3066" s="1"/>
      <c r="X3066" s="1"/>
      <c r="Y3066" s="1"/>
    </row>
    <row r="3067" spans="1:25" x14ac:dyDescent="0.25">
      <c r="A3067" s="7" t="s">
        <v>683</v>
      </c>
      <c r="I3067" s="1" t="s">
        <v>923</v>
      </c>
      <c r="J3067" s="1" t="s">
        <v>1053</v>
      </c>
      <c r="K3067" s="1" t="s">
        <v>933</v>
      </c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25">
      <c r="A3068" s="7" t="s">
        <v>683</v>
      </c>
      <c r="I3068" s="1" t="s">
        <v>25</v>
      </c>
      <c r="J3068" s="1" t="s">
        <v>927</v>
      </c>
      <c r="K3068" s="1" t="s">
        <v>10837</v>
      </c>
      <c r="L3068" s="1" t="s">
        <v>981</v>
      </c>
      <c r="M3068" s="1" t="s">
        <v>994</v>
      </c>
      <c r="N3068" s="1" t="s">
        <v>996</v>
      </c>
      <c r="O3068" s="1" t="s">
        <v>948</v>
      </c>
      <c r="P3068" s="1" t="s">
        <v>10788</v>
      </c>
      <c r="Q3068" s="1" t="s">
        <v>923</v>
      </c>
      <c r="R3068" s="1" t="s">
        <v>997</v>
      </c>
      <c r="S3068" s="1" t="s">
        <v>1086</v>
      </c>
      <c r="T3068" s="1" t="s">
        <v>920</v>
      </c>
      <c r="U3068" s="1" t="s">
        <v>918</v>
      </c>
      <c r="V3068" s="1" t="s">
        <v>919</v>
      </c>
      <c r="W3068" s="1" t="s">
        <v>936</v>
      </c>
      <c r="X3068" s="1" t="s">
        <v>1037</v>
      </c>
      <c r="Y3068" s="1"/>
    </row>
    <row r="3069" spans="1:25" x14ac:dyDescent="0.25">
      <c r="A3069" s="8" t="s">
        <v>683</v>
      </c>
      <c r="I3069" s="1" t="s">
        <v>996</v>
      </c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25">
      <c r="A3070" s="8" t="s">
        <v>683</v>
      </c>
      <c r="I3070" s="1" t="s">
        <v>1069</v>
      </c>
      <c r="J3070" s="1" t="s">
        <v>918</v>
      </c>
      <c r="K3070" s="1" t="s">
        <v>25</v>
      </c>
      <c r="L3070" s="1" t="s">
        <v>923</v>
      </c>
      <c r="M3070" s="1" t="s">
        <v>927</v>
      </c>
      <c r="N3070" s="1" t="s">
        <v>10761</v>
      </c>
      <c r="O3070" s="1" t="s">
        <v>919</v>
      </c>
      <c r="P3070" s="1" t="s">
        <v>920</v>
      </c>
      <c r="Q3070" s="1" t="s">
        <v>924</v>
      </c>
      <c r="R3070" s="1" t="s">
        <v>921</v>
      </c>
      <c r="S3070" s="1" t="s">
        <v>925</v>
      </c>
      <c r="T3070" s="1" t="s">
        <v>981</v>
      </c>
      <c r="U3070" s="1" t="s">
        <v>928</v>
      </c>
      <c r="V3070" s="1" t="s">
        <v>929</v>
      </c>
      <c r="W3070" s="1"/>
      <c r="X3070" s="1"/>
      <c r="Y3070" s="1"/>
    </row>
    <row r="3071" spans="1:25" x14ac:dyDescent="0.25">
      <c r="A3071" s="8" t="s">
        <v>683</v>
      </c>
      <c r="I3071" s="1" t="s">
        <v>933</v>
      </c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25">
      <c r="A3072" s="8" t="s">
        <v>683</v>
      </c>
      <c r="I3072" s="1" t="s">
        <v>25</v>
      </c>
      <c r="J3072" s="1" t="s">
        <v>923</v>
      </c>
      <c r="K3072" s="1" t="s">
        <v>998</v>
      </c>
      <c r="L3072" s="1" t="s">
        <v>1053</v>
      </c>
      <c r="M3072" s="1" t="s">
        <v>1086</v>
      </c>
      <c r="N3072" s="1" t="s">
        <v>933</v>
      </c>
      <c r="O3072" s="1" t="s">
        <v>1477</v>
      </c>
      <c r="P3072" s="1" t="s">
        <v>1055</v>
      </c>
      <c r="Q3072" s="1" t="s">
        <v>994</v>
      </c>
      <c r="R3072" s="1"/>
      <c r="S3072" s="1"/>
      <c r="T3072" s="1"/>
      <c r="U3072" s="1"/>
      <c r="V3072" s="1"/>
      <c r="W3072" s="1"/>
      <c r="X3072" s="1"/>
      <c r="Y3072" s="1"/>
    </row>
    <row r="3073" spans="1:25" x14ac:dyDescent="0.25">
      <c r="A3073" s="8" t="s">
        <v>683</v>
      </c>
      <c r="I3073" s="1" t="s">
        <v>1077</v>
      </c>
      <c r="J3073" s="1" t="s">
        <v>983</v>
      </c>
      <c r="K3073" s="1" t="s">
        <v>984</v>
      </c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25">
      <c r="A3074" s="8" t="s">
        <v>9490</v>
      </c>
      <c r="I3074" s="1" t="s">
        <v>933</v>
      </c>
      <c r="J3074" s="1" t="s">
        <v>949</v>
      </c>
      <c r="K3074" s="1" t="s">
        <v>1110</v>
      </c>
      <c r="L3074" s="1" t="s">
        <v>25</v>
      </c>
      <c r="M3074" s="1" t="s">
        <v>923</v>
      </c>
      <c r="N3074" s="1" t="s">
        <v>920</v>
      </c>
      <c r="O3074" s="1" t="s">
        <v>954</v>
      </c>
      <c r="P3074" s="1" t="s">
        <v>974</v>
      </c>
      <c r="Q3074" s="1" t="s">
        <v>1141</v>
      </c>
      <c r="R3074" s="1"/>
      <c r="S3074" s="1"/>
      <c r="T3074" s="1"/>
      <c r="U3074" s="1"/>
      <c r="V3074" s="1"/>
      <c r="W3074" s="1"/>
      <c r="X3074" s="1"/>
      <c r="Y3074" s="1"/>
    </row>
    <row r="3075" spans="1:25" x14ac:dyDescent="0.25">
      <c r="A3075" s="7" t="s">
        <v>10043</v>
      </c>
      <c r="I3075" s="1" t="s">
        <v>1053</v>
      </c>
      <c r="J3075" s="1" t="s">
        <v>10722</v>
      </c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25">
      <c r="A3076" s="8" t="s">
        <v>10690</v>
      </c>
      <c r="I3076" s="1" t="s">
        <v>933</v>
      </c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25">
      <c r="A3077" s="8" t="s">
        <v>10038</v>
      </c>
      <c r="I3077" s="1" t="s">
        <v>996</v>
      </c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25">
      <c r="A3078" s="7" t="s">
        <v>6881</v>
      </c>
      <c r="I3078" s="1" t="s">
        <v>948</v>
      </c>
      <c r="J3078" s="1" t="s">
        <v>1149</v>
      </c>
      <c r="K3078" s="1" t="s">
        <v>25</v>
      </c>
      <c r="L3078" s="1" t="s">
        <v>923</v>
      </c>
      <c r="M3078" s="1" t="s">
        <v>1167</v>
      </c>
      <c r="N3078" s="1" t="s">
        <v>998</v>
      </c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25">
      <c r="A3079" s="8" t="s">
        <v>9180</v>
      </c>
      <c r="I3079" s="1" t="s">
        <v>1069</v>
      </c>
      <c r="J3079" s="1" t="s">
        <v>918</v>
      </c>
      <c r="K3079" s="1" t="s">
        <v>25</v>
      </c>
      <c r="L3079" s="1" t="s">
        <v>923</v>
      </c>
      <c r="M3079" s="1" t="s">
        <v>927</v>
      </c>
      <c r="N3079" s="1" t="s">
        <v>10761</v>
      </c>
      <c r="O3079" s="1" t="s">
        <v>919</v>
      </c>
      <c r="P3079" s="1" t="s">
        <v>920</v>
      </c>
      <c r="Q3079" s="1" t="s">
        <v>924</v>
      </c>
      <c r="R3079" s="1" t="s">
        <v>921</v>
      </c>
      <c r="S3079" s="1" t="s">
        <v>936</v>
      </c>
      <c r="T3079" s="1"/>
      <c r="U3079" s="1"/>
      <c r="V3079" s="1"/>
      <c r="W3079" s="1"/>
      <c r="X3079" s="1"/>
      <c r="Y3079" s="1"/>
    </row>
    <row r="3080" spans="1:25" x14ac:dyDescent="0.25">
      <c r="A3080" s="8" t="s">
        <v>9180</v>
      </c>
      <c r="I3080" s="1" t="s">
        <v>1069</v>
      </c>
      <c r="J3080" s="1" t="s">
        <v>918</v>
      </c>
      <c r="K3080" s="1" t="s">
        <v>25</v>
      </c>
      <c r="L3080" s="1" t="s">
        <v>923</v>
      </c>
      <c r="M3080" s="1" t="s">
        <v>927</v>
      </c>
      <c r="N3080" s="1" t="s">
        <v>10761</v>
      </c>
      <c r="O3080" s="1" t="s">
        <v>919</v>
      </c>
      <c r="P3080" s="1" t="s">
        <v>920</v>
      </c>
      <c r="Q3080" s="1" t="s">
        <v>924</v>
      </c>
      <c r="R3080" s="1" t="s">
        <v>921</v>
      </c>
      <c r="S3080" s="1" t="s">
        <v>933</v>
      </c>
      <c r="T3080" s="1"/>
      <c r="U3080" s="1"/>
      <c r="V3080" s="1"/>
      <c r="W3080" s="1"/>
      <c r="X3080" s="1"/>
      <c r="Y3080" s="1"/>
    </row>
    <row r="3081" spans="1:25" x14ac:dyDescent="0.25">
      <c r="A3081" s="7" t="s">
        <v>9293</v>
      </c>
      <c r="I3081" s="1" t="s">
        <v>918</v>
      </c>
      <c r="J3081" s="1" t="s">
        <v>25</v>
      </c>
      <c r="K3081" s="1" t="s">
        <v>919</v>
      </c>
      <c r="L3081" s="1" t="s">
        <v>920</v>
      </c>
      <c r="M3081" s="1" t="s">
        <v>921</v>
      </c>
      <c r="N3081" s="1" t="s">
        <v>1149</v>
      </c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25">
      <c r="A3082" s="7" t="s">
        <v>9293</v>
      </c>
      <c r="I3082" s="1" t="s">
        <v>981</v>
      </c>
      <c r="J3082" s="1" t="s">
        <v>1019</v>
      </c>
      <c r="K3082" s="1" t="s">
        <v>983</v>
      </c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25">
      <c r="A3083" s="7" t="s">
        <v>9293</v>
      </c>
      <c r="I3083" s="1" t="s">
        <v>90</v>
      </c>
      <c r="J3083" s="1" t="s">
        <v>996</v>
      </c>
      <c r="K3083" s="1" t="s">
        <v>25</v>
      </c>
      <c r="L3083" s="1" t="s">
        <v>923</v>
      </c>
      <c r="M3083" s="1" t="s">
        <v>997</v>
      </c>
      <c r="N3083" s="1" t="s">
        <v>927</v>
      </c>
      <c r="O3083" s="1" t="s">
        <v>998</v>
      </c>
      <c r="P3083" s="1" t="s">
        <v>1086</v>
      </c>
      <c r="Q3083" s="1" t="s">
        <v>994</v>
      </c>
      <c r="R3083" s="1" t="s">
        <v>981</v>
      </c>
      <c r="S3083" s="1" t="s">
        <v>933</v>
      </c>
      <c r="T3083" s="1"/>
      <c r="U3083" s="1"/>
      <c r="V3083" s="1"/>
      <c r="W3083" s="1"/>
      <c r="X3083" s="1"/>
      <c r="Y3083" s="1"/>
    </row>
    <row r="3084" spans="1:25" x14ac:dyDescent="0.25">
      <c r="A3084" s="7" t="s">
        <v>9293</v>
      </c>
      <c r="I3084" s="1" t="s">
        <v>918</v>
      </c>
      <c r="J3084" s="1" t="s">
        <v>25</v>
      </c>
      <c r="K3084" s="1" t="s">
        <v>919</v>
      </c>
      <c r="L3084" s="1" t="s">
        <v>920</v>
      </c>
      <c r="M3084" s="1" t="s">
        <v>921</v>
      </c>
      <c r="N3084" s="1" t="s">
        <v>1001</v>
      </c>
      <c r="O3084" s="1" t="s">
        <v>927</v>
      </c>
      <c r="P3084" s="1" t="s">
        <v>992</v>
      </c>
      <c r="Q3084" s="1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25">
      <c r="A3085" s="7" t="s">
        <v>9293</v>
      </c>
      <c r="I3085" s="1" t="s">
        <v>1069</v>
      </c>
      <c r="J3085" s="1" t="s">
        <v>918</v>
      </c>
      <c r="K3085" s="1" t="s">
        <v>25</v>
      </c>
      <c r="L3085" s="1" t="s">
        <v>923</v>
      </c>
      <c r="M3085" s="1" t="s">
        <v>927</v>
      </c>
      <c r="N3085" s="1" t="s">
        <v>10761</v>
      </c>
      <c r="O3085" s="1" t="s">
        <v>919</v>
      </c>
      <c r="P3085" s="1" t="s">
        <v>920</v>
      </c>
      <c r="Q3085" s="1" t="s">
        <v>924</v>
      </c>
      <c r="R3085" s="1" t="s">
        <v>921</v>
      </c>
      <c r="S3085" s="1" t="s">
        <v>1001</v>
      </c>
      <c r="T3085" s="1"/>
      <c r="U3085" s="1"/>
      <c r="V3085" s="1"/>
      <c r="W3085" s="1"/>
      <c r="X3085" s="1"/>
      <c r="Y3085" s="1"/>
    </row>
    <row r="3086" spans="1:25" x14ac:dyDescent="0.25">
      <c r="A3086" s="7" t="s">
        <v>9293</v>
      </c>
      <c r="I3086" s="1" t="s">
        <v>25</v>
      </c>
      <c r="J3086" s="1" t="s">
        <v>1086</v>
      </c>
      <c r="K3086" s="1" t="s">
        <v>919</v>
      </c>
      <c r="L3086" s="1" t="s">
        <v>920</v>
      </c>
      <c r="M3086" s="1" t="s">
        <v>921</v>
      </c>
      <c r="N3086" s="1" t="s">
        <v>1001</v>
      </c>
      <c r="O3086" s="1" t="s">
        <v>11029</v>
      </c>
      <c r="P3086" s="1" t="s">
        <v>983</v>
      </c>
      <c r="Q3086" s="1" t="s">
        <v>924</v>
      </c>
      <c r="R3086" s="1" t="s">
        <v>10841</v>
      </c>
      <c r="S3086" s="1"/>
      <c r="T3086" s="1"/>
      <c r="U3086" s="1"/>
      <c r="V3086" s="1"/>
      <c r="W3086" s="1"/>
      <c r="X3086" s="1"/>
      <c r="Y3086" s="1"/>
    </row>
    <row r="3087" spans="1:25" x14ac:dyDescent="0.25">
      <c r="A3087" s="7" t="s">
        <v>9293</v>
      </c>
      <c r="I3087" s="1" t="s">
        <v>10930</v>
      </c>
      <c r="J3087" s="1" t="s">
        <v>10931</v>
      </c>
      <c r="K3087" s="1" t="s">
        <v>11019</v>
      </c>
      <c r="L3087" s="1" t="s">
        <v>2772</v>
      </c>
      <c r="M3087" s="1" t="s">
        <v>1049</v>
      </c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25">
      <c r="A3088" s="7" t="s">
        <v>9293</v>
      </c>
      <c r="I3088" s="1" t="s">
        <v>933</v>
      </c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25">
      <c r="A3089" s="8" t="s">
        <v>9293</v>
      </c>
      <c r="I3089" s="1" t="s">
        <v>996</v>
      </c>
      <c r="J3089" s="1" t="s">
        <v>10876</v>
      </c>
      <c r="K3089" s="1" t="s">
        <v>2541</v>
      </c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25">
      <c r="A3090" s="8" t="s">
        <v>9293</v>
      </c>
      <c r="I3090" s="1" t="s">
        <v>996</v>
      </c>
      <c r="J3090" s="1" t="s">
        <v>1012</v>
      </c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25">
      <c r="A3091" s="8" t="s">
        <v>9293</v>
      </c>
      <c r="I3091" s="1" t="s">
        <v>1069</v>
      </c>
      <c r="J3091" s="1" t="s">
        <v>918</v>
      </c>
      <c r="K3091" s="1" t="s">
        <v>25</v>
      </c>
      <c r="L3091" s="1" t="s">
        <v>923</v>
      </c>
      <c r="M3091" s="1" t="s">
        <v>927</v>
      </c>
      <c r="N3091" s="1" t="s">
        <v>10761</v>
      </c>
      <c r="O3091" s="1" t="s">
        <v>919</v>
      </c>
      <c r="P3091" s="1" t="s">
        <v>920</v>
      </c>
      <c r="Q3091" s="1" t="s">
        <v>924</v>
      </c>
      <c r="R3091" s="1" t="s">
        <v>921</v>
      </c>
      <c r="S3091" s="1" t="s">
        <v>10913</v>
      </c>
      <c r="T3091" s="1" t="s">
        <v>10914</v>
      </c>
      <c r="U3091" s="1" t="s">
        <v>11030</v>
      </c>
      <c r="V3091" s="1"/>
      <c r="W3091" s="1"/>
      <c r="X3091" s="1"/>
      <c r="Y3091" s="1"/>
    </row>
    <row r="3092" spans="1:25" x14ac:dyDescent="0.25">
      <c r="A3092" s="8" t="s">
        <v>9293</v>
      </c>
      <c r="I3092" s="1" t="s">
        <v>948</v>
      </c>
      <c r="J3092" s="1" t="s">
        <v>298</v>
      </c>
      <c r="K3092" s="1" t="s">
        <v>1149</v>
      </c>
      <c r="L3092" s="1" t="s">
        <v>25</v>
      </c>
      <c r="M3092" s="1" t="s">
        <v>923</v>
      </c>
      <c r="N3092" s="1" t="s">
        <v>997</v>
      </c>
      <c r="O3092" s="1" t="s">
        <v>954</v>
      </c>
      <c r="P3092" s="1" t="s">
        <v>994</v>
      </c>
      <c r="Q3092" s="1" t="s">
        <v>916</v>
      </c>
      <c r="R3092" s="1" t="s">
        <v>1078</v>
      </c>
      <c r="S3092" s="1" t="s">
        <v>980</v>
      </c>
      <c r="T3092" s="1" t="s">
        <v>919</v>
      </c>
      <c r="U3092" s="1" t="s">
        <v>920</v>
      </c>
      <c r="V3092" s="1" t="s">
        <v>921</v>
      </c>
      <c r="W3092" s="1" t="s">
        <v>10928</v>
      </c>
      <c r="X3092" s="1"/>
      <c r="Y3092" s="1"/>
    </row>
    <row r="3093" spans="1:25" x14ac:dyDescent="0.25">
      <c r="A3093" s="8" t="s">
        <v>9293</v>
      </c>
      <c r="I3093" s="1" t="s">
        <v>996</v>
      </c>
      <c r="J3093" s="1" t="s">
        <v>10876</v>
      </c>
      <c r="K3093" s="1" t="s">
        <v>2541</v>
      </c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25">
      <c r="A3094" s="8" t="s">
        <v>9293</v>
      </c>
      <c r="I3094" s="1" t="s">
        <v>918</v>
      </c>
      <c r="J3094" s="1" t="s">
        <v>25</v>
      </c>
      <c r="K3094" s="1" t="s">
        <v>919</v>
      </c>
      <c r="L3094" s="1" t="s">
        <v>920</v>
      </c>
      <c r="M3094" s="1" t="s">
        <v>924</v>
      </c>
      <c r="N3094" s="1" t="s">
        <v>10928</v>
      </c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25">
      <c r="A3095" s="8" t="s">
        <v>9293</v>
      </c>
      <c r="I3095" s="1" t="s">
        <v>918</v>
      </c>
      <c r="J3095" s="1" t="s">
        <v>25</v>
      </c>
      <c r="K3095" s="1" t="s">
        <v>919</v>
      </c>
      <c r="L3095" s="1" t="s">
        <v>920</v>
      </c>
      <c r="M3095" s="1" t="s">
        <v>924</v>
      </c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25">
      <c r="A3096" s="8" t="s">
        <v>9293</v>
      </c>
      <c r="I3096" s="1" t="s">
        <v>918</v>
      </c>
      <c r="J3096" s="1" t="s">
        <v>25</v>
      </c>
      <c r="K3096" s="1" t="s">
        <v>919</v>
      </c>
      <c r="L3096" s="1" t="s">
        <v>920</v>
      </c>
      <c r="M3096" s="1" t="s">
        <v>924</v>
      </c>
      <c r="N3096" s="1" t="s">
        <v>10729</v>
      </c>
      <c r="O3096" s="1" t="s">
        <v>930</v>
      </c>
      <c r="P3096" s="1"/>
      <c r="Q3096" s="1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25">
      <c r="A3097" s="7" t="s">
        <v>8226</v>
      </c>
      <c r="I3097" s="1" t="s">
        <v>25</v>
      </c>
      <c r="J3097" s="1" t="s">
        <v>919</v>
      </c>
      <c r="K3097" s="1" t="s">
        <v>920</v>
      </c>
      <c r="L3097" s="1" t="s">
        <v>921</v>
      </c>
      <c r="M3097" s="1" t="s">
        <v>918</v>
      </c>
      <c r="N3097" s="1" t="s">
        <v>924</v>
      </c>
      <c r="O3097" s="1" t="s">
        <v>936</v>
      </c>
      <c r="P3097" s="1" t="s">
        <v>929</v>
      </c>
      <c r="Q3097" s="1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25">
      <c r="A3098" s="7" t="s">
        <v>55</v>
      </c>
      <c r="I3098" s="1" t="s">
        <v>10842</v>
      </c>
      <c r="J3098" s="1" t="s">
        <v>10843</v>
      </c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25">
      <c r="A3099" s="7" t="s">
        <v>55</v>
      </c>
      <c r="I3099" s="1" t="s">
        <v>50</v>
      </c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25">
      <c r="A3100" s="7" t="s">
        <v>55</v>
      </c>
      <c r="I3100" s="1" t="s">
        <v>50</v>
      </c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25">
      <c r="A3101" s="7" t="s">
        <v>55</v>
      </c>
      <c r="I3101" s="1" t="s">
        <v>999</v>
      </c>
      <c r="J3101" s="1" t="s">
        <v>1073</v>
      </c>
      <c r="K3101" s="1" t="s">
        <v>921</v>
      </c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25">
      <c r="A3102" s="7" t="s">
        <v>55</v>
      </c>
      <c r="I3102" s="1" t="s">
        <v>50</v>
      </c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25">
      <c r="A3103" s="7" t="s">
        <v>3610</v>
      </c>
      <c r="I3103" s="1" t="s">
        <v>25</v>
      </c>
      <c r="J3103" s="1" t="s">
        <v>927</v>
      </c>
      <c r="K3103" s="1" t="s">
        <v>998</v>
      </c>
      <c r="L3103" s="1" t="s">
        <v>920</v>
      </c>
      <c r="M3103" s="1" t="s">
        <v>933</v>
      </c>
      <c r="N3103" s="1" t="s">
        <v>921</v>
      </c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25">
      <c r="A3104" s="8" t="s">
        <v>9051</v>
      </c>
      <c r="I3104" s="1" t="s">
        <v>1069</v>
      </c>
      <c r="J3104" s="1" t="s">
        <v>918</v>
      </c>
      <c r="K3104" s="1" t="s">
        <v>25</v>
      </c>
      <c r="L3104" s="1" t="s">
        <v>923</v>
      </c>
      <c r="M3104" s="1" t="s">
        <v>927</v>
      </c>
      <c r="N3104" s="1" t="s">
        <v>10761</v>
      </c>
      <c r="O3104" s="1" t="s">
        <v>919</v>
      </c>
      <c r="P3104" s="1" t="s">
        <v>920</v>
      </c>
      <c r="Q3104" s="1" t="s">
        <v>924</v>
      </c>
      <c r="R3104" s="1" t="s">
        <v>921</v>
      </c>
      <c r="S3104" s="1" t="s">
        <v>936</v>
      </c>
      <c r="T3104" s="1"/>
      <c r="U3104" s="1"/>
      <c r="V3104" s="1"/>
      <c r="W3104" s="1"/>
      <c r="X3104" s="1"/>
      <c r="Y3104" s="1"/>
    </row>
    <row r="3105" spans="1:25" x14ac:dyDescent="0.25">
      <c r="A3105" s="7" t="s">
        <v>5334</v>
      </c>
      <c r="I3105" s="1" t="s">
        <v>1069</v>
      </c>
      <c r="J3105" s="1" t="s">
        <v>918</v>
      </c>
      <c r="K3105" s="1" t="s">
        <v>25</v>
      </c>
      <c r="L3105" s="1" t="s">
        <v>923</v>
      </c>
      <c r="M3105" s="1" t="s">
        <v>927</v>
      </c>
      <c r="N3105" s="1" t="s">
        <v>10761</v>
      </c>
      <c r="O3105" s="1" t="s">
        <v>919</v>
      </c>
      <c r="P3105" s="1" t="s">
        <v>920</v>
      </c>
      <c r="Q3105" s="1" t="s">
        <v>924</v>
      </c>
      <c r="R3105" s="1" t="s">
        <v>921</v>
      </c>
      <c r="S3105" s="1"/>
      <c r="T3105" s="1"/>
      <c r="U3105" s="1"/>
      <c r="V3105" s="1"/>
      <c r="W3105" s="1"/>
      <c r="X3105" s="1"/>
      <c r="Y3105" s="1"/>
    </row>
    <row r="3106" spans="1:25" x14ac:dyDescent="0.25">
      <c r="A3106" s="7" t="s">
        <v>5334</v>
      </c>
      <c r="I3106" s="1" t="s">
        <v>931</v>
      </c>
      <c r="J3106" s="1" t="s">
        <v>948</v>
      </c>
      <c r="K3106" s="1" t="s">
        <v>1149</v>
      </c>
      <c r="L3106" s="1" t="s">
        <v>25</v>
      </c>
      <c r="M3106" s="1" t="s">
        <v>923</v>
      </c>
      <c r="N3106" s="1" t="s">
        <v>997</v>
      </c>
      <c r="O3106" s="1" t="s">
        <v>1086</v>
      </c>
      <c r="P3106" s="1" t="s">
        <v>933</v>
      </c>
      <c r="Q3106" s="1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25">
      <c r="A3107" s="8" t="s">
        <v>8971</v>
      </c>
      <c r="I3107" s="1" t="s">
        <v>996</v>
      </c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25">
      <c r="A3108" s="8" t="s">
        <v>10662</v>
      </c>
      <c r="I3108" s="1" t="s">
        <v>996</v>
      </c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25">
      <c r="A3109" s="8" t="s">
        <v>10410</v>
      </c>
      <c r="I3109" s="1" t="s">
        <v>1077</v>
      </c>
      <c r="J3109" s="1" t="s">
        <v>983</v>
      </c>
      <c r="K3109" s="1" t="s">
        <v>984</v>
      </c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25">
      <c r="A3110" s="7" t="s">
        <v>9029</v>
      </c>
      <c r="I3110" s="1" t="s">
        <v>25</v>
      </c>
      <c r="J3110" s="1" t="s">
        <v>923</v>
      </c>
      <c r="K3110" s="1" t="s">
        <v>998</v>
      </c>
      <c r="L3110" s="1" t="s">
        <v>1053</v>
      </c>
      <c r="M3110" s="1" t="s">
        <v>1086</v>
      </c>
      <c r="N3110" s="1" t="s">
        <v>933</v>
      </c>
      <c r="O3110" s="1" t="s">
        <v>1477</v>
      </c>
      <c r="P3110" s="1" t="s">
        <v>1055</v>
      </c>
      <c r="Q3110" s="1" t="s">
        <v>994</v>
      </c>
      <c r="R3110" s="1"/>
      <c r="S3110" s="1"/>
      <c r="T3110" s="1"/>
      <c r="U3110" s="1"/>
      <c r="V3110" s="1"/>
      <c r="W3110" s="1"/>
      <c r="X3110" s="1"/>
      <c r="Y3110" s="1"/>
    </row>
    <row r="3111" spans="1:25" x14ac:dyDescent="0.25">
      <c r="A3111" s="7" t="s">
        <v>8877</v>
      </c>
      <c r="I3111" s="1" t="s">
        <v>1167</v>
      </c>
      <c r="J3111" s="1" t="s">
        <v>998</v>
      </c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25">
      <c r="A3112" s="7" t="s">
        <v>8877</v>
      </c>
      <c r="I3112" s="1" t="s">
        <v>948</v>
      </c>
      <c r="J3112" s="1" t="s">
        <v>1149</v>
      </c>
      <c r="K3112" s="1" t="s">
        <v>25</v>
      </c>
      <c r="L3112" s="1" t="s">
        <v>923</v>
      </c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25">
      <c r="A3113" s="7" t="s">
        <v>8877</v>
      </c>
      <c r="I3113" s="1" t="s">
        <v>996</v>
      </c>
      <c r="J3113" s="1" t="s">
        <v>25</v>
      </c>
      <c r="K3113" s="1" t="s">
        <v>923</v>
      </c>
      <c r="L3113" s="1" t="s">
        <v>997</v>
      </c>
      <c r="M3113" s="1" t="s">
        <v>920</v>
      </c>
      <c r="N3113" s="1" t="s">
        <v>1131</v>
      </c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25">
      <c r="A3114" s="7" t="s">
        <v>8877</v>
      </c>
      <c r="I3114" s="1" t="s">
        <v>1149</v>
      </c>
      <c r="J3114" s="1" t="s">
        <v>25</v>
      </c>
      <c r="K3114" s="1" t="s">
        <v>997</v>
      </c>
      <c r="L3114" s="1" t="s">
        <v>998</v>
      </c>
      <c r="M3114" s="1" t="s">
        <v>933</v>
      </c>
      <c r="N3114" s="1" t="s">
        <v>994</v>
      </c>
      <c r="O3114" s="1" t="s">
        <v>996</v>
      </c>
      <c r="P3114" s="1" t="s">
        <v>948</v>
      </c>
      <c r="Q3114" s="1" t="s">
        <v>10788</v>
      </c>
      <c r="R3114" s="1" t="s">
        <v>923</v>
      </c>
      <c r="S3114" s="1" t="s">
        <v>1086</v>
      </c>
      <c r="T3114" s="1" t="s">
        <v>920</v>
      </c>
      <c r="U3114" s="1"/>
      <c r="V3114" s="1"/>
      <c r="W3114" s="1"/>
      <c r="X3114" s="1"/>
      <c r="Y3114" s="1"/>
    </row>
    <row r="3115" spans="1:25" x14ac:dyDescent="0.25">
      <c r="A3115" s="7" t="s">
        <v>8877</v>
      </c>
      <c r="I3115" s="1" t="s">
        <v>948</v>
      </c>
      <c r="J3115" s="1" t="s">
        <v>918</v>
      </c>
      <c r="K3115" s="1" t="s">
        <v>25</v>
      </c>
      <c r="L3115" s="1" t="s">
        <v>919</v>
      </c>
      <c r="M3115" s="1" t="s">
        <v>920</v>
      </c>
      <c r="N3115" s="1" t="s">
        <v>954</v>
      </c>
      <c r="O3115" s="1" t="s">
        <v>1149</v>
      </c>
      <c r="P3115" s="1" t="s">
        <v>997</v>
      </c>
      <c r="Q3115" s="1" t="s">
        <v>998</v>
      </c>
      <c r="R3115" s="1" t="s">
        <v>933</v>
      </c>
      <c r="S3115" s="1" t="s">
        <v>994</v>
      </c>
      <c r="T3115" s="1"/>
      <c r="U3115" s="1"/>
      <c r="V3115" s="1"/>
      <c r="W3115" s="1"/>
      <c r="X3115" s="1"/>
      <c r="Y3115" s="1"/>
    </row>
    <row r="3116" spans="1:25" x14ac:dyDescent="0.25">
      <c r="A3116" s="7" t="s">
        <v>8877</v>
      </c>
      <c r="I3116" s="1" t="s">
        <v>918</v>
      </c>
      <c r="J3116" s="1" t="s">
        <v>1110</v>
      </c>
      <c r="K3116" s="1" t="s">
        <v>25</v>
      </c>
      <c r="L3116" s="1" t="s">
        <v>923</v>
      </c>
      <c r="M3116" s="1" t="s">
        <v>919</v>
      </c>
      <c r="N3116" s="1" t="s">
        <v>920</v>
      </c>
      <c r="O3116" s="1" t="s">
        <v>954</v>
      </c>
      <c r="P3116" s="1" t="s">
        <v>328</v>
      </c>
      <c r="Q3116" s="1" t="s">
        <v>921</v>
      </c>
      <c r="R3116" s="1" t="s">
        <v>934</v>
      </c>
      <c r="S3116" s="1" t="s">
        <v>973</v>
      </c>
      <c r="T3116" s="1" t="s">
        <v>916</v>
      </c>
      <c r="U3116" s="1" t="s">
        <v>933</v>
      </c>
      <c r="V3116" s="1"/>
      <c r="W3116" s="1"/>
      <c r="X3116" s="1"/>
      <c r="Y3116" s="1"/>
    </row>
    <row r="3117" spans="1:25" x14ac:dyDescent="0.25">
      <c r="A3117" s="7" t="s">
        <v>8877</v>
      </c>
      <c r="I3117" s="1" t="s">
        <v>996</v>
      </c>
      <c r="J3117" s="1" t="s">
        <v>997</v>
      </c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25">
      <c r="A3118" s="7" t="s">
        <v>8877</v>
      </c>
      <c r="I3118" s="1" t="s">
        <v>25</v>
      </c>
      <c r="J3118" s="1" t="s">
        <v>1086</v>
      </c>
      <c r="K3118" s="1" t="s">
        <v>919</v>
      </c>
      <c r="L3118" s="1" t="s">
        <v>920</v>
      </c>
      <c r="M3118" s="1" t="s">
        <v>921</v>
      </c>
      <c r="N3118" s="1" t="s">
        <v>1001</v>
      </c>
      <c r="O3118" s="1" t="s">
        <v>992</v>
      </c>
      <c r="P3118" s="1" t="s">
        <v>981</v>
      </c>
      <c r="Q3118" s="1" t="s">
        <v>1066</v>
      </c>
      <c r="R3118" s="1" t="s">
        <v>996</v>
      </c>
      <c r="S3118" s="1" t="s">
        <v>10876</v>
      </c>
      <c r="T3118" s="1" t="s">
        <v>2541</v>
      </c>
      <c r="U3118" s="1"/>
      <c r="V3118" s="1"/>
      <c r="W3118" s="1"/>
      <c r="X3118" s="1"/>
      <c r="Y3118" s="1"/>
    </row>
    <row r="3119" spans="1:25" x14ac:dyDescent="0.25">
      <c r="A3119" s="7" t="s">
        <v>8877</v>
      </c>
      <c r="I3119" s="1" t="s">
        <v>996</v>
      </c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25">
      <c r="A3120" s="7" t="s">
        <v>8877</v>
      </c>
      <c r="I3120" s="1" t="s">
        <v>996</v>
      </c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25">
      <c r="A3121" s="7" t="s">
        <v>8877</v>
      </c>
      <c r="I3121" s="1" t="s">
        <v>996</v>
      </c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25">
      <c r="A3122" s="7" t="s">
        <v>8877</v>
      </c>
      <c r="I3122" s="1" t="s">
        <v>996</v>
      </c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25">
      <c r="A3123" s="7" t="s">
        <v>8877</v>
      </c>
      <c r="I3123" s="1" t="s">
        <v>996</v>
      </c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25">
      <c r="A3124" s="7" t="s">
        <v>8877</v>
      </c>
      <c r="I3124" s="1" t="s">
        <v>996</v>
      </c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25">
      <c r="A3125" s="7" t="s">
        <v>8877</v>
      </c>
      <c r="I3125" s="1" t="s">
        <v>996</v>
      </c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25">
      <c r="A3126" s="7" t="s">
        <v>8877</v>
      </c>
      <c r="I3126" s="1" t="s">
        <v>996</v>
      </c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25">
      <c r="A3127" s="7" t="s">
        <v>8877</v>
      </c>
      <c r="I3127" s="1" t="s">
        <v>996</v>
      </c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25">
      <c r="A3128" s="7" t="s">
        <v>8877</v>
      </c>
      <c r="I3128" s="1" t="s">
        <v>996</v>
      </c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25">
      <c r="A3129" s="7" t="s">
        <v>8877</v>
      </c>
      <c r="I3129" s="1" t="s">
        <v>996</v>
      </c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25">
      <c r="A3130" s="7" t="s">
        <v>8877</v>
      </c>
      <c r="I3130" s="1" t="s">
        <v>996</v>
      </c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25">
      <c r="A3131" s="7" t="s">
        <v>8877</v>
      </c>
      <c r="I3131" s="1" t="s">
        <v>996</v>
      </c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25">
      <c r="A3132" s="7" t="s">
        <v>8877</v>
      </c>
      <c r="I3132" s="1" t="s">
        <v>996</v>
      </c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25">
      <c r="A3133" s="7" t="s">
        <v>8877</v>
      </c>
      <c r="I3133" s="1" t="s">
        <v>996</v>
      </c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25">
      <c r="A3134" s="8" t="s">
        <v>8877</v>
      </c>
      <c r="I3134" s="1" t="s">
        <v>996</v>
      </c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25">
      <c r="A3135" s="8" t="s">
        <v>8877</v>
      </c>
      <c r="I3135" s="1" t="s">
        <v>996</v>
      </c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25">
      <c r="A3136" s="8" t="s">
        <v>10456</v>
      </c>
      <c r="I3136" s="1" t="s">
        <v>996</v>
      </c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25">
      <c r="A3137" s="7" t="s">
        <v>9641</v>
      </c>
      <c r="I3137" s="1" t="s">
        <v>1001</v>
      </c>
      <c r="J3137" s="1" t="s">
        <v>996</v>
      </c>
      <c r="K3137" s="1" t="s">
        <v>933</v>
      </c>
      <c r="L3137" s="1" t="s">
        <v>2541</v>
      </c>
      <c r="M3137" s="1" t="s">
        <v>994</v>
      </c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25">
      <c r="A3138" s="7" t="s">
        <v>2892</v>
      </c>
      <c r="I3138" s="1" t="s">
        <v>996</v>
      </c>
      <c r="J3138" s="1" t="s">
        <v>933</v>
      </c>
      <c r="K3138" s="1" t="s">
        <v>994</v>
      </c>
      <c r="L3138" s="1" t="s">
        <v>1055</v>
      </c>
      <c r="M3138" s="1" t="s">
        <v>11031</v>
      </c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25">
      <c r="A3139" s="8" t="s">
        <v>9728</v>
      </c>
      <c r="I3139" s="1" t="s">
        <v>996</v>
      </c>
      <c r="J3139" s="1" t="s">
        <v>933</v>
      </c>
      <c r="K3139" s="1" t="s">
        <v>994</v>
      </c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25">
      <c r="A3140" s="7" t="s">
        <v>7380</v>
      </c>
      <c r="I3140" s="1" t="s">
        <v>1066</v>
      </c>
      <c r="J3140" s="1" t="s">
        <v>996</v>
      </c>
      <c r="K3140" s="1" t="s">
        <v>933</v>
      </c>
      <c r="L3140" s="1" t="s">
        <v>994</v>
      </c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25">
      <c r="A3141" s="7" t="s">
        <v>7380</v>
      </c>
      <c r="I3141" s="1" t="s">
        <v>981</v>
      </c>
      <c r="J3141" s="1" t="s">
        <v>1019</v>
      </c>
      <c r="K3141" s="1" t="s">
        <v>983</v>
      </c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25">
      <c r="A3142" s="7" t="s">
        <v>7380</v>
      </c>
      <c r="I3142" s="1" t="s">
        <v>981</v>
      </c>
      <c r="J3142" s="1" t="s">
        <v>1019</v>
      </c>
      <c r="K3142" s="1" t="s">
        <v>983</v>
      </c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25">
      <c r="A3143" s="7" t="s">
        <v>7380</v>
      </c>
      <c r="I3143" s="1" t="s">
        <v>981</v>
      </c>
      <c r="J3143" s="1" t="s">
        <v>1019</v>
      </c>
      <c r="K3143" s="1" t="s">
        <v>983</v>
      </c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25">
      <c r="A3144" s="8" t="s">
        <v>10018</v>
      </c>
      <c r="I3144" s="1" t="s">
        <v>981</v>
      </c>
      <c r="J3144" s="1" t="s">
        <v>1019</v>
      </c>
      <c r="K3144" s="1" t="s">
        <v>983</v>
      </c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25">
      <c r="A3145" s="8" t="s">
        <v>9536</v>
      </c>
      <c r="I3145" s="1" t="s">
        <v>981</v>
      </c>
      <c r="J3145" s="1" t="s">
        <v>1019</v>
      </c>
      <c r="K3145" s="1" t="s">
        <v>983</v>
      </c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25">
      <c r="A3146" s="8" t="s">
        <v>9533</v>
      </c>
      <c r="I3146" s="1" t="s">
        <v>256</v>
      </c>
      <c r="J3146" s="1" t="s">
        <v>1049</v>
      </c>
      <c r="K3146" s="1" t="s">
        <v>10833</v>
      </c>
      <c r="L3146" s="1" t="s">
        <v>10845</v>
      </c>
      <c r="M3146" s="1" t="s">
        <v>10835</v>
      </c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25">
      <c r="A3147" s="8" t="s">
        <v>9081</v>
      </c>
      <c r="I3147" s="1" t="s">
        <v>1001</v>
      </c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25">
      <c r="A3148" s="8" t="s">
        <v>9081</v>
      </c>
      <c r="I3148" s="1" t="s">
        <v>927</v>
      </c>
      <c r="J3148" s="1" t="s">
        <v>919</v>
      </c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25">
      <c r="A3149" s="8" t="s">
        <v>9081</v>
      </c>
      <c r="I3149" s="1" t="s">
        <v>1001</v>
      </c>
      <c r="J3149" s="1" t="s">
        <v>927</v>
      </c>
      <c r="K3149" s="1" t="s">
        <v>992</v>
      </c>
      <c r="L3149" s="1" t="s">
        <v>981</v>
      </c>
      <c r="M3149" s="1" t="s">
        <v>1066</v>
      </c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25">
      <c r="A3150" s="8" t="s">
        <v>9081</v>
      </c>
      <c r="I3150" s="1" t="s">
        <v>964</v>
      </c>
      <c r="J3150" s="1" t="s">
        <v>1109</v>
      </c>
      <c r="K3150" s="1" t="s">
        <v>919</v>
      </c>
      <c r="L3150" s="1" t="s">
        <v>25</v>
      </c>
      <c r="M3150" s="1" t="s">
        <v>923</v>
      </c>
      <c r="N3150" s="1" t="s">
        <v>916</v>
      </c>
      <c r="O3150" s="1" t="s">
        <v>1078</v>
      </c>
      <c r="P3150" s="1" t="s">
        <v>980</v>
      </c>
      <c r="Q3150" s="1" t="s">
        <v>920</v>
      </c>
      <c r="R3150" s="1" t="s">
        <v>921</v>
      </c>
      <c r="S3150" s="1" t="s">
        <v>981</v>
      </c>
      <c r="T3150" s="1"/>
      <c r="U3150" s="1"/>
      <c r="V3150" s="1"/>
      <c r="W3150" s="1"/>
      <c r="X3150" s="1"/>
      <c r="Y3150" s="1"/>
    </row>
    <row r="3151" spans="1:25" x14ac:dyDescent="0.25">
      <c r="A3151" s="8" t="s">
        <v>9081</v>
      </c>
      <c r="I3151" s="1" t="s">
        <v>981</v>
      </c>
      <c r="J3151" s="1" t="s">
        <v>1019</v>
      </c>
      <c r="K3151" s="1" t="s">
        <v>983</v>
      </c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25">
      <c r="A3152" s="8" t="s">
        <v>9081</v>
      </c>
      <c r="I3152" s="1" t="s">
        <v>1001</v>
      </c>
      <c r="J3152" s="1" t="s">
        <v>927</v>
      </c>
      <c r="K3152" s="1" t="s">
        <v>981</v>
      </c>
      <c r="L3152" s="1" t="s">
        <v>1019</v>
      </c>
      <c r="M3152" s="1" t="s">
        <v>983</v>
      </c>
      <c r="N3152" s="1" t="s">
        <v>984</v>
      </c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25">
      <c r="A3153" s="8" t="s">
        <v>9081</v>
      </c>
      <c r="I3153" s="1" t="s">
        <v>1001</v>
      </c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25">
      <c r="A3154" s="8" t="s">
        <v>9531</v>
      </c>
      <c r="I3154" s="1" t="s">
        <v>1001</v>
      </c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25">
      <c r="A3155" s="8" t="s">
        <v>9808</v>
      </c>
      <c r="I3155" s="1" t="s">
        <v>1001</v>
      </c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25">
      <c r="A3156" s="8" t="s">
        <v>9633</v>
      </c>
      <c r="I3156" s="1" t="s">
        <v>1001</v>
      </c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25">
      <c r="A3157" s="7" t="s">
        <v>8891</v>
      </c>
      <c r="I3157" s="1" t="s">
        <v>1001</v>
      </c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25">
      <c r="A3158" s="7" t="s">
        <v>8891</v>
      </c>
      <c r="I3158" s="1" t="s">
        <v>1001</v>
      </c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25">
      <c r="A3159" s="8" t="s">
        <v>8891</v>
      </c>
      <c r="I3159" s="1" t="s">
        <v>1001</v>
      </c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25">
      <c r="A3160" s="8" t="s">
        <v>8891</v>
      </c>
      <c r="I3160" s="1" t="s">
        <v>1001</v>
      </c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25">
      <c r="A3161" s="8" t="s">
        <v>8891</v>
      </c>
      <c r="I3161" s="1" t="s">
        <v>1001</v>
      </c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25">
      <c r="A3162" s="8" t="s">
        <v>8891</v>
      </c>
      <c r="I3162" s="1" t="s">
        <v>1001</v>
      </c>
      <c r="J3162" s="1" t="s">
        <v>996</v>
      </c>
      <c r="K3162" s="1" t="s">
        <v>2541</v>
      </c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25">
      <c r="A3163" s="7" t="s">
        <v>3262</v>
      </c>
      <c r="I3163" s="1" t="s">
        <v>1001</v>
      </c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25">
      <c r="A3164" s="7" t="s">
        <v>3262</v>
      </c>
      <c r="I3164" s="1" t="s">
        <v>1001</v>
      </c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25">
      <c r="A3165" s="8" t="s">
        <v>3262</v>
      </c>
      <c r="I3165" s="1" t="s">
        <v>1001</v>
      </c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25">
      <c r="A3166" s="8" t="s">
        <v>3262</v>
      </c>
      <c r="I3166" s="1" t="s">
        <v>918</v>
      </c>
      <c r="J3166" s="1" t="s">
        <v>25</v>
      </c>
      <c r="K3166" s="1" t="s">
        <v>919</v>
      </c>
      <c r="L3166" s="1" t="s">
        <v>920</v>
      </c>
      <c r="M3166" s="1" t="s">
        <v>933</v>
      </c>
      <c r="N3166" s="1" t="s">
        <v>924</v>
      </c>
      <c r="O3166" s="1" t="s">
        <v>921</v>
      </c>
      <c r="P3166" s="1" t="s">
        <v>955</v>
      </c>
      <c r="Q3166" s="1" t="s">
        <v>1036</v>
      </c>
      <c r="R3166" s="1" t="s">
        <v>1014</v>
      </c>
      <c r="S3166" s="1" t="s">
        <v>944</v>
      </c>
      <c r="T3166" s="1" t="s">
        <v>956</v>
      </c>
      <c r="U3166" s="1"/>
      <c r="V3166" s="1"/>
      <c r="W3166" s="1"/>
      <c r="X3166" s="1"/>
      <c r="Y3166" s="1"/>
    </row>
    <row r="3167" spans="1:25" x14ac:dyDescent="0.25">
      <c r="A3167" s="8" t="s">
        <v>3262</v>
      </c>
      <c r="I3167" s="1" t="s">
        <v>918</v>
      </c>
      <c r="J3167" s="1" t="s">
        <v>25</v>
      </c>
      <c r="K3167" s="1" t="s">
        <v>919</v>
      </c>
      <c r="L3167" s="1" t="s">
        <v>920</v>
      </c>
      <c r="M3167" s="1" t="s">
        <v>933</v>
      </c>
      <c r="N3167" s="1" t="s">
        <v>924</v>
      </c>
      <c r="O3167" s="1" t="s">
        <v>921</v>
      </c>
      <c r="P3167" s="1" t="s">
        <v>958</v>
      </c>
      <c r="Q3167" s="1" t="s">
        <v>927</v>
      </c>
      <c r="R3167" s="1" t="s">
        <v>928</v>
      </c>
      <c r="S3167" s="1" t="s">
        <v>936</v>
      </c>
      <c r="T3167" s="1" t="s">
        <v>930</v>
      </c>
      <c r="U3167" s="1" t="s">
        <v>945</v>
      </c>
      <c r="V3167" s="1"/>
      <c r="W3167" s="1"/>
      <c r="X3167" s="1"/>
      <c r="Y3167" s="1"/>
    </row>
    <row r="3168" spans="1:25" x14ac:dyDescent="0.25">
      <c r="A3168" s="8" t="s">
        <v>3262</v>
      </c>
      <c r="I3168" s="1" t="s">
        <v>918</v>
      </c>
      <c r="J3168" s="1" t="s">
        <v>25</v>
      </c>
      <c r="K3168" s="1" t="s">
        <v>919</v>
      </c>
      <c r="L3168" s="1" t="s">
        <v>920</v>
      </c>
      <c r="M3168" s="1" t="s">
        <v>933</v>
      </c>
      <c r="N3168" s="1" t="s">
        <v>924</v>
      </c>
      <c r="O3168" s="1" t="s">
        <v>921</v>
      </c>
      <c r="P3168" s="1" t="s">
        <v>936</v>
      </c>
      <c r="Q3168" s="1" t="s">
        <v>1085</v>
      </c>
      <c r="R3168" s="1" t="s">
        <v>955</v>
      </c>
      <c r="S3168" s="1" t="s">
        <v>1014</v>
      </c>
      <c r="T3168" s="1" t="s">
        <v>944</v>
      </c>
      <c r="U3168" s="1" t="s">
        <v>956</v>
      </c>
      <c r="V3168" s="1" t="s">
        <v>10797</v>
      </c>
      <c r="W3168" s="1"/>
      <c r="X3168" s="1"/>
      <c r="Y3168" s="1"/>
    </row>
    <row r="3169" spans="1:25" x14ac:dyDescent="0.25">
      <c r="A3169" s="8" t="s">
        <v>3262</v>
      </c>
      <c r="I3169" s="1" t="s">
        <v>918</v>
      </c>
      <c r="J3169" s="1" t="s">
        <v>25</v>
      </c>
      <c r="K3169" s="1" t="s">
        <v>919</v>
      </c>
      <c r="L3169" s="1" t="s">
        <v>920</v>
      </c>
      <c r="M3169" s="1" t="s">
        <v>933</v>
      </c>
      <c r="N3169" s="1" t="s">
        <v>924</v>
      </c>
      <c r="O3169" s="1" t="s">
        <v>921</v>
      </c>
      <c r="P3169" s="1" t="s">
        <v>1001</v>
      </c>
      <c r="Q3169" s="1" t="s">
        <v>927</v>
      </c>
      <c r="R3169" s="1" t="s">
        <v>936</v>
      </c>
      <c r="S3169" s="1"/>
      <c r="T3169" s="1"/>
      <c r="U3169" s="1"/>
      <c r="V3169" s="1"/>
      <c r="W3169" s="1"/>
      <c r="X3169" s="1"/>
      <c r="Y3169" s="1"/>
    </row>
    <row r="3170" spans="1:25" x14ac:dyDescent="0.25">
      <c r="A3170" s="8" t="s">
        <v>3262</v>
      </c>
      <c r="I3170" s="1" t="s">
        <v>918</v>
      </c>
      <c r="J3170" s="1" t="s">
        <v>25</v>
      </c>
      <c r="K3170" s="1" t="s">
        <v>919</v>
      </c>
      <c r="L3170" s="1" t="s">
        <v>920</v>
      </c>
      <c r="M3170" s="1" t="s">
        <v>933</v>
      </c>
      <c r="N3170" s="1" t="s">
        <v>924</v>
      </c>
      <c r="O3170" s="1" t="s">
        <v>921</v>
      </c>
      <c r="P3170" s="1" t="s">
        <v>978</v>
      </c>
      <c r="Q3170" s="1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25">
      <c r="A3171" s="8" t="s">
        <v>3262</v>
      </c>
      <c r="I3171" s="1" t="s">
        <v>918</v>
      </c>
      <c r="J3171" s="1" t="s">
        <v>25</v>
      </c>
      <c r="K3171" s="1" t="s">
        <v>919</v>
      </c>
      <c r="L3171" s="1" t="s">
        <v>920</v>
      </c>
      <c r="M3171" s="1" t="s">
        <v>933</v>
      </c>
      <c r="N3171" s="1" t="s">
        <v>924</v>
      </c>
      <c r="O3171" s="1" t="s">
        <v>921</v>
      </c>
      <c r="P3171" s="1" t="s">
        <v>978</v>
      </c>
      <c r="Q3171" s="1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25">
      <c r="A3172" s="8" t="s">
        <v>3262</v>
      </c>
      <c r="I3172" s="1" t="s">
        <v>10796</v>
      </c>
      <c r="J3172" s="1" t="s">
        <v>952</v>
      </c>
      <c r="K3172" s="1" t="s">
        <v>919</v>
      </c>
      <c r="L3172" s="1" t="s">
        <v>1037</v>
      </c>
      <c r="M3172" s="1" t="s">
        <v>10726</v>
      </c>
      <c r="N3172" s="1" t="s">
        <v>924</v>
      </c>
      <c r="O3172" s="1" t="s">
        <v>10797</v>
      </c>
      <c r="P3172" s="1"/>
      <c r="Q3172" s="1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25">
      <c r="A3173" s="8" t="s">
        <v>3262</v>
      </c>
      <c r="I3173" s="1" t="s">
        <v>952</v>
      </c>
      <c r="J3173" s="1" t="s">
        <v>919</v>
      </c>
      <c r="K3173" s="1" t="s">
        <v>1037</v>
      </c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25">
      <c r="A3174" s="8" t="s">
        <v>3262</v>
      </c>
      <c r="I3174" s="1" t="s">
        <v>952</v>
      </c>
      <c r="J3174" s="1" t="s">
        <v>919</v>
      </c>
      <c r="K3174" s="1" t="s">
        <v>1037</v>
      </c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25">
      <c r="A3175" s="8" t="s">
        <v>3262</v>
      </c>
      <c r="I3175" s="1" t="s">
        <v>952</v>
      </c>
      <c r="J3175" s="1" t="s">
        <v>919</v>
      </c>
      <c r="K3175" s="1" t="s">
        <v>1037</v>
      </c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25">
      <c r="A3176" s="8" t="s">
        <v>3262</v>
      </c>
      <c r="I3176" s="1" t="s">
        <v>952</v>
      </c>
      <c r="J3176" s="1" t="s">
        <v>919</v>
      </c>
      <c r="K3176" s="1" t="s">
        <v>1037</v>
      </c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25">
      <c r="A3177" s="8" t="s">
        <v>3262</v>
      </c>
      <c r="I3177" s="1" t="s">
        <v>952</v>
      </c>
      <c r="J3177" s="1" t="s">
        <v>919</v>
      </c>
      <c r="K3177" s="1" t="s">
        <v>1037</v>
      </c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25">
      <c r="A3178" s="8" t="s">
        <v>3262</v>
      </c>
      <c r="I3178" s="1" t="s">
        <v>952</v>
      </c>
      <c r="J3178" s="1" t="s">
        <v>919</v>
      </c>
      <c r="K3178" s="1" t="s">
        <v>1037</v>
      </c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25">
      <c r="A3179" s="8" t="s">
        <v>3262</v>
      </c>
      <c r="I3179" s="1" t="s">
        <v>918</v>
      </c>
      <c r="J3179" s="1" t="s">
        <v>25</v>
      </c>
      <c r="K3179" s="1" t="s">
        <v>923</v>
      </c>
      <c r="L3179" s="1" t="s">
        <v>973</v>
      </c>
      <c r="M3179" s="1" t="s">
        <v>916</v>
      </c>
      <c r="N3179" s="1" t="s">
        <v>920</v>
      </c>
      <c r="O3179" s="1" t="s">
        <v>954</v>
      </c>
      <c r="P3179" s="1" t="s">
        <v>974</v>
      </c>
      <c r="Q3179" s="1" t="s">
        <v>921</v>
      </c>
      <c r="R3179" s="1"/>
      <c r="S3179" s="1"/>
      <c r="T3179" s="1"/>
      <c r="U3179" s="1"/>
      <c r="V3179" s="1"/>
      <c r="W3179" s="1"/>
      <c r="X3179" s="1"/>
      <c r="Y3179" s="1"/>
    </row>
    <row r="3180" spans="1:25" x14ac:dyDescent="0.25">
      <c r="A3180" s="8" t="s">
        <v>3262</v>
      </c>
      <c r="I3180" s="1" t="s">
        <v>918</v>
      </c>
      <c r="J3180" s="1" t="s">
        <v>25</v>
      </c>
      <c r="K3180" s="1" t="s">
        <v>923</v>
      </c>
      <c r="L3180" s="1" t="s">
        <v>973</v>
      </c>
      <c r="M3180" s="1" t="s">
        <v>916</v>
      </c>
      <c r="N3180" s="1" t="s">
        <v>920</v>
      </c>
      <c r="O3180" s="1" t="s">
        <v>954</v>
      </c>
      <c r="P3180" s="1" t="s">
        <v>974</v>
      </c>
      <c r="Q3180" s="1" t="s">
        <v>921</v>
      </c>
      <c r="R3180" s="1" t="s">
        <v>10982</v>
      </c>
      <c r="S3180" s="1"/>
      <c r="T3180" s="1"/>
      <c r="U3180" s="1"/>
      <c r="V3180" s="1"/>
      <c r="W3180" s="1"/>
      <c r="X3180" s="1"/>
      <c r="Y3180" s="1"/>
    </row>
    <row r="3181" spans="1:25" x14ac:dyDescent="0.25">
      <c r="A3181" s="8" t="s">
        <v>3262</v>
      </c>
      <c r="I3181" s="1" t="s">
        <v>918</v>
      </c>
      <c r="J3181" s="1" t="s">
        <v>25</v>
      </c>
      <c r="K3181" s="1" t="s">
        <v>923</v>
      </c>
      <c r="L3181" s="1" t="s">
        <v>973</v>
      </c>
      <c r="M3181" s="1" t="s">
        <v>916</v>
      </c>
      <c r="N3181" s="1" t="s">
        <v>920</v>
      </c>
      <c r="O3181" s="1" t="s">
        <v>954</v>
      </c>
      <c r="P3181" s="1" t="s">
        <v>974</v>
      </c>
      <c r="Q3181" s="1" t="s">
        <v>921</v>
      </c>
      <c r="R3181" s="1" t="s">
        <v>927</v>
      </c>
      <c r="S3181" s="1" t="s">
        <v>981</v>
      </c>
      <c r="T3181" s="1" t="s">
        <v>919</v>
      </c>
      <c r="U3181" s="1"/>
      <c r="V3181" s="1"/>
      <c r="W3181" s="1"/>
      <c r="X3181" s="1"/>
      <c r="Y3181" s="1"/>
    </row>
    <row r="3182" spans="1:25" x14ac:dyDescent="0.25">
      <c r="A3182" s="8" t="s">
        <v>3262</v>
      </c>
      <c r="I3182" s="1" t="s">
        <v>925</v>
      </c>
      <c r="J3182" s="1" t="s">
        <v>918</v>
      </c>
      <c r="K3182" s="1" t="s">
        <v>10813</v>
      </c>
      <c r="L3182" s="1" t="s">
        <v>927</v>
      </c>
      <c r="M3182" s="1" t="s">
        <v>919</v>
      </c>
      <c r="N3182" s="1" t="s">
        <v>921</v>
      </c>
      <c r="O3182" s="1" t="s">
        <v>25</v>
      </c>
      <c r="P3182" s="1" t="s">
        <v>923</v>
      </c>
      <c r="Q3182" s="1" t="s">
        <v>916</v>
      </c>
      <c r="R3182" s="1" t="s">
        <v>1078</v>
      </c>
      <c r="S3182" s="1" t="s">
        <v>980</v>
      </c>
      <c r="T3182" s="1" t="s">
        <v>920</v>
      </c>
      <c r="U3182" s="1" t="s">
        <v>973</v>
      </c>
      <c r="V3182" s="1" t="s">
        <v>954</v>
      </c>
      <c r="W3182" s="1" t="s">
        <v>974</v>
      </c>
      <c r="X3182" s="1"/>
      <c r="Y3182" s="1"/>
    </row>
    <row r="3183" spans="1:25" x14ac:dyDescent="0.25">
      <c r="A3183" s="8" t="s">
        <v>10382</v>
      </c>
      <c r="I3183" s="1" t="s">
        <v>918</v>
      </c>
      <c r="J3183" s="1" t="s">
        <v>25</v>
      </c>
      <c r="K3183" s="1" t="s">
        <v>923</v>
      </c>
      <c r="L3183" s="1" t="s">
        <v>973</v>
      </c>
      <c r="M3183" s="1" t="s">
        <v>916</v>
      </c>
      <c r="N3183" s="1" t="s">
        <v>920</v>
      </c>
      <c r="O3183" s="1" t="s">
        <v>954</v>
      </c>
      <c r="P3183" s="1" t="s">
        <v>974</v>
      </c>
      <c r="Q3183" s="1" t="s">
        <v>921</v>
      </c>
      <c r="R3183" s="1" t="s">
        <v>1019</v>
      </c>
      <c r="S3183" s="1"/>
      <c r="T3183" s="1"/>
      <c r="U3183" s="1"/>
      <c r="V3183" s="1"/>
      <c r="W3183" s="1"/>
      <c r="X3183" s="1"/>
      <c r="Y3183" s="1"/>
    </row>
    <row r="3184" spans="1:25" x14ac:dyDescent="0.25">
      <c r="A3184" s="8" t="s">
        <v>9389</v>
      </c>
      <c r="I3184" s="1" t="s">
        <v>918</v>
      </c>
      <c r="J3184" s="1" t="s">
        <v>25</v>
      </c>
      <c r="K3184" s="1" t="s">
        <v>923</v>
      </c>
      <c r="L3184" s="1" t="s">
        <v>973</v>
      </c>
      <c r="M3184" s="1" t="s">
        <v>916</v>
      </c>
      <c r="N3184" s="1" t="s">
        <v>920</v>
      </c>
      <c r="O3184" s="1" t="s">
        <v>954</v>
      </c>
      <c r="P3184" s="1" t="s">
        <v>974</v>
      </c>
      <c r="Q3184" s="1" t="s">
        <v>921</v>
      </c>
      <c r="R3184" s="1" t="s">
        <v>1040</v>
      </c>
      <c r="S3184" s="1" t="s">
        <v>919</v>
      </c>
      <c r="T3184" s="1" t="s">
        <v>930</v>
      </c>
      <c r="U3184" s="1" t="s">
        <v>929</v>
      </c>
      <c r="V3184" s="1" t="s">
        <v>941</v>
      </c>
      <c r="W3184" s="1" t="s">
        <v>1143</v>
      </c>
      <c r="X3184" s="1" t="s">
        <v>1085</v>
      </c>
      <c r="Y3184" s="1" t="s">
        <v>955</v>
      </c>
    </row>
    <row r="3185" spans="1:25" x14ac:dyDescent="0.25">
      <c r="A3185" s="8" t="s">
        <v>9602</v>
      </c>
      <c r="I3185" s="1" t="s">
        <v>918</v>
      </c>
      <c r="J3185" s="1" t="s">
        <v>25</v>
      </c>
      <c r="K3185" s="1" t="s">
        <v>923</v>
      </c>
      <c r="L3185" s="1" t="s">
        <v>973</v>
      </c>
      <c r="M3185" s="1" t="s">
        <v>916</v>
      </c>
      <c r="N3185" s="1" t="s">
        <v>920</v>
      </c>
      <c r="O3185" s="1" t="s">
        <v>954</v>
      </c>
      <c r="P3185" s="1" t="s">
        <v>974</v>
      </c>
      <c r="Q3185" s="1" t="s">
        <v>921</v>
      </c>
      <c r="R3185" s="1"/>
      <c r="S3185" s="1"/>
      <c r="T3185" s="1"/>
      <c r="U3185" s="1"/>
      <c r="V3185" s="1"/>
      <c r="W3185" s="1"/>
      <c r="X3185" s="1"/>
      <c r="Y3185" s="1"/>
    </row>
    <row r="3186" spans="1:25" x14ac:dyDescent="0.25">
      <c r="A3186" s="7" t="s">
        <v>2360</v>
      </c>
      <c r="I3186" s="1" t="s">
        <v>955</v>
      </c>
      <c r="J3186" s="1" t="s">
        <v>10871</v>
      </c>
      <c r="K3186" s="1" t="s">
        <v>924</v>
      </c>
      <c r="L3186" s="1" t="s">
        <v>1014</v>
      </c>
      <c r="M3186" s="1" t="s">
        <v>956</v>
      </c>
      <c r="N3186" s="1" t="s">
        <v>918</v>
      </c>
      <c r="O3186" s="1" t="s">
        <v>1036</v>
      </c>
      <c r="P3186" s="1" t="s">
        <v>944</v>
      </c>
      <c r="Q3186" s="1" t="s">
        <v>983</v>
      </c>
      <c r="R3186" s="1" t="s">
        <v>984</v>
      </c>
      <c r="S3186" s="1" t="s">
        <v>1019</v>
      </c>
      <c r="T3186" s="1" t="s">
        <v>919</v>
      </c>
      <c r="U3186" s="1" t="s">
        <v>1020</v>
      </c>
      <c r="V3186" s="1" t="s">
        <v>1021</v>
      </c>
      <c r="W3186" s="1" t="s">
        <v>10739</v>
      </c>
      <c r="X3186" s="1" t="s">
        <v>10870</v>
      </c>
      <c r="Y3186" s="1" t="s">
        <v>930</v>
      </c>
    </row>
    <row r="3187" spans="1:25" x14ac:dyDescent="0.25">
      <c r="A3187" s="7" t="s">
        <v>2360</v>
      </c>
      <c r="I3187" s="1" t="s">
        <v>983</v>
      </c>
      <c r="J3187" s="1" t="s">
        <v>984</v>
      </c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25">
      <c r="A3188" s="7" t="s">
        <v>2360</v>
      </c>
      <c r="I3188" s="1" t="s">
        <v>983</v>
      </c>
      <c r="J3188" s="1" t="s">
        <v>984</v>
      </c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25">
      <c r="A3189" s="7" t="s">
        <v>2360</v>
      </c>
      <c r="I3189" s="1" t="s">
        <v>983</v>
      </c>
      <c r="J3189" s="1" t="s">
        <v>984</v>
      </c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25">
      <c r="A3190" s="7" t="s">
        <v>2360</v>
      </c>
      <c r="I3190" s="1" t="s">
        <v>983</v>
      </c>
      <c r="J3190" s="1" t="s">
        <v>984</v>
      </c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25">
      <c r="A3191" s="7" t="s">
        <v>2360</v>
      </c>
      <c r="I3191" s="1" t="s">
        <v>983</v>
      </c>
      <c r="J3191" s="1" t="s">
        <v>984</v>
      </c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25">
      <c r="A3192" s="7" t="s">
        <v>2360</v>
      </c>
      <c r="I3192" s="1" t="s">
        <v>983</v>
      </c>
      <c r="J3192" s="1" t="s">
        <v>984</v>
      </c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25">
      <c r="A3193" s="7" t="s">
        <v>2360</v>
      </c>
      <c r="I3193" s="1" t="s">
        <v>983</v>
      </c>
      <c r="J3193" s="1" t="s">
        <v>984</v>
      </c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25">
      <c r="A3194" s="8" t="s">
        <v>2360</v>
      </c>
      <c r="I3194" s="1" t="s">
        <v>983</v>
      </c>
      <c r="J3194" s="1" t="s">
        <v>984</v>
      </c>
      <c r="K3194" s="1" t="s">
        <v>10739</v>
      </c>
      <c r="L3194" s="1" t="s">
        <v>955</v>
      </c>
      <c r="M3194" s="1" t="s">
        <v>1014</v>
      </c>
      <c r="N3194" s="1" t="s">
        <v>10740</v>
      </c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25">
      <c r="A3195" s="8" t="s">
        <v>9037</v>
      </c>
      <c r="I3195" s="1" t="s">
        <v>50</v>
      </c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25">
      <c r="A3196" s="7" t="s">
        <v>2088</v>
      </c>
      <c r="I3196" s="1" t="s">
        <v>927</v>
      </c>
      <c r="J3196" s="1" t="s">
        <v>993</v>
      </c>
      <c r="K3196" s="1" t="s">
        <v>960</v>
      </c>
      <c r="L3196" s="1" t="s">
        <v>961</v>
      </c>
      <c r="M3196" s="1" t="s">
        <v>1147</v>
      </c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25">
      <c r="A3197" s="7" t="s">
        <v>2088</v>
      </c>
      <c r="I3197" s="1" t="s">
        <v>924</v>
      </c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25">
      <c r="A3198" s="7" t="s">
        <v>2088</v>
      </c>
      <c r="I3198" s="1" t="s">
        <v>25</v>
      </c>
      <c r="J3198" s="1" t="s">
        <v>919</v>
      </c>
      <c r="K3198" s="1" t="s">
        <v>920</v>
      </c>
      <c r="L3198" s="1" t="s">
        <v>921</v>
      </c>
      <c r="M3198" s="1" t="s">
        <v>10729</v>
      </c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25">
      <c r="A3199" s="7" t="s">
        <v>2088</v>
      </c>
      <c r="I3199" s="1" t="s">
        <v>25</v>
      </c>
      <c r="J3199" s="1" t="s">
        <v>919</v>
      </c>
      <c r="K3199" s="1" t="s">
        <v>920</v>
      </c>
      <c r="L3199" s="1" t="s">
        <v>921</v>
      </c>
      <c r="M3199" s="1" t="s">
        <v>929</v>
      </c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25">
      <c r="A3200" s="7" t="s">
        <v>2088</v>
      </c>
      <c r="I3200" s="1" t="s">
        <v>25</v>
      </c>
      <c r="J3200" s="1" t="s">
        <v>919</v>
      </c>
      <c r="K3200" s="1" t="s">
        <v>920</v>
      </c>
      <c r="L3200" s="1" t="s">
        <v>921</v>
      </c>
      <c r="M3200" s="1" t="s">
        <v>1109</v>
      </c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25">
      <c r="A3201" s="7" t="s">
        <v>2088</v>
      </c>
      <c r="I3201" s="1" t="s">
        <v>25</v>
      </c>
      <c r="J3201" s="1" t="s">
        <v>919</v>
      </c>
      <c r="K3201" s="1" t="s">
        <v>920</v>
      </c>
      <c r="L3201" s="1" t="s">
        <v>921</v>
      </c>
      <c r="M3201" s="1" t="s">
        <v>918</v>
      </c>
      <c r="N3201" s="1" t="s">
        <v>936</v>
      </c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25">
      <c r="A3202" s="7" t="s">
        <v>9279</v>
      </c>
      <c r="I3202" s="1" t="s">
        <v>25</v>
      </c>
      <c r="J3202" s="1" t="s">
        <v>919</v>
      </c>
      <c r="K3202" s="1" t="s">
        <v>920</v>
      </c>
      <c r="L3202" s="1" t="s">
        <v>921</v>
      </c>
      <c r="M3202" s="1" t="s">
        <v>1001</v>
      </c>
      <c r="N3202" s="1" t="s">
        <v>1016</v>
      </c>
      <c r="O3202" s="1" t="s">
        <v>152</v>
      </c>
      <c r="P3202" s="1"/>
      <c r="Q3202" s="1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25">
      <c r="A3203" s="7" t="s">
        <v>9279</v>
      </c>
      <c r="I3203" s="1" t="s">
        <v>25</v>
      </c>
      <c r="J3203" s="1" t="s">
        <v>919</v>
      </c>
      <c r="K3203" s="1" t="s">
        <v>920</v>
      </c>
      <c r="L3203" s="1" t="s">
        <v>921</v>
      </c>
      <c r="M3203" s="1" t="s">
        <v>918</v>
      </c>
      <c r="N3203" s="1" t="s">
        <v>930</v>
      </c>
      <c r="O3203" s="1" t="s">
        <v>945</v>
      </c>
      <c r="P3203" s="1"/>
      <c r="Q3203" s="1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25">
      <c r="A3204" s="7" t="s">
        <v>9279</v>
      </c>
      <c r="I3204" s="1" t="s">
        <v>25</v>
      </c>
      <c r="J3204" s="1" t="s">
        <v>919</v>
      </c>
      <c r="K3204" s="1" t="s">
        <v>920</v>
      </c>
      <c r="L3204" s="1" t="s">
        <v>921</v>
      </c>
      <c r="M3204" s="1" t="s">
        <v>983</v>
      </c>
      <c r="N3204" s="1" t="s">
        <v>984</v>
      </c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25">
      <c r="A3205" s="7" t="s">
        <v>4945</v>
      </c>
      <c r="I3205" s="1" t="s">
        <v>25</v>
      </c>
      <c r="J3205" s="1" t="s">
        <v>919</v>
      </c>
      <c r="K3205" s="1" t="s">
        <v>920</v>
      </c>
      <c r="L3205" s="1" t="s">
        <v>921</v>
      </c>
      <c r="M3205" s="1" t="s">
        <v>1001</v>
      </c>
      <c r="N3205" s="1" t="s">
        <v>927</v>
      </c>
      <c r="O3205" s="1" t="s">
        <v>981</v>
      </c>
      <c r="P3205" s="1"/>
      <c r="Q3205" s="1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25">
      <c r="A3206" s="7" t="s">
        <v>4945</v>
      </c>
      <c r="I3206" s="1" t="s">
        <v>25</v>
      </c>
      <c r="J3206" s="1" t="s">
        <v>919</v>
      </c>
      <c r="K3206" s="1" t="s">
        <v>920</v>
      </c>
      <c r="L3206" s="1" t="s">
        <v>921</v>
      </c>
      <c r="M3206" s="1" t="s">
        <v>961</v>
      </c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25">
      <c r="A3207" s="7" t="s">
        <v>4945</v>
      </c>
      <c r="I3207" s="1" t="s">
        <v>1023</v>
      </c>
      <c r="J3207" s="1" t="s">
        <v>11032</v>
      </c>
      <c r="K3207" s="1" t="s">
        <v>983</v>
      </c>
      <c r="L3207" s="1" t="s">
        <v>989</v>
      </c>
      <c r="M3207" s="1" t="s">
        <v>984</v>
      </c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25">
      <c r="A3208" s="7" t="s">
        <v>4945</v>
      </c>
      <c r="I3208" s="1" t="s">
        <v>50</v>
      </c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25">
      <c r="A3209" s="7" t="s">
        <v>4945</v>
      </c>
      <c r="I3209" s="1" t="s">
        <v>50</v>
      </c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25">
      <c r="A3210" s="7" t="s">
        <v>4945</v>
      </c>
      <c r="I3210" s="1" t="s">
        <v>1040</v>
      </c>
      <c r="J3210" s="1" t="s">
        <v>919</v>
      </c>
      <c r="K3210" s="1" t="s">
        <v>10729</v>
      </c>
      <c r="L3210" s="1" t="s">
        <v>930</v>
      </c>
      <c r="M3210" s="1" t="s">
        <v>945</v>
      </c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25">
      <c r="A3211" s="7" t="s">
        <v>4945</v>
      </c>
      <c r="I3211" s="1" t="s">
        <v>921</v>
      </c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25">
      <c r="A3212" s="8" t="s">
        <v>4945</v>
      </c>
      <c r="I3212" s="1" t="s">
        <v>933</v>
      </c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25">
      <c r="A3213" s="8" t="s">
        <v>4945</v>
      </c>
      <c r="I3213" s="1" t="s">
        <v>1001</v>
      </c>
      <c r="J3213" s="1" t="s">
        <v>10880</v>
      </c>
      <c r="K3213" s="1" t="s">
        <v>927</v>
      </c>
      <c r="L3213" s="1" t="s">
        <v>919</v>
      </c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25">
      <c r="A3214" s="8" t="s">
        <v>4945</v>
      </c>
      <c r="I3214" s="1" t="s">
        <v>11033</v>
      </c>
      <c r="J3214" s="1" t="s">
        <v>176</v>
      </c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25">
      <c r="A3215" s="8" t="s">
        <v>4945</v>
      </c>
      <c r="I3215" s="1" t="s">
        <v>943</v>
      </c>
      <c r="J3215" s="1" t="s">
        <v>924</v>
      </c>
      <c r="K3215" s="1" t="s">
        <v>945</v>
      </c>
      <c r="L3215" s="1" t="s">
        <v>8695</v>
      </c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25">
      <c r="A3216" s="8" t="s">
        <v>9918</v>
      </c>
      <c r="I3216" s="1" t="s">
        <v>25</v>
      </c>
      <c r="J3216" s="1" t="s">
        <v>927</v>
      </c>
      <c r="K3216" s="1" t="s">
        <v>981</v>
      </c>
      <c r="L3216" s="1" t="s">
        <v>920</v>
      </c>
      <c r="M3216" s="1" t="s">
        <v>933</v>
      </c>
      <c r="N3216" s="1" t="s">
        <v>921</v>
      </c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25">
      <c r="A3217" s="8" t="s">
        <v>10482</v>
      </c>
      <c r="I3217" s="1" t="s">
        <v>1001</v>
      </c>
      <c r="J3217" s="1" t="s">
        <v>927</v>
      </c>
      <c r="K3217" s="1" t="s">
        <v>992</v>
      </c>
      <c r="L3217" s="1" t="s">
        <v>981</v>
      </c>
      <c r="M3217" s="1" t="s">
        <v>10726</v>
      </c>
      <c r="N3217" s="1" t="s">
        <v>919</v>
      </c>
      <c r="O3217" s="1" t="s">
        <v>924</v>
      </c>
      <c r="P3217" s="1"/>
      <c r="Q3217" s="1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25">
      <c r="A3218" s="8" t="s">
        <v>9519</v>
      </c>
      <c r="I3218" s="1" t="s">
        <v>1001</v>
      </c>
      <c r="J3218" s="1" t="s">
        <v>918</v>
      </c>
      <c r="K3218" s="1" t="s">
        <v>927</v>
      </c>
      <c r="L3218" s="1" t="s">
        <v>981</v>
      </c>
      <c r="M3218" s="1" t="s">
        <v>978</v>
      </c>
      <c r="N3218" s="1" t="s">
        <v>919</v>
      </c>
      <c r="O3218" s="1" t="s">
        <v>920</v>
      </c>
      <c r="P3218" s="1" t="s">
        <v>933</v>
      </c>
      <c r="Q3218" s="1" t="s">
        <v>936</v>
      </c>
      <c r="R3218" s="1" t="s">
        <v>921</v>
      </c>
      <c r="S3218" s="1"/>
      <c r="T3218" s="1"/>
      <c r="U3218" s="1"/>
      <c r="V3218" s="1"/>
      <c r="W3218" s="1"/>
      <c r="X3218" s="1"/>
      <c r="Y3218" s="1"/>
    </row>
    <row r="3219" spans="1:25" x14ac:dyDescent="0.25">
      <c r="A3219" s="8" t="s">
        <v>10522</v>
      </c>
      <c r="I3219" s="1" t="s">
        <v>1001</v>
      </c>
      <c r="J3219" s="1" t="s">
        <v>927</v>
      </c>
      <c r="K3219" s="1" t="s">
        <v>919</v>
      </c>
      <c r="L3219" s="1" t="s">
        <v>960</v>
      </c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25">
      <c r="A3220" s="7" t="s">
        <v>5120</v>
      </c>
      <c r="I3220" s="1" t="s">
        <v>927</v>
      </c>
      <c r="J3220" s="1" t="s">
        <v>981</v>
      </c>
      <c r="K3220" s="1" t="s">
        <v>919</v>
      </c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25">
      <c r="A3221" s="7" t="s">
        <v>5120</v>
      </c>
      <c r="I3221" s="1" t="s">
        <v>11034</v>
      </c>
      <c r="J3221" s="1" t="s">
        <v>10724</v>
      </c>
      <c r="K3221" s="1" t="s">
        <v>1111</v>
      </c>
      <c r="L3221" s="1" t="s">
        <v>1112</v>
      </c>
      <c r="M3221" s="1" t="s">
        <v>921</v>
      </c>
      <c r="N3221" s="1" t="s">
        <v>8195</v>
      </c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25">
      <c r="A3222" s="7" t="s">
        <v>5120</v>
      </c>
      <c r="I3222" s="1" t="s">
        <v>981</v>
      </c>
      <c r="J3222" s="1" t="s">
        <v>983</v>
      </c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25">
      <c r="A3223" s="7" t="s">
        <v>5120</v>
      </c>
      <c r="I3223" s="1" t="s">
        <v>934</v>
      </c>
      <c r="J3223" s="1" t="s">
        <v>940</v>
      </c>
      <c r="K3223" s="1" t="s">
        <v>1011</v>
      </c>
      <c r="L3223" s="1" t="s">
        <v>25</v>
      </c>
      <c r="M3223" s="1" t="s">
        <v>923</v>
      </c>
      <c r="N3223" s="1" t="s">
        <v>916</v>
      </c>
      <c r="O3223" s="1" t="s">
        <v>920</v>
      </c>
      <c r="P3223" s="1" t="s">
        <v>933</v>
      </c>
      <c r="Q3223" s="1" t="s">
        <v>921</v>
      </c>
      <c r="R3223" s="1" t="s">
        <v>992</v>
      </c>
      <c r="S3223" s="1"/>
      <c r="T3223" s="1"/>
      <c r="U3223" s="1"/>
      <c r="V3223" s="1"/>
      <c r="W3223" s="1"/>
      <c r="X3223" s="1"/>
      <c r="Y3223" s="1"/>
    </row>
    <row r="3224" spans="1:25" x14ac:dyDescent="0.25">
      <c r="A3224" s="7" t="s">
        <v>5120</v>
      </c>
      <c r="I3224" s="1" t="s">
        <v>1001</v>
      </c>
      <c r="J3224" s="1" t="s">
        <v>927</v>
      </c>
      <c r="K3224" s="1" t="s">
        <v>981</v>
      </c>
      <c r="L3224" s="1" t="s">
        <v>919</v>
      </c>
      <c r="M3224" s="1" t="s">
        <v>921</v>
      </c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25">
      <c r="A3225" s="7" t="s">
        <v>5120</v>
      </c>
      <c r="I3225" s="1" t="s">
        <v>2927</v>
      </c>
      <c r="J3225" s="1" t="s">
        <v>1051</v>
      </c>
      <c r="K3225" s="1" t="s">
        <v>25</v>
      </c>
      <c r="L3225" s="1" t="s">
        <v>1053</v>
      </c>
      <c r="M3225" s="1" t="s">
        <v>1086</v>
      </c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25">
      <c r="A3226" s="8" t="s">
        <v>5120</v>
      </c>
      <c r="I3226" s="1" t="s">
        <v>918</v>
      </c>
      <c r="J3226" s="1" t="s">
        <v>25</v>
      </c>
      <c r="K3226" s="1" t="s">
        <v>923</v>
      </c>
      <c r="L3226" s="1" t="s">
        <v>973</v>
      </c>
      <c r="M3226" s="1" t="s">
        <v>916</v>
      </c>
      <c r="N3226" s="1" t="s">
        <v>920</v>
      </c>
      <c r="O3226" s="1" t="s">
        <v>954</v>
      </c>
      <c r="P3226" s="1" t="s">
        <v>974</v>
      </c>
      <c r="Q3226" s="1" t="s">
        <v>921</v>
      </c>
      <c r="R3226" s="1"/>
      <c r="S3226" s="1"/>
      <c r="T3226" s="1"/>
      <c r="U3226" s="1"/>
      <c r="V3226" s="1"/>
      <c r="W3226" s="1"/>
      <c r="X3226" s="1"/>
      <c r="Y3226" s="1"/>
    </row>
    <row r="3227" spans="1:25" x14ac:dyDescent="0.25">
      <c r="A3227" s="7" t="s">
        <v>10325</v>
      </c>
      <c r="I3227" s="1" t="s">
        <v>949</v>
      </c>
      <c r="J3227" s="1" t="s">
        <v>923</v>
      </c>
      <c r="K3227" s="1" t="s">
        <v>973</v>
      </c>
      <c r="L3227" s="1" t="s">
        <v>916</v>
      </c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25">
      <c r="A3228" s="8" t="s">
        <v>10335</v>
      </c>
      <c r="I3228" s="1" t="s">
        <v>25</v>
      </c>
      <c r="J3228" s="1" t="s">
        <v>923</v>
      </c>
      <c r="K3228" s="1" t="s">
        <v>927</v>
      </c>
      <c r="L3228" s="1" t="s">
        <v>919</v>
      </c>
      <c r="M3228" s="1" t="s">
        <v>920</v>
      </c>
      <c r="N3228" s="1" t="s">
        <v>921</v>
      </c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25">
      <c r="A3229" s="7" t="s">
        <v>9814</v>
      </c>
      <c r="I3229" s="1" t="s">
        <v>964</v>
      </c>
      <c r="J3229" s="1" t="s">
        <v>10724</v>
      </c>
      <c r="K3229" s="1" t="s">
        <v>25</v>
      </c>
      <c r="L3229" s="1" t="s">
        <v>997</v>
      </c>
      <c r="M3229" s="1" t="s">
        <v>953</v>
      </c>
      <c r="N3229" s="1" t="s">
        <v>994</v>
      </c>
      <c r="O3229" s="1" t="s">
        <v>5407</v>
      </c>
      <c r="P3229" s="1" t="s">
        <v>10739</v>
      </c>
      <c r="Q3229" s="1" t="s">
        <v>1143</v>
      </c>
      <c r="R3229" s="1" t="s">
        <v>1085</v>
      </c>
      <c r="S3229" s="1" t="s">
        <v>955</v>
      </c>
      <c r="T3229" s="1" t="s">
        <v>10895</v>
      </c>
      <c r="U3229" s="1" t="s">
        <v>11035</v>
      </c>
      <c r="V3229" s="1" t="s">
        <v>924</v>
      </c>
      <c r="W3229" s="1" t="s">
        <v>1014</v>
      </c>
      <c r="X3229" s="1" t="s">
        <v>944</v>
      </c>
      <c r="Y3229" s="1" t="s">
        <v>956</v>
      </c>
    </row>
    <row r="3230" spans="1:25" x14ac:dyDescent="0.25">
      <c r="A3230" s="7" t="s">
        <v>9814</v>
      </c>
      <c r="I3230" s="1" t="s">
        <v>996</v>
      </c>
      <c r="J3230" s="1" t="s">
        <v>948</v>
      </c>
      <c r="K3230" s="1" t="s">
        <v>10788</v>
      </c>
      <c r="L3230" s="1" t="s">
        <v>25</v>
      </c>
      <c r="M3230" s="1" t="s">
        <v>923</v>
      </c>
      <c r="N3230" s="1" t="s">
        <v>997</v>
      </c>
      <c r="O3230" s="1" t="s">
        <v>1086</v>
      </c>
      <c r="P3230" s="1" t="s">
        <v>920</v>
      </c>
      <c r="Q3230" s="1" t="s">
        <v>933</v>
      </c>
      <c r="R3230" s="1"/>
      <c r="S3230" s="1"/>
      <c r="T3230" s="1"/>
      <c r="U3230" s="1"/>
      <c r="V3230" s="1"/>
      <c r="W3230" s="1"/>
      <c r="X3230" s="1"/>
      <c r="Y3230" s="1"/>
    </row>
    <row r="3231" spans="1:25" x14ac:dyDescent="0.25">
      <c r="A3231" s="8" t="s">
        <v>9212</v>
      </c>
      <c r="I3231" s="1" t="s">
        <v>10821</v>
      </c>
      <c r="J3231" s="1" t="s">
        <v>988</v>
      </c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25">
      <c r="A3232" s="8" t="s">
        <v>9212</v>
      </c>
      <c r="I3232" s="1" t="s">
        <v>925</v>
      </c>
      <c r="J3232" s="1" t="s">
        <v>10821</v>
      </c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25">
      <c r="A3233" s="8" t="s">
        <v>10033</v>
      </c>
      <c r="I3233" s="1" t="s">
        <v>8195</v>
      </c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25">
      <c r="A3234" s="8" t="s">
        <v>10033</v>
      </c>
      <c r="I3234" s="1" t="s">
        <v>1082</v>
      </c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25">
      <c r="A3235" s="8" t="s">
        <v>10033</v>
      </c>
      <c r="I3235" s="1" t="s">
        <v>981</v>
      </c>
      <c r="J3235" s="1" t="s">
        <v>1019</v>
      </c>
      <c r="K3235" s="1" t="s">
        <v>983</v>
      </c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25">
      <c r="A3236" s="8" t="s">
        <v>9772</v>
      </c>
      <c r="I3236" s="1" t="s">
        <v>994</v>
      </c>
      <c r="J3236" s="1" t="s">
        <v>981</v>
      </c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25">
      <c r="A3237" s="7" t="s">
        <v>6883</v>
      </c>
      <c r="I3237" s="1" t="s">
        <v>25</v>
      </c>
      <c r="J3237" s="1" t="s">
        <v>923</v>
      </c>
      <c r="K3237" s="1" t="s">
        <v>920</v>
      </c>
      <c r="L3237" s="1" t="s">
        <v>933</v>
      </c>
      <c r="M3237" s="1" t="s">
        <v>954</v>
      </c>
      <c r="N3237" s="1" t="s">
        <v>921</v>
      </c>
      <c r="O3237" s="1" t="s">
        <v>1017</v>
      </c>
      <c r="P3237" s="1" t="s">
        <v>1037</v>
      </c>
      <c r="Q3237" s="1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25">
      <c r="A3238" s="7" t="s">
        <v>6883</v>
      </c>
      <c r="I3238" s="1" t="s">
        <v>981</v>
      </c>
      <c r="J3238" s="1" t="s">
        <v>983</v>
      </c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25">
      <c r="A3239" s="7" t="s">
        <v>7770</v>
      </c>
      <c r="I3239" s="1" t="s">
        <v>918</v>
      </c>
      <c r="J3239" s="1" t="s">
        <v>25</v>
      </c>
      <c r="K3239" s="1" t="s">
        <v>927</v>
      </c>
      <c r="L3239" s="1" t="s">
        <v>919</v>
      </c>
      <c r="M3239" s="1" t="s">
        <v>920</v>
      </c>
      <c r="N3239" s="1" t="s">
        <v>936</v>
      </c>
      <c r="O3239" s="1" t="s">
        <v>1108</v>
      </c>
      <c r="P3239" s="1" t="s">
        <v>960</v>
      </c>
      <c r="Q3239" s="1" t="s">
        <v>961</v>
      </c>
      <c r="R3239" s="1" t="s">
        <v>921</v>
      </c>
      <c r="S3239" s="1" t="s">
        <v>1097</v>
      </c>
      <c r="T3239" s="1" t="s">
        <v>922</v>
      </c>
      <c r="U3239" s="1"/>
      <c r="V3239" s="1"/>
      <c r="W3239" s="1"/>
      <c r="X3239" s="1"/>
      <c r="Y3239" s="1"/>
    </row>
    <row r="3240" spans="1:25" x14ac:dyDescent="0.25">
      <c r="A3240" s="8" t="s">
        <v>10299</v>
      </c>
      <c r="I3240" s="1" t="s">
        <v>25</v>
      </c>
      <c r="J3240" s="1" t="s">
        <v>920</v>
      </c>
      <c r="K3240" s="1" t="s">
        <v>933</v>
      </c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25">
      <c r="A3241" s="8" t="s">
        <v>10299</v>
      </c>
      <c r="I3241" s="1" t="s">
        <v>50</v>
      </c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25">
      <c r="A3242" s="7" t="s">
        <v>4282</v>
      </c>
      <c r="I3242" s="1" t="s">
        <v>25</v>
      </c>
      <c r="J3242" s="1" t="s">
        <v>1086</v>
      </c>
      <c r="K3242" s="1" t="s">
        <v>919</v>
      </c>
      <c r="L3242" s="1" t="s">
        <v>920</v>
      </c>
      <c r="M3242" s="1" t="s">
        <v>921</v>
      </c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25">
      <c r="A3243" s="8" t="s">
        <v>4282</v>
      </c>
      <c r="I3243" s="1" t="s">
        <v>996</v>
      </c>
      <c r="J3243" s="1" t="s">
        <v>1053</v>
      </c>
      <c r="K3243" s="1" t="s">
        <v>11036</v>
      </c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25">
      <c r="A3244" s="8" t="s">
        <v>4282</v>
      </c>
      <c r="I3244" s="1" t="s">
        <v>1001</v>
      </c>
      <c r="J3244" s="1" t="s">
        <v>918</v>
      </c>
      <c r="K3244" s="1" t="s">
        <v>927</v>
      </c>
      <c r="L3244" s="1" t="s">
        <v>981</v>
      </c>
      <c r="M3244" s="1" t="s">
        <v>919</v>
      </c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25">
      <c r="A3245" s="7" t="s">
        <v>10057</v>
      </c>
      <c r="I3245" s="1" t="s">
        <v>996</v>
      </c>
      <c r="J3245" s="1" t="s">
        <v>933</v>
      </c>
      <c r="K3245" s="1" t="s">
        <v>994</v>
      </c>
      <c r="L3245" s="1" t="s">
        <v>927</v>
      </c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25">
      <c r="A3246" s="7" t="s">
        <v>1567</v>
      </c>
      <c r="I3246" s="1" t="s">
        <v>927</v>
      </c>
      <c r="J3246" s="1" t="s">
        <v>953</v>
      </c>
      <c r="K3246" s="1" t="s">
        <v>943</v>
      </c>
      <c r="L3246" s="1" t="s">
        <v>983</v>
      </c>
      <c r="M3246" s="1" t="s">
        <v>919</v>
      </c>
      <c r="N3246" s="1" t="s">
        <v>984</v>
      </c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25">
      <c r="A3247" s="7" t="s">
        <v>9652</v>
      </c>
      <c r="I3247" s="1" t="s">
        <v>927</v>
      </c>
      <c r="J3247" s="1" t="s">
        <v>953</v>
      </c>
      <c r="K3247" s="1" t="s">
        <v>943</v>
      </c>
      <c r="L3247" s="1" t="s">
        <v>983</v>
      </c>
      <c r="M3247" s="1" t="s">
        <v>919</v>
      </c>
      <c r="N3247" s="1" t="s">
        <v>984</v>
      </c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25">
      <c r="A3248" s="7" t="s">
        <v>2592</v>
      </c>
      <c r="I3248" s="1" t="s">
        <v>1001</v>
      </c>
      <c r="J3248" s="1" t="s">
        <v>927</v>
      </c>
      <c r="K3248" s="1" t="s">
        <v>987</v>
      </c>
      <c r="L3248" s="1" t="s">
        <v>981</v>
      </c>
      <c r="M3248" s="1" t="s">
        <v>919</v>
      </c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25">
      <c r="A3249" s="8" t="s">
        <v>9828</v>
      </c>
      <c r="I3249" s="1" t="s">
        <v>985</v>
      </c>
      <c r="J3249" s="1" t="s">
        <v>10942</v>
      </c>
      <c r="K3249" s="1" t="s">
        <v>10943</v>
      </c>
      <c r="L3249" s="1" t="s">
        <v>1099</v>
      </c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25">
      <c r="A3250" s="7" t="s">
        <v>10101</v>
      </c>
      <c r="I3250" s="1" t="s">
        <v>50</v>
      </c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25">
      <c r="A3251" s="7" t="s">
        <v>10101</v>
      </c>
      <c r="I3251" s="1" t="s">
        <v>1066</v>
      </c>
      <c r="J3251" s="1" t="s">
        <v>1099</v>
      </c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25">
      <c r="A3252" s="7" t="s">
        <v>10101</v>
      </c>
      <c r="I3252" s="1" t="s">
        <v>992</v>
      </c>
      <c r="J3252" s="1" t="s">
        <v>933</v>
      </c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25">
      <c r="A3253" s="7" t="s">
        <v>9119</v>
      </c>
      <c r="I3253" s="1" t="s">
        <v>918</v>
      </c>
      <c r="J3253" s="1" t="s">
        <v>942</v>
      </c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25">
      <c r="A3254" s="8" t="s">
        <v>9119</v>
      </c>
      <c r="I3254" s="1" t="s">
        <v>996</v>
      </c>
      <c r="J3254" s="1" t="s">
        <v>2541</v>
      </c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25">
      <c r="A3255" s="8" t="s">
        <v>10096</v>
      </c>
      <c r="I3255" s="1" t="s">
        <v>996</v>
      </c>
      <c r="J3255" s="1" t="s">
        <v>2541</v>
      </c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25">
      <c r="A3256" s="8" t="s">
        <v>10096</v>
      </c>
      <c r="I3256" s="1" t="s">
        <v>996</v>
      </c>
      <c r="J3256" s="1" t="s">
        <v>2541</v>
      </c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25">
      <c r="A3257" s="8" t="s">
        <v>10100</v>
      </c>
      <c r="I3257" s="1" t="s">
        <v>996</v>
      </c>
      <c r="J3257" s="1" t="s">
        <v>2541</v>
      </c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25">
      <c r="A3258" s="8" t="s">
        <v>9417</v>
      </c>
      <c r="I3258" s="1" t="s">
        <v>996</v>
      </c>
      <c r="J3258" s="1" t="s">
        <v>2541</v>
      </c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25">
      <c r="A3259" s="8" t="s">
        <v>9689</v>
      </c>
      <c r="I3259" s="1" t="s">
        <v>996</v>
      </c>
      <c r="J3259" s="1" t="s">
        <v>2541</v>
      </c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25">
      <c r="A3260" s="8" t="s">
        <v>10619</v>
      </c>
      <c r="I3260" s="1" t="s">
        <v>996</v>
      </c>
      <c r="J3260" s="1" t="s">
        <v>2541</v>
      </c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25">
      <c r="A3261" s="8" t="s">
        <v>10619</v>
      </c>
      <c r="I3261" s="1" t="s">
        <v>996</v>
      </c>
      <c r="J3261" s="1" t="s">
        <v>2541</v>
      </c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25">
      <c r="A3262" s="8" t="s">
        <v>10582</v>
      </c>
      <c r="I3262" s="1" t="s">
        <v>996</v>
      </c>
      <c r="J3262" s="1" t="s">
        <v>2541</v>
      </c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25">
      <c r="A3263" s="8" t="s">
        <v>10450</v>
      </c>
      <c r="I3263" s="1" t="s">
        <v>996</v>
      </c>
      <c r="J3263" s="1" t="s">
        <v>2541</v>
      </c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25">
      <c r="A3264" s="8" t="s">
        <v>10450</v>
      </c>
      <c r="I3264" s="1" t="s">
        <v>11037</v>
      </c>
      <c r="J3264" s="1" t="s">
        <v>1057</v>
      </c>
      <c r="K3264" s="1" t="s">
        <v>10716</v>
      </c>
      <c r="L3264" s="1" t="s">
        <v>11038</v>
      </c>
      <c r="M3264" s="1" t="s">
        <v>10798</v>
      </c>
      <c r="N3264" s="1" t="s">
        <v>10767</v>
      </c>
      <c r="O3264" s="1" t="s">
        <v>984</v>
      </c>
      <c r="P3264" s="1" t="s">
        <v>990</v>
      </c>
      <c r="Q3264" s="1" t="s">
        <v>991</v>
      </c>
      <c r="R3264" s="1" t="s">
        <v>11039</v>
      </c>
      <c r="S3264" s="1" t="s">
        <v>1020</v>
      </c>
      <c r="T3264" s="1" t="s">
        <v>11040</v>
      </c>
      <c r="U3264" s="1"/>
      <c r="V3264" s="1"/>
      <c r="W3264" s="1"/>
      <c r="X3264" s="1"/>
      <c r="Y3264" s="1"/>
    </row>
    <row r="3265" spans="1:25" x14ac:dyDescent="0.25">
      <c r="A3265" s="8" t="s">
        <v>3191</v>
      </c>
      <c r="I3265" s="1" t="s">
        <v>981</v>
      </c>
      <c r="J3265" s="1" t="s">
        <v>928</v>
      </c>
      <c r="K3265" s="1" t="s">
        <v>10821</v>
      </c>
      <c r="L3265" s="1" t="s">
        <v>11041</v>
      </c>
      <c r="M3265" s="1" t="s">
        <v>10755</v>
      </c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25">
      <c r="A3266" s="8" t="s">
        <v>3191</v>
      </c>
      <c r="I3266" s="1" t="s">
        <v>50</v>
      </c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25">
      <c r="A3267" s="8" t="s">
        <v>3191</v>
      </c>
      <c r="I3267" s="1" t="s">
        <v>298</v>
      </c>
      <c r="J3267" s="1" t="s">
        <v>25</v>
      </c>
      <c r="K3267" s="1" t="s">
        <v>927</v>
      </c>
      <c r="L3267" s="1" t="s">
        <v>998</v>
      </c>
      <c r="M3267" s="1" t="s">
        <v>1086</v>
      </c>
      <c r="N3267" s="1" t="s">
        <v>920</v>
      </c>
      <c r="O3267" s="1" t="s">
        <v>933</v>
      </c>
      <c r="P3267" s="1"/>
      <c r="Q3267" s="1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25">
      <c r="A3268" s="8" t="s">
        <v>3191</v>
      </c>
      <c r="I3268" s="1" t="s">
        <v>996</v>
      </c>
      <c r="J3268" s="1" t="s">
        <v>2541</v>
      </c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25">
      <c r="A3269" s="7" t="s">
        <v>3882</v>
      </c>
      <c r="I3269" s="1" t="s">
        <v>2541</v>
      </c>
      <c r="J3269" s="1" t="s">
        <v>937</v>
      </c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25">
      <c r="A3270" s="7" t="s">
        <v>4342</v>
      </c>
      <c r="I3270" s="1" t="s">
        <v>1001</v>
      </c>
      <c r="J3270" s="1" t="s">
        <v>328</v>
      </c>
      <c r="K3270" s="1" t="s">
        <v>2541</v>
      </c>
      <c r="L3270" s="1" t="s">
        <v>10920</v>
      </c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25">
      <c r="A3271" s="8" t="s">
        <v>10066</v>
      </c>
      <c r="I3271" s="1" t="s">
        <v>996</v>
      </c>
      <c r="J3271" s="1" t="s">
        <v>2541</v>
      </c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25">
      <c r="A3272" s="8" t="s">
        <v>10307</v>
      </c>
      <c r="I3272" s="1" t="s">
        <v>996</v>
      </c>
      <c r="J3272" s="1" t="s">
        <v>2541</v>
      </c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25">
      <c r="A3273" s="7" t="s">
        <v>240</v>
      </c>
      <c r="I3273" s="1" t="s">
        <v>934</v>
      </c>
      <c r="J3273" s="1" t="s">
        <v>948</v>
      </c>
      <c r="K3273" s="1" t="s">
        <v>918</v>
      </c>
      <c r="L3273" s="1" t="s">
        <v>949</v>
      </c>
      <c r="M3273" s="1" t="s">
        <v>25</v>
      </c>
      <c r="N3273" s="1" t="s">
        <v>916</v>
      </c>
      <c r="O3273" s="1" t="s">
        <v>919</v>
      </c>
      <c r="P3273" s="1" t="s">
        <v>920</v>
      </c>
      <c r="Q3273" s="1" t="s">
        <v>328</v>
      </c>
      <c r="R3273" s="1" t="s">
        <v>950</v>
      </c>
      <c r="S3273" s="1" t="s">
        <v>921</v>
      </c>
      <c r="T3273" s="1" t="s">
        <v>927</v>
      </c>
      <c r="U3273" s="1" t="s">
        <v>933</v>
      </c>
      <c r="V3273" s="1" t="s">
        <v>929</v>
      </c>
      <c r="W3273" s="1"/>
      <c r="X3273" s="1"/>
      <c r="Y3273" s="1"/>
    </row>
    <row r="3274" spans="1:25" x14ac:dyDescent="0.25">
      <c r="A3274" s="7" t="s">
        <v>240</v>
      </c>
      <c r="I3274" s="1" t="s">
        <v>934</v>
      </c>
      <c r="J3274" s="1" t="s">
        <v>948</v>
      </c>
      <c r="K3274" s="1" t="s">
        <v>918</v>
      </c>
      <c r="L3274" s="1" t="s">
        <v>949</v>
      </c>
      <c r="M3274" s="1" t="s">
        <v>25</v>
      </c>
      <c r="N3274" s="1" t="s">
        <v>916</v>
      </c>
      <c r="O3274" s="1" t="s">
        <v>919</v>
      </c>
      <c r="P3274" s="1" t="s">
        <v>920</v>
      </c>
      <c r="Q3274" s="1" t="s">
        <v>328</v>
      </c>
      <c r="R3274" s="1" t="s">
        <v>950</v>
      </c>
      <c r="S3274" s="1" t="s">
        <v>921</v>
      </c>
      <c r="T3274" s="1" t="s">
        <v>1000</v>
      </c>
      <c r="U3274" s="1" t="s">
        <v>10729</v>
      </c>
      <c r="V3274" s="1" t="s">
        <v>930</v>
      </c>
      <c r="W3274" s="1"/>
      <c r="X3274" s="1"/>
      <c r="Y3274" s="1"/>
    </row>
    <row r="3275" spans="1:25" x14ac:dyDescent="0.25">
      <c r="A3275" s="7" t="s">
        <v>240</v>
      </c>
      <c r="I3275" s="1" t="s">
        <v>934</v>
      </c>
      <c r="J3275" s="1" t="s">
        <v>948</v>
      </c>
      <c r="K3275" s="1" t="s">
        <v>918</v>
      </c>
      <c r="L3275" s="1" t="s">
        <v>949</v>
      </c>
      <c r="M3275" s="1" t="s">
        <v>25</v>
      </c>
      <c r="N3275" s="1" t="s">
        <v>916</v>
      </c>
      <c r="O3275" s="1" t="s">
        <v>919</v>
      </c>
      <c r="P3275" s="1" t="s">
        <v>920</v>
      </c>
      <c r="Q3275" s="1" t="s">
        <v>328</v>
      </c>
      <c r="R3275" s="1" t="s">
        <v>950</v>
      </c>
      <c r="S3275" s="1" t="s">
        <v>921</v>
      </c>
      <c r="T3275" s="1" t="s">
        <v>84</v>
      </c>
      <c r="U3275" s="1" t="s">
        <v>941</v>
      </c>
      <c r="V3275" s="1" t="s">
        <v>1143</v>
      </c>
      <c r="W3275" s="1" t="s">
        <v>1085</v>
      </c>
      <c r="X3275" s="1" t="s">
        <v>955</v>
      </c>
      <c r="Y3275" s="1" t="s">
        <v>924</v>
      </c>
    </row>
    <row r="3276" spans="1:25" x14ac:dyDescent="0.25">
      <c r="A3276" s="7" t="s">
        <v>118</v>
      </c>
      <c r="I3276" s="1" t="s">
        <v>934</v>
      </c>
      <c r="J3276" s="1" t="s">
        <v>948</v>
      </c>
      <c r="K3276" s="1" t="s">
        <v>918</v>
      </c>
      <c r="L3276" s="1" t="s">
        <v>949</v>
      </c>
      <c r="M3276" s="1" t="s">
        <v>25</v>
      </c>
      <c r="N3276" s="1" t="s">
        <v>916</v>
      </c>
      <c r="O3276" s="1" t="s">
        <v>919</v>
      </c>
      <c r="P3276" s="1" t="s">
        <v>920</v>
      </c>
      <c r="Q3276" s="1" t="s">
        <v>328</v>
      </c>
      <c r="R3276" s="1" t="s">
        <v>950</v>
      </c>
      <c r="S3276" s="1" t="s">
        <v>921</v>
      </c>
      <c r="T3276" s="1"/>
      <c r="U3276" s="1"/>
      <c r="V3276" s="1"/>
      <c r="W3276" s="1"/>
      <c r="X3276" s="1"/>
      <c r="Y3276" s="1"/>
    </row>
    <row r="3277" spans="1:25" x14ac:dyDescent="0.25">
      <c r="A3277" s="8" t="s">
        <v>10093</v>
      </c>
      <c r="I3277" s="1" t="s">
        <v>934</v>
      </c>
      <c r="J3277" s="1" t="s">
        <v>948</v>
      </c>
      <c r="K3277" s="1" t="s">
        <v>918</v>
      </c>
      <c r="L3277" s="1" t="s">
        <v>949</v>
      </c>
      <c r="M3277" s="1" t="s">
        <v>25</v>
      </c>
      <c r="N3277" s="1" t="s">
        <v>916</v>
      </c>
      <c r="O3277" s="1" t="s">
        <v>919</v>
      </c>
      <c r="P3277" s="1" t="s">
        <v>920</v>
      </c>
      <c r="Q3277" s="1" t="s">
        <v>328</v>
      </c>
      <c r="R3277" s="1" t="s">
        <v>950</v>
      </c>
      <c r="S3277" s="1" t="s">
        <v>921</v>
      </c>
      <c r="T3277" s="1" t="s">
        <v>298</v>
      </c>
      <c r="U3277" s="1" t="s">
        <v>923</v>
      </c>
      <c r="V3277" s="1" t="s">
        <v>1012</v>
      </c>
      <c r="W3277" s="1" t="s">
        <v>11042</v>
      </c>
      <c r="X3277" s="1" t="s">
        <v>924</v>
      </c>
      <c r="Y3277" s="1" t="s">
        <v>1014</v>
      </c>
    </row>
    <row r="3278" spans="1:25" x14ac:dyDescent="0.25">
      <c r="A3278" s="7" t="s">
        <v>9479</v>
      </c>
      <c r="I3278" s="1" t="s">
        <v>934</v>
      </c>
      <c r="J3278" s="1" t="s">
        <v>25</v>
      </c>
      <c r="K3278" s="1" t="s">
        <v>923</v>
      </c>
      <c r="L3278" s="1" t="s">
        <v>6421</v>
      </c>
      <c r="M3278" s="1" t="s">
        <v>920</v>
      </c>
      <c r="N3278" s="1" t="s">
        <v>328</v>
      </c>
      <c r="O3278" s="1" t="s">
        <v>921</v>
      </c>
      <c r="P3278" s="1"/>
      <c r="Q3278" s="1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25">
      <c r="A3279" s="8" t="s">
        <v>9479</v>
      </c>
      <c r="I3279" s="1" t="s">
        <v>934</v>
      </c>
      <c r="J3279" s="1" t="s">
        <v>25</v>
      </c>
      <c r="K3279" s="1" t="s">
        <v>923</v>
      </c>
      <c r="L3279" s="1" t="s">
        <v>6421</v>
      </c>
      <c r="M3279" s="1" t="s">
        <v>920</v>
      </c>
      <c r="N3279" s="1" t="s">
        <v>328</v>
      </c>
      <c r="O3279" s="1" t="s">
        <v>921</v>
      </c>
      <c r="P3279" s="1" t="s">
        <v>1131</v>
      </c>
      <c r="Q3279" s="1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25">
      <c r="A3280" s="8" t="s">
        <v>9479</v>
      </c>
      <c r="I3280" s="1" t="s">
        <v>934</v>
      </c>
      <c r="J3280" s="1" t="s">
        <v>25</v>
      </c>
      <c r="K3280" s="1" t="s">
        <v>923</v>
      </c>
      <c r="L3280" s="1" t="s">
        <v>6421</v>
      </c>
      <c r="M3280" s="1" t="s">
        <v>920</v>
      </c>
      <c r="N3280" s="1" t="s">
        <v>328</v>
      </c>
      <c r="O3280" s="1" t="s">
        <v>921</v>
      </c>
      <c r="P3280" s="1" t="s">
        <v>951</v>
      </c>
      <c r="Q3280" s="1" t="s">
        <v>918</v>
      </c>
      <c r="R3280" s="1" t="s">
        <v>916</v>
      </c>
      <c r="S3280" s="1" t="s">
        <v>954</v>
      </c>
      <c r="T3280" s="1" t="s">
        <v>1148</v>
      </c>
      <c r="U3280" s="1" t="s">
        <v>927</v>
      </c>
      <c r="V3280" s="1" t="s">
        <v>1086</v>
      </c>
      <c r="W3280" s="1"/>
      <c r="X3280" s="1"/>
      <c r="Y3280" s="1"/>
    </row>
    <row r="3281" spans="1:25" x14ac:dyDescent="0.25">
      <c r="A3281" s="8" t="s">
        <v>9479</v>
      </c>
      <c r="I3281" s="1" t="s">
        <v>934</v>
      </c>
      <c r="J3281" s="1" t="s">
        <v>918</v>
      </c>
      <c r="K3281" s="1" t="s">
        <v>1110</v>
      </c>
      <c r="L3281" s="1" t="s">
        <v>25</v>
      </c>
      <c r="M3281" s="1" t="s">
        <v>923</v>
      </c>
      <c r="N3281" s="1" t="s">
        <v>920</v>
      </c>
      <c r="O3281" s="1" t="s">
        <v>954</v>
      </c>
      <c r="P3281" s="1" t="s">
        <v>974</v>
      </c>
      <c r="Q3281" s="1" t="s">
        <v>921</v>
      </c>
      <c r="R3281" s="1" t="s">
        <v>6421</v>
      </c>
      <c r="S3281" s="1" t="s">
        <v>328</v>
      </c>
      <c r="T3281" s="1"/>
      <c r="U3281" s="1"/>
      <c r="V3281" s="1"/>
      <c r="W3281" s="1"/>
      <c r="X3281" s="1"/>
      <c r="Y3281" s="1"/>
    </row>
    <row r="3282" spans="1:25" x14ac:dyDescent="0.25">
      <c r="A3282" s="8" t="s">
        <v>10679</v>
      </c>
      <c r="I3282" s="1" t="s">
        <v>934</v>
      </c>
      <c r="J3282" s="1" t="s">
        <v>948</v>
      </c>
      <c r="K3282" s="1" t="s">
        <v>918</v>
      </c>
      <c r="L3282" s="1" t="s">
        <v>949</v>
      </c>
      <c r="M3282" s="1" t="s">
        <v>25</v>
      </c>
      <c r="N3282" s="1" t="s">
        <v>916</v>
      </c>
      <c r="O3282" s="1" t="s">
        <v>919</v>
      </c>
      <c r="P3282" s="1" t="s">
        <v>920</v>
      </c>
      <c r="Q3282" s="1" t="s">
        <v>328</v>
      </c>
      <c r="R3282" s="1" t="s">
        <v>950</v>
      </c>
      <c r="S3282" s="1" t="s">
        <v>921</v>
      </c>
      <c r="T3282" s="1" t="s">
        <v>923</v>
      </c>
      <c r="U3282" s="1" t="s">
        <v>6421</v>
      </c>
      <c r="V3282" s="1" t="s">
        <v>964</v>
      </c>
      <c r="W3282" s="1"/>
      <c r="X3282" s="1"/>
      <c r="Y3282" s="1"/>
    </row>
    <row r="3283" spans="1:25" x14ac:dyDescent="0.25">
      <c r="A3283" s="7" t="s">
        <v>4452</v>
      </c>
      <c r="I3283" s="1" t="s">
        <v>934</v>
      </c>
      <c r="J3283" s="1" t="s">
        <v>25</v>
      </c>
      <c r="K3283" s="1" t="s">
        <v>923</v>
      </c>
      <c r="L3283" s="1" t="s">
        <v>6421</v>
      </c>
      <c r="M3283" s="1" t="s">
        <v>920</v>
      </c>
      <c r="N3283" s="1" t="s">
        <v>328</v>
      </c>
      <c r="O3283" s="1" t="s">
        <v>921</v>
      </c>
      <c r="P3283" s="1"/>
      <c r="Q3283" s="1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25">
      <c r="A3284" s="8" t="s">
        <v>4452</v>
      </c>
      <c r="I3284" s="1" t="s">
        <v>918</v>
      </c>
      <c r="J3284" s="1" t="s">
        <v>25</v>
      </c>
      <c r="K3284" s="1" t="s">
        <v>923</v>
      </c>
      <c r="L3284" s="1" t="s">
        <v>973</v>
      </c>
      <c r="M3284" s="1" t="s">
        <v>916</v>
      </c>
      <c r="N3284" s="1" t="s">
        <v>920</v>
      </c>
      <c r="O3284" s="1" t="s">
        <v>954</v>
      </c>
      <c r="P3284" s="1" t="s">
        <v>974</v>
      </c>
      <c r="Q3284" s="1" t="s">
        <v>921</v>
      </c>
      <c r="R3284" s="1"/>
      <c r="S3284" s="1"/>
      <c r="T3284" s="1"/>
      <c r="U3284" s="1"/>
      <c r="V3284" s="1"/>
      <c r="W3284" s="1"/>
      <c r="X3284" s="1"/>
      <c r="Y3284" s="1"/>
    </row>
    <row r="3285" spans="1:25" x14ac:dyDescent="0.25">
      <c r="A3285" s="8" t="s">
        <v>4452</v>
      </c>
      <c r="I3285" s="1" t="s">
        <v>923</v>
      </c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25">
      <c r="A3286" s="8" t="s">
        <v>4452</v>
      </c>
      <c r="I3286" s="1" t="s">
        <v>923</v>
      </c>
      <c r="J3286" s="1" t="s">
        <v>1118</v>
      </c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25">
      <c r="A3287" s="8" t="s">
        <v>4452</v>
      </c>
      <c r="I3287" s="1" t="s">
        <v>25</v>
      </c>
      <c r="J3287" s="1" t="s">
        <v>923</v>
      </c>
      <c r="K3287" s="1" t="s">
        <v>920</v>
      </c>
      <c r="L3287" s="1" t="s">
        <v>921</v>
      </c>
      <c r="M3287" s="1" t="s">
        <v>1136</v>
      </c>
      <c r="N3287" s="1" t="s">
        <v>1137</v>
      </c>
      <c r="O3287" s="1" t="s">
        <v>10752</v>
      </c>
      <c r="P3287" s="1"/>
      <c r="Q3287" s="1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25">
      <c r="A3288" s="7" t="s">
        <v>5095</v>
      </c>
      <c r="I3288" s="1" t="s">
        <v>918</v>
      </c>
      <c r="J3288" s="1" t="s">
        <v>927</v>
      </c>
      <c r="K3288" s="1" t="s">
        <v>919</v>
      </c>
      <c r="L3288" s="1" t="s">
        <v>936</v>
      </c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25">
      <c r="A3289" s="8" t="s">
        <v>9496</v>
      </c>
      <c r="I3289" s="1" t="s">
        <v>918</v>
      </c>
      <c r="J3289" s="1" t="s">
        <v>927</v>
      </c>
      <c r="K3289" s="1" t="s">
        <v>919</v>
      </c>
      <c r="L3289" s="1" t="s">
        <v>936</v>
      </c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25">
      <c r="A3290" s="7" t="s">
        <v>9355</v>
      </c>
      <c r="I3290" s="1" t="s">
        <v>918</v>
      </c>
      <c r="J3290" s="1" t="s">
        <v>927</v>
      </c>
      <c r="K3290" s="1" t="s">
        <v>919</v>
      </c>
      <c r="L3290" s="1" t="s">
        <v>936</v>
      </c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25">
      <c r="A3291" s="7" t="s">
        <v>9355</v>
      </c>
      <c r="I3291" s="1" t="s">
        <v>918</v>
      </c>
      <c r="J3291" s="1" t="s">
        <v>995</v>
      </c>
      <c r="K3291" s="1" t="s">
        <v>919</v>
      </c>
      <c r="L3291" s="1" t="s">
        <v>924</v>
      </c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25">
      <c r="A3292" s="8" t="s">
        <v>9355</v>
      </c>
      <c r="I3292" s="1" t="s">
        <v>918</v>
      </c>
      <c r="J3292" s="1" t="s">
        <v>995</v>
      </c>
      <c r="K3292" s="1" t="s">
        <v>919</v>
      </c>
      <c r="L3292" s="1" t="s">
        <v>924</v>
      </c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25">
      <c r="A3293" s="8" t="s">
        <v>10347</v>
      </c>
      <c r="I3293" s="1" t="s">
        <v>918</v>
      </c>
      <c r="J3293" s="1" t="s">
        <v>995</v>
      </c>
      <c r="K3293" s="1" t="s">
        <v>919</v>
      </c>
      <c r="L3293" s="1" t="s">
        <v>924</v>
      </c>
      <c r="M3293" s="1" t="s">
        <v>964</v>
      </c>
      <c r="N3293" s="1" t="s">
        <v>1109</v>
      </c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25">
      <c r="A3294" s="7" t="s">
        <v>3417</v>
      </c>
      <c r="I3294" s="1" t="s">
        <v>918</v>
      </c>
      <c r="J3294" s="1" t="s">
        <v>995</v>
      </c>
      <c r="K3294" s="1" t="s">
        <v>919</v>
      </c>
      <c r="L3294" s="1" t="s">
        <v>924</v>
      </c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25">
      <c r="A3295" s="7" t="s">
        <v>3417</v>
      </c>
      <c r="I3295" s="1" t="s">
        <v>918</v>
      </c>
      <c r="J3295" s="1" t="s">
        <v>995</v>
      </c>
      <c r="K3295" s="1" t="s">
        <v>919</v>
      </c>
      <c r="L3295" s="1" t="s">
        <v>924</v>
      </c>
      <c r="M3295" s="1" t="s">
        <v>11043</v>
      </c>
      <c r="N3295" s="1" t="s">
        <v>944</v>
      </c>
      <c r="O3295" s="1" t="s">
        <v>996</v>
      </c>
      <c r="P3295" s="1" t="s">
        <v>923</v>
      </c>
      <c r="Q3295" s="1" t="s">
        <v>997</v>
      </c>
      <c r="R3295" s="1" t="s">
        <v>998</v>
      </c>
      <c r="S3295" s="1"/>
      <c r="T3295" s="1"/>
      <c r="U3295" s="1"/>
      <c r="V3295" s="1"/>
      <c r="W3295" s="1"/>
      <c r="X3295" s="1"/>
      <c r="Y3295" s="1"/>
    </row>
    <row r="3296" spans="1:25" x14ac:dyDescent="0.25">
      <c r="A3296" s="8" t="s">
        <v>10109</v>
      </c>
      <c r="I3296" s="1" t="s">
        <v>918</v>
      </c>
      <c r="J3296" s="1" t="s">
        <v>995</v>
      </c>
      <c r="K3296" s="1" t="s">
        <v>919</v>
      </c>
      <c r="L3296" s="1" t="s">
        <v>924</v>
      </c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25">
      <c r="A3297" s="8" t="s">
        <v>10109</v>
      </c>
      <c r="I3297" s="1" t="s">
        <v>1031</v>
      </c>
      <c r="J3297" s="1" t="s">
        <v>11004</v>
      </c>
      <c r="K3297" s="1" t="s">
        <v>1136</v>
      </c>
      <c r="L3297" s="1" t="s">
        <v>1032</v>
      </c>
      <c r="M3297" s="1" t="s">
        <v>1033</v>
      </c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25">
      <c r="A3298" s="7" t="s">
        <v>9224</v>
      </c>
      <c r="I3298" s="1" t="s">
        <v>1031</v>
      </c>
      <c r="J3298" s="1" t="s">
        <v>976</v>
      </c>
      <c r="K3298" s="1" t="s">
        <v>1033</v>
      </c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25">
      <c r="A3299" s="8" t="s">
        <v>10099</v>
      </c>
      <c r="I3299" s="1" t="s">
        <v>11038</v>
      </c>
      <c r="J3299" s="1" t="s">
        <v>10798</v>
      </c>
      <c r="K3299" s="1" t="s">
        <v>10767</v>
      </c>
      <c r="L3299" s="1" t="s">
        <v>11039</v>
      </c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25">
      <c r="A3300" s="8" t="s">
        <v>10099</v>
      </c>
      <c r="I3300" s="1" t="s">
        <v>918</v>
      </c>
      <c r="J3300" s="1" t="s">
        <v>953</v>
      </c>
      <c r="K3300" s="1" t="s">
        <v>939</v>
      </c>
      <c r="L3300" s="1" t="s">
        <v>1060</v>
      </c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25">
      <c r="A3301" s="7" t="s">
        <v>10392</v>
      </c>
      <c r="I3301" s="1" t="s">
        <v>918</v>
      </c>
      <c r="J3301" s="1" t="s">
        <v>25</v>
      </c>
      <c r="K3301" s="1" t="s">
        <v>997</v>
      </c>
      <c r="L3301" s="1" t="s">
        <v>919</v>
      </c>
      <c r="M3301" s="1" t="s">
        <v>920</v>
      </c>
      <c r="N3301" s="1" t="s">
        <v>924</v>
      </c>
      <c r="O3301" s="1" t="s">
        <v>927</v>
      </c>
      <c r="P3301" s="1" t="s">
        <v>916</v>
      </c>
      <c r="Q3301" s="1" t="s">
        <v>921</v>
      </c>
      <c r="R3301" s="1"/>
      <c r="S3301" s="1"/>
      <c r="T3301" s="1"/>
      <c r="U3301" s="1"/>
      <c r="V3301" s="1"/>
      <c r="W3301" s="1"/>
      <c r="X3301" s="1"/>
      <c r="Y3301" s="1"/>
    </row>
    <row r="3302" spans="1:25" x14ac:dyDescent="0.25">
      <c r="A3302" s="7" t="s">
        <v>3206</v>
      </c>
      <c r="I3302" s="1" t="s">
        <v>934</v>
      </c>
      <c r="J3302" s="1" t="s">
        <v>918</v>
      </c>
      <c r="K3302" s="1" t="s">
        <v>25</v>
      </c>
      <c r="L3302" s="1" t="s">
        <v>919</v>
      </c>
      <c r="M3302" s="1" t="s">
        <v>920</v>
      </c>
      <c r="N3302" s="1" t="s">
        <v>924</v>
      </c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25">
      <c r="A3303" s="7" t="s">
        <v>3206</v>
      </c>
      <c r="I3303" s="1" t="s">
        <v>934</v>
      </c>
      <c r="J3303" s="1" t="s">
        <v>918</v>
      </c>
      <c r="K3303" s="1" t="s">
        <v>25</v>
      </c>
      <c r="L3303" s="1" t="s">
        <v>919</v>
      </c>
      <c r="M3303" s="1" t="s">
        <v>920</v>
      </c>
      <c r="N3303" s="1" t="s">
        <v>924</v>
      </c>
      <c r="O3303" s="1" t="s">
        <v>750</v>
      </c>
      <c r="P3303" s="1" t="s">
        <v>923</v>
      </c>
      <c r="Q3303" s="1" t="s">
        <v>1129</v>
      </c>
      <c r="R3303" s="1" t="s">
        <v>954</v>
      </c>
      <c r="S3303" s="1" t="s">
        <v>11033</v>
      </c>
      <c r="T3303" s="1"/>
      <c r="U3303" s="1"/>
      <c r="V3303" s="1"/>
      <c r="W3303" s="1"/>
      <c r="X3303" s="1"/>
      <c r="Y3303" s="1"/>
    </row>
    <row r="3304" spans="1:25" x14ac:dyDescent="0.25">
      <c r="A3304" s="7" t="s">
        <v>3206</v>
      </c>
      <c r="I3304" s="1" t="s">
        <v>934</v>
      </c>
      <c r="J3304" s="1" t="s">
        <v>918</v>
      </c>
      <c r="K3304" s="1" t="s">
        <v>25</v>
      </c>
      <c r="L3304" s="1" t="s">
        <v>919</v>
      </c>
      <c r="M3304" s="1" t="s">
        <v>920</v>
      </c>
      <c r="N3304" s="1" t="s">
        <v>924</v>
      </c>
      <c r="O3304" s="1" t="s">
        <v>1110</v>
      </c>
      <c r="P3304" s="1" t="s">
        <v>923</v>
      </c>
      <c r="Q3304" s="1" t="s">
        <v>974</v>
      </c>
      <c r="R3304" s="1" t="s">
        <v>921</v>
      </c>
      <c r="S3304" s="1" t="s">
        <v>927</v>
      </c>
      <c r="T3304" s="1" t="s">
        <v>936</v>
      </c>
      <c r="U3304" s="1" t="s">
        <v>943</v>
      </c>
      <c r="V3304" s="1" t="s">
        <v>1079</v>
      </c>
      <c r="W3304" s="1"/>
      <c r="X3304" s="1"/>
      <c r="Y3304" s="1"/>
    </row>
    <row r="3305" spans="1:25" x14ac:dyDescent="0.25">
      <c r="A3305" s="7" t="s">
        <v>3206</v>
      </c>
      <c r="I3305" s="1" t="s">
        <v>934</v>
      </c>
      <c r="J3305" s="1" t="s">
        <v>918</v>
      </c>
      <c r="K3305" s="1" t="s">
        <v>25</v>
      </c>
      <c r="L3305" s="1" t="s">
        <v>919</v>
      </c>
      <c r="M3305" s="1" t="s">
        <v>920</v>
      </c>
      <c r="N3305" s="1" t="s">
        <v>924</v>
      </c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25">
      <c r="A3306" s="8" t="s">
        <v>10608</v>
      </c>
      <c r="I3306" s="1" t="s">
        <v>934</v>
      </c>
      <c r="J3306" s="1" t="s">
        <v>918</v>
      </c>
      <c r="K3306" s="1" t="s">
        <v>25</v>
      </c>
      <c r="L3306" s="1" t="s">
        <v>919</v>
      </c>
      <c r="M3306" s="1" t="s">
        <v>920</v>
      </c>
      <c r="N3306" s="1" t="s">
        <v>924</v>
      </c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25">
      <c r="A3307" s="7" t="s">
        <v>10546</v>
      </c>
      <c r="I3307" s="1" t="s">
        <v>934</v>
      </c>
      <c r="J3307" s="1" t="s">
        <v>918</v>
      </c>
      <c r="K3307" s="1" t="s">
        <v>25</v>
      </c>
      <c r="L3307" s="1" t="s">
        <v>919</v>
      </c>
      <c r="M3307" s="1" t="s">
        <v>920</v>
      </c>
      <c r="N3307" s="1" t="s">
        <v>924</v>
      </c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25">
      <c r="A3308" s="8" t="s">
        <v>9474</v>
      </c>
      <c r="I3308" s="1" t="s">
        <v>934</v>
      </c>
      <c r="J3308" s="1" t="s">
        <v>918</v>
      </c>
      <c r="K3308" s="1" t="s">
        <v>25</v>
      </c>
      <c r="L3308" s="1" t="s">
        <v>919</v>
      </c>
      <c r="M3308" s="1" t="s">
        <v>920</v>
      </c>
      <c r="N3308" s="1" t="s">
        <v>924</v>
      </c>
      <c r="O3308" s="1" t="s">
        <v>941</v>
      </c>
      <c r="P3308" s="1" t="s">
        <v>11026</v>
      </c>
      <c r="Q3308" s="1" t="s">
        <v>930</v>
      </c>
      <c r="R3308" s="1" t="s">
        <v>11044</v>
      </c>
      <c r="S3308" s="1" t="s">
        <v>945</v>
      </c>
      <c r="T3308" s="1"/>
      <c r="U3308" s="1"/>
      <c r="V3308" s="1"/>
      <c r="W3308" s="1"/>
      <c r="X3308" s="1"/>
      <c r="Y3308" s="1"/>
    </row>
    <row r="3309" spans="1:25" x14ac:dyDescent="0.25">
      <c r="A3309" s="8" t="s">
        <v>8993</v>
      </c>
      <c r="I3309" s="1" t="s">
        <v>934</v>
      </c>
      <c r="J3309" s="1" t="s">
        <v>918</v>
      </c>
      <c r="K3309" s="1" t="s">
        <v>25</v>
      </c>
      <c r="L3309" s="1" t="s">
        <v>919</v>
      </c>
      <c r="M3309" s="1" t="s">
        <v>920</v>
      </c>
      <c r="N3309" s="1" t="s">
        <v>924</v>
      </c>
      <c r="O3309" s="1" t="s">
        <v>930</v>
      </c>
      <c r="P3309" s="1" t="s">
        <v>1014</v>
      </c>
      <c r="Q3309" s="1" t="s">
        <v>955</v>
      </c>
      <c r="R3309" s="1" t="s">
        <v>10871</v>
      </c>
      <c r="S3309" s="1" t="s">
        <v>956</v>
      </c>
      <c r="T3309" s="1"/>
      <c r="U3309" s="1"/>
      <c r="V3309" s="1"/>
      <c r="W3309" s="1"/>
      <c r="X3309" s="1"/>
      <c r="Y3309" s="1"/>
    </row>
    <row r="3310" spans="1:25" x14ac:dyDescent="0.25">
      <c r="A3310" s="8" t="s">
        <v>8993</v>
      </c>
      <c r="I3310" s="1" t="s">
        <v>934</v>
      </c>
      <c r="J3310" s="1" t="s">
        <v>918</v>
      </c>
      <c r="K3310" s="1" t="s">
        <v>25</v>
      </c>
      <c r="L3310" s="1" t="s">
        <v>919</v>
      </c>
      <c r="M3310" s="1" t="s">
        <v>920</v>
      </c>
      <c r="N3310" s="1" t="s">
        <v>924</v>
      </c>
      <c r="O3310" s="1" t="s">
        <v>964</v>
      </c>
      <c r="P3310" s="1" t="s">
        <v>1109</v>
      </c>
      <c r="Q3310" s="1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25">
      <c r="A3311" s="8" t="s">
        <v>9593</v>
      </c>
      <c r="I3311" s="1" t="s">
        <v>934</v>
      </c>
      <c r="J3311" s="1" t="s">
        <v>918</v>
      </c>
      <c r="K3311" s="1" t="s">
        <v>25</v>
      </c>
      <c r="L3311" s="1" t="s">
        <v>919</v>
      </c>
      <c r="M3311" s="1" t="s">
        <v>920</v>
      </c>
      <c r="N3311" s="1" t="s">
        <v>924</v>
      </c>
      <c r="O3311" s="1" t="s">
        <v>943</v>
      </c>
      <c r="P3311" s="1" t="s">
        <v>1079</v>
      </c>
      <c r="Q3311" s="1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25">
      <c r="A3312" s="8" t="s">
        <v>8894</v>
      </c>
      <c r="I3312" s="1" t="s">
        <v>934</v>
      </c>
      <c r="J3312" s="1" t="s">
        <v>918</v>
      </c>
      <c r="K3312" s="1" t="s">
        <v>25</v>
      </c>
      <c r="L3312" s="1" t="s">
        <v>919</v>
      </c>
      <c r="M3312" s="1" t="s">
        <v>920</v>
      </c>
      <c r="N3312" s="1" t="s">
        <v>924</v>
      </c>
      <c r="O3312" s="1" t="s">
        <v>964</v>
      </c>
      <c r="P3312" s="1" t="s">
        <v>1109</v>
      </c>
      <c r="Q3312" s="1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25">
      <c r="A3313" s="7" t="s">
        <v>3377</v>
      </c>
      <c r="I3313" s="1" t="s">
        <v>934</v>
      </c>
      <c r="J3313" s="1" t="s">
        <v>918</v>
      </c>
      <c r="K3313" s="1" t="s">
        <v>25</v>
      </c>
      <c r="L3313" s="1" t="s">
        <v>919</v>
      </c>
      <c r="M3313" s="1" t="s">
        <v>920</v>
      </c>
      <c r="N3313" s="1" t="s">
        <v>924</v>
      </c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25">
      <c r="A3314" s="7" t="s">
        <v>3377</v>
      </c>
      <c r="I3314" s="1" t="s">
        <v>934</v>
      </c>
      <c r="J3314" s="1" t="s">
        <v>918</v>
      </c>
      <c r="K3314" s="1" t="s">
        <v>25</v>
      </c>
      <c r="L3314" s="1" t="s">
        <v>919</v>
      </c>
      <c r="M3314" s="1" t="s">
        <v>920</v>
      </c>
      <c r="N3314" s="1" t="s">
        <v>924</v>
      </c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25">
      <c r="A3315" s="7" t="s">
        <v>3377</v>
      </c>
      <c r="I3315" s="1" t="s">
        <v>934</v>
      </c>
      <c r="J3315" s="1" t="s">
        <v>918</v>
      </c>
      <c r="K3315" s="1" t="s">
        <v>25</v>
      </c>
      <c r="L3315" s="1" t="s">
        <v>919</v>
      </c>
      <c r="M3315" s="1" t="s">
        <v>920</v>
      </c>
      <c r="N3315" s="1" t="s">
        <v>924</v>
      </c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25">
      <c r="A3316" s="7" t="s">
        <v>3377</v>
      </c>
      <c r="I3316" s="1" t="s">
        <v>934</v>
      </c>
      <c r="J3316" s="1" t="s">
        <v>918</v>
      </c>
      <c r="K3316" s="1" t="s">
        <v>25</v>
      </c>
      <c r="L3316" s="1" t="s">
        <v>919</v>
      </c>
      <c r="M3316" s="1" t="s">
        <v>920</v>
      </c>
      <c r="N3316" s="1" t="s">
        <v>924</v>
      </c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25">
      <c r="A3317" s="8" t="s">
        <v>9025</v>
      </c>
      <c r="I3317" s="1" t="s">
        <v>934</v>
      </c>
      <c r="J3317" s="1" t="s">
        <v>918</v>
      </c>
      <c r="K3317" s="1" t="s">
        <v>25</v>
      </c>
      <c r="L3317" s="1" t="s">
        <v>919</v>
      </c>
      <c r="M3317" s="1" t="s">
        <v>920</v>
      </c>
      <c r="N3317" s="1" t="s">
        <v>924</v>
      </c>
      <c r="O3317" s="1" t="s">
        <v>941</v>
      </c>
      <c r="P3317" s="1" t="s">
        <v>943</v>
      </c>
      <c r="Q3317" s="1" t="s">
        <v>1040</v>
      </c>
      <c r="R3317" s="1" t="s">
        <v>1114</v>
      </c>
      <c r="S3317" s="1" t="s">
        <v>936</v>
      </c>
      <c r="T3317" s="1" t="s">
        <v>930</v>
      </c>
      <c r="U3317" s="1" t="s">
        <v>945</v>
      </c>
      <c r="V3317" s="1"/>
      <c r="W3317" s="1"/>
      <c r="X3317" s="1"/>
      <c r="Y3317" s="1"/>
    </row>
    <row r="3318" spans="1:25" x14ac:dyDescent="0.25">
      <c r="A3318" s="8" t="s">
        <v>9723</v>
      </c>
      <c r="I3318" s="1" t="s">
        <v>934</v>
      </c>
      <c r="J3318" s="1" t="s">
        <v>918</v>
      </c>
      <c r="K3318" s="1" t="s">
        <v>25</v>
      </c>
      <c r="L3318" s="1" t="s">
        <v>919</v>
      </c>
      <c r="M3318" s="1" t="s">
        <v>920</v>
      </c>
      <c r="N3318" s="1" t="s">
        <v>924</v>
      </c>
      <c r="O3318" s="1" t="s">
        <v>923</v>
      </c>
      <c r="P3318" s="1"/>
      <c r="Q3318" s="1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25">
      <c r="A3319" s="7" t="s">
        <v>7615</v>
      </c>
      <c r="I3319" s="1" t="s">
        <v>934</v>
      </c>
      <c r="J3319" s="1" t="s">
        <v>918</v>
      </c>
      <c r="K3319" s="1" t="s">
        <v>25</v>
      </c>
      <c r="L3319" s="1" t="s">
        <v>919</v>
      </c>
      <c r="M3319" s="1" t="s">
        <v>920</v>
      </c>
      <c r="N3319" s="1" t="s">
        <v>924</v>
      </c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25">
      <c r="A3320" s="7" t="s">
        <v>7615</v>
      </c>
      <c r="I3320" s="1" t="s">
        <v>934</v>
      </c>
      <c r="J3320" s="1" t="s">
        <v>918</v>
      </c>
      <c r="K3320" s="1" t="s">
        <v>25</v>
      </c>
      <c r="L3320" s="1" t="s">
        <v>919</v>
      </c>
      <c r="M3320" s="1" t="s">
        <v>920</v>
      </c>
      <c r="N3320" s="1" t="s">
        <v>924</v>
      </c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25">
      <c r="A3321" s="7" t="s">
        <v>7615</v>
      </c>
      <c r="I3321" s="1" t="s">
        <v>934</v>
      </c>
      <c r="J3321" s="1" t="s">
        <v>918</v>
      </c>
      <c r="K3321" s="1" t="s">
        <v>25</v>
      </c>
      <c r="L3321" s="1" t="s">
        <v>919</v>
      </c>
      <c r="M3321" s="1" t="s">
        <v>920</v>
      </c>
      <c r="N3321" s="1" t="s">
        <v>924</v>
      </c>
      <c r="O3321" s="1" t="s">
        <v>923</v>
      </c>
      <c r="P3321" s="1" t="s">
        <v>954</v>
      </c>
      <c r="Q3321" s="1" t="s">
        <v>974</v>
      </c>
      <c r="R3321" s="1" t="s">
        <v>1031</v>
      </c>
      <c r="S3321" s="1" t="s">
        <v>916</v>
      </c>
      <c r="T3321" s="1"/>
      <c r="U3321" s="1"/>
      <c r="V3321" s="1"/>
      <c r="W3321" s="1"/>
      <c r="X3321" s="1"/>
      <c r="Y3321" s="1"/>
    </row>
    <row r="3322" spans="1:25" x14ac:dyDescent="0.25">
      <c r="A3322" s="7" t="s">
        <v>7615</v>
      </c>
      <c r="I3322" s="1" t="s">
        <v>934</v>
      </c>
      <c r="J3322" s="1" t="s">
        <v>918</v>
      </c>
      <c r="K3322" s="1" t="s">
        <v>25</v>
      </c>
      <c r="L3322" s="1" t="s">
        <v>919</v>
      </c>
      <c r="M3322" s="1" t="s">
        <v>920</v>
      </c>
      <c r="N3322" s="1" t="s">
        <v>924</v>
      </c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25">
      <c r="A3323" s="7" t="s">
        <v>7615</v>
      </c>
      <c r="I3323" s="1" t="s">
        <v>934</v>
      </c>
      <c r="J3323" s="1" t="s">
        <v>918</v>
      </c>
      <c r="K3323" s="1" t="s">
        <v>25</v>
      </c>
      <c r="L3323" s="1" t="s">
        <v>919</v>
      </c>
      <c r="M3323" s="1" t="s">
        <v>920</v>
      </c>
      <c r="N3323" s="1" t="s">
        <v>924</v>
      </c>
      <c r="O3323" s="1" t="s">
        <v>1031</v>
      </c>
      <c r="P3323" s="1" t="s">
        <v>923</v>
      </c>
      <c r="Q3323" s="1" t="s">
        <v>916</v>
      </c>
      <c r="R3323" s="1" t="s">
        <v>954</v>
      </c>
      <c r="S3323" s="1" t="s">
        <v>974</v>
      </c>
      <c r="T3323" s="1"/>
      <c r="U3323" s="1"/>
      <c r="V3323" s="1"/>
      <c r="W3323" s="1"/>
      <c r="X3323" s="1"/>
      <c r="Y3323" s="1"/>
    </row>
    <row r="3324" spans="1:25" x14ac:dyDescent="0.25">
      <c r="A3324" s="7" t="s">
        <v>7615</v>
      </c>
      <c r="I3324" s="1" t="s">
        <v>923</v>
      </c>
      <c r="J3324" s="1" t="s">
        <v>934</v>
      </c>
      <c r="K3324" s="1" t="s">
        <v>918</v>
      </c>
      <c r="L3324" s="1" t="s">
        <v>25</v>
      </c>
      <c r="M3324" s="1" t="s">
        <v>919</v>
      </c>
      <c r="N3324" s="1" t="s">
        <v>920</v>
      </c>
      <c r="O3324" s="1" t="s">
        <v>924</v>
      </c>
      <c r="P3324" s="1"/>
      <c r="Q3324" s="1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25">
      <c r="A3325" s="8" t="s">
        <v>7615</v>
      </c>
      <c r="I3325" s="1" t="s">
        <v>934</v>
      </c>
      <c r="J3325" s="1" t="s">
        <v>918</v>
      </c>
      <c r="K3325" s="1" t="s">
        <v>25</v>
      </c>
      <c r="L3325" s="1" t="s">
        <v>919</v>
      </c>
      <c r="M3325" s="1" t="s">
        <v>920</v>
      </c>
      <c r="N3325" s="1" t="s">
        <v>924</v>
      </c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25">
      <c r="A3326" s="8" t="s">
        <v>7615</v>
      </c>
      <c r="I3326" s="1" t="s">
        <v>10905</v>
      </c>
      <c r="J3326" s="1" t="s">
        <v>10724</v>
      </c>
      <c r="K3326" s="1" t="s">
        <v>11045</v>
      </c>
      <c r="L3326" s="1" t="s">
        <v>138</v>
      </c>
      <c r="M3326" s="1" t="s">
        <v>10906</v>
      </c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25">
      <c r="A3327" s="7" t="s">
        <v>9094</v>
      </c>
      <c r="I3327" s="1" t="s">
        <v>933</v>
      </c>
      <c r="J3327" s="1" t="s">
        <v>1016</v>
      </c>
      <c r="K3327" s="1" t="s">
        <v>10812</v>
      </c>
      <c r="L3327" s="1" t="s">
        <v>996</v>
      </c>
      <c r="M3327" s="1" t="s">
        <v>1053</v>
      </c>
      <c r="N3327" s="1" t="s">
        <v>1086</v>
      </c>
      <c r="O3327" s="1" t="s">
        <v>2541</v>
      </c>
      <c r="P3327" s="1"/>
      <c r="Q3327" s="1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25">
      <c r="A3328" s="8" t="s">
        <v>9094</v>
      </c>
      <c r="I3328" s="1" t="s">
        <v>298</v>
      </c>
      <c r="J3328" s="1" t="s">
        <v>25</v>
      </c>
      <c r="K3328" s="1" t="s">
        <v>1148</v>
      </c>
      <c r="L3328" s="1" t="s">
        <v>923</v>
      </c>
      <c r="M3328" s="1" t="s">
        <v>2927</v>
      </c>
      <c r="N3328" s="1" t="s">
        <v>933</v>
      </c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25">
      <c r="A3329" s="8" t="s">
        <v>9094</v>
      </c>
      <c r="I3329" s="1" t="s">
        <v>50</v>
      </c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25">
      <c r="A3330" s="8" t="s">
        <v>10666</v>
      </c>
      <c r="I3330" s="1" t="s">
        <v>918</v>
      </c>
      <c r="J3330" s="1" t="s">
        <v>919</v>
      </c>
      <c r="K3330" s="1" t="s">
        <v>936</v>
      </c>
      <c r="L3330" s="1" t="s">
        <v>10734</v>
      </c>
      <c r="M3330" s="1" t="s">
        <v>955</v>
      </c>
      <c r="N3330" s="1" t="s">
        <v>1014</v>
      </c>
      <c r="O3330" s="1" t="s">
        <v>956</v>
      </c>
      <c r="P3330" s="1"/>
      <c r="Q3330" s="1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25">
      <c r="A3331" s="8" t="s">
        <v>9600</v>
      </c>
      <c r="I3331" s="1" t="s">
        <v>918</v>
      </c>
      <c r="J3331" s="1" t="s">
        <v>919</v>
      </c>
      <c r="K3331" s="1" t="s">
        <v>936</v>
      </c>
      <c r="L3331" s="1" t="s">
        <v>948</v>
      </c>
      <c r="M3331" s="1" t="s">
        <v>25</v>
      </c>
      <c r="N3331" s="1" t="s">
        <v>920</v>
      </c>
      <c r="O3331" s="1" t="s">
        <v>954</v>
      </c>
      <c r="P3331" s="1"/>
      <c r="Q3331" s="1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25">
      <c r="A3332" s="8" t="s">
        <v>9443</v>
      </c>
      <c r="I3332" s="1" t="s">
        <v>996</v>
      </c>
      <c r="J3332" s="1" t="s">
        <v>2541</v>
      </c>
      <c r="K3332" s="1" t="s">
        <v>1053</v>
      </c>
      <c r="L3332" s="1" t="s">
        <v>1001</v>
      </c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25">
      <c r="A3333" s="7" t="s">
        <v>9932</v>
      </c>
      <c r="I3333" s="1" t="s">
        <v>1001</v>
      </c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25">
      <c r="A3334" s="8" t="s">
        <v>10237</v>
      </c>
      <c r="I3334" s="1" t="s">
        <v>996</v>
      </c>
      <c r="J3334" s="1" t="s">
        <v>2541</v>
      </c>
      <c r="K3334" s="1" t="s">
        <v>1053</v>
      </c>
      <c r="L3334" s="1" t="s">
        <v>1082</v>
      </c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25">
      <c r="A3335" s="8" t="s">
        <v>9621</v>
      </c>
      <c r="I3335" s="1" t="s">
        <v>8391</v>
      </c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25">
      <c r="A3336" s="7" t="s">
        <v>4906</v>
      </c>
      <c r="I3336" s="1" t="s">
        <v>927</v>
      </c>
      <c r="J3336" s="1" t="s">
        <v>919</v>
      </c>
      <c r="K3336" s="1" t="s">
        <v>924</v>
      </c>
      <c r="L3336" s="1" t="s">
        <v>918</v>
      </c>
      <c r="M3336" s="1" t="s">
        <v>936</v>
      </c>
      <c r="N3336" s="1" t="s">
        <v>967</v>
      </c>
      <c r="O3336" s="1" t="s">
        <v>969</v>
      </c>
      <c r="P3336" s="1" t="s">
        <v>10706</v>
      </c>
      <c r="Q3336" s="1" t="s">
        <v>970</v>
      </c>
      <c r="R3336" s="1" t="s">
        <v>968</v>
      </c>
      <c r="S3336" s="1" t="s">
        <v>1065</v>
      </c>
      <c r="T3336" s="1" t="s">
        <v>11046</v>
      </c>
      <c r="U3336" s="1"/>
      <c r="V3336" s="1"/>
      <c r="W3336" s="1"/>
      <c r="X3336" s="1"/>
      <c r="Y3336" s="1"/>
    </row>
    <row r="3337" spans="1:25" x14ac:dyDescent="0.25">
      <c r="A3337" s="7" t="s">
        <v>6984</v>
      </c>
      <c r="I3337" s="1" t="s">
        <v>918</v>
      </c>
      <c r="J3337" s="1" t="s">
        <v>25</v>
      </c>
      <c r="K3337" s="1" t="s">
        <v>997</v>
      </c>
      <c r="L3337" s="1" t="s">
        <v>919</v>
      </c>
      <c r="M3337" s="1" t="s">
        <v>920</v>
      </c>
      <c r="N3337" s="1" t="s">
        <v>924</v>
      </c>
      <c r="O3337" s="1" t="s">
        <v>936</v>
      </c>
      <c r="P3337" s="1" t="s">
        <v>967</v>
      </c>
      <c r="Q3337" s="1" t="s">
        <v>1050</v>
      </c>
      <c r="R3337" s="1" t="s">
        <v>969</v>
      </c>
      <c r="S3337" s="1" t="s">
        <v>970</v>
      </c>
      <c r="T3337" s="1" t="s">
        <v>1014</v>
      </c>
      <c r="U3337" s="1"/>
      <c r="V3337" s="1"/>
      <c r="W3337" s="1"/>
      <c r="X3337" s="1"/>
      <c r="Y3337" s="1"/>
    </row>
    <row r="3338" spans="1:25" x14ac:dyDescent="0.25">
      <c r="A3338" s="7" t="s">
        <v>6984</v>
      </c>
      <c r="I3338" s="1" t="s">
        <v>918</v>
      </c>
      <c r="J3338" s="1" t="s">
        <v>25</v>
      </c>
      <c r="K3338" s="1" t="s">
        <v>923</v>
      </c>
      <c r="L3338" s="1" t="s">
        <v>1078</v>
      </c>
      <c r="M3338" s="1" t="s">
        <v>919</v>
      </c>
      <c r="N3338" s="1" t="s">
        <v>920</v>
      </c>
      <c r="O3338" s="1" t="s">
        <v>924</v>
      </c>
      <c r="P3338" s="1" t="s">
        <v>921</v>
      </c>
      <c r="Q3338" s="1" t="s">
        <v>927</v>
      </c>
      <c r="R3338" s="1" t="s">
        <v>939</v>
      </c>
      <c r="S3338" s="1" t="s">
        <v>928</v>
      </c>
      <c r="T3338" s="1" t="s">
        <v>929</v>
      </c>
      <c r="U3338" s="1" t="s">
        <v>10849</v>
      </c>
      <c r="V3338" s="1" t="s">
        <v>10967</v>
      </c>
      <c r="W3338" s="1" t="s">
        <v>10968</v>
      </c>
      <c r="X3338" s="1" t="s">
        <v>10969</v>
      </c>
      <c r="Y3338" s="1" t="s">
        <v>10970</v>
      </c>
    </row>
    <row r="3339" spans="1:25" x14ac:dyDescent="0.25">
      <c r="A3339" s="7" t="s">
        <v>6984</v>
      </c>
      <c r="I3339" s="1" t="s">
        <v>918</v>
      </c>
      <c r="J3339" s="1" t="s">
        <v>25</v>
      </c>
      <c r="K3339" s="1" t="s">
        <v>923</v>
      </c>
      <c r="L3339" s="1" t="s">
        <v>1078</v>
      </c>
      <c r="M3339" s="1" t="s">
        <v>919</v>
      </c>
      <c r="N3339" s="1" t="s">
        <v>920</v>
      </c>
      <c r="O3339" s="1" t="s">
        <v>924</v>
      </c>
      <c r="P3339" s="1" t="s">
        <v>921</v>
      </c>
      <c r="Q3339" s="1" t="s">
        <v>10821</v>
      </c>
      <c r="R3339" s="1"/>
      <c r="S3339" s="1"/>
      <c r="T3339" s="1"/>
      <c r="U3339" s="1"/>
      <c r="V3339" s="1"/>
      <c r="W3339" s="1"/>
      <c r="X3339" s="1"/>
      <c r="Y3339" s="1"/>
    </row>
    <row r="3340" spans="1:25" x14ac:dyDescent="0.25">
      <c r="A3340" s="8" t="s">
        <v>6984</v>
      </c>
      <c r="I3340" s="1" t="s">
        <v>996</v>
      </c>
      <c r="J3340" s="1" t="s">
        <v>997</v>
      </c>
      <c r="K3340" s="1" t="s">
        <v>998</v>
      </c>
      <c r="L3340" s="1" t="s">
        <v>992</v>
      </c>
      <c r="M3340" s="1" t="s">
        <v>933</v>
      </c>
      <c r="N3340" s="1" t="s">
        <v>994</v>
      </c>
      <c r="O3340" s="1" t="s">
        <v>1001</v>
      </c>
      <c r="P3340" s="1" t="s">
        <v>927</v>
      </c>
      <c r="Q3340" s="1" t="s">
        <v>981</v>
      </c>
      <c r="R3340" s="1" t="s">
        <v>919</v>
      </c>
      <c r="S3340" s="1"/>
      <c r="T3340" s="1"/>
      <c r="U3340" s="1"/>
      <c r="V3340" s="1"/>
      <c r="W3340" s="1"/>
      <c r="X3340" s="1"/>
      <c r="Y3340" s="1"/>
    </row>
    <row r="3341" spans="1:25" x14ac:dyDescent="0.25">
      <c r="A3341" s="8" t="s">
        <v>6984</v>
      </c>
      <c r="I3341" s="1" t="s">
        <v>918</v>
      </c>
      <c r="J3341" s="1" t="s">
        <v>25</v>
      </c>
      <c r="K3341" s="1" t="s">
        <v>923</v>
      </c>
      <c r="L3341" s="1" t="s">
        <v>1078</v>
      </c>
      <c r="M3341" s="1" t="s">
        <v>919</v>
      </c>
      <c r="N3341" s="1" t="s">
        <v>920</v>
      </c>
      <c r="O3341" s="1" t="s">
        <v>924</v>
      </c>
      <c r="P3341" s="1" t="s">
        <v>921</v>
      </c>
      <c r="Q3341" s="1" t="s">
        <v>10821</v>
      </c>
      <c r="R3341" s="1" t="s">
        <v>996</v>
      </c>
      <c r="S3341" s="1" t="s">
        <v>997</v>
      </c>
      <c r="T3341" s="1" t="s">
        <v>998</v>
      </c>
      <c r="U3341" s="1" t="s">
        <v>992</v>
      </c>
      <c r="V3341" s="1" t="s">
        <v>933</v>
      </c>
      <c r="W3341" s="1" t="s">
        <v>994</v>
      </c>
      <c r="X3341" s="1"/>
      <c r="Y3341" s="1"/>
    </row>
    <row r="3342" spans="1:25" x14ac:dyDescent="0.25">
      <c r="A3342" s="7" t="s">
        <v>8164</v>
      </c>
      <c r="I3342" s="1" t="s">
        <v>996</v>
      </c>
      <c r="J3342" s="1" t="s">
        <v>997</v>
      </c>
      <c r="K3342" s="1" t="s">
        <v>998</v>
      </c>
      <c r="L3342" s="1" t="s">
        <v>992</v>
      </c>
      <c r="M3342" s="1" t="s">
        <v>933</v>
      </c>
      <c r="N3342" s="1" t="s">
        <v>994</v>
      </c>
      <c r="O3342" s="1" t="s">
        <v>978</v>
      </c>
      <c r="P3342" s="1"/>
      <c r="Q3342" s="1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25">
      <c r="A3343" s="7" t="s">
        <v>3852</v>
      </c>
      <c r="I3343" s="1" t="s">
        <v>927</v>
      </c>
      <c r="J3343" s="1" t="s">
        <v>960</v>
      </c>
      <c r="K3343" s="1" t="s">
        <v>961</v>
      </c>
      <c r="L3343" s="1" t="s">
        <v>1147</v>
      </c>
      <c r="M3343" s="1" t="s">
        <v>996</v>
      </c>
      <c r="N3343" s="1" t="s">
        <v>997</v>
      </c>
      <c r="O3343" s="1" t="s">
        <v>998</v>
      </c>
      <c r="P3343" s="1" t="s">
        <v>992</v>
      </c>
      <c r="Q3343" s="1" t="s">
        <v>933</v>
      </c>
      <c r="R3343" s="1" t="s">
        <v>994</v>
      </c>
      <c r="S3343" s="1"/>
      <c r="T3343" s="1"/>
      <c r="U3343" s="1"/>
      <c r="V3343" s="1"/>
      <c r="W3343" s="1"/>
      <c r="X3343" s="1"/>
      <c r="Y3343" s="1"/>
    </row>
    <row r="3344" spans="1:25" x14ac:dyDescent="0.25">
      <c r="A3344" s="7" t="s">
        <v>3852</v>
      </c>
      <c r="I3344" s="1" t="s">
        <v>996</v>
      </c>
      <c r="J3344" s="1" t="s">
        <v>997</v>
      </c>
      <c r="K3344" s="1" t="s">
        <v>998</v>
      </c>
      <c r="L3344" s="1" t="s">
        <v>992</v>
      </c>
      <c r="M3344" s="1" t="s">
        <v>933</v>
      </c>
      <c r="N3344" s="1" t="s">
        <v>994</v>
      </c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25">
      <c r="A3345" s="7" t="s">
        <v>3852</v>
      </c>
      <c r="I3345" s="1" t="s">
        <v>996</v>
      </c>
      <c r="J3345" s="1" t="s">
        <v>997</v>
      </c>
      <c r="K3345" s="1" t="s">
        <v>998</v>
      </c>
      <c r="L3345" s="1" t="s">
        <v>992</v>
      </c>
      <c r="M3345" s="1" t="s">
        <v>933</v>
      </c>
      <c r="N3345" s="1" t="s">
        <v>994</v>
      </c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25">
      <c r="A3346" s="7" t="s">
        <v>3852</v>
      </c>
      <c r="I3346" s="1" t="s">
        <v>923</v>
      </c>
      <c r="J3346" s="1" t="s">
        <v>935</v>
      </c>
      <c r="K3346" s="1" t="s">
        <v>920</v>
      </c>
      <c r="L3346" s="1" t="s">
        <v>918</v>
      </c>
      <c r="M3346" s="1" t="s">
        <v>919</v>
      </c>
      <c r="N3346" s="1" t="s">
        <v>936</v>
      </c>
      <c r="O3346" s="1" t="s">
        <v>6492</v>
      </c>
      <c r="P3346" s="1"/>
      <c r="Q3346" s="1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25">
      <c r="A3347" s="7" t="s">
        <v>3852</v>
      </c>
      <c r="I3347" s="1" t="s">
        <v>923</v>
      </c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25">
      <c r="A3348" s="7" t="s">
        <v>3852</v>
      </c>
      <c r="I3348" s="1" t="s">
        <v>923</v>
      </c>
      <c r="J3348" s="1" t="s">
        <v>960</v>
      </c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25">
      <c r="A3349" s="7" t="s">
        <v>3852</v>
      </c>
      <c r="I3349" s="1" t="s">
        <v>923</v>
      </c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25">
      <c r="A3350" s="8" t="s">
        <v>3852</v>
      </c>
      <c r="I3350" s="1" t="s">
        <v>923</v>
      </c>
      <c r="J3350" s="1" t="s">
        <v>1013</v>
      </c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25">
      <c r="A3351" s="8" t="s">
        <v>9466</v>
      </c>
      <c r="I3351" s="1" t="s">
        <v>923</v>
      </c>
      <c r="J3351" s="1" t="s">
        <v>918</v>
      </c>
      <c r="K3351" s="1" t="s">
        <v>25</v>
      </c>
      <c r="L3351" s="1" t="s">
        <v>920</v>
      </c>
      <c r="M3351" s="1" t="s">
        <v>924</v>
      </c>
      <c r="N3351" s="1" t="s">
        <v>921</v>
      </c>
      <c r="O3351" s="1" t="s">
        <v>11047</v>
      </c>
      <c r="P3351" s="1" t="s">
        <v>1000</v>
      </c>
      <c r="Q3351" s="1" t="s">
        <v>11048</v>
      </c>
      <c r="R3351" s="1" t="s">
        <v>1063</v>
      </c>
      <c r="S3351" s="1"/>
      <c r="T3351" s="1"/>
      <c r="U3351" s="1"/>
      <c r="V3351" s="1"/>
      <c r="W3351" s="1"/>
      <c r="X3351" s="1"/>
      <c r="Y3351" s="1"/>
    </row>
    <row r="3352" spans="1:25" x14ac:dyDescent="0.25">
      <c r="A3352" s="8" t="s">
        <v>9466</v>
      </c>
      <c r="I3352" s="1" t="s">
        <v>923</v>
      </c>
      <c r="J3352" s="1" t="s">
        <v>35</v>
      </c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25">
      <c r="A3353" s="7" t="s">
        <v>8987</v>
      </c>
      <c r="I3353" s="1" t="s">
        <v>923</v>
      </c>
      <c r="J3353" s="1" t="s">
        <v>1000</v>
      </c>
      <c r="K3353" s="1" t="s">
        <v>921</v>
      </c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25">
      <c r="A3354" s="7" t="s">
        <v>8987</v>
      </c>
      <c r="I3354" s="1" t="s">
        <v>923</v>
      </c>
      <c r="J3354" s="1" t="s">
        <v>918</v>
      </c>
      <c r="K3354" s="1" t="s">
        <v>919</v>
      </c>
      <c r="L3354" s="1" t="s">
        <v>922</v>
      </c>
      <c r="M3354" s="1" t="s">
        <v>961</v>
      </c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25">
      <c r="A3355" s="7" t="s">
        <v>8987</v>
      </c>
      <c r="I3355" s="1" t="s">
        <v>923</v>
      </c>
      <c r="J3355" s="1" t="s">
        <v>1001</v>
      </c>
      <c r="K3355" s="1" t="s">
        <v>10936</v>
      </c>
      <c r="L3355" s="1" t="s">
        <v>927</v>
      </c>
      <c r="M3355" s="1" t="s">
        <v>981</v>
      </c>
      <c r="N3355" s="1" t="s">
        <v>919</v>
      </c>
      <c r="O3355" s="1" t="s">
        <v>1000</v>
      </c>
      <c r="P3355" s="1" t="s">
        <v>11049</v>
      </c>
      <c r="Q3355" s="1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25">
      <c r="A3356" s="7" t="s">
        <v>8851</v>
      </c>
      <c r="I3356" s="1" t="s">
        <v>923</v>
      </c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25">
      <c r="A3357" s="7" t="s">
        <v>8851</v>
      </c>
      <c r="I3357" s="1" t="s">
        <v>923</v>
      </c>
      <c r="J3357" s="1" t="s">
        <v>1001</v>
      </c>
      <c r="K3357" s="1" t="s">
        <v>918</v>
      </c>
      <c r="L3357" s="1" t="s">
        <v>927</v>
      </c>
      <c r="M3357" s="1" t="s">
        <v>919</v>
      </c>
      <c r="N3357" s="1" t="s">
        <v>936</v>
      </c>
      <c r="O3357" s="1" t="s">
        <v>967</v>
      </c>
      <c r="P3357" s="1" t="s">
        <v>968</v>
      </c>
      <c r="Q3357" s="1" t="s">
        <v>969</v>
      </c>
      <c r="R3357" s="1" t="s">
        <v>970</v>
      </c>
      <c r="S3357" s="1"/>
      <c r="T3357" s="1"/>
      <c r="U3357" s="1"/>
      <c r="V3357" s="1"/>
      <c r="W3357" s="1"/>
      <c r="X3357" s="1"/>
      <c r="Y3357" s="1"/>
    </row>
    <row r="3358" spans="1:25" x14ac:dyDescent="0.25">
      <c r="A3358" s="7" t="s">
        <v>8851</v>
      </c>
      <c r="I3358" s="1" t="s">
        <v>923</v>
      </c>
      <c r="J3358" s="1" t="s">
        <v>935</v>
      </c>
      <c r="K3358" s="1" t="s">
        <v>920</v>
      </c>
      <c r="L3358" s="1" t="s">
        <v>11047</v>
      </c>
      <c r="M3358" s="1" t="s">
        <v>1000</v>
      </c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25">
      <c r="A3359" s="7" t="s">
        <v>8851</v>
      </c>
      <c r="I3359" s="1" t="s">
        <v>918</v>
      </c>
      <c r="J3359" s="1" t="s">
        <v>953</v>
      </c>
      <c r="K3359" s="1" t="s">
        <v>939</v>
      </c>
      <c r="L3359" s="1" t="s">
        <v>1060</v>
      </c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25">
      <c r="A3360" s="7" t="s">
        <v>8851</v>
      </c>
      <c r="I3360" s="1" t="s">
        <v>934</v>
      </c>
      <c r="J3360" s="1" t="s">
        <v>25</v>
      </c>
      <c r="K3360" s="1" t="s">
        <v>923</v>
      </c>
      <c r="L3360" s="1" t="s">
        <v>920</v>
      </c>
      <c r="M3360" s="1" t="s">
        <v>933</v>
      </c>
      <c r="N3360" s="1" t="s">
        <v>954</v>
      </c>
      <c r="O3360" s="1" t="s">
        <v>974</v>
      </c>
      <c r="P3360" s="1" t="s">
        <v>1054</v>
      </c>
      <c r="Q3360" s="1" t="s">
        <v>950</v>
      </c>
      <c r="R3360" s="1" t="s">
        <v>921</v>
      </c>
      <c r="S3360" s="1" t="s">
        <v>10919</v>
      </c>
      <c r="T3360" s="1"/>
      <c r="U3360" s="1"/>
      <c r="V3360" s="1"/>
      <c r="W3360" s="1"/>
      <c r="X3360" s="1"/>
      <c r="Y3360" s="1"/>
    </row>
    <row r="3361" spans="1:25" x14ac:dyDescent="0.25">
      <c r="A3361" s="7" t="s">
        <v>8851</v>
      </c>
      <c r="I3361" s="1" t="s">
        <v>934</v>
      </c>
      <c r="J3361" s="1" t="s">
        <v>25</v>
      </c>
      <c r="K3361" s="1" t="s">
        <v>923</v>
      </c>
      <c r="L3361" s="1" t="s">
        <v>920</v>
      </c>
      <c r="M3361" s="1" t="s">
        <v>933</v>
      </c>
      <c r="N3361" s="1" t="s">
        <v>954</v>
      </c>
      <c r="O3361" s="1" t="s">
        <v>974</v>
      </c>
      <c r="P3361" s="1" t="s">
        <v>1054</v>
      </c>
      <c r="Q3361" s="1" t="s">
        <v>950</v>
      </c>
      <c r="R3361" s="1" t="s">
        <v>921</v>
      </c>
      <c r="S3361" s="1" t="s">
        <v>10808</v>
      </c>
      <c r="T3361" s="1"/>
      <c r="U3361" s="1"/>
      <c r="V3361" s="1"/>
      <c r="W3361" s="1"/>
      <c r="X3361" s="1"/>
      <c r="Y3361" s="1"/>
    </row>
    <row r="3362" spans="1:25" x14ac:dyDescent="0.25">
      <c r="A3362" s="7" t="s">
        <v>8851</v>
      </c>
      <c r="I3362" s="1" t="s">
        <v>934</v>
      </c>
      <c r="J3362" s="1" t="s">
        <v>25</v>
      </c>
      <c r="K3362" s="1" t="s">
        <v>923</v>
      </c>
      <c r="L3362" s="1" t="s">
        <v>920</v>
      </c>
      <c r="M3362" s="1" t="s">
        <v>933</v>
      </c>
      <c r="N3362" s="1" t="s">
        <v>954</v>
      </c>
      <c r="O3362" s="1" t="s">
        <v>974</v>
      </c>
      <c r="P3362" s="1" t="s">
        <v>1054</v>
      </c>
      <c r="Q3362" s="1" t="s">
        <v>950</v>
      </c>
      <c r="R3362" s="1" t="s">
        <v>921</v>
      </c>
      <c r="S3362" s="1"/>
      <c r="T3362" s="1"/>
      <c r="U3362" s="1"/>
      <c r="V3362" s="1"/>
      <c r="W3362" s="1"/>
      <c r="X3362" s="1"/>
      <c r="Y3362" s="1"/>
    </row>
    <row r="3363" spans="1:25" x14ac:dyDescent="0.25">
      <c r="A3363" s="7" t="s">
        <v>8851</v>
      </c>
      <c r="I3363" s="1" t="s">
        <v>918</v>
      </c>
      <c r="J3363" s="1" t="s">
        <v>927</v>
      </c>
      <c r="K3363" s="1" t="s">
        <v>1056</v>
      </c>
      <c r="L3363" s="1" t="s">
        <v>981</v>
      </c>
      <c r="M3363" s="1" t="s">
        <v>919</v>
      </c>
      <c r="N3363" s="1" t="s">
        <v>25</v>
      </c>
      <c r="O3363" s="1" t="s">
        <v>923</v>
      </c>
      <c r="P3363" s="1" t="s">
        <v>920</v>
      </c>
      <c r="Q3363" s="1" t="s">
        <v>933</v>
      </c>
      <c r="R3363" s="1" t="s">
        <v>954</v>
      </c>
      <c r="S3363" s="1" t="s">
        <v>974</v>
      </c>
      <c r="T3363" s="1" t="s">
        <v>921</v>
      </c>
      <c r="U3363" s="1"/>
      <c r="V3363" s="1"/>
      <c r="W3363" s="1"/>
      <c r="X3363" s="1"/>
      <c r="Y3363" s="1"/>
    </row>
    <row r="3364" spans="1:25" x14ac:dyDescent="0.25">
      <c r="A3364" s="8" t="s">
        <v>8851</v>
      </c>
      <c r="I3364" s="1" t="s">
        <v>25</v>
      </c>
      <c r="J3364" s="1" t="s">
        <v>1086</v>
      </c>
      <c r="K3364" s="1" t="s">
        <v>919</v>
      </c>
      <c r="L3364" s="1" t="s">
        <v>920</v>
      </c>
      <c r="M3364" s="1" t="s">
        <v>921</v>
      </c>
      <c r="N3364" s="1" t="s">
        <v>924</v>
      </c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25">
      <c r="A3365" s="8" t="s">
        <v>9227</v>
      </c>
      <c r="I3365" s="1" t="s">
        <v>25</v>
      </c>
      <c r="J3365" s="1" t="s">
        <v>927</v>
      </c>
      <c r="K3365" s="1" t="s">
        <v>998</v>
      </c>
      <c r="L3365" s="1" t="s">
        <v>1086</v>
      </c>
      <c r="M3365" s="1" t="s">
        <v>920</v>
      </c>
      <c r="N3365" s="1" t="s">
        <v>933</v>
      </c>
      <c r="O3365" s="1" t="s">
        <v>921</v>
      </c>
      <c r="P3365" s="1"/>
      <c r="Q3365" s="1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25">
      <c r="A3366" s="8" t="s">
        <v>9765</v>
      </c>
      <c r="I3366" s="1" t="s">
        <v>25</v>
      </c>
      <c r="J3366" s="1" t="s">
        <v>927</v>
      </c>
      <c r="K3366" s="1" t="s">
        <v>998</v>
      </c>
      <c r="L3366" s="1" t="s">
        <v>1086</v>
      </c>
      <c r="M3366" s="1" t="s">
        <v>920</v>
      </c>
      <c r="N3366" s="1" t="s">
        <v>933</v>
      </c>
      <c r="O3366" s="1" t="s">
        <v>921</v>
      </c>
      <c r="P3366" s="1" t="s">
        <v>1053</v>
      </c>
      <c r="Q3366" s="1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25">
      <c r="A3367" s="8" t="s">
        <v>10681</v>
      </c>
      <c r="I3367" s="1" t="s">
        <v>25</v>
      </c>
      <c r="J3367" s="1" t="s">
        <v>927</v>
      </c>
      <c r="K3367" s="1" t="s">
        <v>998</v>
      </c>
      <c r="L3367" s="1" t="s">
        <v>1086</v>
      </c>
      <c r="M3367" s="1" t="s">
        <v>920</v>
      </c>
      <c r="N3367" s="1" t="s">
        <v>933</v>
      </c>
      <c r="O3367" s="1" t="s">
        <v>921</v>
      </c>
      <c r="P3367" s="1"/>
      <c r="Q3367" s="1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25">
      <c r="A3368" s="7" t="s">
        <v>8180</v>
      </c>
      <c r="I3368" s="1" t="s">
        <v>25</v>
      </c>
      <c r="J3368" s="1" t="s">
        <v>927</v>
      </c>
      <c r="K3368" s="1" t="s">
        <v>998</v>
      </c>
      <c r="L3368" s="1" t="s">
        <v>1086</v>
      </c>
      <c r="M3368" s="1" t="s">
        <v>920</v>
      </c>
      <c r="N3368" s="1" t="s">
        <v>933</v>
      </c>
      <c r="O3368" s="1" t="s">
        <v>921</v>
      </c>
      <c r="P3368" s="1"/>
      <c r="Q3368" s="1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25">
      <c r="A3369" s="7" t="s">
        <v>8180</v>
      </c>
      <c r="I3369" s="1" t="s">
        <v>10698</v>
      </c>
      <c r="J3369" s="1" t="s">
        <v>983</v>
      </c>
      <c r="K3369" s="1" t="s">
        <v>919</v>
      </c>
      <c r="L3369" s="1" t="s">
        <v>1020</v>
      </c>
      <c r="M3369" s="1" t="s">
        <v>929</v>
      </c>
      <c r="N3369" s="1" t="s">
        <v>918</v>
      </c>
      <c r="O3369" s="1" t="s">
        <v>25</v>
      </c>
      <c r="P3369" s="1" t="s">
        <v>927</v>
      </c>
      <c r="Q3369" s="1" t="s">
        <v>920</v>
      </c>
      <c r="R3369" s="1" t="s">
        <v>936</v>
      </c>
      <c r="S3369" s="1" t="s">
        <v>1108</v>
      </c>
      <c r="T3369" s="1" t="s">
        <v>960</v>
      </c>
      <c r="U3369" s="1" t="s">
        <v>961</v>
      </c>
      <c r="V3369" s="1" t="s">
        <v>921</v>
      </c>
      <c r="W3369" s="1"/>
      <c r="X3369" s="1"/>
      <c r="Y3369" s="1"/>
    </row>
    <row r="3370" spans="1:25" x14ac:dyDescent="0.25">
      <c r="A3370" s="7" t="s">
        <v>8180</v>
      </c>
      <c r="I3370" s="1" t="s">
        <v>10698</v>
      </c>
      <c r="J3370" s="1" t="s">
        <v>983</v>
      </c>
      <c r="K3370" s="1" t="s">
        <v>919</v>
      </c>
      <c r="L3370" s="1" t="s">
        <v>1020</v>
      </c>
      <c r="M3370" s="1" t="s">
        <v>929</v>
      </c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25">
      <c r="A3371" s="7" t="s">
        <v>8180</v>
      </c>
      <c r="I3371" s="1" t="s">
        <v>10698</v>
      </c>
      <c r="J3371" s="1" t="s">
        <v>983</v>
      </c>
      <c r="K3371" s="1" t="s">
        <v>919</v>
      </c>
      <c r="L3371" s="1" t="s">
        <v>1020</v>
      </c>
      <c r="M3371" s="1" t="s">
        <v>929</v>
      </c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25">
      <c r="A3372" s="7" t="s">
        <v>8180</v>
      </c>
      <c r="I3372" s="1" t="s">
        <v>933</v>
      </c>
      <c r="J3372" s="1" t="s">
        <v>981</v>
      </c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25">
      <c r="A3373" s="7" t="s">
        <v>8180</v>
      </c>
      <c r="I3373" s="1" t="s">
        <v>925</v>
      </c>
      <c r="J3373" s="1" t="s">
        <v>927</v>
      </c>
      <c r="K3373" s="1" t="s">
        <v>919</v>
      </c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25">
      <c r="A3374" s="7" t="s">
        <v>8180</v>
      </c>
      <c r="I3374" s="1" t="s">
        <v>918</v>
      </c>
      <c r="J3374" s="1" t="s">
        <v>932</v>
      </c>
      <c r="K3374" s="1" t="s">
        <v>25</v>
      </c>
      <c r="L3374" s="1" t="s">
        <v>923</v>
      </c>
      <c r="M3374" s="1" t="s">
        <v>916</v>
      </c>
      <c r="N3374" s="1" t="s">
        <v>920</v>
      </c>
      <c r="O3374" s="1" t="s">
        <v>933</v>
      </c>
      <c r="P3374" s="1" t="s">
        <v>921</v>
      </c>
      <c r="Q3374" s="1" t="s">
        <v>1001</v>
      </c>
      <c r="R3374" s="1" t="s">
        <v>927</v>
      </c>
      <c r="S3374" s="1" t="s">
        <v>919</v>
      </c>
      <c r="T3374" s="1" t="s">
        <v>936</v>
      </c>
      <c r="U3374" s="1" t="s">
        <v>961</v>
      </c>
      <c r="V3374" s="1"/>
      <c r="W3374" s="1"/>
      <c r="X3374" s="1"/>
      <c r="Y3374" s="1"/>
    </row>
    <row r="3375" spans="1:25" x14ac:dyDescent="0.25">
      <c r="A3375" s="8" t="s">
        <v>8180</v>
      </c>
      <c r="I3375" s="1" t="s">
        <v>1001</v>
      </c>
      <c r="J3375" s="1" t="s">
        <v>927</v>
      </c>
      <c r="K3375" s="1" t="s">
        <v>919</v>
      </c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25">
      <c r="A3376" s="7" t="s">
        <v>10535</v>
      </c>
      <c r="I3376" s="1" t="s">
        <v>1001</v>
      </c>
      <c r="J3376" s="1" t="s">
        <v>927</v>
      </c>
      <c r="K3376" s="1" t="s">
        <v>919</v>
      </c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25">
      <c r="A3377" s="7" t="s">
        <v>9647</v>
      </c>
      <c r="I3377" s="1" t="s">
        <v>1001</v>
      </c>
      <c r="J3377" s="1" t="s">
        <v>927</v>
      </c>
      <c r="K3377" s="1" t="s">
        <v>919</v>
      </c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25">
      <c r="A3378" s="8" t="s">
        <v>10416</v>
      </c>
      <c r="I3378" s="1" t="s">
        <v>1001</v>
      </c>
      <c r="J3378" s="1" t="s">
        <v>927</v>
      </c>
      <c r="K3378" s="1" t="s">
        <v>919</v>
      </c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25">
      <c r="A3379" s="7" t="s">
        <v>9522</v>
      </c>
      <c r="I3379" s="1" t="s">
        <v>1001</v>
      </c>
      <c r="J3379" s="1" t="s">
        <v>927</v>
      </c>
      <c r="K3379" s="1" t="s">
        <v>919</v>
      </c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25">
      <c r="A3380" s="7" t="s">
        <v>2330</v>
      </c>
      <c r="I3380" s="1" t="s">
        <v>1001</v>
      </c>
      <c r="J3380" s="1" t="s">
        <v>927</v>
      </c>
      <c r="K3380" s="1" t="s">
        <v>919</v>
      </c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25">
      <c r="A3381" s="7" t="s">
        <v>2330</v>
      </c>
      <c r="I3381" s="1" t="s">
        <v>927</v>
      </c>
      <c r="J3381" s="1" t="s">
        <v>919</v>
      </c>
      <c r="K3381" s="1" t="s">
        <v>1001</v>
      </c>
      <c r="L3381" s="1" t="s">
        <v>981</v>
      </c>
      <c r="M3381" s="1" t="s">
        <v>921</v>
      </c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25">
      <c r="A3382" s="7" t="s">
        <v>2330</v>
      </c>
      <c r="I3382" s="1" t="s">
        <v>1001</v>
      </c>
      <c r="J3382" s="1" t="s">
        <v>927</v>
      </c>
      <c r="K3382" s="1" t="s">
        <v>981</v>
      </c>
      <c r="L3382" s="1" t="s">
        <v>919</v>
      </c>
      <c r="M3382" s="1" t="s">
        <v>921</v>
      </c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25">
      <c r="A3383" s="8" t="s">
        <v>9444</v>
      </c>
      <c r="I3383" s="1" t="s">
        <v>1001</v>
      </c>
      <c r="J3383" s="1" t="s">
        <v>927</v>
      </c>
      <c r="K3383" s="1" t="s">
        <v>981</v>
      </c>
      <c r="L3383" s="1" t="s">
        <v>919</v>
      </c>
      <c r="M3383" s="1" t="s">
        <v>921</v>
      </c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25">
      <c r="A3384" s="8" t="s">
        <v>9444</v>
      </c>
      <c r="I3384" s="1" t="s">
        <v>1001</v>
      </c>
      <c r="J3384" s="1" t="s">
        <v>927</v>
      </c>
      <c r="K3384" s="1" t="s">
        <v>981</v>
      </c>
      <c r="L3384" s="1" t="s">
        <v>919</v>
      </c>
      <c r="M3384" s="1" t="s">
        <v>921</v>
      </c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25">
      <c r="A3385" s="8" t="s">
        <v>10115</v>
      </c>
      <c r="I3385" s="1" t="s">
        <v>1001</v>
      </c>
      <c r="J3385" s="1" t="s">
        <v>927</v>
      </c>
      <c r="K3385" s="1" t="s">
        <v>981</v>
      </c>
      <c r="L3385" s="1" t="s">
        <v>919</v>
      </c>
      <c r="M3385" s="1" t="s">
        <v>921</v>
      </c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25">
      <c r="A3386" s="8" t="s">
        <v>10137</v>
      </c>
      <c r="I3386" s="1" t="s">
        <v>1001</v>
      </c>
      <c r="J3386" s="1" t="s">
        <v>927</v>
      </c>
      <c r="K3386" s="1" t="s">
        <v>981</v>
      </c>
      <c r="L3386" s="1" t="s">
        <v>919</v>
      </c>
      <c r="M3386" s="1" t="s">
        <v>921</v>
      </c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25">
      <c r="A3387" s="8" t="s">
        <v>10137</v>
      </c>
      <c r="I3387" s="1" t="s">
        <v>1001</v>
      </c>
      <c r="J3387" s="1" t="s">
        <v>927</v>
      </c>
      <c r="K3387" s="1" t="s">
        <v>981</v>
      </c>
      <c r="L3387" s="1" t="s">
        <v>919</v>
      </c>
      <c r="M3387" s="1" t="s">
        <v>921</v>
      </c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25">
      <c r="A3388" s="8" t="s">
        <v>10137</v>
      </c>
      <c r="I3388" s="1" t="s">
        <v>1001</v>
      </c>
      <c r="J3388" s="1" t="s">
        <v>927</v>
      </c>
      <c r="K3388" s="1" t="s">
        <v>981</v>
      </c>
      <c r="L3388" s="1" t="s">
        <v>919</v>
      </c>
      <c r="M3388" s="1" t="s">
        <v>921</v>
      </c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25">
      <c r="A3389" s="7" t="s">
        <v>4853</v>
      </c>
      <c r="I3389" s="1" t="s">
        <v>1001</v>
      </c>
      <c r="J3389" s="1" t="s">
        <v>927</v>
      </c>
      <c r="K3389" s="1" t="s">
        <v>981</v>
      </c>
      <c r="L3389" s="1" t="s">
        <v>919</v>
      </c>
      <c r="M3389" s="1" t="s">
        <v>921</v>
      </c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25">
      <c r="A3390" s="8" t="s">
        <v>9034</v>
      </c>
      <c r="I3390" s="1" t="s">
        <v>1001</v>
      </c>
      <c r="J3390" s="1" t="s">
        <v>927</v>
      </c>
      <c r="K3390" s="1" t="s">
        <v>981</v>
      </c>
      <c r="L3390" s="1" t="s">
        <v>919</v>
      </c>
      <c r="M3390" s="1" t="s">
        <v>921</v>
      </c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25">
      <c r="A3391" s="8" t="s">
        <v>9576</v>
      </c>
      <c r="I3391" s="1" t="s">
        <v>927</v>
      </c>
      <c r="J3391" s="1" t="s">
        <v>10726</v>
      </c>
      <c r="K3391" s="1" t="s">
        <v>919</v>
      </c>
      <c r="L3391" s="1" t="s">
        <v>924</v>
      </c>
      <c r="M3391" s="1" t="s">
        <v>1001</v>
      </c>
      <c r="N3391" s="1" t="s">
        <v>981</v>
      </c>
      <c r="O3391" s="1" t="s">
        <v>921</v>
      </c>
      <c r="P3391" s="1"/>
      <c r="Q3391" s="1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25">
      <c r="A3392" s="7" t="s">
        <v>8961</v>
      </c>
      <c r="I3392" s="1" t="s">
        <v>918</v>
      </c>
      <c r="J3392" s="1" t="s">
        <v>25</v>
      </c>
      <c r="K3392" s="1" t="s">
        <v>923</v>
      </c>
      <c r="L3392" s="1" t="s">
        <v>1000</v>
      </c>
      <c r="M3392" s="1" t="s">
        <v>919</v>
      </c>
      <c r="N3392" s="1" t="s">
        <v>920</v>
      </c>
      <c r="O3392" s="1" t="s">
        <v>933</v>
      </c>
      <c r="P3392" s="1" t="s">
        <v>921</v>
      </c>
      <c r="Q3392" s="1" t="s">
        <v>11047</v>
      </c>
      <c r="R3392" s="1"/>
      <c r="S3392" s="1"/>
      <c r="T3392" s="1"/>
      <c r="U3392" s="1"/>
      <c r="V3392" s="1"/>
      <c r="W3392" s="1"/>
      <c r="X3392" s="1"/>
      <c r="Y3392" s="1"/>
    </row>
    <row r="3393" spans="1:25" x14ac:dyDescent="0.25">
      <c r="A3393" s="8" t="s">
        <v>8961</v>
      </c>
      <c r="I3393" s="1" t="s">
        <v>918</v>
      </c>
      <c r="J3393" s="1" t="s">
        <v>25</v>
      </c>
      <c r="K3393" s="1" t="s">
        <v>919</v>
      </c>
      <c r="L3393" s="1" t="s">
        <v>924</v>
      </c>
      <c r="M3393" s="1" t="s">
        <v>923</v>
      </c>
      <c r="N3393" s="1" t="s">
        <v>1000</v>
      </c>
      <c r="O3393" s="1" t="s">
        <v>920</v>
      </c>
      <c r="P3393" s="1" t="s">
        <v>933</v>
      </c>
      <c r="Q3393" s="1" t="s">
        <v>921</v>
      </c>
      <c r="R3393" s="1"/>
      <c r="S3393" s="1"/>
      <c r="T3393" s="1"/>
      <c r="U3393" s="1"/>
      <c r="V3393" s="1"/>
      <c r="W3393" s="1"/>
      <c r="X3393" s="1"/>
      <c r="Y3393" s="1"/>
    </row>
    <row r="3394" spans="1:25" x14ac:dyDescent="0.25">
      <c r="A3394" s="8" t="s">
        <v>8961</v>
      </c>
      <c r="I3394" s="1" t="s">
        <v>256</v>
      </c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25">
      <c r="A3395" s="8" t="s">
        <v>9788</v>
      </c>
      <c r="I3395" s="1" t="s">
        <v>256</v>
      </c>
      <c r="J3395" s="1" t="s">
        <v>1001</v>
      </c>
      <c r="K3395" s="1" t="s">
        <v>981</v>
      </c>
      <c r="L3395" s="1" t="s">
        <v>152</v>
      </c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25">
      <c r="A3396" s="8" t="s">
        <v>10407</v>
      </c>
      <c r="I3396" s="1" t="s">
        <v>256</v>
      </c>
      <c r="J3396" s="1" t="s">
        <v>2927</v>
      </c>
      <c r="K3396" s="1" t="s">
        <v>933</v>
      </c>
      <c r="L3396" s="1" t="s">
        <v>1053</v>
      </c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25">
      <c r="A3397" s="7" t="s">
        <v>5106</v>
      </c>
      <c r="I3397" s="1" t="s">
        <v>256</v>
      </c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25">
      <c r="A3398" s="7" t="s">
        <v>5106</v>
      </c>
      <c r="I3398" s="1" t="s">
        <v>256</v>
      </c>
      <c r="J3398" s="1" t="s">
        <v>2927</v>
      </c>
      <c r="K3398" s="1" t="s">
        <v>933</v>
      </c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25">
      <c r="A3399" s="7" t="s">
        <v>5106</v>
      </c>
      <c r="I3399" s="1" t="s">
        <v>256</v>
      </c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25">
      <c r="A3400" s="7" t="s">
        <v>5106</v>
      </c>
      <c r="I3400" s="1" t="s">
        <v>256</v>
      </c>
      <c r="J3400" s="1" t="s">
        <v>2927</v>
      </c>
      <c r="K3400" s="1" t="s">
        <v>933</v>
      </c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25">
      <c r="A3401" s="7" t="s">
        <v>5106</v>
      </c>
      <c r="I3401" s="1" t="s">
        <v>256</v>
      </c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25">
      <c r="A3402" s="7" t="s">
        <v>5106</v>
      </c>
      <c r="I3402" s="1" t="s">
        <v>256</v>
      </c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25">
      <c r="A3403" s="7" t="s">
        <v>5106</v>
      </c>
      <c r="I3403" s="1" t="s">
        <v>256</v>
      </c>
      <c r="J3403" s="1" t="s">
        <v>1013</v>
      </c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25">
      <c r="A3404" s="7" t="s">
        <v>5106</v>
      </c>
      <c r="I3404" s="1" t="s">
        <v>256</v>
      </c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25">
      <c r="A3405" s="7" t="s">
        <v>5106</v>
      </c>
      <c r="I3405" s="1" t="s">
        <v>256</v>
      </c>
      <c r="J3405" s="1" t="s">
        <v>2927</v>
      </c>
      <c r="K3405" s="1" t="s">
        <v>933</v>
      </c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25">
      <c r="A3406" s="7" t="s">
        <v>5106</v>
      </c>
      <c r="I3406" s="1" t="s">
        <v>926</v>
      </c>
      <c r="J3406" s="1" t="s">
        <v>10731</v>
      </c>
      <c r="K3406" s="1" t="s">
        <v>927</v>
      </c>
      <c r="L3406" s="1" t="s">
        <v>10975</v>
      </c>
      <c r="M3406" s="1" t="s">
        <v>981</v>
      </c>
      <c r="N3406" s="1" t="s">
        <v>928</v>
      </c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25">
      <c r="A3407" s="8" t="s">
        <v>5106</v>
      </c>
      <c r="I3407" s="1" t="s">
        <v>926</v>
      </c>
      <c r="J3407" s="1" t="s">
        <v>10731</v>
      </c>
      <c r="K3407" s="1" t="s">
        <v>927</v>
      </c>
      <c r="L3407" s="1" t="s">
        <v>10975</v>
      </c>
      <c r="M3407" s="1" t="s">
        <v>981</v>
      </c>
      <c r="N3407" s="1" t="s">
        <v>928</v>
      </c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25">
      <c r="A3408" s="8" t="s">
        <v>5106</v>
      </c>
      <c r="I3408" s="1" t="s">
        <v>926</v>
      </c>
      <c r="J3408" s="1" t="s">
        <v>10731</v>
      </c>
      <c r="K3408" s="1" t="s">
        <v>927</v>
      </c>
      <c r="L3408" s="1" t="s">
        <v>10975</v>
      </c>
      <c r="M3408" s="1" t="s">
        <v>981</v>
      </c>
      <c r="N3408" s="1" t="s">
        <v>928</v>
      </c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25">
      <c r="A3409" s="8" t="s">
        <v>5106</v>
      </c>
      <c r="I3409" s="1" t="s">
        <v>926</v>
      </c>
      <c r="J3409" s="1" t="s">
        <v>10731</v>
      </c>
      <c r="K3409" s="1" t="s">
        <v>927</v>
      </c>
      <c r="L3409" s="1" t="s">
        <v>10975</v>
      </c>
      <c r="M3409" s="1" t="s">
        <v>981</v>
      </c>
      <c r="N3409" s="1" t="s">
        <v>928</v>
      </c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25">
      <c r="A3410" s="8" t="s">
        <v>9066</v>
      </c>
      <c r="I3410" s="1" t="s">
        <v>926</v>
      </c>
      <c r="J3410" s="1" t="s">
        <v>10731</v>
      </c>
      <c r="K3410" s="1" t="s">
        <v>927</v>
      </c>
      <c r="L3410" s="1" t="s">
        <v>10975</v>
      </c>
      <c r="M3410" s="1" t="s">
        <v>981</v>
      </c>
      <c r="N3410" s="1" t="s">
        <v>928</v>
      </c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25">
      <c r="A3411" s="7" t="s">
        <v>334</v>
      </c>
      <c r="I3411" s="1" t="s">
        <v>918</v>
      </c>
      <c r="J3411" s="1" t="s">
        <v>919</v>
      </c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25">
      <c r="A3412" s="7" t="s">
        <v>334</v>
      </c>
      <c r="I3412" s="1" t="s">
        <v>948</v>
      </c>
      <c r="J3412" s="1" t="s">
        <v>918</v>
      </c>
      <c r="K3412" s="1" t="s">
        <v>25</v>
      </c>
      <c r="L3412" s="1" t="s">
        <v>919</v>
      </c>
      <c r="M3412" s="1" t="s">
        <v>920</v>
      </c>
      <c r="N3412" s="1" t="s">
        <v>954</v>
      </c>
      <c r="O3412" s="1" t="s">
        <v>927</v>
      </c>
      <c r="P3412" s="1" t="s">
        <v>10774</v>
      </c>
      <c r="Q3412" s="1" t="s">
        <v>928</v>
      </c>
      <c r="R3412" s="1" t="s">
        <v>1059</v>
      </c>
      <c r="S3412" s="1" t="s">
        <v>10821</v>
      </c>
      <c r="T3412" s="1"/>
      <c r="U3412" s="1"/>
      <c r="V3412" s="1"/>
      <c r="W3412" s="1"/>
      <c r="X3412" s="1"/>
      <c r="Y3412" s="1"/>
    </row>
    <row r="3413" spans="1:25" x14ac:dyDescent="0.25">
      <c r="A3413" s="8" t="s">
        <v>9581</v>
      </c>
      <c r="I3413" s="1" t="s">
        <v>1019</v>
      </c>
      <c r="J3413" s="1" t="s">
        <v>983</v>
      </c>
      <c r="K3413" s="1" t="s">
        <v>919</v>
      </c>
      <c r="L3413" s="1" t="s">
        <v>924</v>
      </c>
      <c r="M3413" s="1" t="s">
        <v>1020</v>
      </c>
      <c r="N3413" s="1" t="s">
        <v>984</v>
      </c>
      <c r="O3413" s="1" t="s">
        <v>1021</v>
      </c>
      <c r="P3413" s="1" t="s">
        <v>10758</v>
      </c>
      <c r="Q3413" s="1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25">
      <c r="A3414" s="8" t="s">
        <v>9581</v>
      </c>
      <c r="I3414" s="1" t="s">
        <v>1149</v>
      </c>
      <c r="J3414" s="1" t="s">
        <v>25</v>
      </c>
      <c r="K3414" s="1" t="s">
        <v>923</v>
      </c>
      <c r="L3414" s="1" t="s">
        <v>998</v>
      </c>
      <c r="M3414" s="1" t="s">
        <v>1086</v>
      </c>
      <c r="N3414" s="1" t="s">
        <v>920</v>
      </c>
      <c r="O3414" s="1" t="s">
        <v>933</v>
      </c>
      <c r="P3414" s="1" t="s">
        <v>10719</v>
      </c>
      <c r="Q3414" s="1" t="s">
        <v>919</v>
      </c>
      <c r="R3414" s="1" t="s">
        <v>921</v>
      </c>
      <c r="S3414" s="1" t="s">
        <v>927</v>
      </c>
      <c r="T3414" s="1"/>
      <c r="U3414" s="1"/>
      <c r="V3414" s="1"/>
      <c r="W3414" s="1"/>
      <c r="X3414" s="1"/>
      <c r="Y3414" s="1"/>
    </row>
    <row r="3415" spans="1:25" x14ac:dyDescent="0.25">
      <c r="A3415" s="8" t="s">
        <v>9581</v>
      </c>
      <c r="I3415" s="1" t="s">
        <v>918</v>
      </c>
      <c r="J3415" s="1" t="s">
        <v>25</v>
      </c>
      <c r="K3415" s="1" t="s">
        <v>919</v>
      </c>
      <c r="L3415" s="1" t="s">
        <v>920</v>
      </c>
      <c r="M3415" s="1" t="s">
        <v>921</v>
      </c>
      <c r="N3415" s="1" t="s">
        <v>1086</v>
      </c>
      <c r="O3415" s="1" t="s">
        <v>1001</v>
      </c>
      <c r="P3415" s="1" t="s">
        <v>927</v>
      </c>
      <c r="Q3415" s="1" t="s">
        <v>936</v>
      </c>
      <c r="R3415" s="1"/>
      <c r="S3415" s="1"/>
      <c r="T3415" s="1"/>
      <c r="U3415" s="1"/>
      <c r="V3415" s="1"/>
      <c r="W3415" s="1"/>
      <c r="X3415" s="1"/>
      <c r="Y3415" s="1"/>
    </row>
    <row r="3416" spans="1:25" x14ac:dyDescent="0.25">
      <c r="A3416" s="8" t="s">
        <v>9581</v>
      </c>
      <c r="I3416" s="1" t="s">
        <v>948</v>
      </c>
      <c r="J3416" s="1" t="s">
        <v>298</v>
      </c>
      <c r="K3416" s="1" t="s">
        <v>1149</v>
      </c>
      <c r="L3416" s="1" t="s">
        <v>25</v>
      </c>
      <c r="M3416" s="1" t="s">
        <v>923</v>
      </c>
      <c r="N3416" s="1" t="s">
        <v>997</v>
      </c>
      <c r="O3416" s="1" t="s">
        <v>954</v>
      </c>
      <c r="P3416" s="1" t="s">
        <v>994</v>
      </c>
      <c r="Q3416" s="1" t="s">
        <v>1086</v>
      </c>
      <c r="R3416" s="1" t="s">
        <v>919</v>
      </c>
      <c r="S3416" s="1" t="s">
        <v>920</v>
      </c>
      <c r="T3416" s="1" t="s">
        <v>921</v>
      </c>
      <c r="U3416" s="1"/>
      <c r="V3416" s="1"/>
      <c r="W3416" s="1"/>
      <c r="X3416" s="1"/>
      <c r="Y3416" s="1"/>
    </row>
    <row r="3417" spans="1:25" x14ac:dyDescent="0.25">
      <c r="A3417" s="7" t="s">
        <v>2840</v>
      </c>
      <c r="I3417" s="1" t="s">
        <v>25</v>
      </c>
      <c r="J3417" s="1" t="s">
        <v>1086</v>
      </c>
      <c r="K3417" s="1" t="s">
        <v>919</v>
      </c>
      <c r="L3417" s="1" t="s">
        <v>920</v>
      </c>
      <c r="M3417" s="1" t="s">
        <v>921</v>
      </c>
      <c r="N3417" s="1" t="s">
        <v>1066</v>
      </c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25">
      <c r="A3418" s="7" t="s">
        <v>8855</v>
      </c>
      <c r="I3418" s="1" t="s">
        <v>25</v>
      </c>
      <c r="J3418" s="1" t="s">
        <v>1086</v>
      </c>
      <c r="K3418" s="1" t="s">
        <v>919</v>
      </c>
      <c r="L3418" s="1" t="s">
        <v>920</v>
      </c>
      <c r="M3418" s="1" t="s">
        <v>921</v>
      </c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25">
      <c r="A3419" s="8" t="s">
        <v>8855</v>
      </c>
      <c r="I3419" s="1" t="s">
        <v>948</v>
      </c>
      <c r="J3419" s="1" t="s">
        <v>918</v>
      </c>
      <c r="K3419" s="1" t="s">
        <v>25</v>
      </c>
      <c r="L3419" s="1" t="s">
        <v>919</v>
      </c>
      <c r="M3419" s="1" t="s">
        <v>920</v>
      </c>
      <c r="N3419" s="1" t="s">
        <v>954</v>
      </c>
      <c r="O3419" s="1" t="s">
        <v>1114</v>
      </c>
      <c r="P3419" s="1" t="s">
        <v>1086</v>
      </c>
      <c r="Q3419" s="1" t="s">
        <v>921</v>
      </c>
      <c r="R3419" s="1"/>
      <c r="S3419" s="1"/>
      <c r="T3419" s="1"/>
      <c r="U3419" s="1"/>
      <c r="V3419" s="1"/>
      <c r="W3419" s="1"/>
      <c r="X3419" s="1"/>
      <c r="Y3419" s="1"/>
    </row>
    <row r="3420" spans="1:25" x14ac:dyDescent="0.25">
      <c r="A3420" s="8" t="s">
        <v>8885</v>
      </c>
      <c r="I3420" s="1" t="s">
        <v>25</v>
      </c>
      <c r="J3420" s="1" t="s">
        <v>1086</v>
      </c>
      <c r="K3420" s="1" t="s">
        <v>919</v>
      </c>
      <c r="L3420" s="1" t="s">
        <v>920</v>
      </c>
      <c r="M3420" s="1" t="s">
        <v>921</v>
      </c>
      <c r="N3420" s="1" t="s">
        <v>948</v>
      </c>
      <c r="O3420" s="1" t="s">
        <v>1149</v>
      </c>
      <c r="P3420" s="1" t="s">
        <v>923</v>
      </c>
      <c r="Q3420" s="1" t="s">
        <v>997</v>
      </c>
      <c r="R3420" s="1" t="s">
        <v>10873</v>
      </c>
      <c r="S3420" s="1" t="s">
        <v>927</v>
      </c>
      <c r="T3420" s="1" t="s">
        <v>981</v>
      </c>
      <c r="U3420" s="1" t="s">
        <v>933</v>
      </c>
      <c r="V3420" s="1"/>
      <c r="W3420" s="1"/>
      <c r="X3420" s="1"/>
      <c r="Y3420" s="1"/>
    </row>
    <row r="3421" spans="1:25" x14ac:dyDescent="0.25">
      <c r="A3421" s="7" t="s">
        <v>4034</v>
      </c>
      <c r="I3421" s="1" t="s">
        <v>25</v>
      </c>
      <c r="J3421" s="1" t="s">
        <v>1086</v>
      </c>
      <c r="K3421" s="1" t="s">
        <v>919</v>
      </c>
      <c r="L3421" s="1" t="s">
        <v>920</v>
      </c>
      <c r="M3421" s="1" t="s">
        <v>921</v>
      </c>
      <c r="N3421" s="1" t="s">
        <v>927</v>
      </c>
      <c r="O3421" s="1" t="s">
        <v>998</v>
      </c>
      <c r="P3421" s="1" t="s">
        <v>933</v>
      </c>
      <c r="Q3421" s="1" t="s">
        <v>10876</v>
      </c>
      <c r="R3421" s="1" t="s">
        <v>923</v>
      </c>
      <c r="S3421" s="1" t="s">
        <v>926</v>
      </c>
      <c r="T3421" s="1" t="s">
        <v>10731</v>
      </c>
      <c r="U3421" s="1" t="s">
        <v>10975</v>
      </c>
      <c r="V3421" s="1" t="s">
        <v>981</v>
      </c>
      <c r="W3421" s="1" t="s">
        <v>928</v>
      </c>
      <c r="X3421" s="1"/>
      <c r="Y3421" s="1"/>
    </row>
    <row r="3422" spans="1:25" x14ac:dyDescent="0.25">
      <c r="A3422" s="8" t="s">
        <v>9396</v>
      </c>
      <c r="I3422" s="1" t="s">
        <v>948</v>
      </c>
      <c r="J3422" s="1" t="s">
        <v>298</v>
      </c>
      <c r="K3422" s="1" t="s">
        <v>25</v>
      </c>
      <c r="L3422" s="1" t="s">
        <v>923</v>
      </c>
      <c r="M3422" s="1" t="s">
        <v>1086</v>
      </c>
      <c r="N3422" s="1" t="s">
        <v>919</v>
      </c>
      <c r="O3422" s="1" t="s">
        <v>920</v>
      </c>
      <c r="P3422" s="1" t="s">
        <v>921</v>
      </c>
      <c r="Q3422" s="1" t="s">
        <v>992</v>
      </c>
      <c r="R3422" s="1"/>
      <c r="S3422" s="1"/>
      <c r="T3422" s="1"/>
      <c r="U3422" s="1"/>
      <c r="V3422" s="1"/>
      <c r="W3422" s="1"/>
      <c r="X3422" s="1"/>
      <c r="Y3422" s="1"/>
    </row>
    <row r="3423" spans="1:25" x14ac:dyDescent="0.25">
      <c r="A3423" s="8" t="s">
        <v>9396</v>
      </c>
      <c r="I3423" s="1" t="s">
        <v>25</v>
      </c>
      <c r="J3423" s="1" t="s">
        <v>1086</v>
      </c>
      <c r="K3423" s="1" t="s">
        <v>919</v>
      </c>
      <c r="L3423" s="1" t="s">
        <v>920</v>
      </c>
      <c r="M3423" s="1" t="s">
        <v>921</v>
      </c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25">
      <c r="A3424" s="7" t="s">
        <v>8984</v>
      </c>
      <c r="I3424" s="1" t="s">
        <v>918</v>
      </c>
      <c r="J3424" s="1" t="s">
        <v>927</v>
      </c>
      <c r="K3424" s="1" t="s">
        <v>1056</v>
      </c>
      <c r="L3424" s="1" t="s">
        <v>981</v>
      </c>
      <c r="M3424" s="1" t="s">
        <v>919</v>
      </c>
      <c r="N3424" s="1" t="s">
        <v>25</v>
      </c>
      <c r="O3424" s="1" t="s">
        <v>1086</v>
      </c>
      <c r="P3424" s="1" t="s">
        <v>920</v>
      </c>
      <c r="Q3424" s="1" t="s">
        <v>921</v>
      </c>
      <c r="R3424" s="1"/>
      <c r="S3424" s="1"/>
      <c r="T3424" s="1"/>
      <c r="U3424" s="1"/>
      <c r="V3424" s="1"/>
      <c r="W3424" s="1"/>
      <c r="X3424" s="1"/>
      <c r="Y3424" s="1"/>
    </row>
    <row r="3425" spans="1:25" x14ac:dyDescent="0.25">
      <c r="A3425" s="7" t="s">
        <v>8984</v>
      </c>
      <c r="I3425" s="1" t="s">
        <v>25</v>
      </c>
      <c r="J3425" s="1" t="s">
        <v>1086</v>
      </c>
      <c r="K3425" s="1" t="s">
        <v>919</v>
      </c>
      <c r="L3425" s="1" t="s">
        <v>920</v>
      </c>
      <c r="M3425" s="1" t="s">
        <v>921</v>
      </c>
      <c r="N3425" s="1" t="s">
        <v>1001</v>
      </c>
      <c r="O3425" s="1" t="s">
        <v>992</v>
      </c>
      <c r="P3425" s="1" t="s">
        <v>981</v>
      </c>
      <c r="Q3425" s="1" t="s">
        <v>1066</v>
      </c>
      <c r="R3425" s="1"/>
      <c r="S3425" s="1"/>
      <c r="T3425" s="1"/>
      <c r="U3425" s="1"/>
      <c r="V3425" s="1"/>
      <c r="W3425" s="1"/>
      <c r="X3425" s="1"/>
      <c r="Y3425" s="1"/>
    </row>
    <row r="3426" spans="1:25" x14ac:dyDescent="0.25">
      <c r="A3426" s="7" t="s">
        <v>9448</v>
      </c>
      <c r="I3426" s="1" t="s">
        <v>25</v>
      </c>
      <c r="J3426" s="1" t="s">
        <v>1086</v>
      </c>
      <c r="K3426" s="1" t="s">
        <v>919</v>
      </c>
      <c r="L3426" s="1" t="s">
        <v>920</v>
      </c>
      <c r="M3426" s="1" t="s">
        <v>921</v>
      </c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25">
      <c r="A3427" s="8" t="s">
        <v>10037</v>
      </c>
      <c r="I3427" s="1" t="s">
        <v>25</v>
      </c>
      <c r="J3427" s="1" t="s">
        <v>1086</v>
      </c>
      <c r="K3427" s="1" t="s">
        <v>919</v>
      </c>
      <c r="L3427" s="1" t="s">
        <v>920</v>
      </c>
      <c r="M3427" s="1" t="s">
        <v>921</v>
      </c>
      <c r="N3427" s="1" t="s">
        <v>1001</v>
      </c>
      <c r="O3427" s="1" t="s">
        <v>992</v>
      </c>
      <c r="P3427" s="1" t="s">
        <v>981</v>
      </c>
      <c r="Q3427" s="1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25">
      <c r="A3428" s="7" t="s">
        <v>6074</v>
      </c>
      <c r="I3428" s="1" t="s">
        <v>25</v>
      </c>
      <c r="J3428" s="1" t="s">
        <v>1086</v>
      </c>
      <c r="K3428" s="1" t="s">
        <v>919</v>
      </c>
      <c r="L3428" s="1" t="s">
        <v>920</v>
      </c>
      <c r="M3428" s="1" t="s">
        <v>921</v>
      </c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25">
      <c r="A3429" s="7" t="s">
        <v>6074</v>
      </c>
      <c r="I3429" s="1" t="s">
        <v>25</v>
      </c>
      <c r="J3429" s="1" t="s">
        <v>1086</v>
      </c>
      <c r="K3429" s="1" t="s">
        <v>919</v>
      </c>
      <c r="L3429" s="1" t="s">
        <v>920</v>
      </c>
      <c r="M3429" s="1" t="s">
        <v>921</v>
      </c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25">
      <c r="A3430" s="7" t="s">
        <v>6074</v>
      </c>
      <c r="I3430" s="1" t="s">
        <v>25</v>
      </c>
      <c r="J3430" s="1" t="s">
        <v>1086</v>
      </c>
      <c r="K3430" s="1" t="s">
        <v>919</v>
      </c>
      <c r="L3430" s="1" t="s">
        <v>920</v>
      </c>
      <c r="M3430" s="1" t="s">
        <v>921</v>
      </c>
      <c r="N3430" s="1" t="s">
        <v>2927</v>
      </c>
      <c r="O3430" s="1" t="s">
        <v>998</v>
      </c>
      <c r="P3430" s="1" t="s">
        <v>933</v>
      </c>
      <c r="Q3430" s="1" t="s">
        <v>994</v>
      </c>
      <c r="R3430" s="1" t="s">
        <v>11050</v>
      </c>
      <c r="S3430" s="1"/>
      <c r="T3430" s="1"/>
      <c r="U3430" s="1"/>
      <c r="V3430" s="1"/>
      <c r="W3430" s="1"/>
      <c r="X3430" s="1"/>
      <c r="Y3430" s="1"/>
    </row>
    <row r="3431" spans="1:25" x14ac:dyDescent="0.25">
      <c r="A3431" s="7" t="s">
        <v>6074</v>
      </c>
      <c r="I3431" s="1" t="s">
        <v>25</v>
      </c>
      <c r="J3431" s="1" t="s">
        <v>1086</v>
      </c>
      <c r="K3431" s="1" t="s">
        <v>919</v>
      </c>
      <c r="L3431" s="1" t="s">
        <v>920</v>
      </c>
      <c r="M3431" s="1" t="s">
        <v>921</v>
      </c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25">
      <c r="A3432" s="7" t="s">
        <v>6074</v>
      </c>
      <c r="I3432" s="1" t="s">
        <v>25</v>
      </c>
      <c r="J3432" s="1" t="s">
        <v>1086</v>
      </c>
      <c r="K3432" s="1" t="s">
        <v>919</v>
      </c>
      <c r="L3432" s="1" t="s">
        <v>920</v>
      </c>
      <c r="M3432" s="1" t="s">
        <v>921</v>
      </c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25">
      <c r="A3433" s="8" t="s">
        <v>6074</v>
      </c>
      <c r="I3433" s="1" t="s">
        <v>25</v>
      </c>
      <c r="J3433" s="1" t="s">
        <v>1086</v>
      </c>
      <c r="K3433" s="1" t="s">
        <v>919</v>
      </c>
      <c r="L3433" s="1" t="s">
        <v>920</v>
      </c>
      <c r="M3433" s="1" t="s">
        <v>921</v>
      </c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25">
      <c r="A3434" s="7" t="s">
        <v>3597</v>
      </c>
      <c r="I3434" s="1" t="s">
        <v>25</v>
      </c>
      <c r="J3434" s="1" t="s">
        <v>1086</v>
      </c>
      <c r="K3434" s="1" t="s">
        <v>919</v>
      </c>
      <c r="L3434" s="1" t="s">
        <v>920</v>
      </c>
      <c r="M3434" s="1" t="s">
        <v>921</v>
      </c>
      <c r="N3434" s="1" t="s">
        <v>927</v>
      </c>
      <c r="O3434" s="1" t="s">
        <v>10726</v>
      </c>
      <c r="P3434" s="1" t="s">
        <v>924</v>
      </c>
      <c r="Q3434" s="1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25">
      <c r="A3435" s="7" t="s">
        <v>10571</v>
      </c>
      <c r="I3435" s="1" t="s">
        <v>25</v>
      </c>
      <c r="J3435" s="1" t="s">
        <v>1086</v>
      </c>
      <c r="K3435" s="1" t="s">
        <v>919</v>
      </c>
      <c r="L3435" s="1" t="s">
        <v>920</v>
      </c>
      <c r="M3435" s="1" t="s">
        <v>921</v>
      </c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25">
      <c r="A3436" s="8" t="s">
        <v>9118</v>
      </c>
      <c r="I3436" s="1" t="s">
        <v>25</v>
      </c>
      <c r="J3436" s="1" t="s">
        <v>1086</v>
      </c>
      <c r="K3436" s="1" t="s">
        <v>919</v>
      </c>
      <c r="L3436" s="1" t="s">
        <v>920</v>
      </c>
      <c r="M3436" s="1" t="s">
        <v>921</v>
      </c>
      <c r="N3436" s="1" t="s">
        <v>11050</v>
      </c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25">
      <c r="A3437" s="7" t="s">
        <v>10062</v>
      </c>
      <c r="I3437" s="1" t="s">
        <v>25</v>
      </c>
      <c r="J3437" s="1" t="s">
        <v>1086</v>
      </c>
      <c r="K3437" s="1" t="s">
        <v>919</v>
      </c>
      <c r="L3437" s="1" t="s">
        <v>920</v>
      </c>
      <c r="M3437" s="1" t="s">
        <v>921</v>
      </c>
      <c r="N3437" s="1" t="s">
        <v>960</v>
      </c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25">
      <c r="A3438" s="8" t="s">
        <v>9739</v>
      </c>
      <c r="I3438" s="1" t="s">
        <v>25</v>
      </c>
      <c r="J3438" s="1" t="s">
        <v>1086</v>
      </c>
      <c r="K3438" s="1" t="s">
        <v>919</v>
      </c>
      <c r="L3438" s="1" t="s">
        <v>920</v>
      </c>
      <c r="M3438" s="1" t="s">
        <v>921</v>
      </c>
      <c r="N3438" s="1" t="s">
        <v>918</v>
      </c>
      <c r="O3438" s="1" t="s">
        <v>927</v>
      </c>
      <c r="P3438" s="1" t="s">
        <v>936</v>
      </c>
      <c r="Q3438" s="1" t="s">
        <v>1037</v>
      </c>
      <c r="R3438" s="1"/>
      <c r="S3438" s="1"/>
      <c r="T3438" s="1"/>
      <c r="U3438" s="1"/>
      <c r="V3438" s="1"/>
      <c r="W3438" s="1"/>
      <c r="X3438" s="1"/>
      <c r="Y3438" s="1"/>
    </row>
    <row r="3439" spans="1:25" x14ac:dyDescent="0.25">
      <c r="A3439" s="8" t="s">
        <v>8866</v>
      </c>
      <c r="I3439" s="1" t="s">
        <v>25</v>
      </c>
      <c r="J3439" s="1" t="s">
        <v>1086</v>
      </c>
      <c r="K3439" s="1" t="s">
        <v>919</v>
      </c>
      <c r="L3439" s="1" t="s">
        <v>920</v>
      </c>
      <c r="M3439" s="1" t="s">
        <v>921</v>
      </c>
      <c r="N3439" s="1" t="s">
        <v>918</v>
      </c>
      <c r="O3439" s="1" t="s">
        <v>1001</v>
      </c>
      <c r="P3439" s="1" t="s">
        <v>927</v>
      </c>
      <c r="Q3439" s="1" t="s">
        <v>936</v>
      </c>
      <c r="R3439" s="1"/>
      <c r="S3439" s="1"/>
      <c r="T3439" s="1"/>
      <c r="U3439" s="1"/>
      <c r="V3439" s="1"/>
      <c r="W3439" s="1"/>
      <c r="X3439" s="1"/>
      <c r="Y3439" s="1"/>
    </row>
    <row r="3440" spans="1:25" x14ac:dyDescent="0.25">
      <c r="A3440" s="8" t="s">
        <v>8866</v>
      </c>
      <c r="I3440" s="1" t="s">
        <v>25</v>
      </c>
      <c r="J3440" s="1" t="s">
        <v>1086</v>
      </c>
      <c r="K3440" s="1" t="s">
        <v>919</v>
      </c>
      <c r="L3440" s="1" t="s">
        <v>920</v>
      </c>
      <c r="M3440" s="1" t="s">
        <v>921</v>
      </c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25">
      <c r="A3441" s="7" t="s">
        <v>6709</v>
      </c>
      <c r="I3441" s="1" t="s">
        <v>25</v>
      </c>
      <c r="J3441" s="1" t="s">
        <v>1086</v>
      </c>
      <c r="K3441" s="1" t="s">
        <v>919</v>
      </c>
      <c r="L3441" s="1" t="s">
        <v>920</v>
      </c>
      <c r="M3441" s="1" t="s">
        <v>921</v>
      </c>
      <c r="N3441" s="1" t="s">
        <v>992</v>
      </c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25">
      <c r="A3442" s="8" t="s">
        <v>10580</v>
      </c>
      <c r="I3442" s="1" t="s">
        <v>25</v>
      </c>
      <c r="J3442" s="1" t="s">
        <v>1086</v>
      </c>
      <c r="K3442" s="1" t="s">
        <v>919</v>
      </c>
      <c r="L3442" s="1" t="s">
        <v>920</v>
      </c>
      <c r="M3442" s="1" t="s">
        <v>921</v>
      </c>
      <c r="N3442" s="1" t="s">
        <v>926</v>
      </c>
      <c r="O3442" s="1" t="s">
        <v>10731</v>
      </c>
      <c r="P3442" s="1" t="s">
        <v>927</v>
      </c>
      <c r="Q3442" s="1" t="s">
        <v>10975</v>
      </c>
      <c r="R3442" s="1" t="s">
        <v>981</v>
      </c>
      <c r="S3442" s="1" t="s">
        <v>928</v>
      </c>
      <c r="T3442" s="1"/>
      <c r="U3442" s="1"/>
      <c r="V3442" s="1"/>
      <c r="W3442" s="1"/>
      <c r="X3442" s="1"/>
      <c r="Y3442" s="1"/>
    </row>
    <row r="3443" spans="1:25" x14ac:dyDescent="0.25">
      <c r="A3443" s="8" t="s">
        <v>10591</v>
      </c>
      <c r="I3443" s="1" t="s">
        <v>25</v>
      </c>
      <c r="J3443" s="1" t="s">
        <v>1086</v>
      </c>
      <c r="K3443" s="1" t="s">
        <v>919</v>
      </c>
      <c r="L3443" s="1" t="s">
        <v>920</v>
      </c>
      <c r="M3443" s="1" t="s">
        <v>921</v>
      </c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25">
      <c r="A3444" s="7" t="s">
        <v>8319</v>
      </c>
      <c r="I3444" s="1" t="s">
        <v>25</v>
      </c>
      <c r="J3444" s="1" t="s">
        <v>1086</v>
      </c>
      <c r="K3444" s="1" t="s">
        <v>919</v>
      </c>
      <c r="L3444" s="1" t="s">
        <v>920</v>
      </c>
      <c r="M3444" s="1" t="s">
        <v>921</v>
      </c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25">
      <c r="A3445" s="7" t="s">
        <v>8319</v>
      </c>
      <c r="I3445" s="1" t="s">
        <v>25</v>
      </c>
      <c r="J3445" s="1" t="s">
        <v>1086</v>
      </c>
      <c r="K3445" s="1" t="s">
        <v>919</v>
      </c>
      <c r="L3445" s="1" t="s">
        <v>920</v>
      </c>
      <c r="M3445" s="1" t="s">
        <v>921</v>
      </c>
      <c r="N3445" s="1" t="s">
        <v>927</v>
      </c>
      <c r="O3445" s="1" t="s">
        <v>998</v>
      </c>
      <c r="P3445" s="1" t="s">
        <v>933</v>
      </c>
      <c r="Q3445" s="1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25">
      <c r="A3446" s="8" t="s">
        <v>9073</v>
      </c>
      <c r="I3446" s="1" t="s">
        <v>25</v>
      </c>
      <c r="J3446" s="1" t="s">
        <v>1086</v>
      </c>
      <c r="K3446" s="1" t="s">
        <v>919</v>
      </c>
      <c r="L3446" s="1" t="s">
        <v>920</v>
      </c>
      <c r="M3446" s="1" t="s">
        <v>921</v>
      </c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25">
      <c r="A3447" s="8" t="s">
        <v>9073</v>
      </c>
      <c r="I3447" s="1" t="s">
        <v>25</v>
      </c>
      <c r="J3447" s="1" t="s">
        <v>1086</v>
      </c>
      <c r="K3447" s="1" t="s">
        <v>919</v>
      </c>
      <c r="L3447" s="1" t="s">
        <v>920</v>
      </c>
      <c r="M3447" s="1" t="s">
        <v>921</v>
      </c>
      <c r="N3447" s="1" t="s">
        <v>1066</v>
      </c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25">
      <c r="A3448" s="8" t="s">
        <v>9073</v>
      </c>
      <c r="I3448" s="1" t="s">
        <v>25</v>
      </c>
      <c r="J3448" s="1" t="s">
        <v>1086</v>
      </c>
      <c r="K3448" s="1" t="s">
        <v>919</v>
      </c>
      <c r="L3448" s="1" t="s">
        <v>920</v>
      </c>
      <c r="M3448" s="1" t="s">
        <v>921</v>
      </c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25">
      <c r="A3449" s="7" t="s">
        <v>6274</v>
      </c>
      <c r="I3449" s="1" t="s">
        <v>1001</v>
      </c>
      <c r="J3449" s="1" t="s">
        <v>918</v>
      </c>
      <c r="K3449" s="1" t="s">
        <v>927</v>
      </c>
      <c r="L3449" s="1" t="s">
        <v>981</v>
      </c>
      <c r="M3449" s="1" t="s">
        <v>983</v>
      </c>
      <c r="N3449" s="1" t="s">
        <v>919</v>
      </c>
      <c r="O3449" s="1" t="s">
        <v>936</v>
      </c>
      <c r="P3449" s="1" t="s">
        <v>972</v>
      </c>
      <c r="Q3449" s="1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25">
      <c r="A3450" s="7" t="s">
        <v>6274</v>
      </c>
      <c r="I3450" s="1" t="s">
        <v>1001</v>
      </c>
      <c r="J3450" s="1" t="s">
        <v>918</v>
      </c>
      <c r="K3450" s="1" t="s">
        <v>25</v>
      </c>
      <c r="L3450" s="1" t="s">
        <v>923</v>
      </c>
      <c r="M3450" s="1" t="s">
        <v>927</v>
      </c>
      <c r="N3450" s="1" t="s">
        <v>919</v>
      </c>
      <c r="O3450" s="1" t="s">
        <v>920</v>
      </c>
      <c r="P3450" s="1" t="s">
        <v>921</v>
      </c>
      <c r="Q3450" s="1" t="s">
        <v>981</v>
      </c>
      <c r="R3450" s="1" t="s">
        <v>983</v>
      </c>
      <c r="S3450" s="1" t="s">
        <v>936</v>
      </c>
      <c r="T3450" s="1" t="s">
        <v>972</v>
      </c>
      <c r="U3450" s="1"/>
      <c r="V3450" s="1"/>
      <c r="W3450" s="1"/>
      <c r="X3450" s="1"/>
      <c r="Y3450" s="1"/>
    </row>
    <row r="3451" spans="1:25" x14ac:dyDescent="0.25">
      <c r="A3451" s="7" t="s">
        <v>6274</v>
      </c>
      <c r="I3451" s="1" t="s">
        <v>1001</v>
      </c>
      <c r="J3451" s="1" t="s">
        <v>927</v>
      </c>
      <c r="K3451" s="1" t="s">
        <v>919</v>
      </c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25">
      <c r="A3452" s="7" t="s">
        <v>6274</v>
      </c>
      <c r="I3452" s="1" t="s">
        <v>1001</v>
      </c>
      <c r="J3452" s="1" t="s">
        <v>927</v>
      </c>
      <c r="K3452" s="1" t="s">
        <v>919</v>
      </c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25">
      <c r="A3453" s="7" t="s">
        <v>6482</v>
      </c>
      <c r="I3453" s="1" t="s">
        <v>925</v>
      </c>
      <c r="J3453" s="1" t="s">
        <v>927</v>
      </c>
      <c r="K3453" s="1" t="s">
        <v>919</v>
      </c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25">
      <c r="A3454" s="8" t="s">
        <v>6482</v>
      </c>
      <c r="I3454" s="1" t="s">
        <v>925</v>
      </c>
      <c r="J3454" s="1" t="s">
        <v>927</v>
      </c>
      <c r="K3454" s="1" t="s">
        <v>919</v>
      </c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25">
      <c r="A3455" s="8" t="s">
        <v>6482</v>
      </c>
      <c r="I3455" s="1" t="s">
        <v>925</v>
      </c>
      <c r="J3455" s="1" t="s">
        <v>927</v>
      </c>
      <c r="K3455" s="1" t="s">
        <v>919</v>
      </c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25">
      <c r="A3456" s="7" t="s">
        <v>366</v>
      </c>
      <c r="I3456" s="1" t="s">
        <v>925</v>
      </c>
      <c r="J3456" s="1" t="s">
        <v>927</v>
      </c>
      <c r="K3456" s="1" t="s">
        <v>919</v>
      </c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25">
      <c r="A3457" s="7" t="s">
        <v>366</v>
      </c>
      <c r="I3457" s="1" t="s">
        <v>925</v>
      </c>
      <c r="J3457" s="1" t="s">
        <v>927</v>
      </c>
      <c r="K3457" s="1" t="s">
        <v>919</v>
      </c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25">
      <c r="A3458" s="8" t="s">
        <v>366</v>
      </c>
      <c r="I3458" s="1" t="s">
        <v>925</v>
      </c>
      <c r="J3458" s="1" t="s">
        <v>927</v>
      </c>
      <c r="K3458" s="1" t="s">
        <v>919</v>
      </c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25">
      <c r="A3459" s="8" t="s">
        <v>366</v>
      </c>
      <c r="I3459" s="1" t="s">
        <v>925</v>
      </c>
      <c r="J3459" s="1" t="s">
        <v>927</v>
      </c>
      <c r="K3459" s="1" t="s">
        <v>919</v>
      </c>
      <c r="L3459" s="1" t="s">
        <v>1114</v>
      </c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25">
      <c r="A3460" s="7" t="s">
        <v>7601</v>
      </c>
      <c r="I3460" s="1" t="s">
        <v>925</v>
      </c>
      <c r="J3460" s="1" t="s">
        <v>927</v>
      </c>
      <c r="K3460" s="1" t="s">
        <v>919</v>
      </c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25">
      <c r="A3461" s="7" t="s">
        <v>7601</v>
      </c>
      <c r="I3461" s="1" t="s">
        <v>925</v>
      </c>
      <c r="J3461" s="1" t="s">
        <v>927</v>
      </c>
      <c r="K3461" s="1" t="s">
        <v>919</v>
      </c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25">
      <c r="A3462" s="7" t="s">
        <v>7601</v>
      </c>
      <c r="I3462" s="1" t="s">
        <v>925</v>
      </c>
      <c r="J3462" s="1" t="s">
        <v>927</v>
      </c>
      <c r="K3462" s="1" t="s">
        <v>919</v>
      </c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25">
      <c r="A3463" s="7" t="s">
        <v>7795</v>
      </c>
      <c r="I3463" s="1" t="s">
        <v>925</v>
      </c>
      <c r="J3463" s="1" t="s">
        <v>927</v>
      </c>
      <c r="K3463" s="1" t="s">
        <v>919</v>
      </c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25">
      <c r="A3464" s="7" t="s">
        <v>7795</v>
      </c>
      <c r="I3464" s="1" t="s">
        <v>925</v>
      </c>
      <c r="J3464" s="1" t="s">
        <v>927</v>
      </c>
      <c r="K3464" s="1" t="s">
        <v>919</v>
      </c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25">
      <c r="A3465" s="7" t="s">
        <v>10166</v>
      </c>
      <c r="I3465" s="1" t="s">
        <v>925</v>
      </c>
      <c r="J3465" s="1" t="s">
        <v>927</v>
      </c>
      <c r="K3465" s="1" t="s">
        <v>919</v>
      </c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25">
      <c r="A3466" s="8" t="s">
        <v>10166</v>
      </c>
      <c r="I3466" s="1" t="s">
        <v>925</v>
      </c>
      <c r="J3466" s="1" t="s">
        <v>927</v>
      </c>
      <c r="K3466" s="1" t="s">
        <v>919</v>
      </c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25">
      <c r="A3467" s="8" t="s">
        <v>10166</v>
      </c>
      <c r="I3467" s="1" t="s">
        <v>925</v>
      </c>
      <c r="J3467" s="1" t="s">
        <v>927</v>
      </c>
      <c r="K3467" s="1" t="s">
        <v>919</v>
      </c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25">
      <c r="A3468" s="8" t="s">
        <v>10166</v>
      </c>
      <c r="I3468" s="1" t="s">
        <v>925</v>
      </c>
      <c r="J3468" s="1" t="s">
        <v>927</v>
      </c>
      <c r="K3468" s="1" t="s">
        <v>919</v>
      </c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25">
      <c r="A3469" s="7" t="s">
        <v>6603</v>
      </c>
      <c r="I3469" s="1" t="s">
        <v>925</v>
      </c>
      <c r="J3469" s="1" t="s">
        <v>927</v>
      </c>
      <c r="K3469" s="1" t="s">
        <v>919</v>
      </c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25">
      <c r="A3470" s="7" t="s">
        <v>6603</v>
      </c>
      <c r="I3470" s="1" t="s">
        <v>928</v>
      </c>
      <c r="J3470" s="1" t="s">
        <v>983</v>
      </c>
      <c r="K3470" s="1" t="s">
        <v>919</v>
      </c>
      <c r="L3470" s="1" t="s">
        <v>1020</v>
      </c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25">
      <c r="A3471" s="7" t="s">
        <v>6603</v>
      </c>
      <c r="I3471" s="1" t="s">
        <v>928</v>
      </c>
      <c r="J3471" s="1" t="s">
        <v>983</v>
      </c>
      <c r="K3471" s="1" t="s">
        <v>919</v>
      </c>
      <c r="L3471" s="1" t="s">
        <v>1020</v>
      </c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25">
      <c r="A3472" s="7" t="s">
        <v>259</v>
      </c>
      <c r="I3472" s="1" t="s">
        <v>928</v>
      </c>
      <c r="J3472" s="1" t="s">
        <v>983</v>
      </c>
      <c r="K3472" s="1" t="s">
        <v>919</v>
      </c>
      <c r="L3472" s="1" t="s">
        <v>1020</v>
      </c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25">
      <c r="A3473" s="8" t="s">
        <v>10692</v>
      </c>
      <c r="I3473" s="1" t="s">
        <v>928</v>
      </c>
      <c r="J3473" s="1" t="s">
        <v>983</v>
      </c>
      <c r="K3473" s="1" t="s">
        <v>919</v>
      </c>
      <c r="L3473" s="1" t="s">
        <v>1020</v>
      </c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25">
      <c r="A3474" s="7" t="s">
        <v>417</v>
      </c>
      <c r="I3474" s="1" t="s">
        <v>918</v>
      </c>
      <c r="J3474" s="1" t="s">
        <v>25</v>
      </c>
      <c r="K3474" s="1" t="s">
        <v>923</v>
      </c>
      <c r="L3474" s="1" t="s">
        <v>1000</v>
      </c>
      <c r="M3474" s="1" t="s">
        <v>919</v>
      </c>
      <c r="N3474" s="1" t="s">
        <v>920</v>
      </c>
      <c r="O3474" s="1" t="s">
        <v>933</v>
      </c>
      <c r="P3474" s="1" t="s">
        <v>921</v>
      </c>
      <c r="Q3474" s="1" t="s">
        <v>928</v>
      </c>
      <c r="R3474" s="1" t="s">
        <v>983</v>
      </c>
      <c r="S3474" s="1" t="s">
        <v>1020</v>
      </c>
      <c r="T3474" s="1"/>
      <c r="U3474" s="1"/>
      <c r="V3474" s="1"/>
      <c r="W3474" s="1"/>
      <c r="X3474" s="1"/>
      <c r="Y3474" s="1"/>
    </row>
    <row r="3475" spans="1:25" x14ac:dyDescent="0.25">
      <c r="A3475" s="7" t="s">
        <v>417</v>
      </c>
      <c r="I3475" s="1" t="s">
        <v>948</v>
      </c>
      <c r="J3475" s="1" t="s">
        <v>918</v>
      </c>
      <c r="K3475" s="1" t="s">
        <v>25</v>
      </c>
      <c r="L3475" s="1" t="s">
        <v>919</v>
      </c>
      <c r="M3475" s="1" t="s">
        <v>920</v>
      </c>
      <c r="N3475" s="1" t="s">
        <v>954</v>
      </c>
      <c r="O3475" s="1" t="s">
        <v>928</v>
      </c>
      <c r="P3475" s="1" t="s">
        <v>983</v>
      </c>
      <c r="Q3475" s="1" t="s">
        <v>1020</v>
      </c>
      <c r="R3475" s="1"/>
      <c r="S3475" s="1"/>
      <c r="T3475" s="1"/>
      <c r="U3475" s="1"/>
      <c r="V3475" s="1"/>
      <c r="W3475" s="1"/>
      <c r="X3475" s="1"/>
      <c r="Y3475" s="1"/>
    </row>
    <row r="3476" spans="1:25" x14ac:dyDescent="0.25">
      <c r="A3476" s="8" t="s">
        <v>417</v>
      </c>
      <c r="I3476" s="1" t="s">
        <v>1001</v>
      </c>
      <c r="J3476" s="1" t="s">
        <v>10697</v>
      </c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25">
      <c r="A3477" s="8" t="s">
        <v>9759</v>
      </c>
      <c r="I3477" s="1" t="s">
        <v>1001</v>
      </c>
      <c r="J3477" s="1" t="s">
        <v>10697</v>
      </c>
      <c r="K3477" s="1" t="s">
        <v>10722</v>
      </c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25">
      <c r="A3478" s="8" t="s">
        <v>9759</v>
      </c>
      <c r="I3478" s="1" t="s">
        <v>1001</v>
      </c>
      <c r="J3478" s="1" t="s">
        <v>10697</v>
      </c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25">
      <c r="A3479" s="8" t="s">
        <v>9177</v>
      </c>
      <c r="I3479" s="1" t="s">
        <v>1001</v>
      </c>
      <c r="J3479" s="1" t="s">
        <v>10697</v>
      </c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25">
      <c r="A3480" s="8" t="s">
        <v>9177</v>
      </c>
      <c r="I3480" s="1" t="s">
        <v>1001</v>
      </c>
      <c r="J3480" s="1" t="s">
        <v>10697</v>
      </c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25">
      <c r="A3481" s="7" t="s">
        <v>10322</v>
      </c>
      <c r="I3481" s="1" t="s">
        <v>2927</v>
      </c>
      <c r="J3481" s="1" t="s">
        <v>998</v>
      </c>
      <c r="K3481" s="1" t="s">
        <v>981</v>
      </c>
      <c r="L3481" s="1" t="s">
        <v>933</v>
      </c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25">
      <c r="A3482" s="7" t="s">
        <v>9994</v>
      </c>
      <c r="I3482" s="1" t="s">
        <v>996</v>
      </c>
      <c r="J3482" s="1" t="s">
        <v>3439</v>
      </c>
      <c r="K3482" s="1" t="s">
        <v>997</v>
      </c>
      <c r="L3482" s="1" t="s">
        <v>2541</v>
      </c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25">
      <c r="A3483" s="7" t="s">
        <v>2196</v>
      </c>
      <c r="I3483" s="1" t="s">
        <v>958</v>
      </c>
      <c r="J3483" s="1" t="s">
        <v>927</v>
      </c>
      <c r="K3483" s="1" t="s">
        <v>1056</v>
      </c>
      <c r="L3483" s="1" t="s">
        <v>919</v>
      </c>
      <c r="M3483" s="1" t="s">
        <v>930</v>
      </c>
      <c r="N3483" s="1" t="s">
        <v>298</v>
      </c>
      <c r="O3483" s="1" t="s">
        <v>25</v>
      </c>
      <c r="P3483" s="1" t="s">
        <v>923</v>
      </c>
      <c r="Q3483" s="1" t="s">
        <v>997</v>
      </c>
      <c r="R3483" s="1" t="s">
        <v>998</v>
      </c>
      <c r="S3483" s="1" t="s">
        <v>992</v>
      </c>
      <c r="T3483" s="1" t="s">
        <v>1086</v>
      </c>
      <c r="U3483" s="1" t="s">
        <v>920</v>
      </c>
      <c r="V3483" s="1" t="s">
        <v>933</v>
      </c>
      <c r="W3483" s="1" t="s">
        <v>994</v>
      </c>
      <c r="X3483" s="1" t="s">
        <v>1114</v>
      </c>
      <c r="Y3483" s="1"/>
    </row>
    <row r="3484" spans="1:25" x14ac:dyDescent="0.25">
      <c r="A3484" s="7" t="s">
        <v>2196</v>
      </c>
      <c r="I3484" s="1" t="s">
        <v>997</v>
      </c>
      <c r="J3484" s="1" t="s">
        <v>927</v>
      </c>
      <c r="K3484" s="1" t="s">
        <v>998</v>
      </c>
      <c r="L3484" s="1" t="s">
        <v>1086</v>
      </c>
      <c r="M3484" s="1" t="s">
        <v>933</v>
      </c>
      <c r="N3484" s="1" t="s">
        <v>994</v>
      </c>
      <c r="O3484" s="1" t="s">
        <v>920</v>
      </c>
      <c r="P3484" s="1"/>
      <c r="Q3484" s="1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25">
      <c r="A3485" s="7" t="s">
        <v>3449</v>
      </c>
      <c r="I3485" s="1" t="s">
        <v>25</v>
      </c>
      <c r="J3485" s="1" t="s">
        <v>923</v>
      </c>
      <c r="K3485" s="1" t="s">
        <v>997</v>
      </c>
      <c r="L3485" s="1" t="s">
        <v>927</v>
      </c>
      <c r="M3485" s="1" t="s">
        <v>998</v>
      </c>
      <c r="N3485" s="1" t="s">
        <v>1086</v>
      </c>
      <c r="O3485" s="1" t="s">
        <v>933</v>
      </c>
      <c r="P3485" s="1" t="s">
        <v>994</v>
      </c>
      <c r="Q3485" s="1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25">
      <c r="A3486" s="7" t="s">
        <v>3449</v>
      </c>
      <c r="I3486" s="1" t="s">
        <v>25</v>
      </c>
      <c r="J3486" s="1" t="s">
        <v>927</v>
      </c>
      <c r="K3486" s="1" t="s">
        <v>998</v>
      </c>
      <c r="L3486" s="1" t="s">
        <v>981</v>
      </c>
      <c r="M3486" s="1" t="s">
        <v>920</v>
      </c>
      <c r="N3486" s="1" t="s">
        <v>933</v>
      </c>
      <c r="O3486" s="1" t="s">
        <v>921</v>
      </c>
      <c r="P3486" s="1" t="s">
        <v>994</v>
      </c>
      <c r="Q3486" s="1" t="s">
        <v>1066</v>
      </c>
      <c r="R3486" s="1" t="s">
        <v>992</v>
      </c>
      <c r="S3486" s="1" t="s">
        <v>928</v>
      </c>
      <c r="T3486" s="1" t="s">
        <v>8195</v>
      </c>
      <c r="U3486" s="1" t="s">
        <v>993</v>
      </c>
      <c r="V3486" s="1"/>
      <c r="W3486" s="1"/>
      <c r="X3486" s="1"/>
      <c r="Y3486" s="1"/>
    </row>
    <row r="3487" spans="1:25" x14ac:dyDescent="0.25">
      <c r="A3487" s="7" t="s">
        <v>3449</v>
      </c>
      <c r="I3487" s="1" t="s">
        <v>25</v>
      </c>
      <c r="J3487" s="1" t="s">
        <v>920</v>
      </c>
      <c r="K3487" s="1" t="s">
        <v>933</v>
      </c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25">
      <c r="A3488" s="7" t="s">
        <v>3449</v>
      </c>
      <c r="I3488" s="1" t="s">
        <v>50</v>
      </c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25">
      <c r="A3489" s="7" t="s">
        <v>3449</v>
      </c>
      <c r="I3489" s="1" t="s">
        <v>927</v>
      </c>
      <c r="J3489" s="1" t="s">
        <v>992</v>
      </c>
      <c r="K3489" s="1" t="s">
        <v>1066</v>
      </c>
      <c r="L3489" s="1" t="s">
        <v>993</v>
      </c>
      <c r="M3489" s="1" t="s">
        <v>994</v>
      </c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25">
      <c r="A3490" s="7" t="s">
        <v>3449</v>
      </c>
      <c r="I3490" s="1" t="s">
        <v>919</v>
      </c>
      <c r="J3490" s="1" t="s">
        <v>1114</v>
      </c>
      <c r="K3490" s="1" t="s">
        <v>952</v>
      </c>
      <c r="L3490" s="1" t="s">
        <v>11051</v>
      </c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25">
      <c r="A3491" s="7" t="s">
        <v>3449</v>
      </c>
      <c r="I3491" s="1" t="s">
        <v>1053</v>
      </c>
      <c r="J3491" s="1" t="s">
        <v>328</v>
      </c>
      <c r="K3491" s="1" t="s">
        <v>2927</v>
      </c>
      <c r="L3491" s="1" t="s">
        <v>933</v>
      </c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25">
      <c r="A3492" s="7" t="s">
        <v>3449</v>
      </c>
      <c r="I3492" s="1" t="s">
        <v>1001</v>
      </c>
      <c r="J3492" s="1" t="s">
        <v>918</v>
      </c>
      <c r="K3492" s="1" t="s">
        <v>10731</v>
      </c>
      <c r="L3492" s="1" t="s">
        <v>919</v>
      </c>
      <c r="M3492" s="1" t="s">
        <v>936</v>
      </c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25">
      <c r="A3493" s="7" t="s">
        <v>3449</v>
      </c>
      <c r="I3493" s="1" t="s">
        <v>1001</v>
      </c>
      <c r="J3493" s="1" t="s">
        <v>918</v>
      </c>
      <c r="K3493" s="1" t="s">
        <v>10731</v>
      </c>
      <c r="L3493" s="1" t="s">
        <v>919</v>
      </c>
      <c r="M3493" s="1" t="s">
        <v>936</v>
      </c>
      <c r="N3493" s="1" t="s">
        <v>25</v>
      </c>
      <c r="O3493" s="1" t="s">
        <v>923</v>
      </c>
      <c r="P3493" s="1" t="s">
        <v>927</v>
      </c>
      <c r="Q3493" s="1" t="s">
        <v>920</v>
      </c>
      <c r="R3493" s="1" t="s">
        <v>921</v>
      </c>
      <c r="S3493" s="1" t="s">
        <v>933</v>
      </c>
      <c r="T3493" s="1"/>
      <c r="U3493" s="1"/>
      <c r="V3493" s="1"/>
      <c r="W3493" s="1"/>
      <c r="X3493" s="1"/>
      <c r="Y3493" s="1"/>
    </row>
    <row r="3494" spans="1:25" x14ac:dyDescent="0.25">
      <c r="A3494" s="7" t="s">
        <v>3449</v>
      </c>
      <c r="I3494" s="1" t="s">
        <v>1001</v>
      </c>
      <c r="J3494" s="1" t="s">
        <v>927</v>
      </c>
      <c r="K3494" s="1" t="s">
        <v>992</v>
      </c>
      <c r="L3494" s="1" t="s">
        <v>981</v>
      </c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25">
      <c r="A3495" s="7" t="s">
        <v>3449</v>
      </c>
      <c r="I3495" s="1" t="s">
        <v>918</v>
      </c>
      <c r="J3495" s="1" t="s">
        <v>927</v>
      </c>
      <c r="K3495" s="1" t="s">
        <v>1056</v>
      </c>
      <c r="L3495" s="1" t="s">
        <v>981</v>
      </c>
      <c r="M3495" s="1" t="s">
        <v>919</v>
      </c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25">
      <c r="A3496" s="7" t="s">
        <v>3449</v>
      </c>
      <c r="I3496" s="1" t="s">
        <v>918</v>
      </c>
      <c r="J3496" s="1" t="s">
        <v>927</v>
      </c>
      <c r="K3496" s="1" t="s">
        <v>1056</v>
      </c>
      <c r="L3496" s="1" t="s">
        <v>981</v>
      </c>
      <c r="M3496" s="1" t="s">
        <v>919</v>
      </c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25">
      <c r="A3497" s="7" t="s">
        <v>3449</v>
      </c>
      <c r="I3497" s="1" t="s">
        <v>918</v>
      </c>
      <c r="J3497" s="1" t="s">
        <v>927</v>
      </c>
      <c r="K3497" s="1" t="s">
        <v>1056</v>
      </c>
      <c r="L3497" s="1" t="s">
        <v>981</v>
      </c>
      <c r="M3497" s="1" t="s">
        <v>919</v>
      </c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25">
      <c r="A3498" s="7" t="s">
        <v>3449</v>
      </c>
      <c r="I3498" s="1" t="s">
        <v>918</v>
      </c>
      <c r="J3498" s="1" t="s">
        <v>927</v>
      </c>
      <c r="K3498" s="1" t="s">
        <v>1056</v>
      </c>
      <c r="L3498" s="1" t="s">
        <v>981</v>
      </c>
      <c r="M3498" s="1" t="s">
        <v>919</v>
      </c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25">
      <c r="A3499" s="7" t="s">
        <v>3449</v>
      </c>
      <c r="I3499" s="1" t="s">
        <v>918</v>
      </c>
      <c r="J3499" s="1" t="s">
        <v>927</v>
      </c>
      <c r="K3499" s="1" t="s">
        <v>1056</v>
      </c>
      <c r="L3499" s="1" t="s">
        <v>981</v>
      </c>
      <c r="M3499" s="1" t="s">
        <v>919</v>
      </c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25">
      <c r="A3500" s="7" t="s">
        <v>3449</v>
      </c>
      <c r="I3500" s="1" t="s">
        <v>983</v>
      </c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25">
      <c r="A3501" s="7" t="s">
        <v>3449</v>
      </c>
      <c r="I3501" s="1" t="s">
        <v>983</v>
      </c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25">
      <c r="A3502" s="7" t="s">
        <v>3449</v>
      </c>
      <c r="I3502" s="1" t="s">
        <v>918</v>
      </c>
      <c r="J3502" s="1" t="s">
        <v>25</v>
      </c>
      <c r="K3502" s="1" t="s">
        <v>923</v>
      </c>
      <c r="L3502" s="1" t="s">
        <v>920</v>
      </c>
      <c r="M3502" s="1" t="s">
        <v>924</v>
      </c>
      <c r="N3502" s="1" t="s">
        <v>921</v>
      </c>
      <c r="O3502" s="1" t="s">
        <v>941</v>
      </c>
      <c r="P3502" s="1" t="s">
        <v>955</v>
      </c>
      <c r="Q3502" s="1" t="s">
        <v>1034</v>
      </c>
      <c r="R3502" s="1" t="s">
        <v>1014</v>
      </c>
      <c r="S3502" s="1" t="s">
        <v>956</v>
      </c>
      <c r="T3502" s="1" t="s">
        <v>983</v>
      </c>
      <c r="U3502" s="1"/>
      <c r="V3502" s="1"/>
      <c r="W3502" s="1"/>
      <c r="X3502" s="1"/>
      <c r="Y3502" s="1"/>
    </row>
    <row r="3503" spans="1:25" x14ac:dyDescent="0.25">
      <c r="A3503" s="7" t="s">
        <v>3449</v>
      </c>
      <c r="I3503" s="1" t="s">
        <v>983</v>
      </c>
      <c r="J3503" s="1" t="s">
        <v>1023</v>
      </c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25">
      <c r="A3504" s="7" t="s">
        <v>3449</v>
      </c>
      <c r="I3504" s="1" t="s">
        <v>983</v>
      </c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25">
      <c r="A3505" s="7" t="s">
        <v>3449</v>
      </c>
      <c r="I3505" s="1" t="s">
        <v>983</v>
      </c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25">
      <c r="A3506" s="8" t="s">
        <v>3449</v>
      </c>
      <c r="I3506" s="1" t="s">
        <v>983</v>
      </c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25">
      <c r="A3507" s="8" t="s">
        <v>3449</v>
      </c>
      <c r="I3507" s="1" t="s">
        <v>983</v>
      </c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25">
      <c r="A3508" s="7" t="s">
        <v>8652</v>
      </c>
      <c r="I3508" s="1" t="s">
        <v>983</v>
      </c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25">
      <c r="A3509" s="7" t="s">
        <v>8652</v>
      </c>
      <c r="I3509" s="1" t="s">
        <v>983</v>
      </c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25">
      <c r="A3510" s="7" t="s">
        <v>9242</v>
      </c>
      <c r="I3510" s="1" t="s">
        <v>983</v>
      </c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25">
      <c r="A3511" s="7" t="s">
        <v>9242</v>
      </c>
      <c r="I3511" s="1" t="s">
        <v>983</v>
      </c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25">
      <c r="A3512" s="7" t="s">
        <v>9242</v>
      </c>
      <c r="I3512" s="1" t="s">
        <v>10762</v>
      </c>
      <c r="J3512" s="1" t="s">
        <v>955</v>
      </c>
      <c r="K3512" s="1" t="s">
        <v>1014</v>
      </c>
      <c r="L3512" s="1" t="s">
        <v>1107</v>
      </c>
      <c r="M3512" s="1" t="s">
        <v>918</v>
      </c>
      <c r="N3512" s="1" t="s">
        <v>919</v>
      </c>
      <c r="O3512" s="1" t="s">
        <v>945</v>
      </c>
      <c r="P3512" s="1"/>
      <c r="Q3512" s="1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25">
      <c r="A3513" s="7" t="s">
        <v>9734</v>
      </c>
      <c r="I3513" s="1" t="s">
        <v>10762</v>
      </c>
      <c r="J3513" s="1" t="s">
        <v>955</v>
      </c>
      <c r="K3513" s="1" t="s">
        <v>1014</v>
      </c>
      <c r="L3513" s="1" t="s">
        <v>919</v>
      </c>
      <c r="M3513" s="1" t="s">
        <v>929</v>
      </c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25">
      <c r="A3514" s="8" t="s">
        <v>10639</v>
      </c>
      <c r="I3514" s="1" t="s">
        <v>10762</v>
      </c>
      <c r="J3514" s="1" t="s">
        <v>955</v>
      </c>
      <c r="K3514" s="1" t="s">
        <v>1014</v>
      </c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25">
      <c r="A3515" s="7" t="s">
        <v>9718</v>
      </c>
      <c r="I3515" s="1" t="s">
        <v>10762</v>
      </c>
      <c r="J3515" s="1" t="s">
        <v>955</v>
      </c>
      <c r="K3515" s="1" t="s">
        <v>1014</v>
      </c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25">
      <c r="A3516" s="7" t="s">
        <v>9494</v>
      </c>
      <c r="I3516" s="1" t="s">
        <v>10762</v>
      </c>
      <c r="J3516" s="1" t="s">
        <v>955</v>
      </c>
      <c r="K3516" s="1" t="s">
        <v>1014</v>
      </c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25">
      <c r="A3517" s="8" t="s">
        <v>9494</v>
      </c>
      <c r="I3517" s="1" t="s">
        <v>10762</v>
      </c>
      <c r="J3517" s="1" t="s">
        <v>955</v>
      </c>
      <c r="K3517" s="1" t="s">
        <v>1014</v>
      </c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25">
      <c r="A3518" s="8" t="s">
        <v>10193</v>
      </c>
      <c r="I3518" s="1" t="s">
        <v>10762</v>
      </c>
      <c r="J3518" s="1" t="s">
        <v>955</v>
      </c>
      <c r="K3518" s="1" t="s">
        <v>1014</v>
      </c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25">
      <c r="A3519" s="7" t="s">
        <v>8959</v>
      </c>
      <c r="I3519" s="1" t="s">
        <v>10762</v>
      </c>
      <c r="J3519" s="1" t="s">
        <v>955</v>
      </c>
      <c r="K3519" s="1" t="s">
        <v>1014</v>
      </c>
      <c r="L3519" s="1" t="s">
        <v>1107</v>
      </c>
      <c r="M3519" s="1" t="s">
        <v>918</v>
      </c>
      <c r="N3519" s="1" t="s">
        <v>919</v>
      </c>
      <c r="O3519" s="1" t="s">
        <v>945</v>
      </c>
      <c r="P3519" s="1"/>
      <c r="Q3519" s="1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25">
      <c r="A3520" s="7" t="s">
        <v>9625</v>
      </c>
      <c r="I3520" s="1" t="s">
        <v>10762</v>
      </c>
      <c r="J3520" s="1" t="s">
        <v>955</v>
      </c>
      <c r="K3520" s="1" t="s">
        <v>1014</v>
      </c>
      <c r="L3520" s="1" t="s">
        <v>11052</v>
      </c>
      <c r="M3520" s="1" t="s">
        <v>924</v>
      </c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25">
      <c r="A3521" s="7" t="s">
        <v>9625</v>
      </c>
      <c r="I3521" s="1" t="s">
        <v>10762</v>
      </c>
      <c r="J3521" s="1" t="s">
        <v>955</v>
      </c>
      <c r="K3521" s="1" t="s">
        <v>1014</v>
      </c>
      <c r="L3521" s="1" t="s">
        <v>10781</v>
      </c>
      <c r="M3521" s="1" t="s">
        <v>1085</v>
      </c>
      <c r="N3521" s="1" t="s">
        <v>924</v>
      </c>
      <c r="O3521" s="1" t="s">
        <v>10740</v>
      </c>
      <c r="P3521" s="1"/>
      <c r="Q3521" s="1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25">
      <c r="A3522" s="7" t="s">
        <v>9625</v>
      </c>
      <c r="I3522" s="1" t="s">
        <v>8695</v>
      </c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25">
      <c r="A3523" s="7" t="s">
        <v>9625</v>
      </c>
      <c r="I3523" s="1" t="s">
        <v>8695</v>
      </c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25">
      <c r="A3524" s="7" t="s">
        <v>9625</v>
      </c>
      <c r="I3524" s="1" t="s">
        <v>1001</v>
      </c>
      <c r="J3524" s="1" t="s">
        <v>10722</v>
      </c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25">
      <c r="A3525" s="7" t="s">
        <v>9625</v>
      </c>
      <c r="I3525" s="1" t="s">
        <v>1001</v>
      </c>
      <c r="J3525" s="1" t="s">
        <v>10722</v>
      </c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25">
      <c r="A3526" s="7" t="s">
        <v>9625</v>
      </c>
      <c r="I3526" s="1" t="s">
        <v>1001</v>
      </c>
      <c r="J3526" s="1" t="s">
        <v>10722</v>
      </c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25">
      <c r="A3527" s="7" t="s">
        <v>9625</v>
      </c>
      <c r="I3527" s="1" t="s">
        <v>1001</v>
      </c>
      <c r="J3527" s="1" t="s">
        <v>10722</v>
      </c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25">
      <c r="A3528" s="8" t="s">
        <v>9886</v>
      </c>
      <c r="I3528" s="1" t="s">
        <v>50</v>
      </c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25">
      <c r="A3529" s="8" t="s">
        <v>9886</v>
      </c>
      <c r="I3529" s="1" t="s">
        <v>298</v>
      </c>
      <c r="J3529" s="1" t="s">
        <v>25</v>
      </c>
      <c r="K3529" s="1" t="s">
        <v>927</v>
      </c>
      <c r="L3529" s="1" t="s">
        <v>998</v>
      </c>
      <c r="M3529" s="1" t="s">
        <v>1086</v>
      </c>
      <c r="N3529" s="1" t="s">
        <v>920</v>
      </c>
      <c r="O3529" s="1" t="s">
        <v>933</v>
      </c>
      <c r="P3529" s="1"/>
      <c r="Q3529" s="1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25">
      <c r="A3530" s="8" t="s">
        <v>9249</v>
      </c>
      <c r="I3530" s="1" t="s">
        <v>25</v>
      </c>
      <c r="J3530" s="1" t="s">
        <v>927</v>
      </c>
      <c r="K3530" s="1" t="s">
        <v>998</v>
      </c>
      <c r="L3530" s="1" t="s">
        <v>981</v>
      </c>
      <c r="M3530" s="1" t="s">
        <v>920</v>
      </c>
      <c r="N3530" s="1" t="s">
        <v>933</v>
      </c>
      <c r="O3530" s="1" t="s">
        <v>921</v>
      </c>
      <c r="P3530" s="1" t="s">
        <v>994</v>
      </c>
      <c r="Q3530" s="1" t="s">
        <v>992</v>
      </c>
      <c r="R3530" s="1" t="s">
        <v>928</v>
      </c>
      <c r="S3530" s="1" t="s">
        <v>8195</v>
      </c>
      <c r="T3530" s="1" t="s">
        <v>993</v>
      </c>
      <c r="U3530" s="1"/>
      <c r="V3530" s="1"/>
      <c r="W3530" s="1"/>
      <c r="X3530" s="1"/>
      <c r="Y3530" s="1"/>
    </row>
    <row r="3531" spans="1:25" x14ac:dyDescent="0.25">
      <c r="A3531" s="7" t="s">
        <v>2035</v>
      </c>
      <c r="I3531" s="1" t="s">
        <v>1001</v>
      </c>
      <c r="J3531" s="1" t="s">
        <v>992</v>
      </c>
      <c r="K3531" s="1" t="s">
        <v>981</v>
      </c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25">
      <c r="A3532" s="7" t="s">
        <v>2035</v>
      </c>
      <c r="I3532" s="1" t="s">
        <v>1001</v>
      </c>
      <c r="J3532" s="1" t="s">
        <v>992</v>
      </c>
      <c r="K3532" s="1" t="s">
        <v>981</v>
      </c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25">
      <c r="A3533" s="7" t="s">
        <v>2035</v>
      </c>
      <c r="I3533" s="1" t="s">
        <v>918</v>
      </c>
      <c r="J3533" s="1" t="s">
        <v>927</v>
      </c>
      <c r="K3533" s="1" t="s">
        <v>1056</v>
      </c>
      <c r="L3533" s="1" t="s">
        <v>981</v>
      </c>
      <c r="M3533" s="1" t="s">
        <v>919</v>
      </c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25">
      <c r="A3534" s="7" t="s">
        <v>2035</v>
      </c>
      <c r="I3534" s="1" t="s">
        <v>10726</v>
      </c>
      <c r="J3534" s="1" t="s">
        <v>10962</v>
      </c>
      <c r="K3534" s="1" t="s">
        <v>919</v>
      </c>
      <c r="L3534" s="1" t="s">
        <v>924</v>
      </c>
      <c r="M3534" s="1" t="s">
        <v>1014</v>
      </c>
      <c r="N3534" s="1" t="s">
        <v>918</v>
      </c>
      <c r="O3534" s="1" t="s">
        <v>927</v>
      </c>
      <c r="P3534" s="1" t="s">
        <v>1056</v>
      </c>
      <c r="Q3534" s="1" t="s">
        <v>981</v>
      </c>
      <c r="R3534" s="1"/>
      <c r="S3534" s="1"/>
      <c r="T3534" s="1"/>
      <c r="U3534" s="1"/>
      <c r="V3534" s="1"/>
      <c r="W3534" s="1"/>
      <c r="X3534" s="1"/>
      <c r="Y3534" s="1"/>
    </row>
    <row r="3535" spans="1:25" x14ac:dyDescent="0.25">
      <c r="A3535" s="7" t="s">
        <v>2035</v>
      </c>
      <c r="I3535" s="1" t="s">
        <v>918</v>
      </c>
      <c r="J3535" s="1" t="s">
        <v>927</v>
      </c>
      <c r="K3535" s="1" t="s">
        <v>1056</v>
      </c>
      <c r="L3535" s="1" t="s">
        <v>981</v>
      </c>
      <c r="M3535" s="1" t="s">
        <v>919</v>
      </c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25">
      <c r="A3536" s="7" t="s">
        <v>2035</v>
      </c>
      <c r="I3536" s="1" t="s">
        <v>927</v>
      </c>
      <c r="J3536" s="1" t="s">
        <v>919</v>
      </c>
      <c r="K3536" s="1" t="s">
        <v>924</v>
      </c>
      <c r="L3536" s="1" t="s">
        <v>918</v>
      </c>
      <c r="M3536" s="1" t="s">
        <v>1056</v>
      </c>
      <c r="N3536" s="1" t="s">
        <v>981</v>
      </c>
      <c r="O3536" s="1" t="s">
        <v>1114</v>
      </c>
      <c r="P3536" s="1"/>
      <c r="Q3536" s="1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25">
      <c r="A3537" s="8" t="s">
        <v>2035</v>
      </c>
      <c r="I3537" s="1" t="s">
        <v>918</v>
      </c>
      <c r="J3537" s="1" t="s">
        <v>927</v>
      </c>
      <c r="K3537" s="1" t="s">
        <v>1056</v>
      </c>
      <c r="L3537" s="1" t="s">
        <v>981</v>
      </c>
      <c r="M3537" s="1" t="s">
        <v>919</v>
      </c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25">
      <c r="A3538" s="8" t="s">
        <v>2035</v>
      </c>
      <c r="I3538" s="1" t="s">
        <v>1030</v>
      </c>
      <c r="J3538" s="1" t="s">
        <v>1013</v>
      </c>
      <c r="K3538" s="1" t="s">
        <v>918</v>
      </c>
      <c r="L3538" s="1" t="s">
        <v>919</v>
      </c>
      <c r="M3538" s="1" t="s">
        <v>936</v>
      </c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25">
      <c r="A3539" s="8" t="s">
        <v>2035</v>
      </c>
      <c r="I3539" s="1" t="s">
        <v>1030</v>
      </c>
      <c r="J3539" s="1" t="s">
        <v>1013</v>
      </c>
      <c r="K3539" s="1" t="s">
        <v>918</v>
      </c>
      <c r="L3539" s="1" t="s">
        <v>919</v>
      </c>
      <c r="M3539" s="1" t="s">
        <v>936</v>
      </c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25">
      <c r="A3540" s="8" t="s">
        <v>2035</v>
      </c>
      <c r="I3540" s="1" t="s">
        <v>1030</v>
      </c>
      <c r="J3540" s="1" t="s">
        <v>1013</v>
      </c>
      <c r="K3540" s="1" t="s">
        <v>918</v>
      </c>
      <c r="L3540" s="1" t="s">
        <v>919</v>
      </c>
      <c r="M3540" s="1" t="s">
        <v>936</v>
      </c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25">
      <c r="A3541" s="7" t="s">
        <v>9341</v>
      </c>
      <c r="I3541" s="1" t="s">
        <v>1069</v>
      </c>
      <c r="J3541" s="1" t="s">
        <v>918</v>
      </c>
      <c r="K3541" s="1" t="s">
        <v>25</v>
      </c>
      <c r="L3541" s="1" t="s">
        <v>923</v>
      </c>
      <c r="M3541" s="1" t="s">
        <v>927</v>
      </c>
      <c r="N3541" s="1" t="s">
        <v>10761</v>
      </c>
      <c r="O3541" s="1" t="s">
        <v>919</v>
      </c>
      <c r="P3541" s="1" t="s">
        <v>920</v>
      </c>
      <c r="Q3541" s="1" t="s">
        <v>924</v>
      </c>
      <c r="R3541" s="1" t="s">
        <v>921</v>
      </c>
      <c r="S3541" s="1" t="s">
        <v>1030</v>
      </c>
      <c r="T3541" s="1" t="s">
        <v>1013</v>
      </c>
      <c r="U3541" s="1" t="s">
        <v>936</v>
      </c>
      <c r="V3541" s="1"/>
      <c r="W3541" s="1"/>
      <c r="X3541" s="1"/>
      <c r="Y3541" s="1"/>
    </row>
    <row r="3542" spans="1:25" x14ac:dyDescent="0.25">
      <c r="A3542" s="7" t="s">
        <v>9044</v>
      </c>
      <c r="I3542" s="1" t="s">
        <v>918</v>
      </c>
      <c r="J3542" s="1" t="s">
        <v>25</v>
      </c>
      <c r="K3542" s="1" t="s">
        <v>927</v>
      </c>
      <c r="L3542" s="1" t="s">
        <v>919</v>
      </c>
      <c r="M3542" s="1" t="s">
        <v>920</v>
      </c>
      <c r="N3542" s="1" t="s">
        <v>921</v>
      </c>
      <c r="O3542" s="1" t="s">
        <v>1045</v>
      </c>
      <c r="P3542" s="1" t="s">
        <v>1042</v>
      </c>
      <c r="Q3542" s="1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25">
      <c r="A3543" s="8" t="s">
        <v>10572</v>
      </c>
      <c r="I3543" s="1" t="s">
        <v>918</v>
      </c>
      <c r="J3543" s="1" t="s">
        <v>25</v>
      </c>
      <c r="K3543" s="1" t="s">
        <v>927</v>
      </c>
      <c r="L3543" s="1" t="s">
        <v>919</v>
      </c>
      <c r="M3543" s="1" t="s">
        <v>920</v>
      </c>
      <c r="N3543" s="1" t="s">
        <v>921</v>
      </c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25">
      <c r="A3544" s="7" t="s">
        <v>828</v>
      </c>
      <c r="I3544" s="1" t="s">
        <v>1149</v>
      </c>
      <c r="J3544" s="1" t="s">
        <v>25</v>
      </c>
      <c r="K3544" s="1" t="s">
        <v>997</v>
      </c>
      <c r="L3544" s="1" t="s">
        <v>998</v>
      </c>
      <c r="M3544" s="1" t="s">
        <v>933</v>
      </c>
      <c r="N3544" s="1" t="s">
        <v>994</v>
      </c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25">
      <c r="A3545" s="7" t="s">
        <v>6670</v>
      </c>
      <c r="I3545" s="1" t="s">
        <v>964</v>
      </c>
      <c r="J3545" s="1" t="s">
        <v>10751</v>
      </c>
      <c r="K3545" s="1" t="s">
        <v>10755</v>
      </c>
      <c r="L3545" s="1" t="s">
        <v>10724</v>
      </c>
      <c r="M3545" s="1" t="s">
        <v>25</v>
      </c>
      <c r="N3545" s="1" t="s">
        <v>925</v>
      </c>
      <c r="O3545" s="1" t="s">
        <v>918</v>
      </c>
      <c r="P3545" s="1" t="s">
        <v>927</v>
      </c>
      <c r="Q3545" s="1" t="s">
        <v>928</v>
      </c>
      <c r="R3545" s="1" t="s">
        <v>919</v>
      </c>
      <c r="S3545" s="1" t="s">
        <v>960</v>
      </c>
      <c r="T3545" s="1" t="s">
        <v>961</v>
      </c>
      <c r="U3545" s="1" t="s">
        <v>1147</v>
      </c>
      <c r="V3545" s="1" t="s">
        <v>1086</v>
      </c>
      <c r="W3545" s="1" t="s">
        <v>920</v>
      </c>
      <c r="X3545" s="1" t="s">
        <v>921</v>
      </c>
      <c r="Y3545" s="1"/>
    </row>
    <row r="3546" spans="1:25" x14ac:dyDescent="0.25">
      <c r="A3546" s="7" t="s">
        <v>8888</v>
      </c>
      <c r="I3546" s="1" t="s">
        <v>964</v>
      </c>
      <c r="J3546" s="1" t="s">
        <v>10751</v>
      </c>
      <c r="K3546" s="1" t="s">
        <v>10755</v>
      </c>
      <c r="L3546" s="1" t="s">
        <v>10724</v>
      </c>
      <c r="M3546" s="1" t="s">
        <v>25</v>
      </c>
      <c r="N3546" s="1" t="s">
        <v>925</v>
      </c>
      <c r="O3546" s="1" t="s">
        <v>939</v>
      </c>
      <c r="P3546" s="1"/>
      <c r="Q3546" s="1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25">
      <c r="A3547" s="7" t="s">
        <v>8888</v>
      </c>
      <c r="I3547" s="1" t="s">
        <v>964</v>
      </c>
      <c r="J3547" s="1" t="s">
        <v>10751</v>
      </c>
      <c r="K3547" s="1" t="s">
        <v>10755</v>
      </c>
      <c r="L3547" s="1" t="s">
        <v>10724</v>
      </c>
      <c r="M3547" s="1" t="s">
        <v>25</v>
      </c>
      <c r="N3547" s="1" t="s">
        <v>925</v>
      </c>
      <c r="O3547" s="1" t="s">
        <v>918</v>
      </c>
      <c r="P3547" s="1" t="s">
        <v>927</v>
      </c>
      <c r="Q3547" s="1" t="s">
        <v>928</v>
      </c>
      <c r="R3547" s="1" t="s">
        <v>919</v>
      </c>
      <c r="S3547" s="1" t="s">
        <v>960</v>
      </c>
      <c r="T3547" s="1" t="s">
        <v>961</v>
      </c>
      <c r="U3547" s="1" t="s">
        <v>1147</v>
      </c>
      <c r="V3547" s="1"/>
      <c r="W3547" s="1"/>
      <c r="X3547" s="1"/>
      <c r="Y3547" s="1"/>
    </row>
    <row r="3548" spans="1:25" x14ac:dyDescent="0.25">
      <c r="A3548" s="7" t="s">
        <v>8888</v>
      </c>
      <c r="I3548" s="1" t="s">
        <v>25</v>
      </c>
      <c r="J3548" s="1" t="s">
        <v>916</v>
      </c>
      <c r="K3548" s="1" t="s">
        <v>919</v>
      </c>
      <c r="L3548" s="1" t="s">
        <v>922</v>
      </c>
      <c r="M3548" s="1" t="s">
        <v>11053</v>
      </c>
      <c r="N3548" s="1" t="s">
        <v>964</v>
      </c>
      <c r="O3548" s="1" t="s">
        <v>10751</v>
      </c>
      <c r="P3548" s="1" t="s">
        <v>10755</v>
      </c>
      <c r="Q3548" s="1" t="s">
        <v>10724</v>
      </c>
      <c r="R3548" s="1"/>
      <c r="S3548" s="1"/>
      <c r="T3548" s="1"/>
      <c r="U3548" s="1"/>
      <c r="V3548" s="1"/>
      <c r="W3548" s="1"/>
      <c r="X3548" s="1"/>
      <c r="Y3548" s="1"/>
    </row>
    <row r="3549" spans="1:25" x14ac:dyDescent="0.25">
      <c r="A3549" s="8" t="s">
        <v>8888</v>
      </c>
      <c r="I3549" s="1" t="s">
        <v>964</v>
      </c>
      <c r="J3549" s="1" t="s">
        <v>10751</v>
      </c>
      <c r="K3549" s="1" t="s">
        <v>10755</v>
      </c>
      <c r="L3549" s="1" t="s">
        <v>10724</v>
      </c>
      <c r="M3549" s="1" t="s">
        <v>25</v>
      </c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25">
      <c r="A3550" s="8" t="s">
        <v>8888</v>
      </c>
      <c r="I3550" s="1" t="s">
        <v>1001</v>
      </c>
      <c r="J3550" s="1" t="s">
        <v>918</v>
      </c>
      <c r="K3550" s="1" t="s">
        <v>927</v>
      </c>
      <c r="L3550" s="1" t="s">
        <v>1000</v>
      </c>
      <c r="M3550" s="1" t="s">
        <v>919</v>
      </c>
      <c r="N3550" s="1" t="s">
        <v>936</v>
      </c>
      <c r="O3550" s="1" t="s">
        <v>921</v>
      </c>
      <c r="P3550" s="1"/>
      <c r="Q3550" s="1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25">
      <c r="A3551" s="7" t="s">
        <v>9169</v>
      </c>
      <c r="I3551" s="1" t="s">
        <v>1001</v>
      </c>
      <c r="J3551" s="1" t="s">
        <v>918</v>
      </c>
      <c r="K3551" s="1" t="s">
        <v>25</v>
      </c>
      <c r="L3551" s="1" t="s">
        <v>923</v>
      </c>
      <c r="M3551" s="1" t="s">
        <v>927</v>
      </c>
      <c r="N3551" s="1" t="s">
        <v>919</v>
      </c>
      <c r="O3551" s="1" t="s">
        <v>920</v>
      </c>
      <c r="P3551" s="1" t="s">
        <v>921</v>
      </c>
      <c r="Q3551" s="1" t="s">
        <v>947</v>
      </c>
      <c r="R3551" s="1" t="s">
        <v>924</v>
      </c>
      <c r="S3551" s="1" t="s">
        <v>933</v>
      </c>
      <c r="T3551" s="1" t="s">
        <v>929</v>
      </c>
      <c r="U3551" s="1"/>
      <c r="V3551" s="1"/>
      <c r="W3551" s="1"/>
      <c r="X3551" s="1"/>
      <c r="Y3551" s="1"/>
    </row>
    <row r="3552" spans="1:25" x14ac:dyDescent="0.25">
      <c r="A3552" s="7" t="s">
        <v>9169</v>
      </c>
      <c r="I3552" s="1" t="s">
        <v>1000</v>
      </c>
      <c r="J3552" s="1" t="s">
        <v>1108</v>
      </c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25">
      <c r="A3553" s="8" t="s">
        <v>9340</v>
      </c>
      <c r="I3553" s="1" t="s">
        <v>979</v>
      </c>
      <c r="J3553" s="1" t="s">
        <v>980</v>
      </c>
      <c r="K3553" s="1" t="s">
        <v>992</v>
      </c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25">
      <c r="A3554" s="8" t="s">
        <v>9009</v>
      </c>
      <c r="I3554" s="1" t="s">
        <v>90</v>
      </c>
      <c r="J3554" s="1" t="s">
        <v>25</v>
      </c>
      <c r="K3554" s="1" t="s">
        <v>987</v>
      </c>
      <c r="L3554" s="1" t="s">
        <v>916</v>
      </c>
      <c r="M3554" s="1" t="s">
        <v>920</v>
      </c>
      <c r="N3554" s="1" t="s">
        <v>921</v>
      </c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25">
      <c r="A3555" s="7" t="s">
        <v>9794</v>
      </c>
      <c r="I3555" s="1" t="s">
        <v>90</v>
      </c>
      <c r="J3555" s="1" t="s">
        <v>25</v>
      </c>
      <c r="K3555" s="1" t="s">
        <v>987</v>
      </c>
      <c r="L3555" s="1" t="s">
        <v>916</v>
      </c>
      <c r="M3555" s="1" t="s">
        <v>920</v>
      </c>
      <c r="N3555" s="1" t="s">
        <v>921</v>
      </c>
      <c r="O3555" s="1" t="s">
        <v>922</v>
      </c>
      <c r="P3555" s="1"/>
      <c r="Q3555" s="1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25">
      <c r="A3556" s="8" t="s">
        <v>10577</v>
      </c>
      <c r="I3556" s="1" t="s">
        <v>25</v>
      </c>
      <c r="J3556" s="1" t="s">
        <v>997</v>
      </c>
      <c r="K3556" s="1" t="s">
        <v>927</v>
      </c>
      <c r="L3556" s="1" t="s">
        <v>998</v>
      </c>
      <c r="M3556" s="1" t="s">
        <v>920</v>
      </c>
      <c r="N3556" s="1" t="s">
        <v>933</v>
      </c>
      <c r="O3556" s="1" t="s">
        <v>994</v>
      </c>
      <c r="P3556" s="1"/>
      <c r="Q3556" s="1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25">
      <c r="A3557" s="8" t="s">
        <v>9578</v>
      </c>
      <c r="I3557" s="1" t="s">
        <v>25</v>
      </c>
      <c r="J3557" s="1" t="s">
        <v>997</v>
      </c>
      <c r="K3557" s="1" t="s">
        <v>927</v>
      </c>
      <c r="L3557" s="1" t="s">
        <v>998</v>
      </c>
      <c r="M3557" s="1" t="s">
        <v>920</v>
      </c>
      <c r="N3557" s="1" t="s">
        <v>933</v>
      </c>
      <c r="O3557" s="1" t="s">
        <v>994</v>
      </c>
      <c r="P3557" s="1"/>
      <c r="Q3557" s="1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25">
      <c r="A3558" s="8" t="s">
        <v>10480</v>
      </c>
      <c r="I3558" s="1" t="s">
        <v>25</v>
      </c>
      <c r="J3558" s="1" t="s">
        <v>997</v>
      </c>
      <c r="K3558" s="1" t="s">
        <v>927</v>
      </c>
      <c r="L3558" s="1" t="s">
        <v>998</v>
      </c>
      <c r="M3558" s="1" t="s">
        <v>920</v>
      </c>
      <c r="N3558" s="1" t="s">
        <v>933</v>
      </c>
      <c r="O3558" s="1" t="s">
        <v>994</v>
      </c>
      <c r="P3558" s="1"/>
      <c r="Q3558" s="1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25">
      <c r="A3559" s="8" t="s">
        <v>9410</v>
      </c>
      <c r="I3559" s="1" t="s">
        <v>25</v>
      </c>
      <c r="J3559" s="1" t="s">
        <v>997</v>
      </c>
      <c r="K3559" s="1" t="s">
        <v>927</v>
      </c>
      <c r="L3559" s="1" t="s">
        <v>998</v>
      </c>
      <c r="M3559" s="1" t="s">
        <v>920</v>
      </c>
      <c r="N3559" s="1" t="s">
        <v>933</v>
      </c>
      <c r="O3559" s="1" t="s">
        <v>994</v>
      </c>
      <c r="P3559" s="1"/>
      <c r="Q3559" s="1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25">
      <c r="A3560" s="8" t="s">
        <v>9904</v>
      </c>
      <c r="I3560" s="1" t="s">
        <v>996</v>
      </c>
      <c r="J3560" s="1" t="s">
        <v>25</v>
      </c>
      <c r="K3560" s="1" t="s">
        <v>997</v>
      </c>
      <c r="L3560" s="1" t="s">
        <v>927</v>
      </c>
      <c r="M3560" s="1" t="s">
        <v>998</v>
      </c>
      <c r="N3560" s="1" t="s">
        <v>933</v>
      </c>
      <c r="O3560" s="1" t="s">
        <v>993</v>
      </c>
      <c r="P3560" s="1" t="s">
        <v>994</v>
      </c>
      <c r="Q3560" s="1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25">
      <c r="A3561" s="8" t="s">
        <v>8924</v>
      </c>
      <c r="I3561" s="1" t="s">
        <v>996</v>
      </c>
      <c r="J3561" s="1" t="s">
        <v>25</v>
      </c>
      <c r="K3561" s="1" t="s">
        <v>997</v>
      </c>
      <c r="L3561" s="1" t="s">
        <v>927</v>
      </c>
      <c r="M3561" s="1" t="s">
        <v>998</v>
      </c>
      <c r="N3561" s="1" t="s">
        <v>933</v>
      </c>
      <c r="O3561" s="1" t="s">
        <v>993</v>
      </c>
      <c r="P3561" s="1" t="s">
        <v>994</v>
      </c>
      <c r="Q3561" s="1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25">
      <c r="A3562" s="7" t="s">
        <v>10150</v>
      </c>
      <c r="I3562" s="1" t="s">
        <v>996</v>
      </c>
      <c r="J3562" s="1" t="s">
        <v>25</v>
      </c>
      <c r="K3562" s="1" t="s">
        <v>997</v>
      </c>
      <c r="L3562" s="1" t="s">
        <v>927</v>
      </c>
      <c r="M3562" s="1" t="s">
        <v>998</v>
      </c>
      <c r="N3562" s="1" t="s">
        <v>933</v>
      </c>
      <c r="O3562" s="1" t="s">
        <v>993</v>
      </c>
      <c r="P3562" s="1" t="s">
        <v>994</v>
      </c>
      <c r="Q3562" s="1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25">
      <c r="A3563" s="7" t="s">
        <v>9569</v>
      </c>
      <c r="I3563" s="1" t="s">
        <v>996</v>
      </c>
      <c r="J3563" s="1" t="s">
        <v>25</v>
      </c>
      <c r="K3563" s="1" t="s">
        <v>997</v>
      </c>
      <c r="L3563" s="1" t="s">
        <v>927</v>
      </c>
      <c r="M3563" s="1" t="s">
        <v>998</v>
      </c>
      <c r="N3563" s="1" t="s">
        <v>933</v>
      </c>
      <c r="O3563" s="1" t="s">
        <v>993</v>
      </c>
      <c r="P3563" s="1" t="s">
        <v>994</v>
      </c>
      <c r="Q3563" s="1" t="s">
        <v>920</v>
      </c>
      <c r="R3563" s="1" t="s">
        <v>992</v>
      </c>
      <c r="S3563" s="1"/>
      <c r="T3563" s="1"/>
      <c r="U3563" s="1"/>
      <c r="V3563" s="1"/>
      <c r="W3563" s="1"/>
      <c r="X3563" s="1"/>
      <c r="Y3563" s="1"/>
    </row>
    <row r="3564" spans="1:25" x14ac:dyDescent="0.25">
      <c r="A3564" s="7" t="s">
        <v>10139</v>
      </c>
      <c r="I3564" s="1" t="s">
        <v>996</v>
      </c>
      <c r="J3564" s="1" t="s">
        <v>25</v>
      </c>
      <c r="K3564" s="1" t="s">
        <v>997</v>
      </c>
      <c r="L3564" s="1" t="s">
        <v>927</v>
      </c>
      <c r="M3564" s="1" t="s">
        <v>998</v>
      </c>
      <c r="N3564" s="1" t="s">
        <v>933</v>
      </c>
      <c r="O3564" s="1" t="s">
        <v>993</v>
      </c>
      <c r="P3564" s="1" t="s">
        <v>994</v>
      </c>
      <c r="Q3564" s="1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25">
      <c r="A3565" s="7" t="s">
        <v>8292</v>
      </c>
      <c r="I3565" s="1" t="s">
        <v>996</v>
      </c>
      <c r="J3565" s="1" t="s">
        <v>25</v>
      </c>
      <c r="K3565" s="1" t="s">
        <v>997</v>
      </c>
      <c r="L3565" s="1" t="s">
        <v>927</v>
      </c>
      <c r="M3565" s="1" t="s">
        <v>998</v>
      </c>
      <c r="N3565" s="1" t="s">
        <v>933</v>
      </c>
      <c r="O3565" s="1" t="s">
        <v>993</v>
      </c>
      <c r="P3565" s="1" t="s">
        <v>994</v>
      </c>
      <c r="Q3565" s="1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25">
      <c r="A3566" s="7" t="s">
        <v>8292</v>
      </c>
      <c r="I3566" s="1" t="s">
        <v>996</v>
      </c>
      <c r="J3566" s="1" t="s">
        <v>25</v>
      </c>
      <c r="K3566" s="1" t="s">
        <v>997</v>
      </c>
      <c r="L3566" s="1" t="s">
        <v>927</v>
      </c>
      <c r="M3566" s="1" t="s">
        <v>998</v>
      </c>
      <c r="N3566" s="1" t="s">
        <v>933</v>
      </c>
      <c r="O3566" s="1" t="s">
        <v>993</v>
      </c>
      <c r="P3566" s="1" t="s">
        <v>994</v>
      </c>
      <c r="Q3566" s="1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25">
      <c r="A3567" s="7" t="s">
        <v>8292</v>
      </c>
      <c r="I3567" s="1" t="s">
        <v>1001</v>
      </c>
      <c r="J3567" s="1" t="s">
        <v>10722</v>
      </c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25">
      <c r="A3568" s="7" t="s">
        <v>8292</v>
      </c>
      <c r="I3568" s="1" t="s">
        <v>1019</v>
      </c>
      <c r="J3568" s="1" t="s">
        <v>983</v>
      </c>
      <c r="K3568" s="1" t="s">
        <v>984</v>
      </c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25">
      <c r="A3569" s="7" t="s">
        <v>8292</v>
      </c>
      <c r="I3569" s="1" t="s">
        <v>1053</v>
      </c>
      <c r="J3569" s="1" t="s">
        <v>328</v>
      </c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25">
      <c r="A3570" s="7" t="s">
        <v>8292</v>
      </c>
      <c r="I3570" s="1" t="s">
        <v>1053</v>
      </c>
      <c r="J3570" s="1" t="s">
        <v>328</v>
      </c>
      <c r="K3570" s="1" t="s">
        <v>11054</v>
      </c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25">
      <c r="A3571" s="8" t="s">
        <v>8292</v>
      </c>
      <c r="I3571" s="1" t="s">
        <v>50</v>
      </c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25">
      <c r="A3572" s="8" t="s">
        <v>8292</v>
      </c>
      <c r="I3572" s="1" t="s">
        <v>50</v>
      </c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25">
      <c r="A3573" s="8" t="s">
        <v>8292</v>
      </c>
      <c r="I3573" s="1" t="s">
        <v>50</v>
      </c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25">
      <c r="A3574" s="7" t="s">
        <v>2279</v>
      </c>
      <c r="I3574" s="1" t="s">
        <v>50</v>
      </c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25">
      <c r="A3575" s="7" t="s">
        <v>2279</v>
      </c>
      <c r="I3575" s="1" t="s">
        <v>298</v>
      </c>
      <c r="J3575" s="1" t="s">
        <v>25</v>
      </c>
      <c r="K3575" s="1" t="s">
        <v>927</v>
      </c>
      <c r="L3575" s="1" t="s">
        <v>998</v>
      </c>
      <c r="M3575" s="1" t="s">
        <v>1086</v>
      </c>
      <c r="N3575" s="1" t="s">
        <v>920</v>
      </c>
      <c r="O3575" s="1" t="s">
        <v>933</v>
      </c>
      <c r="P3575" s="1"/>
      <c r="Q3575" s="1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25">
      <c r="A3576" s="7" t="s">
        <v>2279</v>
      </c>
      <c r="I3576" s="1" t="s">
        <v>298</v>
      </c>
      <c r="J3576" s="1" t="s">
        <v>25</v>
      </c>
      <c r="K3576" s="1" t="s">
        <v>927</v>
      </c>
      <c r="L3576" s="1" t="s">
        <v>998</v>
      </c>
      <c r="M3576" s="1" t="s">
        <v>1086</v>
      </c>
      <c r="N3576" s="1" t="s">
        <v>920</v>
      </c>
      <c r="O3576" s="1" t="s">
        <v>933</v>
      </c>
      <c r="P3576" s="1"/>
      <c r="Q3576" s="1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25">
      <c r="A3577" s="7" t="s">
        <v>2279</v>
      </c>
      <c r="I3577" s="1" t="s">
        <v>298</v>
      </c>
      <c r="J3577" s="1" t="s">
        <v>25</v>
      </c>
      <c r="K3577" s="1" t="s">
        <v>927</v>
      </c>
      <c r="L3577" s="1" t="s">
        <v>998</v>
      </c>
      <c r="M3577" s="1" t="s">
        <v>1086</v>
      </c>
      <c r="N3577" s="1" t="s">
        <v>920</v>
      </c>
      <c r="O3577" s="1" t="s">
        <v>933</v>
      </c>
      <c r="P3577" s="1" t="s">
        <v>2927</v>
      </c>
      <c r="Q3577" s="1" t="s">
        <v>981</v>
      </c>
      <c r="R3577" s="1"/>
      <c r="S3577" s="1"/>
      <c r="T3577" s="1"/>
      <c r="U3577" s="1"/>
      <c r="V3577" s="1"/>
      <c r="W3577" s="1"/>
      <c r="X3577" s="1"/>
      <c r="Y3577" s="1"/>
    </row>
    <row r="3578" spans="1:25" x14ac:dyDescent="0.25">
      <c r="A3578" s="7" t="s">
        <v>2279</v>
      </c>
      <c r="I3578" s="1" t="s">
        <v>298</v>
      </c>
      <c r="J3578" s="1" t="s">
        <v>25</v>
      </c>
      <c r="K3578" s="1" t="s">
        <v>927</v>
      </c>
      <c r="L3578" s="1" t="s">
        <v>998</v>
      </c>
      <c r="M3578" s="1" t="s">
        <v>1086</v>
      </c>
      <c r="N3578" s="1" t="s">
        <v>920</v>
      </c>
      <c r="O3578" s="1" t="s">
        <v>933</v>
      </c>
      <c r="P3578" s="1" t="s">
        <v>10859</v>
      </c>
      <c r="Q3578" s="1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25">
      <c r="A3579" s="7" t="s">
        <v>2279</v>
      </c>
      <c r="I3579" s="1" t="s">
        <v>298</v>
      </c>
      <c r="J3579" s="1" t="s">
        <v>25</v>
      </c>
      <c r="K3579" s="1" t="s">
        <v>927</v>
      </c>
      <c r="L3579" s="1" t="s">
        <v>998</v>
      </c>
      <c r="M3579" s="1" t="s">
        <v>1086</v>
      </c>
      <c r="N3579" s="1" t="s">
        <v>920</v>
      </c>
      <c r="O3579" s="1" t="s">
        <v>933</v>
      </c>
      <c r="P3579" s="1"/>
      <c r="Q3579" s="1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25">
      <c r="A3580" s="7" t="s">
        <v>2279</v>
      </c>
      <c r="I3580" s="1" t="s">
        <v>1001</v>
      </c>
      <c r="J3580" s="1" t="s">
        <v>992</v>
      </c>
      <c r="K3580" s="1" t="s">
        <v>981</v>
      </c>
      <c r="L3580" s="1" t="s">
        <v>1066</v>
      </c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25">
      <c r="A3581" s="7" t="s">
        <v>2279</v>
      </c>
      <c r="I3581" s="1" t="s">
        <v>25</v>
      </c>
      <c r="J3581" s="1" t="s">
        <v>997</v>
      </c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25">
      <c r="A3582" s="7" t="s">
        <v>2279</v>
      </c>
      <c r="I3582" s="1" t="s">
        <v>25</v>
      </c>
      <c r="J3582" s="1" t="s">
        <v>997</v>
      </c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25">
      <c r="A3583" s="7" t="s">
        <v>2279</v>
      </c>
      <c r="I3583" s="1" t="s">
        <v>25</v>
      </c>
      <c r="J3583" s="1" t="s">
        <v>997</v>
      </c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25">
      <c r="A3584" s="7" t="s">
        <v>2279</v>
      </c>
      <c r="I3584" s="1" t="s">
        <v>25</v>
      </c>
      <c r="J3584" s="1" t="s">
        <v>997</v>
      </c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25">
      <c r="A3585" s="7" t="s">
        <v>2279</v>
      </c>
      <c r="I3585" s="1" t="s">
        <v>925</v>
      </c>
      <c r="J3585" s="1" t="s">
        <v>918</v>
      </c>
      <c r="K3585" s="1" t="s">
        <v>927</v>
      </c>
      <c r="L3585" s="1" t="s">
        <v>928</v>
      </c>
      <c r="M3585" s="1" t="s">
        <v>919</v>
      </c>
      <c r="N3585" s="1" t="s">
        <v>960</v>
      </c>
      <c r="O3585" s="1" t="s">
        <v>961</v>
      </c>
      <c r="P3585" s="1" t="s">
        <v>1147</v>
      </c>
      <c r="Q3585" s="1" t="s">
        <v>25</v>
      </c>
      <c r="R3585" s="1" t="s">
        <v>997</v>
      </c>
      <c r="S3585" s="1"/>
      <c r="T3585" s="1"/>
      <c r="U3585" s="1"/>
      <c r="V3585" s="1"/>
      <c r="W3585" s="1"/>
      <c r="X3585" s="1"/>
      <c r="Y3585" s="1"/>
    </row>
    <row r="3586" spans="1:25" x14ac:dyDescent="0.25">
      <c r="A3586" s="7" t="s">
        <v>8832</v>
      </c>
      <c r="I3586" s="1" t="s">
        <v>25</v>
      </c>
      <c r="J3586" s="1" t="s">
        <v>997</v>
      </c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25">
      <c r="A3587" s="7" t="s">
        <v>8832</v>
      </c>
      <c r="I3587" s="1" t="s">
        <v>979</v>
      </c>
      <c r="J3587" s="1" t="s">
        <v>980</v>
      </c>
      <c r="K3587" s="1" t="s">
        <v>1001</v>
      </c>
      <c r="L3587" s="1" t="s">
        <v>927</v>
      </c>
      <c r="M3587" s="1" t="s">
        <v>919</v>
      </c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25">
      <c r="A3588" s="7" t="s">
        <v>8832</v>
      </c>
      <c r="I3588" s="1" t="s">
        <v>979</v>
      </c>
      <c r="J3588" s="1" t="s">
        <v>980</v>
      </c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25">
      <c r="A3589" s="7" t="s">
        <v>8832</v>
      </c>
      <c r="I3589" s="1" t="s">
        <v>90</v>
      </c>
      <c r="J3589" s="1" t="s">
        <v>25</v>
      </c>
      <c r="K3589" s="1" t="s">
        <v>987</v>
      </c>
      <c r="L3589" s="1" t="s">
        <v>916</v>
      </c>
      <c r="M3589" s="1" t="s">
        <v>920</v>
      </c>
      <c r="N3589" s="1" t="s">
        <v>921</v>
      </c>
      <c r="O3589" s="1" t="s">
        <v>979</v>
      </c>
      <c r="P3589" s="1" t="s">
        <v>980</v>
      </c>
      <c r="Q3589" s="1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25">
      <c r="A3590" s="7" t="s">
        <v>8832</v>
      </c>
      <c r="I3590" s="1" t="s">
        <v>979</v>
      </c>
      <c r="J3590" s="1" t="s">
        <v>980</v>
      </c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25">
      <c r="A3591" s="7" t="s">
        <v>8832</v>
      </c>
      <c r="I3591" s="1" t="s">
        <v>979</v>
      </c>
      <c r="J3591" s="1" t="s">
        <v>980</v>
      </c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25">
      <c r="A3592" s="7" t="s">
        <v>8832</v>
      </c>
      <c r="I3592" s="1" t="s">
        <v>996</v>
      </c>
      <c r="J3592" s="1" t="s">
        <v>2541</v>
      </c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25">
      <c r="A3593" s="7" t="s">
        <v>8832</v>
      </c>
      <c r="I3593" s="1" t="s">
        <v>996</v>
      </c>
      <c r="J3593" s="1" t="s">
        <v>2541</v>
      </c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25">
      <c r="A3594" s="7" t="s">
        <v>8832</v>
      </c>
      <c r="I3594" s="1" t="s">
        <v>996</v>
      </c>
      <c r="J3594" s="1" t="s">
        <v>2541</v>
      </c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25">
      <c r="A3595" s="8" t="s">
        <v>8832</v>
      </c>
      <c r="I3595" s="1" t="s">
        <v>1001</v>
      </c>
      <c r="J3595" s="1" t="s">
        <v>996</v>
      </c>
      <c r="K3595" s="1" t="s">
        <v>933</v>
      </c>
      <c r="L3595" s="1" t="s">
        <v>2541</v>
      </c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25">
      <c r="A3596" s="8" t="s">
        <v>8832</v>
      </c>
      <c r="I3596" s="1" t="s">
        <v>1001</v>
      </c>
      <c r="J3596" s="1" t="s">
        <v>996</v>
      </c>
      <c r="K3596" s="1" t="s">
        <v>933</v>
      </c>
      <c r="L3596" s="1" t="s">
        <v>2541</v>
      </c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25">
      <c r="A3597" s="8" t="s">
        <v>8832</v>
      </c>
      <c r="I3597" s="1" t="s">
        <v>1001</v>
      </c>
      <c r="J3597" s="1" t="s">
        <v>996</v>
      </c>
      <c r="K3597" s="1" t="s">
        <v>933</v>
      </c>
      <c r="L3597" s="1" t="s">
        <v>2541</v>
      </c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25">
      <c r="A3598" s="8" t="s">
        <v>8832</v>
      </c>
      <c r="I3598" s="1" t="s">
        <v>1001</v>
      </c>
      <c r="J3598" s="1" t="s">
        <v>996</v>
      </c>
      <c r="K3598" s="1" t="s">
        <v>933</v>
      </c>
      <c r="L3598" s="1" t="s">
        <v>2541</v>
      </c>
      <c r="M3598" s="1" t="s">
        <v>992</v>
      </c>
      <c r="N3598" s="1" t="s">
        <v>10722</v>
      </c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25">
      <c r="A3599" s="8" t="s">
        <v>8832</v>
      </c>
      <c r="I3599" s="1" t="s">
        <v>996</v>
      </c>
      <c r="J3599" s="1" t="s">
        <v>998</v>
      </c>
      <c r="K3599" s="1" t="s">
        <v>933</v>
      </c>
      <c r="L3599" s="1" t="s">
        <v>2541</v>
      </c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25">
      <c r="A3600" s="8" t="s">
        <v>8832</v>
      </c>
      <c r="I3600" s="1" t="s">
        <v>996</v>
      </c>
      <c r="J3600" s="1" t="s">
        <v>998</v>
      </c>
      <c r="K3600" s="1" t="s">
        <v>933</v>
      </c>
      <c r="L3600" s="1" t="s">
        <v>2541</v>
      </c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25">
      <c r="A3601" s="7" t="s">
        <v>9112</v>
      </c>
      <c r="I3601" s="1" t="s">
        <v>918</v>
      </c>
      <c r="J3601" s="1" t="s">
        <v>927</v>
      </c>
      <c r="K3601" s="1" t="s">
        <v>919</v>
      </c>
      <c r="L3601" s="1" t="s">
        <v>936</v>
      </c>
      <c r="M3601" s="1" t="s">
        <v>1037</v>
      </c>
      <c r="N3601" s="1" t="s">
        <v>996</v>
      </c>
      <c r="O3601" s="1" t="s">
        <v>998</v>
      </c>
      <c r="P3601" s="1" t="s">
        <v>933</v>
      </c>
      <c r="Q3601" s="1" t="s">
        <v>2541</v>
      </c>
      <c r="R3601" s="1"/>
      <c r="S3601" s="1"/>
      <c r="T3601" s="1"/>
      <c r="U3601" s="1"/>
      <c r="V3601" s="1"/>
      <c r="W3601" s="1"/>
      <c r="X3601" s="1"/>
      <c r="Y3601" s="1"/>
    </row>
    <row r="3602" spans="1:25" x14ac:dyDescent="0.25">
      <c r="A3602" s="7" t="s">
        <v>9112</v>
      </c>
      <c r="I3602" s="1" t="s">
        <v>996</v>
      </c>
      <c r="J3602" s="1" t="s">
        <v>998</v>
      </c>
      <c r="K3602" s="1" t="s">
        <v>933</v>
      </c>
      <c r="L3602" s="1" t="s">
        <v>2541</v>
      </c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25">
      <c r="A3603" s="7" t="s">
        <v>9112</v>
      </c>
      <c r="I3603" s="1" t="s">
        <v>933</v>
      </c>
      <c r="J3603" s="1" t="s">
        <v>996</v>
      </c>
      <c r="K3603" s="1" t="s">
        <v>998</v>
      </c>
      <c r="L3603" s="1" t="s">
        <v>2541</v>
      </c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25">
      <c r="A3604" s="7" t="s">
        <v>9112</v>
      </c>
      <c r="I3604" s="1" t="s">
        <v>996</v>
      </c>
      <c r="J3604" s="1" t="s">
        <v>998</v>
      </c>
      <c r="K3604" s="1" t="s">
        <v>933</v>
      </c>
      <c r="L3604" s="1" t="s">
        <v>2541</v>
      </c>
      <c r="M3604" s="1" t="s">
        <v>918</v>
      </c>
      <c r="N3604" s="1" t="s">
        <v>927</v>
      </c>
      <c r="O3604" s="1" t="s">
        <v>919</v>
      </c>
      <c r="P3604" s="1" t="s">
        <v>936</v>
      </c>
      <c r="Q3604" s="1" t="s">
        <v>1037</v>
      </c>
      <c r="R3604" s="1"/>
      <c r="S3604" s="1"/>
      <c r="T3604" s="1"/>
      <c r="U3604" s="1"/>
      <c r="V3604" s="1"/>
      <c r="W3604" s="1"/>
      <c r="X3604" s="1"/>
      <c r="Y3604" s="1"/>
    </row>
    <row r="3605" spans="1:25" x14ac:dyDescent="0.25">
      <c r="A3605" s="7" t="s">
        <v>9112</v>
      </c>
      <c r="I3605" s="1" t="s">
        <v>996</v>
      </c>
      <c r="J3605" s="1" t="s">
        <v>25</v>
      </c>
      <c r="K3605" s="1" t="s">
        <v>997</v>
      </c>
      <c r="L3605" s="1" t="s">
        <v>927</v>
      </c>
      <c r="M3605" s="1" t="s">
        <v>998</v>
      </c>
      <c r="N3605" s="1" t="s">
        <v>992</v>
      </c>
      <c r="O3605" s="1" t="s">
        <v>933</v>
      </c>
      <c r="P3605" s="1" t="s">
        <v>994</v>
      </c>
      <c r="Q3605" s="1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25">
      <c r="A3606" s="7" t="s">
        <v>9112</v>
      </c>
      <c r="I3606" s="1" t="s">
        <v>996</v>
      </c>
      <c r="J3606" s="1" t="s">
        <v>25</v>
      </c>
      <c r="K3606" s="1" t="s">
        <v>997</v>
      </c>
      <c r="L3606" s="1" t="s">
        <v>927</v>
      </c>
      <c r="M3606" s="1" t="s">
        <v>998</v>
      </c>
      <c r="N3606" s="1" t="s">
        <v>992</v>
      </c>
      <c r="O3606" s="1" t="s">
        <v>933</v>
      </c>
      <c r="P3606" s="1" t="s">
        <v>994</v>
      </c>
      <c r="Q3606" s="1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25">
      <c r="A3607" s="7" t="s">
        <v>9112</v>
      </c>
      <c r="I3607" s="1" t="s">
        <v>996</v>
      </c>
      <c r="J3607" s="1" t="s">
        <v>25</v>
      </c>
      <c r="K3607" s="1" t="s">
        <v>997</v>
      </c>
      <c r="L3607" s="1" t="s">
        <v>927</v>
      </c>
      <c r="M3607" s="1" t="s">
        <v>998</v>
      </c>
      <c r="N3607" s="1" t="s">
        <v>992</v>
      </c>
      <c r="O3607" s="1" t="s">
        <v>933</v>
      </c>
      <c r="P3607" s="1" t="s">
        <v>994</v>
      </c>
      <c r="Q3607" s="1" t="s">
        <v>958</v>
      </c>
      <c r="R3607" s="1" t="s">
        <v>10738</v>
      </c>
      <c r="S3607" s="1" t="s">
        <v>993</v>
      </c>
      <c r="T3607" s="1"/>
      <c r="U3607" s="1"/>
      <c r="V3607" s="1"/>
      <c r="W3607" s="1"/>
      <c r="X3607" s="1"/>
      <c r="Y3607" s="1"/>
    </row>
    <row r="3608" spans="1:25" x14ac:dyDescent="0.25">
      <c r="A3608" s="7" t="s">
        <v>9112</v>
      </c>
      <c r="I3608" s="1" t="s">
        <v>996</v>
      </c>
      <c r="J3608" s="1" t="s">
        <v>25</v>
      </c>
      <c r="K3608" s="1" t="s">
        <v>997</v>
      </c>
      <c r="L3608" s="1" t="s">
        <v>927</v>
      </c>
      <c r="M3608" s="1" t="s">
        <v>998</v>
      </c>
      <c r="N3608" s="1" t="s">
        <v>992</v>
      </c>
      <c r="O3608" s="1" t="s">
        <v>933</v>
      </c>
      <c r="P3608" s="1" t="s">
        <v>994</v>
      </c>
      <c r="Q3608" s="1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25">
      <c r="A3609" s="7" t="s">
        <v>9112</v>
      </c>
      <c r="I3609" s="1" t="s">
        <v>996</v>
      </c>
      <c r="J3609" s="1" t="s">
        <v>25</v>
      </c>
      <c r="K3609" s="1" t="s">
        <v>997</v>
      </c>
      <c r="L3609" s="1" t="s">
        <v>927</v>
      </c>
      <c r="M3609" s="1" t="s">
        <v>998</v>
      </c>
      <c r="N3609" s="1" t="s">
        <v>992</v>
      </c>
      <c r="O3609" s="1" t="s">
        <v>933</v>
      </c>
      <c r="P3609" s="1" t="s">
        <v>994</v>
      </c>
      <c r="Q3609" s="1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25">
      <c r="A3610" s="7" t="s">
        <v>9112</v>
      </c>
      <c r="I3610" s="1" t="s">
        <v>996</v>
      </c>
      <c r="J3610" s="1" t="s">
        <v>25</v>
      </c>
      <c r="K3610" s="1" t="s">
        <v>997</v>
      </c>
      <c r="L3610" s="1" t="s">
        <v>927</v>
      </c>
      <c r="M3610" s="1" t="s">
        <v>998</v>
      </c>
      <c r="N3610" s="1" t="s">
        <v>992</v>
      </c>
      <c r="O3610" s="1" t="s">
        <v>933</v>
      </c>
      <c r="P3610" s="1" t="s">
        <v>994</v>
      </c>
      <c r="Q3610" s="1" t="s">
        <v>958</v>
      </c>
      <c r="R3610" s="1" t="s">
        <v>10738</v>
      </c>
      <c r="S3610" s="1" t="s">
        <v>993</v>
      </c>
      <c r="T3610" s="1"/>
      <c r="U3610" s="1"/>
      <c r="V3610" s="1"/>
      <c r="W3610" s="1"/>
      <c r="X3610" s="1"/>
      <c r="Y3610" s="1"/>
    </row>
    <row r="3611" spans="1:25" x14ac:dyDescent="0.25">
      <c r="A3611" s="8" t="s">
        <v>9112</v>
      </c>
      <c r="I3611" s="1" t="s">
        <v>25</v>
      </c>
      <c r="J3611" s="1" t="s">
        <v>998</v>
      </c>
      <c r="K3611" s="1" t="s">
        <v>933</v>
      </c>
      <c r="L3611" s="1" t="s">
        <v>994</v>
      </c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25">
      <c r="A3612" s="8" t="s">
        <v>9112</v>
      </c>
      <c r="I3612" s="1" t="s">
        <v>50</v>
      </c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25">
      <c r="A3613" s="7" t="s">
        <v>6902</v>
      </c>
      <c r="I3613" s="1" t="s">
        <v>750</v>
      </c>
      <c r="J3613" s="1" t="s">
        <v>840</v>
      </c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25">
      <c r="A3614" s="7" t="s">
        <v>6902</v>
      </c>
    </row>
    <row r="3615" spans="1:25" x14ac:dyDescent="0.25">
      <c r="A3615" s="7" t="s">
        <v>6902</v>
      </c>
    </row>
    <row r="3616" spans="1:25" x14ac:dyDescent="0.25">
      <c r="A3616" s="8" t="s">
        <v>6902</v>
      </c>
    </row>
    <row r="3617" spans="1:1" x14ac:dyDescent="0.25">
      <c r="A3617" s="7" t="s">
        <v>2025</v>
      </c>
    </row>
    <row r="3618" spans="1:1" x14ac:dyDescent="0.25">
      <c r="A3618" s="7" t="s">
        <v>2025</v>
      </c>
    </row>
    <row r="3619" spans="1:1" x14ac:dyDescent="0.25">
      <c r="A3619" s="8" t="s">
        <v>10474</v>
      </c>
    </row>
    <row r="3620" spans="1:1" x14ac:dyDescent="0.25">
      <c r="A3620" s="7" t="s">
        <v>1937</v>
      </c>
    </row>
    <row r="3621" spans="1:1" x14ac:dyDescent="0.25">
      <c r="A3621" s="7" t="s">
        <v>1937</v>
      </c>
    </row>
    <row r="3622" spans="1:1" x14ac:dyDescent="0.25">
      <c r="A3622" s="8" t="s">
        <v>1937</v>
      </c>
    </row>
    <row r="3623" spans="1:1" x14ac:dyDescent="0.25">
      <c r="A3623" s="7" t="s">
        <v>8873</v>
      </c>
    </row>
    <row r="3624" spans="1:1" x14ac:dyDescent="0.25">
      <c r="A3624" s="8" t="s">
        <v>10611</v>
      </c>
    </row>
    <row r="3625" spans="1:1" x14ac:dyDescent="0.25">
      <c r="A3625" s="7" t="s">
        <v>10179</v>
      </c>
    </row>
    <row r="3626" spans="1:1" x14ac:dyDescent="0.25">
      <c r="A3626" s="8" t="s">
        <v>10581</v>
      </c>
    </row>
    <row r="3627" spans="1:1" x14ac:dyDescent="0.25">
      <c r="A3627" s="7" t="s">
        <v>10466</v>
      </c>
    </row>
    <row r="3628" spans="1:1" x14ac:dyDescent="0.25">
      <c r="A3628" s="7" t="s">
        <v>10466</v>
      </c>
    </row>
    <row r="3629" spans="1:1" x14ac:dyDescent="0.25">
      <c r="A3629" s="7" t="s">
        <v>10466</v>
      </c>
    </row>
    <row r="3630" spans="1:1" x14ac:dyDescent="0.25">
      <c r="A3630" s="7" t="s">
        <v>10466</v>
      </c>
    </row>
    <row r="3631" spans="1:1" x14ac:dyDescent="0.25">
      <c r="A3631" s="7" t="s">
        <v>10466</v>
      </c>
    </row>
    <row r="3632" spans="1:1" x14ac:dyDescent="0.25">
      <c r="A3632" s="7" t="s">
        <v>9508</v>
      </c>
    </row>
    <row r="3633" spans="1:1" x14ac:dyDescent="0.25">
      <c r="A3633" s="7" t="s">
        <v>9508</v>
      </c>
    </row>
    <row r="3634" spans="1:1" x14ac:dyDescent="0.25">
      <c r="A3634" s="7" t="s">
        <v>9508</v>
      </c>
    </row>
    <row r="3635" spans="1:1" x14ac:dyDescent="0.25">
      <c r="A3635" s="7" t="s">
        <v>6547</v>
      </c>
    </row>
    <row r="3636" spans="1:1" x14ac:dyDescent="0.25">
      <c r="A3636" s="8" t="s">
        <v>9741</v>
      </c>
    </row>
    <row r="3637" spans="1:1" x14ac:dyDescent="0.25">
      <c r="A3637" s="7" t="s">
        <v>10389</v>
      </c>
    </row>
    <row r="3638" spans="1:1" x14ac:dyDescent="0.25">
      <c r="A3638" s="8" t="s">
        <v>9685</v>
      </c>
    </row>
    <row r="3639" spans="1:1" x14ac:dyDescent="0.25">
      <c r="A3639" s="7" t="s">
        <v>1654</v>
      </c>
    </row>
    <row r="3640" spans="1:1" x14ac:dyDescent="0.25">
      <c r="A3640" s="8" t="s">
        <v>10195</v>
      </c>
    </row>
    <row r="3641" spans="1:1" x14ac:dyDescent="0.25">
      <c r="A3641" s="8" t="s">
        <v>10195</v>
      </c>
    </row>
    <row r="3642" spans="1:1" x14ac:dyDescent="0.25">
      <c r="A3642" s="8" t="s">
        <v>9821</v>
      </c>
    </row>
    <row r="3643" spans="1:1" x14ac:dyDescent="0.25">
      <c r="A3643" s="7" t="s">
        <v>7892</v>
      </c>
    </row>
    <row r="3644" spans="1:1" x14ac:dyDescent="0.25">
      <c r="A3644" s="7" t="s">
        <v>7892</v>
      </c>
    </row>
    <row r="3645" spans="1:1" x14ac:dyDescent="0.25">
      <c r="A3645" s="7" t="s">
        <v>7892</v>
      </c>
    </row>
    <row r="3646" spans="1:1" x14ac:dyDescent="0.25">
      <c r="A3646" s="8" t="s">
        <v>7892</v>
      </c>
    </row>
    <row r="3647" spans="1:1" x14ac:dyDescent="0.25">
      <c r="A3647" s="8" t="s">
        <v>7892</v>
      </c>
    </row>
    <row r="3648" spans="1:1" x14ac:dyDescent="0.25">
      <c r="A3648" s="8" t="s">
        <v>7892</v>
      </c>
    </row>
    <row r="3649" spans="1:1" x14ac:dyDescent="0.25">
      <c r="A3649" s="8" t="s">
        <v>7892</v>
      </c>
    </row>
    <row r="3650" spans="1:1" x14ac:dyDescent="0.25">
      <c r="A3650" s="8" t="s">
        <v>7892</v>
      </c>
    </row>
    <row r="3651" spans="1:1" x14ac:dyDescent="0.25">
      <c r="A3651" s="8" t="s">
        <v>7892</v>
      </c>
    </row>
    <row r="3652" spans="1:1" x14ac:dyDescent="0.25">
      <c r="A3652" s="7" t="s">
        <v>3797</v>
      </c>
    </row>
    <row r="3653" spans="1:1" x14ac:dyDescent="0.25">
      <c r="A3653" s="7" t="s">
        <v>3797</v>
      </c>
    </row>
    <row r="3654" spans="1:1" x14ac:dyDescent="0.25">
      <c r="A3654" s="7" t="s">
        <v>3797</v>
      </c>
    </row>
    <row r="3655" spans="1:1" x14ac:dyDescent="0.25">
      <c r="A3655" s="7" t="s">
        <v>3637</v>
      </c>
    </row>
    <row r="3656" spans="1:1" x14ac:dyDescent="0.25">
      <c r="A3656" s="7" t="s">
        <v>3637</v>
      </c>
    </row>
    <row r="3657" spans="1:1" x14ac:dyDescent="0.25">
      <c r="A3657" s="7" t="s">
        <v>3637</v>
      </c>
    </row>
    <row r="3658" spans="1:1" x14ac:dyDescent="0.25">
      <c r="A3658" s="8" t="s">
        <v>3637</v>
      </c>
    </row>
    <row r="3659" spans="1:1" x14ac:dyDescent="0.25">
      <c r="A3659" s="8" t="s">
        <v>3637</v>
      </c>
    </row>
    <row r="3660" spans="1:1" x14ac:dyDescent="0.25">
      <c r="A3660" s="8" t="s">
        <v>3637</v>
      </c>
    </row>
    <row r="3661" spans="1:1" x14ac:dyDescent="0.25">
      <c r="A3661" s="7" t="s">
        <v>9300</v>
      </c>
    </row>
    <row r="3662" spans="1:1" x14ac:dyDescent="0.25">
      <c r="A3662" s="7" t="s">
        <v>9300</v>
      </c>
    </row>
    <row r="3663" spans="1:1" x14ac:dyDescent="0.25">
      <c r="A3663" s="7" t="s">
        <v>9300</v>
      </c>
    </row>
    <row r="3664" spans="1:1" x14ac:dyDescent="0.25">
      <c r="A3664" s="8" t="s">
        <v>9300</v>
      </c>
    </row>
    <row r="3665" spans="1:1" x14ac:dyDescent="0.25">
      <c r="A3665" s="8" t="s">
        <v>9300</v>
      </c>
    </row>
    <row r="3666" spans="1:1" x14ac:dyDescent="0.25">
      <c r="A3666" s="8" t="s">
        <v>9300</v>
      </c>
    </row>
    <row r="3667" spans="1:1" x14ac:dyDescent="0.25">
      <c r="A3667" s="8" t="s">
        <v>9300</v>
      </c>
    </row>
    <row r="3668" spans="1:1" x14ac:dyDescent="0.25">
      <c r="A3668" s="8" t="s">
        <v>9300</v>
      </c>
    </row>
    <row r="3669" spans="1:1" x14ac:dyDescent="0.25">
      <c r="A3669" s="8" t="s">
        <v>9325</v>
      </c>
    </row>
    <row r="3670" spans="1:1" x14ac:dyDescent="0.25">
      <c r="A3670" s="8" t="s">
        <v>9908</v>
      </c>
    </row>
    <row r="3671" spans="1:1" x14ac:dyDescent="0.25">
      <c r="A3671" s="8" t="s">
        <v>8887</v>
      </c>
    </row>
    <row r="3672" spans="1:1" x14ac:dyDescent="0.25">
      <c r="A3672" s="8" t="s">
        <v>8887</v>
      </c>
    </row>
    <row r="3673" spans="1:1" x14ac:dyDescent="0.25">
      <c r="A3673" s="8" t="s">
        <v>9350</v>
      </c>
    </row>
    <row r="3674" spans="1:1" x14ac:dyDescent="0.25">
      <c r="A3674" s="8" t="s">
        <v>9350</v>
      </c>
    </row>
    <row r="3675" spans="1:1" x14ac:dyDescent="0.25">
      <c r="A3675" s="8" t="s">
        <v>9350</v>
      </c>
    </row>
    <row r="3676" spans="1:1" x14ac:dyDescent="0.25">
      <c r="A3676" s="8" t="s">
        <v>9967</v>
      </c>
    </row>
    <row r="3677" spans="1:1" x14ac:dyDescent="0.25">
      <c r="A3677" s="8" t="s">
        <v>8990</v>
      </c>
    </row>
    <row r="3678" spans="1:1" x14ac:dyDescent="0.25">
      <c r="A3678" s="8" t="s">
        <v>8990</v>
      </c>
    </row>
    <row r="3679" spans="1:1" x14ac:dyDescent="0.25">
      <c r="A3679" s="7" t="s">
        <v>8194</v>
      </c>
    </row>
    <row r="3680" spans="1:1" x14ac:dyDescent="0.25">
      <c r="A3680" s="8" t="s">
        <v>10185</v>
      </c>
    </row>
    <row r="3681" spans="1:1" x14ac:dyDescent="0.25">
      <c r="A3681" s="7" t="s">
        <v>6465</v>
      </c>
    </row>
    <row r="3682" spans="1:1" x14ac:dyDescent="0.25">
      <c r="A3682" s="7" t="s">
        <v>9368</v>
      </c>
    </row>
    <row r="3683" spans="1:1" x14ac:dyDescent="0.25">
      <c r="A3683" s="7" t="s">
        <v>9460</v>
      </c>
    </row>
    <row r="3684" spans="1:1" x14ac:dyDescent="0.25">
      <c r="A3684" s="7" t="s">
        <v>9460</v>
      </c>
    </row>
    <row r="3685" spans="1:1" x14ac:dyDescent="0.25">
      <c r="A3685" s="7" t="s">
        <v>6978</v>
      </c>
    </row>
    <row r="3686" spans="1:1" x14ac:dyDescent="0.25">
      <c r="A3686" s="7" t="s">
        <v>8864</v>
      </c>
    </row>
    <row r="3687" spans="1:1" x14ac:dyDescent="0.25">
      <c r="A3687" s="8" t="s">
        <v>10542</v>
      </c>
    </row>
    <row r="3688" spans="1:1" x14ac:dyDescent="0.25">
      <c r="A3688" s="7" t="s">
        <v>9956</v>
      </c>
    </row>
    <row r="3689" spans="1:1" x14ac:dyDescent="0.25">
      <c r="A3689" s="7" t="s">
        <v>8837</v>
      </c>
    </row>
    <row r="3690" spans="1:1" x14ac:dyDescent="0.25">
      <c r="A3690" s="7" t="s">
        <v>8837</v>
      </c>
    </row>
    <row r="3691" spans="1:1" x14ac:dyDescent="0.25">
      <c r="A3691" s="7" t="s">
        <v>8837</v>
      </c>
    </row>
    <row r="3692" spans="1:1" x14ac:dyDescent="0.25">
      <c r="A3692" s="7" t="s">
        <v>8837</v>
      </c>
    </row>
    <row r="3693" spans="1:1" x14ac:dyDescent="0.25">
      <c r="A3693" s="8" t="s">
        <v>9614</v>
      </c>
    </row>
    <row r="3694" spans="1:1" x14ac:dyDescent="0.25">
      <c r="A3694" s="8" t="s">
        <v>9609</v>
      </c>
    </row>
    <row r="3695" spans="1:1" x14ac:dyDescent="0.25">
      <c r="A3695" s="8" t="s">
        <v>9922</v>
      </c>
    </row>
    <row r="3696" spans="1:1" x14ac:dyDescent="0.25">
      <c r="A3696" s="8" t="s">
        <v>10371</v>
      </c>
    </row>
    <row r="3697" spans="1:1" x14ac:dyDescent="0.25">
      <c r="A3697" s="7" t="s">
        <v>8390</v>
      </c>
    </row>
    <row r="3698" spans="1:1" x14ac:dyDescent="0.25">
      <c r="A3698" s="8" t="s">
        <v>9677</v>
      </c>
    </row>
    <row r="3699" spans="1:1" x14ac:dyDescent="0.25">
      <c r="A3699" s="8" t="s">
        <v>10130</v>
      </c>
    </row>
    <row r="3700" spans="1:1" x14ac:dyDescent="0.25">
      <c r="A3700" s="7" t="s">
        <v>2548</v>
      </c>
    </row>
    <row r="3701" spans="1:1" x14ac:dyDescent="0.25">
      <c r="A3701" s="7" t="s">
        <v>2548</v>
      </c>
    </row>
    <row r="3702" spans="1:1" x14ac:dyDescent="0.25">
      <c r="A3702" s="7" t="s">
        <v>2548</v>
      </c>
    </row>
    <row r="3703" spans="1:1" x14ac:dyDescent="0.25">
      <c r="A3703" s="8" t="s">
        <v>10011</v>
      </c>
    </row>
    <row r="3704" spans="1:1" x14ac:dyDescent="0.25">
      <c r="A3704" s="8" t="s">
        <v>9744</v>
      </c>
    </row>
    <row r="3705" spans="1:1" x14ac:dyDescent="0.25">
      <c r="A3705" s="8" t="s">
        <v>10222</v>
      </c>
    </row>
    <row r="3706" spans="1:1" x14ac:dyDescent="0.25">
      <c r="A3706" s="7" t="s">
        <v>9079</v>
      </c>
    </row>
    <row r="3707" spans="1:1" x14ac:dyDescent="0.25">
      <c r="A3707" s="7" t="s">
        <v>9995</v>
      </c>
    </row>
    <row r="3708" spans="1:1" x14ac:dyDescent="0.25">
      <c r="A3708" s="7" t="s">
        <v>9995</v>
      </c>
    </row>
    <row r="3709" spans="1:1" x14ac:dyDescent="0.25">
      <c r="A3709" s="8" t="s">
        <v>10492</v>
      </c>
    </row>
    <row r="3710" spans="1:1" x14ac:dyDescent="0.25">
      <c r="A3710" s="7" t="s">
        <v>3134</v>
      </c>
    </row>
    <row r="3711" spans="1:1" x14ac:dyDescent="0.25">
      <c r="A3711" s="7" t="s">
        <v>9757</v>
      </c>
    </row>
    <row r="3712" spans="1:1" x14ac:dyDescent="0.25">
      <c r="A3712" s="7" t="s">
        <v>9897</v>
      </c>
    </row>
    <row r="3713" spans="1:1" x14ac:dyDescent="0.25">
      <c r="A3713" s="7" t="s">
        <v>5739</v>
      </c>
    </row>
    <row r="3714" spans="1:1" x14ac:dyDescent="0.25">
      <c r="A3714" s="7" t="s">
        <v>9397</v>
      </c>
    </row>
    <row r="3715" spans="1:1" x14ac:dyDescent="0.25">
      <c r="A3715" s="8" t="s">
        <v>9397</v>
      </c>
    </row>
    <row r="3716" spans="1:1" x14ac:dyDescent="0.25">
      <c r="A3716" s="8" t="s">
        <v>9397</v>
      </c>
    </row>
    <row r="3717" spans="1:1" x14ac:dyDescent="0.25">
      <c r="A3717" s="8" t="s">
        <v>9397</v>
      </c>
    </row>
    <row r="3718" spans="1:1" x14ac:dyDescent="0.25">
      <c r="A3718" s="7" t="s">
        <v>9853</v>
      </c>
    </row>
    <row r="3719" spans="1:1" x14ac:dyDescent="0.25">
      <c r="A3719" s="8" t="s">
        <v>10041</v>
      </c>
    </row>
    <row r="3720" spans="1:1" x14ac:dyDescent="0.25">
      <c r="A3720" s="8" t="s">
        <v>10506</v>
      </c>
    </row>
    <row r="3721" spans="1:1" x14ac:dyDescent="0.25">
      <c r="A3721" s="7" t="s">
        <v>314</v>
      </c>
    </row>
    <row r="3722" spans="1:1" x14ac:dyDescent="0.25">
      <c r="A3722" s="7" t="s">
        <v>314</v>
      </c>
    </row>
    <row r="3723" spans="1:1" x14ac:dyDescent="0.25">
      <c r="A3723" s="7" t="s">
        <v>314</v>
      </c>
    </row>
    <row r="3724" spans="1:1" x14ac:dyDescent="0.25">
      <c r="A3724" s="8" t="s">
        <v>314</v>
      </c>
    </row>
    <row r="3725" spans="1:1" x14ac:dyDescent="0.25">
      <c r="A3725" s="8" t="s">
        <v>314</v>
      </c>
    </row>
    <row r="3726" spans="1:1" x14ac:dyDescent="0.25">
      <c r="A3726" s="8" t="s">
        <v>314</v>
      </c>
    </row>
    <row r="3727" spans="1:1" x14ac:dyDescent="0.25">
      <c r="A3727" s="7" t="s">
        <v>5308</v>
      </c>
    </row>
    <row r="3728" spans="1:1" x14ac:dyDescent="0.25">
      <c r="A3728" s="7" t="s">
        <v>5308</v>
      </c>
    </row>
    <row r="3729" spans="1:1" x14ac:dyDescent="0.25">
      <c r="A3729" s="7" t="s">
        <v>5308</v>
      </c>
    </row>
    <row r="3730" spans="1:1" x14ac:dyDescent="0.25">
      <c r="A3730" s="7" t="s">
        <v>5308</v>
      </c>
    </row>
    <row r="3731" spans="1:1" x14ac:dyDescent="0.25">
      <c r="A3731" s="7" t="s">
        <v>5308</v>
      </c>
    </row>
    <row r="3732" spans="1:1" x14ac:dyDescent="0.25">
      <c r="A3732" s="7" t="s">
        <v>5308</v>
      </c>
    </row>
    <row r="3733" spans="1:1" x14ac:dyDescent="0.25">
      <c r="A3733" s="7" t="s">
        <v>5308</v>
      </c>
    </row>
    <row r="3734" spans="1:1" x14ac:dyDescent="0.25">
      <c r="A3734" s="7" t="s">
        <v>5308</v>
      </c>
    </row>
    <row r="3735" spans="1:1" x14ac:dyDescent="0.25">
      <c r="A3735" s="8" t="s">
        <v>5308</v>
      </c>
    </row>
    <row r="3736" spans="1:1" x14ac:dyDescent="0.25">
      <c r="A3736" s="8" t="s">
        <v>5308</v>
      </c>
    </row>
    <row r="3737" spans="1:1" x14ac:dyDescent="0.25">
      <c r="A3737" s="8" t="s">
        <v>5308</v>
      </c>
    </row>
    <row r="3738" spans="1:1" x14ac:dyDescent="0.25">
      <c r="A3738" s="8" t="s">
        <v>5308</v>
      </c>
    </row>
    <row r="3739" spans="1:1" x14ac:dyDescent="0.25">
      <c r="A3739" s="8" t="s">
        <v>10338</v>
      </c>
    </row>
    <row r="3740" spans="1:1" x14ac:dyDescent="0.25">
      <c r="A3740" s="8" t="s">
        <v>8853</v>
      </c>
    </row>
    <row r="3741" spans="1:1" x14ac:dyDescent="0.25">
      <c r="A3741" s="8" t="s">
        <v>9190</v>
      </c>
    </row>
    <row r="3742" spans="1:1" x14ac:dyDescent="0.25">
      <c r="A3742" s="7" t="s">
        <v>8892</v>
      </c>
    </row>
    <row r="3743" spans="1:1" x14ac:dyDescent="0.25">
      <c r="A3743" s="7" t="s">
        <v>8892</v>
      </c>
    </row>
    <row r="3744" spans="1:1" x14ac:dyDescent="0.25">
      <c r="A3744" s="7" t="s">
        <v>8892</v>
      </c>
    </row>
    <row r="3745" spans="1:1" x14ac:dyDescent="0.25">
      <c r="A3745" s="7" t="s">
        <v>8892</v>
      </c>
    </row>
    <row r="3746" spans="1:1" x14ac:dyDescent="0.25">
      <c r="A3746" s="7" t="s">
        <v>8892</v>
      </c>
    </row>
    <row r="3747" spans="1:1" x14ac:dyDescent="0.25">
      <c r="A3747" s="7" t="s">
        <v>8892</v>
      </c>
    </row>
    <row r="3748" spans="1:1" x14ac:dyDescent="0.25">
      <c r="A3748" s="7" t="s">
        <v>8892</v>
      </c>
    </row>
    <row r="3749" spans="1:1" x14ac:dyDescent="0.25">
      <c r="A3749" s="7" t="s">
        <v>8892</v>
      </c>
    </row>
    <row r="3750" spans="1:1" x14ac:dyDescent="0.25">
      <c r="A3750" s="7" t="s">
        <v>8892</v>
      </c>
    </row>
    <row r="3751" spans="1:1" x14ac:dyDescent="0.25">
      <c r="A3751" s="7" t="s">
        <v>8892</v>
      </c>
    </row>
    <row r="3752" spans="1:1" x14ac:dyDescent="0.25">
      <c r="A3752" s="7" t="s">
        <v>8892</v>
      </c>
    </row>
    <row r="3753" spans="1:1" x14ac:dyDescent="0.25">
      <c r="A3753" s="7" t="s">
        <v>8892</v>
      </c>
    </row>
    <row r="3754" spans="1:1" x14ac:dyDescent="0.25">
      <c r="A3754" s="7" t="s">
        <v>9798</v>
      </c>
    </row>
    <row r="3755" spans="1:1" x14ac:dyDescent="0.25">
      <c r="A3755" s="8" t="s">
        <v>9798</v>
      </c>
    </row>
    <row r="3756" spans="1:1" x14ac:dyDescent="0.25">
      <c r="A3756" s="7" t="s">
        <v>1925</v>
      </c>
    </row>
    <row r="3757" spans="1:1" x14ac:dyDescent="0.25">
      <c r="A3757" s="7" t="s">
        <v>1925</v>
      </c>
    </row>
    <row r="3758" spans="1:1" x14ac:dyDescent="0.25">
      <c r="A3758" s="7" t="s">
        <v>1925</v>
      </c>
    </row>
    <row r="3759" spans="1:1" x14ac:dyDescent="0.25">
      <c r="A3759" s="7" t="s">
        <v>1925</v>
      </c>
    </row>
    <row r="3760" spans="1:1" x14ac:dyDescent="0.25">
      <c r="A3760" s="8" t="s">
        <v>1925</v>
      </c>
    </row>
    <row r="3761" spans="1:1" x14ac:dyDescent="0.25">
      <c r="A3761" s="7" t="s">
        <v>5423</v>
      </c>
    </row>
    <row r="3762" spans="1:1" x14ac:dyDescent="0.25">
      <c r="A3762" s="7" t="s">
        <v>5423</v>
      </c>
    </row>
    <row r="3763" spans="1:1" x14ac:dyDescent="0.25">
      <c r="A3763" s="8" t="s">
        <v>5423</v>
      </c>
    </row>
    <row r="3764" spans="1:1" x14ac:dyDescent="0.25">
      <c r="A3764" s="8" t="s">
        <v>5423</v>
      </c>
    </row>
    <row r="3765" spans="1:1" x14ac:dyDescent="0.25">
      <c r="A3765" s="7" t="s">
        <v>10008</v>
      </c>
    </row>
    <row r="3766" spans="1:1" x14ac:dyDescent="0.25">
      <c r="A3766" s="7" t="s">
        <v>10008</v>
      </c>
    </row>
    <row r="3767" spans="1:1" x14ac:dyDescent="0.25">
      <c r="A3767" s="7" t="s">
        <v>9218</v>
      </c>
    </row>
    <row r="3768" spans="1:1" x14ac:dyDescent="0.25">
      <c r="A3768" s="8" t="s">
        <v>9218</v>
      </c>
    </row>
    <row r="3769" spans="1:1" x14ac:dyDescent="0.25">
      <c r="A3769" s="8" t="s">
        <v>9218</v>
      </c>
    </row>
    <row r="3770" spans="1:1" x14ac:dyDescent="0.25">
      <c r="A3770" s="8" t="s">
        <v>9218</v>
      </c>
    </row>
    <row r="3771" spans="1:1" x14ac:dyDescent="0.25">
      <c r="A3771" s="8" t="s">
        <v>8844</v>
      </c>
    </row>
    <row r="3772" spans="1:1" x14ac:dyDescent="0.25">
      <c r="A3772" s="8" t="s">
        <v>10305</v>
      </c>
    </row>
    <row r="3773" spans="1:1" x14ac:dyDescent="0.25">
      <c r="A3773" s="8" t="s">
        <v>10305</v>
      </c>
    </row>
    <row r="3774" spans="1:1" x14ac:dyDescent="0.25">
      <c r="A3774" s="8" t="s">
        <v>8982</v>
      </c>
    </row>
    <row r="3775" spans="1:1" x14ac:dyDescent="0.25">
      <c r="A3775" s="8" t="s">
        <v>8982</v>
      </c>
    </row>
    <row r="3776" spans="1:1" x14ac:dyDescent="0.25">
      <c r="A3776" s="8" t="s">
        <v>8982</v>
      </c>
    </row>
    <row r="3777" spans="1:1" x14ac:dyDescent="0.25">
      <c r="A3777" s="8" t="s">
        <v>8982</v>
      </c>
    </row>
    <row r="3778" spans="1:1" x14ac:dyDescent="0.25">
      <c r="A3778" s="7" t="s">
        <v>6378</v>
      </c>
    </row>
    <row r="3779" spans="1:1" x14ac:dyDescent="0.25">
      <c r="A3779" s="7" t="s">
        <v>6378</v>
      </c>
    </row>
    <row r="3780" spans="1:1" x14ac:dyDescent="0.25">
      <c r="A3780" s="8" t="s">
        <v>6378</v>
      </c>
    </row>
    <row r="3781" spans="1:1" x14ac:dyDescent="0.25">
      <c r="A3781" s="7" t="s">
        <v>2740</v>
      </c>
    </row>
    <row r="3782" spans="1:1" x14ac:dyDescent="0.25">
      <c r="A3782" s="7" t="s">
        <v>2740</v>
      </c>
    </row>
    <row r="3783" spans="1:1" x14ac:dyDescent="0.25">
      <c r="A3783" s="7" t="s">
        <v>2740</v>
      </c>
    </row>
    <row r="3784" spans="1:1" x14ac:dyDescent="0.25">
      <c r="A3784" s="7" t="s">
        <v>2740</v>
      </c>
    </row>
    <row r="3785" spans="1:1" x14ac:dyDescent="0.25">
      <c r="A3785" s="7" t="s">
        <v>2740</v>
      </c>
    </row>
    <row r="3786" spans="1:1" x14ac:dyDescent="0.25">
      <c r="A3786" s="8" t="s">
        <v>10366</v>
      </c>
    </row>
    <row r="3787" spans="1:1" x14ac:dyDescent="0.25">
      <c r="A3787" s="7" t="s">
        <v>1663</v>
      </c>
    </row>
    <row r="3788" spans="1:1" x14ac:dyDescent="0.25">
      <c r="A3788" s="8" t="s">
        <v>10060</v>
      </c>
    </row>
    <row r="3789" spans="1:1" x14ac:dyDescent="0.25">
      <c r="A3789" s="7" t="s">
        <v>3438</v>
      </c>
    </row>
    <row r="3790" spans="1:1" x14ac:dyDescent="0.25">
      <c r="A3790" s="7" t="s">
        <v>10464</v>
      </c>
    </row>
    <row r="3791" spans="1:1" x14ac:dyDescent="0.25">
      <c r="A3791" s="7" t="s">
        <v>10513</v>
      </c>
    </row>
    <row r="3792" spans="1:1" x14ac:dyDescent="0.25">
      <c r="A3792" s="7" t="s">
        <v>10513</v>
      </c>
    </row>
    <row r="3793" spans="1:1" x14ac:dyDescent="0.25">
      <c r="A3793" s="8" t="s">
        <v>10612</v>
      </c>
    </row>
    <row r="3794" spans="1:1" x14ac:dyDescent="0.25">
      <c r="A3794" s="8" t="s">
        <v>10444</v>
      </c>
    </row>
    <row r="3795" spans="1:1" x14ac:dyDescent="0.25">
      <c r="A3795" s="8" t="s">
        <v>10587</v>
      </c>
    </row>
    <row r="3796" spans="1:1" x14ac:dyDescent="0.25">
      <c r="A3796" s="8" t="s">
        <v>10176</v>
      </c>
    </row>
    <row r="3797" spans="1:1" x14ac:dyDescent="0.25">
      <c r="A3797" s="7" t="s">
        <v>10381</v>
      </c>
    </row>
    <row r="3798" spans="1:1" x14ac:dyDescent="0.25">
      <c r="A3798" s="7" t="s">
        <v>9668</v>
      </c>
    </row>
    <row r="3799" spans="1:1" x14ac:dyDescent="0.25">
      <c r="A3799" s="8" t="s">
        <v>9668</v>
      </c>
    </row>
    <row r="3800" spans="1:1" x14ac:dyDescent="0.25">
      <c r="A3800" s="7" t="s">
        <v>234</v>
      </c>
    </row>
    <row r="3801" spans="1:1" x14ac:dyDescent="0.25">
      <c r="A3801" s="7" t="s">
        <v>6267</v>
      </c>
    </row>
    <row r="3802" spans="1:1" x14ac:dyDescent="0.25">
      <c r="A3802" s="7" t="s">
        <v>6267</v>
      </c>
    </row>
    <row r="3803" spans="1:1" x14ac:dyDescent="0.25">
      <c r="A3803" s="7" t="s">
        <v>9549</v>
      </c>
    </row>
    <row r="3804" spans="1:1" x14ac:dyDescent="0.25">
      <c r="A3804" s="8" t="s">
        <v>10212</v>
      </c>
    </row>
    <row r="3805" spans="1:1" x14ac:dyDescent="0.25">
      <c r="A3805" s="7" t="s">
        <v>34</v>
      </c>
    </row>
    <row r="3806" spans="1:1" x14ac:dyDescent="0.25">
      <c r="A3806" s="7" t="s">
        <v>9043</v>
      </c>
    </row>
    <row r="3807" spans="1:1" x14ac:dyDescent="0.25">
      <c r="A3807" s="8" t="s">
        <v>9975</v>
      </c>
    </row>
    <row r="3808" spans="1:1" x14ac:dyDescent="0.25">
      <c r="A3808" s="8" t="s">
        <v>9475</v>
      </c>
    </row>
    <row r="3809" spans="1:1" x14ac:dyDescent="0.25">
      <c r="A3809" s="8" t="s">
        <v>10306</v>
      </c>
    </row>
    <row r="3810" spans="1:1" x14ac:dyDescent="0.25">
      <c r="A3810" s="8" t="s">
        <v>9138</v>
      </c>
    </row>
    <row r="3811" spans="1:1" x14ac:dyDescent="0.25">
      <c r="A3811" s="7" t="s">
        <v>7838</v>
      </c>
    </row>
    <row r="3812" spans="1:1" x14ac:dyDescent="0.25">
      <c r="A3812" s="7" t="s">
        <v>7838</v>
      </c>
    </row>
    <row r="3813" spans="1:1" x14ac:dyDescent="0.25">
      <c r="A3813" s="8" t="s">
        <v>7838</v>
      </c>
    </row>
    <row r="3814" spans="1:1" x14ac:dyDescent="0.25">
      <c r="A3814" s="8" t="s">
        <v>10405</v>
      </c>
    </row>
    <row r="3815" spans="1:1" x14ac:dyDescent="0.25">
      <c r="A3815" s="8" t="s">
        <v>10405</v>
      </c>
    </row>
    <row r="3816" spans="1:1" x14ac:dyDescent="0.25">
      <c r="A3816" s="8" t="s">
        <v>10405</v>
      </c>
    </row>
    <row r="3817" spans="1:1" x14ac:dyDescent="0.25">
      <c r="A3817" s="8" t="s">
        <v>10405</v>
      </c>
    </row>
    <row r="3818" spans="1:1" x14ac:dyDescent="0.25">
      <c r="A3818" s="7" t="s">
        <v>9413</v>
      </c>
    </row>
    <row r="3819" spans="1:1" x14ac:dyDescent="0.25">
      <c r="A3819" s="7" t="s">
        <v>9257</v>
      </c>
    </row>
    <row r="3820" spans="1:1" x14ac:dyDescent="0.25">
      <c r="A3820" s="7" t="s">
        <v>9257</v>
      </c>
    </row>
    <row r="3821" spans="1:1" x14ac:dyDescent="0.25">
      <c r="A3821" s="7" t="s">
        <v>9257</v>
      </c>
    </row>
    <row r="3822" spans="1:1" x14ac:dyDescent="0.25">
      <c r="A3822" s="7" t="s">
        <v>4145</v>
      </c>
    </row>
    <row r="3823" spans="1:1" x14ac:dyDescent="0.25">
      <c r="A3823" s="8" t="s">
        <v>10261</v>
      </c>
    </row>
    <row r="3824" spans="1:1" x14ac:dyDescent="0.25">
      <c r="A3824" s="8" t="s">
        <v>10095</v>
      </c>
    </row>
    <row r="3825" spans="1:1" x14ac:dyDescent="0.25">
      <c r="A3825" s="8" t="s">
        <v>8989</v>
      </c>
    </row>
    <row r="3826" spans="1:1" x14ac:dyDescent="0.25">
      <c r="A3826" s="8" t="s">
        <v>8989</v>
      </c>
    </row>
    <row r="3827" spans="1:1" x14ac:dyDescent="0.25">
      <c r="A3827" s="8" t="s">
        <v>10141</v>
      </c>
    </row>
    <row r="3828" spans="1:1" x14ac:dyDescent="0.25">
      <c r="A3828" s="7" t="s">
        <v>5032</v>
      </c>
    </row>
    <row r="3829" spans="1:1" x14ac:dyDescent="0.25">
      <c r="A3829" s="7" t="s">
        <v>5032</v>
      </c>
    </row>
    <row r="3830" spans="1:1" x14ac:dyDescent="0.25">
      <c r="A3830" s="7" t="s">
        <v>5032</v>
      </c>
    </row>
    <row r="3831" spans="1:1" x14ac:dyDescent="0.25">
      <c r="A3831" s="8" t="s">
        <v>5032</v>
      </c>
    </row>
    <row r="3832" spans="1:1" x14ac:dyDescent="0.25">
      <c r="A3832" s="8" t="s">
        <v>5032</v>
      </c>
    </row>
    <row r="3833" spans="1:1" x14ac:dyDescent="0.25">
      <c r="A3833" s="8" t="s">
        <v>5032</v>
      </c>
    </row>
    <row r="3834" spans="1:1" x14ac:dyDescent="0.25">
      <c r="A3834" s="8" t="s">
        <v>8925</v>
      </c>
    </row>
    <row r="3835" spans="1:1" x14ac:dyDescent="0.25">
      <c r="A3835" s="7" t="s">
        <v>8002</v>
      </c>
    </row>
    <row r="3836" spans="1:1" x14ac:dyDescent="0.25">
      <c r="A3836" s="7" t="s">
        <v>8002</v>
      </c>
    </row>
    <row r="3837" spans="1:1" x14ac:dyDescent="0.25">
      <c r="A3837" s="7" t="s">
        <v>8314</v>
      </c>
    </row>
    <row r="3838" spans="1:1" x14ac:dyDescent="0.25">
      <c r="A3838" s="8" t="s">
        <v>9000</v>
      </c>
    </row>
    <row r="3839" spans="1:1" x14ac:dyDescent="0.25">
      <c r="A3839" s="7" t="s">
        <v>8940</v>
      </c>
    </row>
    <row r="3840" spans="1:1" x14ac:dyDescent="0.25">
      <c r="A3840" s="8" t="s">
        <v>8940</v>
      </c>
    </row>
    <row r="3841" spans="1:1" x14ac:dyDescent="0.25">
      <c r="A3841" s="8" t="s">
        <v>9160</v>
      </c>
    </row>
    <row r="3842" spans="1:1" x14ac:dyDescent="0.25">
      <c r="A3842" s="7" t="s">
        <v>9385</v>
      </c>
    </row>
    <row r="3843" spans="1:1" x14ac:dyDescent="0.25">
      <c r="A3843" s="8" t="s">
        <v>9385</v>
      </c>
    </row>
    <row r="3844" spans="1:1" x14ac:dyDescent="0.25">
      <c r="A3844" s="8" t="s">
        <v>9385</v>
      </c>
    </row>
    <row r="3845" spans="1:1" x14ac:dyDescent="0.25">
      <c r="A3845" s="7" t="s">
        <v>10040</v>
      </c>
    </row>
    <row r="3846" spans="1:1" x14ac:dyDescent="0.25">
      <c r="A3846" s="7" t="s">
        <v>10040</v>
      </c>
    </row>
    <row r="3847" spans="1:1" x14ac:dyDescent="0.25">
      <c r="A3847" s="8" t="s">
        <v>10446</v>
      </c>
    </row>
    <row r="3848" spans="1:1" x14ac:dyDescent="0.25">
      <c r="A3848" s="8" t="s">
        <v>10446</v>
      </c>
    </row>
    <row r="3849" spans="1:1" x14ac:dyDescent="0.25">
      <c r="A3849" s="8" t="s">
        <v>10182</v>
      </c>
    </row>
    <row r="3850" spans="1:1" x14ac:dyDescent="0.25">
      <c r="A3850" s="8" t="s">
        <v>10105</v>
      </c>
    </row>
    <row r="3851" spans="1:1" x14ac:dyDescent="0.25">
      <c r="A3851" s="8" t="s">
        <v>10105</v>
      </c>
    </row>
    <row r="3852" spans="1:1" x14ac:dyDescent="0.25">
      <c r="A3852" s="8" t="s">
        <v>9669</v>
      </c>
    </row>
    <row r="3853" spans="1:1" x14ac:dyDescent="0.25">
      <c r="A3853" s="8" t="s">
        <v>9669</v>
      </c>
    </row>
    <row r="3854" spans="1:1" x14ac:dyDescent="0.25">
      <c r="A3854" s="8" t="s">
        <v>9631</v>
      </c>
    </row>
    <row r="3855" spans="1:1" x14ac:dyDescent="0.25">
      <c r="A3855" s="7" t="s">
        <v>2524</v>
      </c>
    </row>
    <row r="3856" spans="1:1" x14ac:dyDescent="0.25">
      <c r="A3856" s="7" t="s">
        <v>2524</v>
      </c>
    </row>
    <row r="3857" spans="1:1" x14ac:dyDescent="0.25">
      <c r="A3857" s="7" t="s">
        <v>2524</v>
      </c>
    </row>
    <row r="3858" spans="1:1" x14ac:dyDescent="0.25">
      <c r="A3858" s="7" t="s">
        <v>2524</v>
      </c>
    </row>
    <row r="3859" spans="1:1" x14ac:dyDescent="0.25">
      <c r="A3859" s="8" t="s">
        <v>2524</v>
      </c>
    </row>
    <row r="3860" spans="1:1" x14ac:dyDescent="0.25">
      <c r="A3860" s="8" t="s">
        <v>2524</v>
      </c>
    </row>
    <row r="3861" spans="1:1" x14ac:dyDescent="0.25">
      <c r="A3861" s="8" t="s">
        <v>2524</v>
      </c>
    </row>
    <row r="3862" spans="1:1" x14ac:dyDescent="0.25">
      <c r="A3862" s="8" t="s">
        <v>2524</v>
      </c>
    </row>
    <row r="3863" spans="1:1" x14ac:dyDescent="0.25">
      <c r="A3863" s="7" t="s">
        <v>4762</v>
      </c>
    </row>
    <row r="3864" spans="1:1" x14ac:dyDescent="0.25">
      <c r="A3864" s="7" t="s">
        <v>4762</v>
      </c>
    </row>
    <row r="3865" spans="1:1" x14ac:dyDescent="0.25">
      <c r="A3865" s="7" t="s">
        <v>10487</v>
      </c>
    </row>
    <row r="3866" spans="1:1" x14ac:dyDescent="0.25">
      <c r="A3866" s="8" t="s">
        <v>9054</v>
      </c>
    </row>
    <row r="3867" spans="1:1" x14ac:dyDescent="0.25">
      <c r="A3867" s="8" t="s">
        <v>9054</v>
      </c>
    </row>
    <row r="3868" spans="1:1" x14ac:dyDescent="0.25">
      <c r="A3868" s="8" t="s">
        <v>9054</v>
      </c>
    </row>
    <row r="3869" spans="1:1" x14ac:dyDescent="0.25">
      <c r="A3869" s="8" t="s">
        <v>9054</v>
      </c>
    </row>
    <row r="3870" spans="1:1" x14ac:dyDescent="0.25">
      <c r="A3870" s="7" t="s">
        <v>9981</v>
      </c>
    </row>
    <row r="3871" spans="1:1" x14ac:dyDescent="0.25">
      <c r="A3871" s="7" t="s">
        <v>9547</v>
      </c>
    </row>
    <row r="3872" spans="1:1" x14ac:dyDescent="0.25">
      <c r="A3872" s="7" t="s">
        <v>9547</v>
      </c>
    </row>
    <row r="3873" spans="1:1" x14ac:dyDescent="0.25">
      <c r="A3873" s="7" t="s">
        <v>9547</v>
      </c>
    </row>
    <row r="3874" spans="1:1" x14ac:dyDescent="0.25">
      <c r="A3874" s="7" t="s">
        <v>10000</v>
      </c>
    </row>
    <row r="3875" spans="1:1" x14ac:dyDescent="0.25">
      <c r="A3875" s="8" t="s">
        <v>10000</v>
      </c>
    </row>
    <row r="3876" spans="1:1" x14ac:dyDescent="0.25">
      <c r="A3876" s="7" t="s">
        <v>9990</v>
      </c>
    </row>
    <row r="3877" spans="1:1" x14ac:dyDescent="0.25">
      <c r="A3877" s="8" t="s">
        <v>9990</v>
      </c>
    </row>
    <row r="3878" spans="1:1" x14ac:dyDescent="0.25">
      <c r="A3878" s="7" t="s">
        <v>10367</v>
      </c>
    </row>
    <row r="3879" spans="1:1" x14ac:dyDescent="0.25">
      <c r="A3879" s="8" t="s">
        <v>9189</v>
      </c>
    </row>
    <row r="3880" spans="1:1" x14ac:dyDescent="0.25">
      <c r="A3880" s="8" t="s">
        <v>10501</v>
      </c>
    </row>
    <row r="3881" spans="1:1" x14ac:dyDescent="0.25">
      <c r="A3881" s="8" t="s">
        <v>9860</v>
      </c>
    </row>
    <row r="3882" spans="1:1" x14ac:dyDescent="0.25">
      <c r="A3882" s="8" t="s">
        <v>9483</v>
      </c>
    </row>
    <row r="3883" spans="1:1" x14ac:dyDescent="0.25">
      <c r="A3883" s="8" t="s">
        <v>8863</v>
      </c>
    </row>
    <row r="3884" spans="1:1" x14ac:dyDescent="0.25">
      <c r="A3884" s="7" t="s">
        <v>9537</v>
      </c>
    </row>
    <row r="3885" spans="1:1" x14ac:dyDescent="0.25">
      <c r="A3885" s="7" t="s">
        <v>9537</v>
      </c>
    </row>
    <row r="3886" spans="1:1" x14ac:dyDescent="0.25">
      <c r="A3886" s="8" t="s">
        <v>9537</v>
      </c>
    </row>
    <row r="3887" spans="1:1" x14ac:dyDescent="0.25">
      <c r="A3887" s="7" t="s">
        <v>10469</v>
      </c>
    </row>
    <row r="3888" spans="1:1" x14ac:dyDescent="0.25">
      <c r="A3888" s="7" t="s">
        <v>4552</v>
      </c>
    </row>
    <row r="3889" spans="1:1" x14ac:dyDescent="0.25">
      <c r="A3889" s="7" t="s">
        <v>5018</v>
      </c>
    </row>
    <row r="3890" spans="1:1" x14ac:dyDescent="0.25">
      <c r="A3890" s="7" t="s">
        <v>4685</v>
      </c>
    </row>
    <row r="3891" spans="1:1" x14ac:dyDescent="0.25">
      <c r="A3891" s="8" t="s">
        <v>9165</v>
      </c>
    </row>
    <row r="3892" spans="1:1" x14ac:dyDescent="0.25">
      <c r="A3892" s="7" t="s">
        <v>5199</v>
      </c>
    </row>
    <row r="3893" spans="1:1" x14ac:dyDescent="0.25">
      <c r="A3893" s="7" t="s">
        <v>9720</v>
      </c>
    </row>
    <row r="3894" spans="1:1" x14ac:dyDescent="0.25">
      <c r="A3894" s="7" t="s">
        <v>4582</v>
      </c>
    </row>
    <row r="3895" spans="1:1" x14ac:dyDescent="0.25">
      <c r="A3895" s="7" t="s">
        <v>4582</v>
      </c>
    </row>
    <row r="3896" spans="1:1" x14ac:dyDescent="0.25">
      <c r="A3896" s="8" t="s">
        <v>9406</v>
      </c>
    </row>
    <row r="3897" spans="1:1" x14ac:dyDescent="0.25">
      <c r="A3897" s="7" t="s">
        <v>10088</v>
      </c>
    </row>
    <row r="3898" spans="1:1" x14ac:dyDescent="0.25">
      <c r="A3898" s="8" t="s">
        <v>9323</v>
      </c>
    </row>
    <row r="3899" spans="1:1" x14ac:dyDescent="0.25">
      <c r="A3899" s="7" t="s">
        <v>6556</v>
      </c>
    </row>
    <row r="3900" spans="1:1" x14ac:dyDescent="0.25">
      <c r="A3900" s="7" t="s">
        <v>8881</v>
      </c>
    </row>
    <row r="3901" spans="1:1" x14ac:dyDescent="0.25">
      <c r="A3901" s="7" t="s">
        <v>8881</v>
      </c>
    </row>
    <row r="3902" spans="1:1" x14ac:dyDescent="0.25">
      <c r="A3902" s="8" t="s">
        <v>8881</v>
      </c>
    </row>
    <row r="3903" spans="1:1" x14ac:dyDescent="0.25">
      <c r="A3903" s="7" t="s">
        <v>10372</v>
      </c>
    </row>
    <row r="3904" spans="1:1" x14ac:dyDescent="0.25">
      <c r="A3904" s="7" t="s">
        <v>10372</v>
      </c>
    </row>
    <row r="3905" spans="1:1" x14ac:dyDescent="0.25">
      <c r="A3905" s="7" t="s">
        <v>10372</v>
      </c>
    </row>
    <row r="3906" spans="1:1" x14ac:dyDescent="0.25">
      <c r="A3906" s="8" t="s">
        <v>10372</v>
      </c>
    </row>
    <row r="3907" spans="1:1" x14ac:dyDescent="0.25">
      <c r="A3907" s="8" t="s">
        <v>9703</v>
      </c>
    </row>
    <row r="3908" spans="1:1" x14ac:dyDescent="0.25">
      <c r="A3908" s="7" t="s">
        <v>3748</v>
      </c>
    </row>
    <row r="3909" spans="1:1" x14ac:dyDescent="0.25">
      <c r="A3909" s="7" t="s">
        <v>3748</v>
      </c>
    </row>
    <row r="3910" spans="1:1" x14ac:dyDescent="0.25">
      <c r="A3910" s="8" t="s">
        <v>3748</v>
      </c>
    </row>
    <row r="3911" spans="1:1" x14ac:dyDescent="0.25">
      <c r="A3911" s="8" t="s">
        <v>10586</v>
      </c>
    </row>
    <row r="3912" spans="1:1" x14ac:dyDescent="0.25">
      <c r="A3912" s="8" t="s">
        <v>9916</v>
      </c>
    </row>
    <row r="3913" spans="1:1" x14ac:dyDescent="0.25">
      <c r="A3913" s="8" t="s">
        <v>9805</v>
      </c>
    </row>
    <row r="3914" spans="1:1" x14ac:dyDescent="0.25">
      <c r="A3914" s="7" t="s">
        <v>3751</v>
      </c>
    </row>
    <row r="3915" spans="1:1" x14ac:dyDescent="0.25">
      <c r="A3915" s="7" t="s">
        <v>2509</v>
      </c>
    </row>
    <row r="3916" spans="1:1" x14ac:dyDescent="0.25">
      <c r="A3916" s="8" t="s">
        <v>10686</v>
      </c>
    </row>
    <row r="3917" spans="1:1" x14ac:dyDescent="0.25">
      <c r="A3917" s="8" t="s">
        <v>9951</v>
      </c>
    </row>
    <row r="3918" spans="1:1" x14ac:dyDescent="0.25">
      <c r="A3918" s="7" t="s">
        <v>2918</v>
      </c>
    </row>
    <row r="3919" spans="1:1" x14ac:dyDescent="0.25">
      <c r="A3919" s="8" t="s">
        <v>2918</v>
      </c>
    </row>
    <row r="3920" spans="1:1" x14ac:dyDescent="0.25">
      <c r="A3920" s="8" t="s">
        <v>10526</v>
      </c>
    </row>
    <row r="3921" spans="1:1" x14ac:dyDescent="0.25">
      <c r="A3921" s="8" t="s">
        <v>9388</v>
      </c>
    </row>
    <row r="3922" spans="1:1" x14ac:dyDescent="0.25">
      <c r="A3922" s="8" t="s">
        <v>9565</v>
      </c>
    </row>
    <row r="3923" spans="1:1" x14ac:dyDescent="0.25">
      <c r="A3923" s="8" t="s">
        <v>9049</v>
      </c>
    </row>
    <row r="3924" spans="1:1" x14ac:dyDescent="0.25">
      <c r="A3924" s="8" t="s">
        <v>9781</v>
      </c>
    </row>
    <row r="3925" spans="1:1" x14ac:dyDescent="0.25">
      <c r="A3925" s="8" t="s">
        <v>8890</v>
      </c>
    </row>
    <row r="3926" spans="1:1" x14ac:dyDescent="0.25">
      <c r="A3926" s="8" t="s">
        <v>8890</v>
      </c>
    </row>
    <row r="3927" spans="1:1" x14ac:dyDescent="0.25">
      <c r="A3927" s="8" t="s">
        <v>10540</v>
      </c>
    </row>
    <row r="3928" spans="1:1" x14ac:dyDescent="0.25">
      <c r="A3928" s="8" t="s">
        <v>10540</v>
      </c>
    </row>
    <row r="3929" spans="1:1" x14ac:dyDescent="0.25">
      <c r="A3929" s="7" t="s">
        <v>8841</v>
      </c>
    </row>
    <row r="3930" spans="1:1" x14ac:dyDescent="0.25">
      <c r="A3930" s="7" t="s">
        <v>10123</v>
      </c>
    </row>
    <row r="3931" spans="1:1" x14ac:dyDescent="0.25">
      <c r="A3931" s="7" t="s">
        <v>9030</v>
      </c>
    </row>
    <row r="3932" spans="1:1" x14ac:dyDescent="0.25">
      <c r="A3932" s="8" t="s">
        <v>10547</v>
      </c>
    </row>
    <row r="3933" spans="1:1" x14ac:dyDescent="0.25">
      <c r="A3933" s="7" t="s">
        <v>2689</v>
      </c>
    </row>
    <row r="3934" spans="1:1" x14ac:dyDescent="0.25">
      <c r="A3934" s="7" t="s">
        <v>2007</v>
      </c>
    </row>
    <row r="3935" spans="1:1" x14ac:dyDescent="0.25">
      <c r="A3935" s="7" t="s">
        <v>2007</v>
      </c>
    </row>
    <row r="3936" spans="1:1" x14ac:dyDescent="0.25">
      <c r="A3936" s="8" t="s">
        <v>2007</v>
      </c>
    </row>
    <row r="3937" spans="1:1" x14ac:dyDescent="0.25">
      <c r="A3937" s="8" t="s">
        <v>9711</v>
      </c>
    </row>
    <row r="3938" spans="1:1" x14ac:dyDescent="0.25">
      <c r="A3938" s="8" t="s">
        <v>9711</v>
      </c>
    </row>
    <row r="3939" spans="1:1" x14ac:dyDescent="0.25">
      <c r="A3939" s="8" t="s">
        <v>10039</v>
      </c>
    </row>
    <row r="3940" spans="1:1" x14ac:dyDescent="0.25">
      <c r="A3940" s="7" t="s">
        <v>2057</v>
      </c>
    </row>
    <row r="3941" spans="1:1" x14ac:dyDescent="0.25">
      <c r="A3941" s="7" t="s">
        <v>2057</v>
      </c>
    </row>
    <row r="3942" spans="1:1" x14ac:dyDescent="0.25">
      <c r="A3942" s="7" t="s">
        <v>2057</v>
      </c>
    </row>
    <row r="3943" spans="1:1" x14ac:dyDescent="0.25">
      <c r="A3943" s="7" t="s">
        <v>2057</v>
      </c>
    </row>
    <row r="3944" spans="1:1" x14ac:dyDescent="0.25">
      <c r="A3944" s="7" t="s">
        <v>2057</v>
      </c>
    </row>
    <row r="3945" spans="1:1" x14ac:dyDescent="0.25">
      <c r="A3945" s="7" t="s">
        <v>2057</v>
      </c>
    </row>
    <row r="3946" spans="1:1" x14ac:dyDescent="0.25">
      <c r="A3946" s="7" t="s">
        <v>2057</v>
      </c>
    </row>
    <row r="3947" spans="1:1" x14ac:dyDescent="0.25">
      <c r="A3947" s="7" t="s">
        <v>2057</v>
      </c>
    </row>
    <row r="3948" spans="1:1" x14ac:dyDescent="0.25">
      <c r="A3948" s="7" t="s">
        <v>2057</v>
      </c>
    </row>
    <row r="3949" spans="1:1" x14ac:dyDescent="0.25">
      <c r="A3949" s="7" t="s">
        <v>2057</v>
      </c>
    </row>
    <row r="3950" spans="1:1" x14ac:dyDescent="0.25">
      <c r="A3950" s="7" t="s">
        <v>2057</v>
      </c>
    </row>
    <row r="3951" spans="1:1" x14ac:dyDescent="0.25">
      <c r="A3951" s="7" t="s">
        <v>2057</v>
      </c>
    </row>
    <row r="3952" spans="1:1" x14ac:dyDescent="0.25">
      <c r="A3952" s="7" t="s">
        <v>2057</v>
      </c>
    </row>
    <row r="3953" spans="1:1" x14ac:dyDescent="0.25">
      <c r="A3953" s="7" t="s">
        <v>2057</v>
      </c>
    </row>
    <row r="3954" spans="1:1" x14ac:dyDescent="0.25">
      <c r="A3954" s="7" t="s">
        <v>2057</v>
      </c>
    </row>
    <row r="3955" spans="1:1" x14ac:dyDescent="0.25">
      <c r="A3955" s="7" t="s">
        <v>2057</v>
      </c>
    </row>
    <row r="3956" spans="1:1" x14ac:dyDescent="0.25">
      <c r="A3956" s="7" t="s">
        <v>2057</v>
      </c>
    </row>
    <row r="3957" spans="1:1" x14ac:dyDescent="0.25">
      <c r="A3957" s="7" t="s">
        <v>2057</v>
      </c>
    </row>
    <row r="3958" spans="1:1" x14ac:dyDescent="0.25">
      <c r="A3958" s="7" t="s">
        <v>2057</v>
      </c>
    </row>
    <row r="3959" spans="1:1" x14ac:dyDescent="0.25">
      <c r="A3959" s="7" t="s">
        <v>2057</v>
      </c>
    </row>
    <row r="3960" spans="1:1" x14ac:dyDescent="0.25">
      <c r="A3960" s="7" t="s">
        <v>2057</v>
      </c>
    </row>
    <row r="3961" spans="1:1" x14ac:dyDescent="0.25">
      <c r="A3961" s="7" t="s">
        <v>2057</v>
      </c>
    </row>
    <row r="3962" spans="1:1" x14ac:dyDescent="0.25">
      <c r="A3962" s="7" t="s">
        <v>2057</v>
      </c>
    </row>
    <row r="3963" spans="1:1" x14ac:dyDescent="0.25">
      <c r="A3963" s="7" t="s">
        <v>2057</v>
      </c>
    </row>
    <row r="3964" spans="1:1" x14ac:dyDescent="0.25">
      <c r="A3964" s="7" t="s">
        <v>2057</v>
      </c>
    </row>
    <row r="3965" spans="1:1" x14ac:dyDescent="0.25">
      <c r="A3965" s="7" t="s">
        <v>2057</v>
      </c>
    </row>
    <row r="3966" spans="1:1" x14ac:dyDescent="0.25">
      <c r="A3966" s="7" t="s">
        <v>2057</v>
      </c>
    </row>
    <row r="3967" spans="1:1" x14ac:dyDescent="0.25">
      <c r="A3967" s="7" t="s">
        <v>2057</v>
      </c>
    </row>
    <row r="3968" spans="1:1" x14ac:dyDescent="0.25">
      <c r="A3968" s="7" t="s">
        <v>2057</v>
      </c>
    </row>
    <row r="3969" spans="1:1" x14ac:dyDescent="0.25">
      <c r="A3969" s="7" t="s">
        <v>2057</v>
      </c>
    </row>
    <row r="3970" spans="1:1" x14ac:dyDescent="0.25">
      <c r="A3970" s="7" t="s">
        <v>2057</v>
      </c>
    </row>
    <row r="3971" spans="1:1" x14ac:dyDescent="0.25">
      <c r="A3971" s="7" t="s">
        <v>2057</v>
      </c>
    </row>
    <row r="3972" spans="1:1" x14ac:dyDescent="0.25">
      <c r="A3972" s="7" t="s">
        <v>2057</v>
      </c>
    </row>
    <row r="3973" spans="1:1" x14ac:dyDescent="0.25">
      <c r="A3973" s="7" t="s">
        <v>2057</v>
      </c>
    </row>
    <row r="3974" spans="1:1" x14ac:dyDescent="0.25">
      <c r="A3974" s="7" t="s">
        <v>2057</v>
      </c>
    </row>
    <row r="3975" spans="1:1" x14ac:dyDescent="0.25">
      <c r="A3975" s="7" t="s">
        <v>2057</v>
      </c>
    </row>
    <row r="3976" spans="1:1" x14ac:dyDescent="0.25">
      <c r="A3976" s="7" t="s">
        <v>2057</v>
      </c>
    </row>
    <row r="3977" spans="1:1" x14ac:dyDescent="0.25">
      <c r="A3977" s="7" t="s">
        <v>274</v>
      </c>
    </row>
    <row r="3978" spans="1:1" x14ac:dyDescent="0.25">
      <c r="A3978" s="8" t="s">
        <v>10249</v>
      </c>
    </row>
    <row r="3979" spans="1:1" x14ac:dyDescent="0.25">
      <c r="A3979" s="7" t="s">
        <v>2447</v>
      </c>
    </row>
    <row r="3980" spans="1:1" x14ac:dyDescent="0.25">
      <c r="A3980" s="7" t="s">
        <v>2447</v>
      </c>
    </row>
    <row r="3981" spans="1:1" x14ac:dyDescent="0.25">
      <c r="A3981" s="7" t="s">
        <v>2447</v>
      </c>
    </row>
    <row r="3982" spans="1:1" x14ac:dyDescent="0.25">
      <c r="A3982" s="8" t="s">
        <v>2447</v>
      </c>
    </row>
    <row r="3983" spans="1:1" x14ac:dyDescent="0.25">
      <c r="A3983" s="8" t="s">
        <v>2447</v>
      </c>
    </row>
    <row r="3984" spans="1:1" x14ac:dyDescent="0.25">
      <c r="A3984" s="7" t="s">
        <v>9489</v>
      </c>
    </row>
    <row r="3985" spans="1:1" x14ac:dyDescent="0.25">
      <c r="A3985" s="7" t="s">
        <v>9686</v>
      </c>
    </row>
    <row r="3986" spans="1:1" x14ac:dyDescent="0.25">
      <c r="A3986" s="8" t="s">
        <v>9559</v>
      </c>
    </row>
    <row r="3987" spans="1:1" x14ac:dyDescent="0.25">
      <c r="A3987" s="8" t="s">
        <v>10159</v>
      </c>
    </row>
    <row r="3988" spans="1:1" x14ac:dyDescent="0.25">
      <c r="A3988" s="8" t="s">
        <v>10159</v>
      </c>
    </row>
    <row r="3989" spans="1:1" x14ac:dyDescent="0.25">
      <c r="A3989" s="8" t="s">
        <v>10159</v>
      </c>
    </row>
    <row r="3990" spans="1:1" x14ac:dyDescent="0.25">
      <c r="A3990" s="7" t="s">
        <v>9005</v>
      </c>
    </row>
    <row r="3991" spans="1:1" x14ac:dyDescent="0.25">
      <c r="A3991" s="8" t="s">
        <v>9005</v>
      </c>
    </row>
    <row r="3992" spans="1:1" x14ac:dyDescent="0.25">
      <c r="A3992" s="7" t="s">
        <v>3024</v>
      </c>
    </row>
    <row r="3993" spans="1:1" x14ac:dyDescent="0.25">
      <c r="A3993" s="7" t="s">
        <v>3024</v>
      </c>
    </row>
    <row r="3994" spans="1:1" x14ac:dyDescent="0.25">
      <c r="A3994" s="7" t="s">
        <v>3024</v>
      </c>
    </row>
    <row r="3995" spans="1:1" x14ac:dyDescent="0.25">
      <c r="A3995" s="7" t="s">
        <v>3024</v>
      </c>
    </row>
    <row r="3996" spans="1:1" x14ac:dyDescent="0.25">
      <c r="A3996" s="7" t="s">
        <v>3024</v>
      </c>
    </row>
    <row r="3997" spans="1:1" x14ac:dyDescent="0.25">
      <c r="A3997" s="7" t="s">
        <v>3024</v>
      </c>
    </row>
    <row r="3998" spans="1:1" x14ac:dyDescent="0.25">
      <c r="A3998" s="7" t="s">
        <v>3024</v>
      </c>
    </row>
    <row r="3999" spans="1:1" x14ac:dyDescent="0.25">
      <c r="A3999" s="7" t="s">
        <v>3024</v>
      </c>
    </row>
    <row r="4000" spans="1:1" x14ac:dyDescent="0.25">
      <c r="A4000" s="7" t="s">
        <v>3024</v>
      </c>
    </row>
    <row r="4001" spans="1:1" x14ac:dyDescent="0.25">
      <c r="A4001" s="7" t="s">
        <v>3024</v>
      </c>
    </row>
    <row r="4002" spans="1:1" x14ac:dyDescent="0.25">
      <c r="A4002" s="7" t="s">
        <v>3024</v>
      </c>
    </row>
    <row r="4003" spans="1:1" x14ac:dyDescent="0.25">
      <c r="A4003" s="7" t="s">
        <v>3024</v>
      </c>
    </row>
    <row r="4004" spans="1:1" x14ac:dyDescent="0.25">
      <c r="A4004" s="7" t="s">
        <v>3024</v>
      </c>
    </row>
    <row r="4005" spans="1:1" x14ac:dyDescent="0.25">
      <c r="A4005" s="7" t="s">
        <v>3024</v>
      </c>
    </row>
    <row r="4006" spans="1:1" x14ac:dyDescent="0.25">
      <c r="A4006" s="7" t="s">
        <v>3024</v>
      </c>
    </row>
    <row r="4007" spans="1:1" x14ac:dyDescent="0.25">
      <c r="A4007" s="7" t="s">
        <v>3024</v>
      </c>
    </row>
    <row r="4008" spans="1:1" x14ac:dyDescent="0.25">
      <c r="A4008" s="7" t="s">
        <v>3024</v>
      </c>
    </row>
    <row r="4009" spans="1:1" x14ac:dyDescent="0.25">
      <c r="A4009" s="7" t="s">
        <v>6419</v>
      </c>
    </row>
    <row r="4010" spans="1:1" x14ac:dyDescent="0.25">
      <c r="A4010" s="7" t="s">
        <v>6419</v>
      </c>
    </row>
    <row r="4011" spans="1:1" x14ac:dyDescent="0.25">
      <c r="A4011" s="7" t="s">
        <v>6419</v>
      </c>
    </row>
    <row r="4012" spans="1:1" x14ac:dyDescent="0.25">
      <c r="A4012" s="7" t="s">
        <v>6419</v>
      </c>
    </row>
    <row r="4013" spans="1:1" x14ac:dyDescent="0.25">
      <c r="A4013" s="7" t="s">
        <v>6419</v>
      </c>
    </row>
    <row r="4014" spans="1:1" x14ac:dyDescent="0.25">
      <c r="A4014" s="8" t="s">
        <v>6419</v>
      </c>
    </row>
    <row r="4015" spans="1:1" x14ac:dyDescent="0.25">
      <c r="A4015" s="8" t="s">
        <v>6419</v>
      </c>
    </row>
    <row r="4016" spans="1:1" x14ac:dyDescent="0.25">
      <c r="A4016" s="7" t="s">
        <v>9528</v>
      </c>
    </row>
    <row r="4017" spans="1:1" x14ac:dyDescent="0.25">
      <c r="A4017" s="8" t="s">
        <v>9528</v>
      </c>
    </row>
    <row r="4018" spans="1:1" x14ac:dyDescent="0.25">
      <c r="A4018" s="7" t="s">
        <v>9502</v>
      </c>
    </row>
    <row r="4019" spans="1:1" x14ac:dyDescent="0.25">
      <c r="A4019" s="7" t="s">
        <v>9337</v>
      </c>
    </row>
    <row r="4020" spans="1:1" x14ac:dyDescent="0.25">
      <c r="A4020" s="7" t="s">
        <v>431</v>
      </c>
    </row>
    <row r="4021" spans="1:1" x14ac:dyDescent="0.25">
      <c r="A4021" s="7" t="s">
        <v>431</v>
      </c>
    </row>
    <row r="4022" spans="1:1" x14ac:dyDescent="0.25">
      <c r="A4022" s="7" t="s">
        <v>9142</v>
      </c>
    </row>
    <row r="4023" spans="1:1" x14ac:dyDescent="0.25">
      <c r="A4023" s="7" t="s">
        <v>9142</v>
      </c>
    </row>
    <row r="4024" spans="1:1" x14ac:dyDescent="0.25">
      <c r="A4024" s="8" t="s">
        <v>9281</v>
      </c>
    </row>
    <row r="4025" spans="1:1" x14ac:dyDescent="0.25">
      <c r="A4025" s="7" t="s">
        <v>9175</v>
      </c>
    </row>
    <row r="4026" spans="1:1" x14ac:dyDescent="0.25">
      <c r="A4026" s="8" t="s">
        <v>9175</v>
      </c>
    </row>
    <row r="4027" spans="1:1" x14ac:dyDescent="0.25">
      <c r="A4027" s="8" t="s">
        <v>9175</v>
      </c>
    </row>
    <row r="4028" spans="1:1" x14ac:dyDescent="0.25">
      <c r="A4028" s="8" t="s">
        <v>9175</v>
      </c>
    </row>
    <row r="4029" spans="1:1" x14ac:dyDescent="0.25">
      <c r="A4029" s="8" t="s">
        <v>9175</v>
      </c>
    </row>
    <row r="4030" spans="1:1" x14ac:dyDescent="0.25">
      <c r="A4030" s="8" t="s">
        <v>9175</v>
      </c>
    </row>
    <row r="4031" spans="1:1" x14ac:dyDescent="0.25">
      <c r="A4031" s="8" t="s">
        <v>9175</v>
      </c>
    </row>
    <row r="4032" spans="1:1" x14ac:dyDescent="0.25">
      <c r="A4032" s="8" t="s">
        <v>9175</v>
      </c>
    </row>
    <row r="4033" spans="1:1" x14ac:dyDescent="0.25">
      <c r="A4033" s="8" t="s">
        <v>9175</v>
      </c>
    </row>
    <row r="4034" spans="1:1" x14ac:dyDescent="0.25">
      <c r="A4034" s="8" t="s">
        <v>9175</v>
      </c>
    </row>
    <row r="4035" spans="1:1" x14ac:dyDescent="0.25">
      <c r="A4035" s="8" t="s">
        <v>9175</v>
      </c>
    </row>
    <row r="4036" spans="1:1" x14ac:dyDescent="0.25">
      <c r="A4036" s="8" t="s">
        <v>9175</v>
      </c>
    </row>
    <row r="4037" spans="1:1" x14ac:dyDescent="0.25">
      <c r="A4037" s="8" t="s">
        <v>9175</v>
      </c>
    </row>
    <row r="4038" spans="1:1" x14ac:dyDescent="0.25">
      <c r="A4038" s="8" t="s">
        <v>9175</v>
      </c>
    </row>
    <row r="4039" spans="1:1" x14ac:dyDescent="0.25">
      <c r="A4039" s="8" t="s">
        <v>9175</v>
      </c>
    </row>
    <row r="4040" spans="1:1" x14ac:dyDescent="0.25">
      <c r="A4040" s="8" t="s">
        <v>9175</v>
      </c>
    </row>
    <row r="4041" spans="1:1" x14ac:dyDescent="0.25">
      <c r="A4041" s="8" t="s">
        <v>9175</v>
      </c>
    </row>
    <row r="4042" spans="1:1" x14ac:dyDescent="0.25">
      <c r="A4042" s="8" t="s">
        <v>9175</v>
      </c>
    </row>
    <row r="4043" spans="1:1" x14ac:dyDescent="0.25">
      <c r="A4043" s="8" t="s">
        <v>9175</v>
      </c>
    </row>
    <row r="4044" spans="1:1" x14ac:dyDescent="0.25">
      <c r="A4044" s="8" t="s">
        <v>9175</v>
      </c>
    </row>
    <row r="4045" spans="1:1" x14ac:dyDescent="0.25">
      <c r="A4045" s="8" t="s">
        <v>9175</v>
      </c>
    </row>
    <row r="4046" spans="1:1" x14ac:dyDescent="0.25">
      <c r="A4046" s="8" t="s">
        <v>9175</v>
      </c>
    </row>
    <row r="4047" spans="1:1" x14ac:dyDescent="0.25">
      <c r="A4047" s="8" t="s">
        <v>9175</v>
      </c>
    </row>
    <row r="4048" spans="1:1" x14ac:dyDescent="0.25">
      <c r="A4048" s="8" t="s">
        <v>9175</v>
      </c>
    </row>
    <row r="4049" spans="1:1" x14ac:dyDescent="0.25">
      <c r="A4049" s="8" t="s">
        <v>9175</v>
      </c>
    </row>
    <row r="4050" spans="1:1" x14ac:dyDescent="0.25">
      <c r="A4050" s="8" t="s">
        <v>9175</v>
      </c>
    </row>
    <row r="4051" spans="1:1" x14ac:dyDescent="0.25">
      <c r="A4051" s="8" t="s">
        <v>9175</v>
      </c>
    </row>
    <row r="4052" spans="1:1" x14ac:dyDescent="0.25">
      <c r="A4052" s="8" t="s">
        <v>9175</v>
      </c>
    </row>
    <row r="4053" spans="1:1" x14ac:dyDescent="0.25">
      <c r="A4053" s="8" t="s">
        <v>9175</v>
      </c>
    </row>
    <row r="4054" spans="1:1" x14ac:dyDescent="0.25">
      <c r="A4054" s="8" t="s">
        <v>9175</v>
      </c>
    </row>
    <row r="4055" spans="1:1" x14ac:dyDescent="0.25">
      <c r="A4055" s="8" t="s">
        <v>9175</v>
      </c>
    </row>
    <row r="4056" spans="1:1" x14ac:dyDescent="0.25">
      <c r="A4056" s="8" t="s">
        <v>9175</v>
      </c>
    </row>
    <row r="4057" spans="1:1" x14ac:dyDescent="0.25">
      <c r="A4057" s="8" t="s">
        <v>9175</v>
      </c>
    </row>
    <row r="4058" spans="1:1" x14ac:dyDescent="0.25">
      <c r="A4058" s="7" t="s">
        <v>9775</v>
      </c>
    </row>
    <row r="4059" spans="1:1" x14ac:dyDescent="0.25">
      <c r="A4059" s="7" t="s">
        <v>10152</v>
      </c>
    </row>
    <row r="4060" spans="1:1" x14ac:dyDescent="0.25">
      <c r="A4060" s="8" t="s">
        <v>10422</v>
      </c>
    </row>
    <row r="4061" spans="1:1" x14ac:dyDescent="0.25">
      <c r="A4061" s="7" t="s">
        <v>7626</v>
      </c>
    </row>
    <row r="4062" spans="1:1" x14ac:dyDescent="0.25">
      <c r="A4062" s="7" t="s">
        <v>7626</v>
      </c>
    </row>
    <row r="4063" spans="1:1" x14ac:dyDescent="0.25">
      <c r="A4063" s="7" t="s">
        <v>7626</v>
      </c>
    </row>
    <row r="4064" spans="1:1" x14ac:dyDescent="0.25">
      <c r="A4064" s="7" t="s">
        <v>7626</v>
      </c>
    </row>
    <row r="4065" spans="1:1" x14ac:dyDescent="0.25">
      <c r="A4065" s="7" t="s">
        <v>10253</v>
      </c>
    </row>
    <row r="4066" spans="1:1" x14ac:dyDescent="0.25">
      <c r="A4066" s="7" t="s">
        <v>8917</v>
      </c>
    </row>
    <row r="4067" spans="1:1" x14ac:dyDescent="0.25">
      <c r="A4067" s="7" t="s">
        <v>8917</v>
      </c>
    </row>
    <row r="4068" spans="1:1" x14ac:dyDescent="0.25">
      <c r="A4068" s="8" t="s">
        <v>8917</v>
      </c>
    </row>
    <row r="4069" spans="1:1" x14ac:dyDescent="0.25">
      <c r="A4069" s="8" t="s">
        <v>8917</v>
      </c>
    </row>
    <row r="4070" spans="1:1" x14ac:dyDescent="0.25">
      <c r="A4070" s="8" t="s">
        <v>8917</v>
      </c>
    </row>
    <row r="4071" spans="1:1" x14ac:dyDescent="0.25">
      <c r="A4071" s="8" t="s">
        <v>10472</v>
      </c>
    </row>
    <row r="4072" spans="1:1" x14ac:dyDescent="0.25">
      <c r="A4072" s="7" t="s">
        <v>10053</v>
      </c>
    </row>
    <row r="4073" spans="1:1" x14ac:dyDescent="0.25">
      <c r="A4073" s="7" t="s">
        <v>9816</v>
      </c>
    </row>
    <row r="4074" spans="1:1" x14ac:dyDescent="0.25">
      <c r="A4074" s="8" t="s">
        <v>9816</v>
      </c>
    </row>
    <row r="4075" spans="1:1" x14ac:dyDescent="0.25">
      <c r="A4075" s="8" t="s">
        <v>9312</v>
      </c>
    </row>
    <row r="4076" spans="1:1" x14ac:dyDescent="0.25">
      <c r="A4076" s="8" t="s">
        <v>9810</v>
      </c>
    </row>
    <row r="4077" spans="1:1" x14ac:dyDescent="0.25">
      <c r="A4077" s="8" t="s">
        <v>10045</v>
      </c>
    </row>
    <row r="4078" spans="1:1" x14ac:dyDescent="0.25">
      <c r="A4078" s="7" t="s">
        <v>345</v>
      </c>
    </row>
    <row r="4079" spans="1:1" x14ac:dyDescent="0.25">
      <c r="A4079" s="8" t="s">
        <v>345</v>
      </c>
    </row>
    <row r="4080" spans="1:1" x14ac:dyDescent="0.25">
      <c r="A4080" s="8" t="s">
        <v>345</v>
      </c>
    </row>
    <row r="4081" spans="1:1" x14ac:dyDescent="0.25">
      <c r="A4081" s="7" t="s">
        <v>9071</v>
      </c>
    </row>
    <row r="4082" spans="1:1" x14ac:dyDescent="0.25">
      <c r="A4082" s="8" t="s">
        <v>10508</v>
      </c>
    </row>
    <row r="4083" spans="1:1" x14ac:dyDescent="0.25">
      <c r="A4083" s="7" t="s">
        <v>7181</v>
      </c>
    </row>
    <row r="4084" spans="1:1" x14ac:dyDescent="0.25">
      <c r="A4084" s="7" t="s">
        <v>6649</v>
      </c>
    </row>
    <row r="4085" spans="1:1" x14ac:dyDescent="0.25">
      <c r="A4085" s="8" t="s">
        <v>10543</v>
      </c>
    </row>
    <row r="4086" spans="1:1" x14ac:dyDescent="0.25">
      <c r="A4086" s="7" t="s">
        <v>3399</v>
      </c>
    </row>
    <row r="4087" spans="1:1" x14ac:dyDescent="0.25">
      <c r="A4087" s="7" t="s">
        <v>9164</v>
      </c>
    </row>
    <row r="4088" spans="1:1" x14ac:dyDescent="0.25">
      <c r="A4088" s="8" t="s">
        <v>9164</v>
      </c>
    </row>
    <row r="4089" spans="1:1" x14ac:dyDescent="0.25">
      <c r="A4089" s="7" t="s">
        <v>10214</v>
      </c>
    </row>
    <row r="4090" spans="1:1" x14ac:dyDescent="0.25">
      <c r="A4090" s="8" t="s">
        <v>10285</v>
      </c>
    </row>
    <row r="4091" spans="1:1" x14ac:dyDescent="0.25">
      <c r="A4091" s="8" t="s">
        <v>10285</v>
      </c>
    </row>
    <row r="4092" spans="1:1" x14ac:dyDescent="0.25">
      <c r="A4092" s="8" t="s">
        <v>10285</v>
      </c>
    </row>
    <row r="4093" spans="1:1" x14ac:dyDescent="0.25">
      <c r="A4093" s="8" t="s">
        <v>9124</v>
      </c>
    </row>
    <row r="4094" spans="1:1" x14ac:dyDescent="0.25">
      <c r="A4094" s="7" t="s">
        <v>2400</v>
      </c>
    </row>
    <row r="4095" spans="1:1" x14ac:dyDescent="0.25">
      <c r="A4095" s="8" t="s">
        <v>10494</v>
      </c>
    </row>
    <row r="4096" spans="1:1" x14ac:dyDescent="0.25">
      <c r="A4096" s="8" t="s">
        <v>9695</v>
      </c>
    </row>
    <row r="4097" spans="1:1" x14ac:dyDescent="0.25">
      <c r="A4097" s="8" t="s">
        <v>10668</v>
      </c>
    </row>
    <row r="4098" spans="1:1" x14ac:dyDescent="0.25">
      <c r="A4098" s="7" t="s">
        <v>2531</v>
      </c>
    </row>
    <row r="4099" spans="1:1" x14ac:dyDescent="0.25">
      <c r="A4099" s="8" t="s">
        <v>10315</v>
      </c>
    </row>
    <row r="4100" spans="1:1" x14ac:dyDescent="0.25">
      <c r="A4100" s="7" t="s">
        <v>10256</v>
      </c>
    </row>
    <row r="4101" spans="1:1" x14ac:dyDescent="0.25">
      <c r="A4101" s="8" t="s">
        <v>9869</v>
      </c>
    </row>
    <row r="4102" spans="1:1" x14ac:dyDescent="0.25">
      <c r="A4102" s="7" t="s">
        <v>9613</v>
      </c>
    </row>
    <row r="4103" spans="1:1" x14ac:dyDescent="0.25">
      <c r="A4103" s="7" t="s">
        <v>4573</v>
      </c>
    </row>
    <row r="4104" spans="1:1" x14ac:dyDescent="0.25">
      <c r="A4104" s="8" t="s">
        <v>4573</v>
      </c>
    </row>
    <row r="4105" spans="1:1" x14ac:dyDescent="0.25">
      <c r="A4105" s="7" t="s">
        <v>9080</v>
      </c>
    </row>
    <row r="4106" spans="1:1" x14ac:dyDescent="0.25">
      <c r="A4106" s="7" t="s">
        <v>9080</v>
      </c>
    </row>
    <row r="4107" spans="1:1" x14ac:dyDescent="0.25">
      <c r="A4107" s="8" t="s">
        <v>9080</v>
      </c>
    </row>
    <row r="4108" spans="1:1" x14ac:dyDescent="0.25">
      <c r="A4108" s="8" t="s">
        <v>9080</v>
      </c>
    </row>
    <row r="4109" spans="1:1" x14ac:dyDescent="0.25">
      <c r="A4109" s="8" t="s">
        <v>9080</v>
      </c>
    </row>
    <row r="4110" spans="1:1" x14ac:dyDescent="0.25">
      <c r="A4110" s="8" t="s">
        <v>8929</v>
      </c>
    </row>
    <row r="4111" spans="1:1" x14ac:dyDescent="0.25">
      <c r="A4111" s="8" t="s">
        <v>8929</v>
      </c>
    </row>
    <row r="4112" spans="1:1" x14ac:dyDescent="0.25">
      <c r="A4112" s="7" t="s">
        <v>9529</v>
      </c>
    </row>
    <row r="4113" spans="1:1" x14ac:dyDescent="0.25">
      <c r="A4113" s="8" t="s">
        <v>9776</v>
      </c>
    </row>
    <row r="4114" spans="1:1" x14ac:dyDescent="0.25">
      <c r="A4114" s="8" t="s">
        <v>9721</v>
      </c>
    </row>
    <row r="4115" spans="1:1" x14ac:dyDescent="0.25">
      <c r="A4115" s="8" t="s">
        <v>9210</v>
      </c>
    </row>
    <row r="4116" spans="1:1" x14ac:dyDescent="0.25">
      <c r="A4116" s="8" t="s">
        <v>9210</v>
      </c>
    </row>
    <row r="4117" spans="1:1" x14ac:dyDescent="0.25">
      <c r="A4117" s="8" t="s">
        <v>9210</v>
      </c>
    </row>
    <row r="4118" spans="1:1" x14ac:dyDescent="0.25">
      <c r="A4118" s="7" t="s">
        <v>7344</v>
      </c>
    </row>
    <row r="4119" spans="1:1" x14ac:dyDescent="0.25">
      <c r="A4119" s="7" t="s">
        <v>9831</v>
      </c>
    </row>
    <row r="4120" spans="1:1" x14ac:dyDescent="0.25">
      <c r="A4120" s="8" t="s">
        <v>8874</v>
      </c>
    </row>
    <row r="4121" spans="1:1" x14ac:dyDescent="0.25">
      <c r="A4121" s="7" t="s">
        <v>3247</v>
      </c>
    </row>
    <row r="4122" spans="1:1" x14ac:dyDescent="0.25">
      <c r="A4122" s="7" t="s">
        <v>9895</v>
      </c>
    </row>
    <row r="4123" spans="1:1" x14ac:dyDescent="0.25">
      <c r="A4123" s="8" t="s">
        <v>10578</v>
      </c>
    </row>
    <row r="4124" spans="1:1" x14ac:dyDescent="0.25">
      <c r="A4124" s="7" t="s">
        <v>8189</v>
      </c>
    </row>
    <row r="4125" spans="1:1" x14ac:dyDescent="0.25">
      <c r="A4125" s="7" t="s">
        <v>3891</v>
      </c>
    </row>
    <row r="4126" spans="1:1" x14ac:dyDescent="0.25">
      <c r="A4126" s="8" t="s">
        <v>10593</v>
      </c>
    </row>
    <row r="4127" spans="1:1" x14ac:dyDescent="0.25">
      <c r="A4127" s="7" t="s">
        <v>8808</v>
      </c>
    </row>
    <row r="4128" spans="1:1" x14ac:dyDescent="0.25">
      <c r="A4128" s="7" t="s">
        <v>8808</v>
      </c>
    </row>
    <row r="4129" spans="1:1" x14ac:dyDescent="0.25">
      <c r="A4129" s="7" t="s">
        <v>8808</v>
      </c>
    </row>
    <row r="4130" spans="1:1" x14ac:dyDescent="0.25">
      <c r="A4130" s="7" t="s">
        <v>8808</v>
      </c>
    </row>
    <row r="4131" spans="1:1" x14ac:dyDescent="0.25">
      <c r="A4131" s="7" t="s">
        <v>8808</v>
      </c>
    </row>
    <row r="4132" spans="1:1" x14ac:dyDescent="0.25">
      <c r="A4132" s="8" t="s">
        <v>8808</v>
      </c>
    </row>
    <row r="4133" spans="1:1" x14ac:dyDescent="0.25">
      <c r="A4133" s="8" t="s">
        <v>8808</v>
      </c>
    </row>
    <row r="4134" spans="1:1" x14ac:dyDescent="0.25">
      <c r="A4134" s="8" t="s">
        <v>8808</v>
      </c>
    </row>
    <row r="4135" spans="1:1" x14ac:dyDescent="0.25">
      <c r="A4135" s="8" t="s">
        <v>8808</v>
      </c>
    </row>
    <row r="4136" spans="1:1" x14ac:dyDescent="0.25">
      <c r="A4136" s="7" t="s">
        <v>10328</v>
      </c>
    </row>
    <row r="4137" spans="1:1" x14ac:dyDescent="0.25">
      <c r="A4137" s="7" t="s">
        <v>9334</v>
      </c>
    </row>
    <row r="4138" spans="1:1" x14ac:dyDescent="0.25">
      <c r="A4138" s="7" t="s">
        <v>9334</v>
      </c>
    </row>
    <row r="4139" spans="1:1" x14ac:dyDescent="0.25">
      <c r="A4139" s="7" t="s">
        <v>9334</v>
      </c>
    </row>
    <row r="4140" spans="1:1" x14ac:dyDescent="0.25">
      <c r="A4140" s="8" t="s">
        <v>9628</v>
      </c>
    </row>
    <row r="4141" spans="1:1" x14ac:dyDescent="0.25">
      <c r="A4141" s="7" t="s">
        <v>2559</v>
      </c>
    </row>
    <row r="4142" spans="1:1" x14ac:dyDescent="0.25">
      <c r="A4142" s="7" t="s">
        <v>9471</v>
      </c>
    </row>
    <row r="4143" spans="1:1" x14ac:dyDescent="0.25">
      <c r="A4143" s="8" t="s">
        <v>9471</v>
      </c>
    </row>
    <row r="4144" spans="1:1" x14ac:dyDescent="0.25">
      <c r="A4144" s="8" t="s">
        <v>9471</v>
      </c>
    </row>
    <row r="4145" spans="1:1" x14ac:dyDescent="0.25">
      <c r="A4145" s="8" t="s">
        <v>9471</v>
      </c>
    </row>
    <row r="4146" spans="1:1" x14ac:dyDescent="0.25">
      <c r="A4146" s="8" t="s">
        <v>9471</v>
      </c>
    </row>
    <row r="4147" spans="1:1" x14ac:dyDescent="0.25">
      <c r="A4147" s="8" t="s">
        <v>10419</v>
      </c>
    </row>
    <row r="4148" spans="1:1" x14ac:dyDescent="0.25">
      <c r="A4148" s="8" t="s">
        <v>9422</v>
      </c>
    </row>
    <row r="4149" spans="1:1" x14ac:dyDescent="0.25">
      <c r="A4149" s="8" t="s">
        <v>10498</v>
      </c>
    </row>
    <row r="4150" spans="1:1" x14ac:dyDescent="0.25">
      <c r="A4150" s="7" t="s">
        <v>4005</v>
      </c>
    </row>
    <row r="4151" spans="1:1" x14ac:dyDescent="0.25">
      <c r="A4151" s="7" t="s">
        <v>1463</v>
      </c>
    </row>
    <row r="4152" spans="1:1" x14ac:dyDescent="0.25">
      <c r="A4152" s="7" t="s">
        <v>211</v>
      </c>
    </row>
    <row r="4153" spans="1:1" x14ac:dyDescent="0.25">
      <c r="A4153" s="7" t="s">
        <v>9900</v>
      </c>
    </row>
    <row r="4154" spans="1:1" x14ac:dyDescent="0.25">
      <c r="A4154" s="7" t="s">
        <v>10380</v>
      </c>
    </row>
    <row r="4155" spans="1:1" x14ac:dyDescent="0.25">
      <c r="A4155" s="8" t="s">
        <v>9548</v>
      </c>
    </row>
    <row r="4156" spans="1:1" x14ac:dyDescent="0.25">
      <c r="A4156" s="8" t="s">
        <v>9329</v>
      </c>
    </row>
    <row r="4157" spans="1:1" x14ac:dyDescent="0.25">
      <c r="A4157" s="7" t="s">
        <v>2283</v>
      </c>
    </row>
    <row r="4158" spans="1:1" x14ac:dyDescent="0.25">
      <c r="A4158" s="7" t="s">
        <v>2283</v>
      </c>
    </row>
    <row r="4159" spans="1:1" x14ac:dyDescent="0.25">
      <c r="A4159" s="7" t="s">
        <v>2283</v>
      </c>
    </row>
    <row r="4160" spans="1:1" x14ac:dyDescent="0.25">
      <c r="A4160" s="7" t="s">
        <v>2283</v>
      </c>
    </row>
    <row r="4161" spans="1:1" x14ac:dyDescent="0.25">
      <c r="A4161" s="7" t="s">
        <v>2283</v>
      </c>
    </row>
    <row r="4162" spans="1:1" x14ac:dyDescent="0.25">
      <c r="A4162" s="7" t="s">
        <v>2283</v>
      </c>
    </row>
    <row r="4163" spans="1:1" x14ac:dyDescent="0.25">
      <c r="A4163" s="7" t="s">
        <v>2283</v>
      </c>
    </row>
    <row r="4164" spans="1:1" x14ac:dyDescent="0.25">
      <c r="A4164" s="7" t="s">
        <v>2283</v>
      </c>
    </row>
    <row r="4165" spans="1:1" x14ac:dyDescent="0.25">
      <c r="A4165" s="7" t="s">
        <v>2283</v>
      </c>
    </row>
    <row r="4166" spans="1:1" x14ac:dyDescent="0.25">
      <c r="A4166" s="7" t="s">
        <v>2283</v>
      </c>
    </row>
    <row r="4167" spans="1:1" x14ac:dyDescent="0.25">
      <c r="A4167" s="7" t="s">
        <v>2283</v>
      </c>
    </row>
    <row r="4168" spans="1:1" x14ac:dyDescent="0.25">
      <c r="A4168" s="7" t="s">
        <v>2283</v>
      </c>
    </row>
    <row r="4169" spans="1:1" x14ac:dyDescent="0.25">
      <c r="A4169" s="7" t="s">
        <v>2283</v>
      </c>
    </row>
    <row r="4170" spans="1:1" x14ac:dyDescent="0.25">
      <c r="A4170" s="7" t="s">
        <v>2283</v>
      </c>
    </row>
    <row r="4171" spans="1:1" x14ac:dyDescent="0.25">
      <c r="A4171" s="8" t="s">
        <v>2283</v>
      </c>
    </row>
    <row r="4172" spans="1:1" x14ac:dyDescent="0.25">
      <c r="A4172" s="7" t="s">
        <v>10301</v>
      </c>
    </row>
    <row r="4173" spans="1:1" x14ac:dyDescent="0.25">
      <c r="A4173" s="7" t="s">
        <v>10301</v>
      </c>
    </row>
    <row r="4174" spans="1:1" x14ac:dyDescent="0.25">
      <c r="A4174" s="7" t="s">
        <v>10301</v>
      </c>
    </row>
    <row r="4175" spans="1:1" x14ac:dyDescent="0.25">
      <c r="A4175" s="8" t="s">
        <v>10301</v>
      </c>
    </row>
    <row r="4176" spans="1:1" x14ac:dyDescent="0.25">
      <c r="A4176" s="8" t="s">
        <v>10441</v>
      </c>
    </row>
    <row r="4177" spans="1:1" x14ac:dyDescent="0.25">
      <c r="A4177" s="7" t="s">
        <v>1539</v>
      </c>
    </row>
    <row r="4178" spans="1:1" x14ac:dyDescent="0.25">
      <c r="A4178" s="7" t="s">
        <v>1539</v>
      </c>
    </row>
    <row r="4179" spans="1:1" x14ac:dyDescent="0.25">
      <c r="A4179" s="8" t="s">
        <v>1539</v>
      </c>
    </row>
    <row r="4180" spans="1:1" x14ac:dyDescent="0.25">
      <c r="A4180" s="8" t="s">
        <v>9881</v>
      </c>
    </row>
    <row r="4181" spans="1:1" x14ac:dyDescent="0.25">
      <c r="A4181" s="8" t="s">
        <v>8942</v>
      </c>
    </row>
    <row r="4182" spans="1:1" x14ac:dyDescent="0.25">
      <c r="A4182" s="7" t="s">
        <v>8168</v>
      </c>
    </row>
    <row r="4183" spans="1:1" x14ac:dyDescent="0.25">
      <c r="A4183" s="8" t="s">
        <v>8168</v>
      </c>
    </row>
    <row r="4184" spans="1:1" x14ac:dyDescent="0.25">
      <c r="A4184" s="8" t="s">
        <v>9890</v>
      </c>
    </row>
    <row r="4185" spans="1:1" x14ac:dyDescent="0.25">
      <c r="A4185" s="7" t="s">
        <v>10447</v>
      </c>
    </row>
    <row r="4186" spans="1:1" x14ac:dyDescent="0.25">
      <c r="A4186" s="8" t="s">
        <v>9346</v>
      </c>
    </row>
    <row r="4187" spans="1:1" x14ac:dyDescent="0.25">
      <c r="A4187" s="8" t="s">
        <v>10588</v>
      </c>
    </row>
    <row r="4188" spans="1:1" x14ac:dyDescent="0.25">
      <c r="A4188" s="8" t="s">
        <v>10129</v>
      </c>
    </row>
    <row r="4189" spans="1:1" x14ac:dyDescent="0.25">
      <c r="A4189" s="7" t="s">
        <v>9048</v>
      </c>
    </row>
    <row r="4190" spans="1:1" x14ac:dyDescent="0.25">
      <c r="A4190" s="7" t="s">
        <v>9048</v>
      </c>
    </row>
    <row r="4191" spans="1:1" x14ac:dyDescent="0.25">
      <c r="A4191" s="7" t="s">
        <v>9048</v>
      </c>
    </row>
    <row r="4192" spans="1:1" x14ac:dyDescent="0.25">
      <c r="A4192" s="8" t="s">
        <v>9048</v>
      </c>
    </row>
    <row r="4193" spans="1:1" x14ac:dyDescent="0.25">
      <c r="A4193" s="8" t="s">
        <v>9048</v>
      </c>
    </row>
    <row r="4194" spans="1:1" x14ac:dyDescent="0.25">
      <c r="A4194" s="8" t="s">
        <v>10475</v>
      </c>
    </row>
    <row r="4195" spans="1:1" x14ac:dyDescent="0.25">
      <c r="A4195" s="8" t="s">
        <v>10655</v>
      </c>
    </row>
    <row r="4196" spans="1:1" x14ac:dyDescent="0.25">
      <c r="A4196" s="7" t="s">
        <v>6307</v>
      </c>
    </row>
    <row r="4197" spans="1:1" x14ac:dyDescent="0.25">
      <c r="A4197" s="8" t="s">
        <v>6307</v>
      </c>
    </row>
    <row r="4198" spans="1:1" x14ac:dyDescent="0.25">
      <c r="A4198" s="7" t="s">
        <v>2585</v>
      </c>
    </row>
    <row r="4199" spans="1:1" x14ac:dyDescent="0.25">
      <c r="A4199" s="7" t="s">
        <v>2585</v>
      </c>
    </row>
    <row r="4200" spans="1:1" x14ac:dyDescent="0.25">
      <c r="A4200" s="7" t="s">
        <v>2585</v>
      </c>
    </row>
    <row r="4201" spans="1:1" x14ac:dyDescent="0.25">
      <c r="A4201" s="8" t="s">
        <v>9429</v>
      </c>
    </row>
    <row r="4202" spans="1:1" x14ac:dyDescent="0.25">
      <c r="A4202" s="8" t="s">
        <v>9405</v>
      </c>
    </row>
    <row r="4203" spans="1:1" x14ac:dyDescent="0.25">
      <c r="A4203" s="8" t="s">
        <v>9405</v>
      </c>
    </row>
    <row r="4204" spans="1:1" x14ac:dyDescent="0.25">
      <c r="A4204" s="8" t="s">
        <v>9405</v>
      </c>
    </row>
    <row r="4205" spans="1:1" x14ac:dyDescent="0.25">
      <c r="A4205" s="7" t="s">
        <v>9113</v>
      </c>
    </row>
    <row r="4206" spans="1:1" x14ac:dyDescent="0.25">
      <c r="A4206" s="7" t="s">
        <v>10553</v>
      </c>
    </row>
    <row r="4207" spans="1:1" x14ac:dyDescent="0.25">
      <c r="A4207" s="8" t="s">
        <v>9579</v>
      </c>
    </row>
    <row r="4208" spans="1:1" x14ac:dyDescent="0.25">
      <c r="A4208" s="7" t="s">
        <v>2085</v>
      </c>
    </row>
    <row r="4209" spans="1:1" x14ac:dyDescent="0.25">
      <c r="A4209" s="7" t="s">
        <v>2085</v>
      </c>
    </row>
    <row r="4210" spans="1:1" x14ac:dyDescent="0.25">
      <c r="A4210" s="7" t="s">
        <v>2085</v>
      </c>
    </row>
    <row r="4211" spans="1:1" x14ac:dyDescent="0.25">
      <c r="A4211" s="7" t="s">
        <v>2085</v>
      </c>
    </row>
    <row r="4212" spans="1:1" x14ac:dyDescent="0.25">
      <c r="A4212" s="7" t="s">
        <v>2085</v>
      </c>
    </row>
    <row r="4213" spans="1:1" x14ac:dyDescent="0.25">
      <c r="A4213" s="8" t="s">
        <v>2085</v>
      </c>
    </row>
    <row r="4214" spans="1:1" x14ac:dyDescent="0.25">
      <c r="A4214" s="8" t="s">
        <v>2085</v>
      </c>
    </row>
    <row r="4215" spans="1:1" x14ac:dyDescent="0.25">
      <c r="A4215" s="7" t="s">
        <v>2386</v>
      </c>
    </row>
    <row r="4216" spans="1:1" x14ac:dyDescent="0.25">
      <c r="A4216" s="7" t="s">
        <v>4370</v>
      </c>
    </row>
    <row r="4217" spans="1:1" x14ac:dyDescent="0.25">
      <c r="A4217" s="7" t="s">
        <v>4370</v>
      </c>
    </row>
    <row r="4218" spans="1:1" x14ac:dyDescent="0.25">
      <c r="A4218" s="7" t="s">
        <v>4370</v>
      </c>
    </row>
    <row r="4219" spans="1:1" x14ac:dyDescent="0.25">
      <c r="A4219" s="8" t="s">
        <v>4370</v>
      </c>
    </row>
    <row r="4220" spans="1:1" x14ac:dyDescent="0.25">
      <c r="A4220" s="8" t="s">
        <v>4370</v>
      </c>
    </row>
    <row r="4221" spans="1:1" x14ac:dyDescent="0.25">
      <c r="A4221" s="7" t="s">
        <v>10161</v>
      </c>
    </row>
    <row r="4222" spans="1:1" x14ac:dyDescent="0.25">
      <c r="A4222" s="7" t="s">
        <v>214</v>
      </c>
    </row>
    <row r="4223" spans="1:1" x14ac:dyDescent="0.25">
      <c r="A4223" s="7" t="s">
        <v>214</v>
      </c>
    </row>
    <row r="4224" spans="1:1" x14ac:dyDescent="0.25">
      <c r="A4224" s="7" t="s">
        <v>214</v>
      </c>
    </row>
    <row r="4225" spans="1:1" x14ac:dyDescent="0.25">
      <c r="A4225" s="7" t="s">
        <v>214</v>
      </c>
    </row>
    <row r="4226" spans="1:1" x14ac:dyDescent="0.25">
      <c r="A4226" s="7" t="s">
        <v>214</v>
      </c>
    </row>
    <row r="4227" spans="1:1" x14ac:dyDescent="0.25">
      <c r="A4227" s="7" t="s">
        <v>214</v>
      </c>
    </row>
    <row r="4228" spans="1:1" x14ac:dyDescent="0.25">
      <c r="A4228" s="7" t="s">
        <v>214</v>
      </c>
    </row>
    <row r="4229" spans="1:1" x14ac:dyDescent="0.25">
      <c r="A4229" s="8" t="s">
        <v>214</v>
      </c>
    </row>
    <row r="4230" spans="1:1" x14ac:dyDescent="0.25">
      <c r="A4230" s="7" t="s">
        <v>6452</v>
      </c>
    </row>
    <row r="4231" spans="1:1" x14ac:dyDescent="0.25">
      <c r="A4231" s="8" t="s">
        <v>10663</v>
      </c>
    </row>
    <row r="4232" spans="1:1" x14ac:dyDescent="0.25">
      <c r="A4232" s="8" t="s">
        <v>9893</v>
      </c>
    </row>
    <row r="4233" spans="1:1" x14ac:dyDescent="0.25">
      <c r="A4233" s="7" t="s">
        <v>10006</v>
      </c>
    </row>
    <row r="4234" spans="1:1" x14ac:dyDescent="0.25">
      <c r="A4234" s="8" t="s">
        <v>10006</v>
      </c>
    </row>
    <row r="4235" spans="1:1" x14ac:dyDescent="0.25">
      <c r="A4235" s="8" t="s">
        <v>10519</v>
      </c>
    </row>
    <row r="4236" spans="1:1" x14ac:dyDescent="0.25">
      <c r="A4236" s="7" t="s">
        <v>10024</v>
      </c>
    </row>
    <row r="4237" spans="1:1" x14ac:dyDescent="0.25">
      <c r="A4237" s="8" t="s">
        <v>9866</v>
      </c>
    </row>
    <row r="4238" spans="1:1" x14ac:dyDescent="0.25">
      <c r="A4238" s="7" t="s">
        <v>9659</v>
      </c>
    </row>
    <row r="4239" spans="1:1" x14ac:dyDescent="0.25">
      <c r="A4239" s="7" t="s">
        <v>5791</v>
      </c>
    </row>
    <row r="4240" spans="1:1" x14ac:dyDescent="0.25">
      <c r="A4240" s="7" t="s">
        <v>4998</v>
      </c>
    </row>
    <row r="4241" spans="1:1" x14ac:dyDescent="0.25">
      <c r="A4241" s="7" t="s">
        <v>4998</v>
      </c>
    </row>
    <row r="4242" spans="1:1" x14ac:dyDescent="0.25">
      <c r="A4242" s="7" t="s">
        <v>4998</v>
      </c>
    </row>
    <row r="4243" spans="1:1" x14ac:dyDescent="0.25">
      <c r="A4243" s="7" t="s">
        <v>4998</v>
      </c>
    </row>
    <row r="4244" spans="1:1" x14ac:dyDescent="0.25">
      <c r="A4244" s="7" t="s">
        <v>4998</v>
      </c>
    </row>
    <row r="4245" spans="1:1" x14ac:dyDescent="0.25">
      <c r="A4245" s="7" t="s">
        <v>4998</v>
      </c>
    </row>
    <row r="4246" spans="1:1" x14ac:dyDescent="0.25">
      <c r="A4246" s="7" t="s">
        <v>452</v>
      </c>
    </row>
    <row r="4247" spans="1:1" x14ac:dyDescent="0.25">
      <c r="A4247" s="7" t="s">
        <v>452</v>
      </c>
    </row>
    <row r="4248" spans="1:1" x14ac:dyDescent="0.25">
      <c r="A4248" s="7" t="s">
        <v>452</v>
      </c>
    </row>
    <row r="4249" spans="1:1" x14ac:dyDescent="0.25">
      <c r="A4249" s="7" t="s">
        <v>452</v>
      </c>
    </row>
    <row r="4250" spans="1:1" x14ac:dyDescent="0.25">
      <c r="A4250" s="7" t="s">
        <v>10162</v>
      </c>
    </row>
    <row r="4251" spans="1:1" x14ac:dyDescent="0.25">
      <c r="A4251" s="7" t="s">
        <v>10028</v>
      </c>
    </row>
    <row r="4252" spans="1:1" x14ac:dyDescent="0.25">
      <c r="A4252" s="8" t="s">
        <v>10626</v>
      </c>
    </row>
    <row r="4253" spans="1:1" x14ac:dyDescent="0.25">
      <c r="A4253" s="7" t="s">
        <v>4432</v>
      </c>
    </row>
    <row r="4254" spans="1:1" x14ac:dyDescent="0.25">
      <c r="A4254" s="7" t="s">
        <v>4432</v>
      </c>
    </row>
    <row r="4255" spans="1:1" x14ac:dyDescent="0.25">
      <c r="A4255" s="7" t="s">
        <v>4432</v>
      </c>
    </row>
    <row r="4256" spans="1:1" x14ac:dyDescent="0.25">
      <c r="A4256" s="7" t="s">
        <v>4432</v>
      </c>
    </row>
    <row r="4257" spans="1:1" x14ac:dyDescent="0.25">
      <c r="A4257" s="8" t="s">
        <v>9203</v>
      </c>
    </row>
    <row r="4258" spans="1:1" x14ac:dyDescent="0.25">
      <c r="A4258" s="7" t="s">
        <v>6980</v>
      </c>
    </row>
    <row r="4259" spans="1:1" x14ac:dyDescent="0.25">
      <c r="A4259" s="7" t="s">
        <v>6980</v>
      </c>
    </row>
    <row r="4260" spans="1:1" x14ac:dyDescent="0.25">
      <c r="A4260" s="7" t="s">
        <v>6980</v>
      </c>
    </row>
    <row r="4261" spans="1:1" x14ac:dyDescent="0.25">
      <c r="A4261" s="8" t="s">
        <v>10293</v>
      </c>
    </row>
    <row r="4262" spans="1:1" x14ac:dyDescent="0.25">
      <c r="A4262" s="7" t="s">
        <v>9017</v>
      </c>
    </row>
    <row r="4263" spans="1:1" x14ac:dyDescent="0.25">
      <c r="A4263" s="7" t="s">
        <v>9361</v>
      </c>
    </row>
    <row r="4264" spans="1:1" x14ac:dyDescent="0.25">
      <c r="A4264" s="8" t="s">
        <v>9303</v>
      </c>
    </row>
    <row r="4265" spans="1:1" x14ac:dyDescent="0.25">
      <c r="A4265" s="8" t="s">
        <v>9303</v>
      </c>
    </row>
    <row r="4266" spans="1:1" x14ac:dyDescent="0.25">
      <c r="A4266" s="7" t="s">
        <v>9016</v>
      </c>
    </row>
    <row r="4267" spans="1:1" x14ac:dyDescent="0.25">
      <c r="A4267" s="7" t="s">
        <v>9016</v>
      </c>
    </row>
    <row r="4268" spans="1:1" x14ac:dyDescent="0.25">
      <c r="A4268" s="7" t="s">
        <v>10497</v>
      </c>
    </row>
    <row r="4269" spans="1:1" x14ac:dyDescent="0.25">
      <c r="A4269" s="8" t="s">
        <v>10500</v>
      </c>
    </row>
    <row r="4270" spans="1:1" x14ac:dyDescent="0.25">
      <c r="A4270" s="7" t="s">
        <v>9743</v>
      </c>
    </row>
    <row r="4271" spans="1:1" x14ac:dyDescent="0.25">
      <c r="A4271" s="8" t="s">
        <v>10114</v>
      </c>
    </row>
    <row r="4272" spans="1:1" x14ac:dyDescent="0.25">
      <c r="A4272" s="8" t="s">
        <v>10114</v>
      </c>
    </row>
    <row r="4273" spans="1:1" x14ac:dyDescent="0.25">
      <c r="A4273" s="7" t="s">
        <v>316</v>
      </c>
    </row>
    <row r="4274" spans="1:1" x14ac:dyDescent="0.25">
      <c r="A4274" s="7" t="s">
        <v>316</v>
      </c>
    </row>
    <row r="4275" spans="1:1" x14ac:dyDescent="0.25">
      <c r="A4275" s="8" t="s">
        <v>10534</v>
      </c>
    </row>
    <row r="4276" spans="1:1" x14ac:dyDescent="0.25">
      <c r="A4276" s="7" t="s">
        <v>238</v>
      </c>
    </row>
    <row r="4277" spans="1:1" x14ac:dyDescent="0.25">
      <c r="A4277" s="7" t="s">
        <v>238</v>
      </c>
    </row>
    <row r="4278" spans="1:1" x14ac:dyDescent="0.25">
      <c r="A4278" s="7" t="s">
        <v>238</v>
      </c>
    </row>
    <row r="4279" spans="1:1" x14ac:dyDescent="0.25">
      <c r="A4279" s="7" t="s">
        <v>238</v>
      </c>
    </row>
    <row r="4280" spans="1:1" x14ac:dyDescent="0.25">
      <c r="A4280" s="7" t="s">
        <v>238</v>
      </c>
    </row>
    <row r="4281" spans="1:1" x14ac:dyDescent="0.25">
      <c r="A4281" s="7" t="s">
        <v>238</v>
      </c>
    </row>
    <row r="4282" spans="1:1" x14ac:dyDescent="0.25">
      <c r="A4282" s="7" t="s">
        <v>238</v>
      </c>
    </row>
    <row r="4283" spans="1:1" x14ac:dyDescent="0.25">
      <c r="A4283" s="7" t="s">
        <v>238</v>
      </c>
    </row>
    <row r="4284" spans="1:1" x14ac:dyDescent="0.25">
      <c r="A4284" s="7" t="s">
        <v>238</v>
      </c>
    </row>
    <row r="4285" spans="1:1" x14ac:dyDescent="0.25">
      <c r="A4285" s="7" t="s">
        <v>238</v>
      </c>
    </row>
    <row r="4286" spans="1:1" x14ac:dyDescent="0.25">
      <c r="A4286" s="7" t="s">
        <v>238</v>
      </c>
    </row>
    <row r="4287" spans="1:1" x14ac:dyDescent="0.25">
      <c r="A4287" s="7" t="s">
        <v>238</v>
      </c>
    </row>
    <row r="4288" spans="1:1" x14ac:dyDescent="0.25">
      <c r="A4288" s="7" t="s">
        <v>238</v>
      </c>
    </row>
    <row r="4289" spans="1:1" x14ac:dyDescent="0.25">
      <c r="A4289" s="7" t="s">
        <v>10083</v>
      </c>
    </row>
    <row r="4290" spans="1:1" x14ac:dyDescent="0.25">
      <c r="A4290" s="7" t="s">
        <v>6806</v>
      </c>
    </row>
    <row r="4291" spans="1:1" x14ac:dyDescent="0.25">
      <c r="A4291" s="7" t="s">
        <v>6806</v>
      </c>
    </row>
    <row r="4292" spans="1:1" x14ac:dyDescent="0.25">
      <c r="A4292" s="8" t="s">
        <v>6806</v>
      </c>
    </row>
    <row r="4293" spans="1:1" x14ac:dyDescent="0.25">
      <c r="A4293" s="8" t="s">
        <v>9289</v>
      </c>
    </row>
    <row r="4294" spans="1:1" x14ac:dyDescent="0.25">
      <c r="A4294" s="7" t="s">
        <v>9884</v>
      </c>
    </row>
    <row r="4295" spans="1:1" x14ac:dyDescent="0.25">
      <c r="A4295" s="7" t="s">
        <v>9884</v>
      </c>
    </row>
    <row r="4296" spans="1:1" x14ac:dyDescent="0.25">
      <c r="A4296" s="8" t="s">
        <v>9884</v>
      </c>
    </row>
    <row r="4297" spans="1:1" x14ac:dyDescent="0.25">
      <c r="A4297" s="8" t="s">
        <v>9196</v>
      </c>
    </row>
    <row r="4298" spans="1:1" x14ac:dyDescent="0.25">
      <c r="A4298" s="8" t="s">
        <v>9196</v>
      </c>
    </row>
    <row r="4299" spans="1:1" x14ac:dyDescent="0.25">
      <c r="A4299" s="8" t="s">
        <v>10027</v>
      </c>
    </row>
    <row r="4300" spans="1:1" x14ac:dyDescent="0.25">
      <c r="A4300" s="7" t="s">
        <v>10606</v>
      </c>
    </row>
    <row r="4301" spans="1:1" x14ac:dyDescent="0.25">
      <c r="A4301" s="8" t="s">
        <v>10597</v>
      </c>
    </row>
    <row r="4302" spans="1:1" x14ac:dyDescent="0.25">
      <c r="A4302" s="7" t="s">
        <v>9086</v>
      </c>
    </row>
    <row r="4303" spans="1:1" x14ac:dyDescent="0.25">
      <c r="A4303" s="7" t="s">
        <v>9627</v>
      </c>
    </row>
    <row r="4304" spans="1:1" x14ac:dyDescent="0.25">
      <c r="A4304" s="8" t="s">
        <v>10483</v>
      </c>
    </row>
    <row r="4305" spans="1:1" x14ac:dyDescent="0.25">
      <c r="A4305" s="8" t="s">
        <v>9150</v>
      </c>
    </row>
    <row r="4306" spans="1:1" x14ac:dyDescent="0.25">
      <c r="A4306" s="8" t="s">
        <v>9150</v>
      </c>
    </row>
    <row r="4307" spans="1:1" x14ac:dyDescent="0.25">
      <c r="A4307" s="8" t="s">
        <v>9150</v>
      </c>
    </row>
    <row r="4308" spans="1:1" x14ac:dyDescent="0.25">
      <c r="A4308" s="8" t="s">
        <v>9150</v>
      </c>
    </row>
    <row r="4309" spans="1:1" x14ac:dyDescent="0.25">
      <c r="A4309" s="8" t="s">
        <v>9940</v>
      </c>
    </row>
    <row r="4310" spans="1:1" x14ac:dyDescent="0.25">
      <c r="A4310" s="8" t="s">
        <v>9172</v>
      </c>
    </row>
    <row r="4311" spans="1:1" x14ac:dyDescent="0.25">
      <c r="A4311" s="8" t="s">
        <v>9172</v>
      </c>
    </row>
    <row r="4312" spans="1:1" x14ac:dyDescent="0.25">
      <c r="A4312" s="8" t="s">
        <v>9172</v>
      </c>
    </row>
    <row r="4313" spans="1:1" x14ac:dyDescent="0.25">
      <c r="A4313" s="8" t="s">
        <v>9172</v>
      </c>
    </row>
    <row r="4314" spans="1:1" x14ac:dyDescent="0.25">
      <c r="A4314" s="7" t="s">
        <v>9534</v>
      </c>
    </row>
    <row r="4315" spans="1:1" x14ac:dyDescent="0.25">
      <c r="A4315" s="8" t="s">
        <v>9561</v>
      </c>
    </row>
    <row r="4316" spans="1:1" x14ac:dyDescent="0.25">
      <c r="A4316" s="8" t="s">
        <v>9561</v>
      </c>
    </row>
    <row r="4317" spans="1:1" x14ac:dyDescent="0.25">
      <c r="A4317" s="7" t="s">
        <v>3213</v>
      </c>
    </row>
    <row r="4318" spans="1:1" x14ac:dyDescent="0.25">
      <c r="A4318" s="7" t="s">
        <v>3213</v>
      </c>
    </row>
    <row r="4319" spans="1:1" x14ac:dyDescent="0.25">
      <c r="A4319" s="7" t="s">
        <v>3213</v>
      </c>
    </row>
    <row r="4320" spans="1:1" x14ac:dyDescent="0.25">
      <c r="A4320" s="7" t="s">
        <v>3213</v>
      </c>
    </row>
    <row r="4321" spans="1:1" x14ac:dyDescent="0.25">
      <c r="A4321" s="7" t="s">
        <v>3213</v>
      </c>
    </row>
    <row r="4322" spans="1:1" x14ac:dyDescent="0.25">
      <c r="A4322" s="7" t="s">
        <v>3213</v>
      </c>
    </row>
    <row r="4323" spans="1:1" x14ac:dyDescent="0.25">
      <c r="A4323" s="7" t="s">
        <v>3213</v>
      </c>
    </row>
    <row r="4324" spans="1:1" x14ac:dyDescent="0.25">
      <c r="A4324" s="7" t="s">
        <v>9874</v>
      </c>
    </row>
    <row r="4325" spans="1:1" x14ac:dyDescent="0.25">
      <c r="A4325" s="7" t="s">
        <v>343</v>
      </c>
    </row>
    <row r="4326" spans="1:1" x14ac:dyDescent="0.25">
      <c r="A4326" s="7" t="s">
        <v>9851</v>
      </c>
    </row>
    <row r="4327" spans="1:1" x14ac:dyDescent="0.25">
      <c r="A4327" s="7" t="s">
        <v>9851</v>
      </c>
    </row>
    <row r="4328" spans="1:1" x14ac:dyDescent="0.25">
      <c r="A4328" s="8" t="s">
        <v>10163</v>
      </c>
    </row>
    <row r="4329" spans="1:1" x14ac:dyDescent="0.25">
      <c r="A4329" s="8" t="s">
        <v>10368</v>
      </c>
    </row>
    <row r="4330" spans="1:1" x14ac:dyDescent="0.25">
      <c r="A4330" s="7" t="s">
        <v>9369</v>
      </c>
    </row>
    <row r="4331" spans="1:1" x14ac:dyDescent="0.25">
      <c r="A4331" s="7" t="s">
        <v>9369</v>
      </c>
    </row>
    <row r="4332" spans="1:1" x14ac:dyDescent="0.25">
      <c r="A4332" s="7" t="s">
        <v>6280</v>
      </c>
    </row>
    <row r="4333" spans="1:1" x14ac:dyDescent="0.25">
      <c r="A4333" s="7" t="s">
        <v>6280</v>
      </c>
    </row>
    <row r="4334" spans="1:1" x14ac:dyDescent="0.25">
      <c r="A4334" s="7" t="s">
        <v>6280</v>
      </c>
    </row>
    <row r="4335" spans="1:1" x14ac:dyDescent="0.25">
      <c r="A4335" s="7" t="s">
        <v>6280</v>
      </c>
    </row>
    <row r="4336" spans="1:1" x14ac:dyDescent="0.25">
      <c r="A4336" s="7" t="s">
        <v>6280</v>
      </c>
    </row>
    <row r="4337" spans="1:1" x14ac:dyDescent="0.25">
      <c r="A4337" s="7" t="s">
        <v>6280</v>
      </c>
    </row>
    <row r="4338" spans="1:1" x14ac:dyDescent="0.25">
      <c r="A4338" s="7" t="s">
        <v>6280</v>
      </c>
    </row>
    <row r="4339" spans="1:1" x14ac:dyDescent="0.25">
      <c r="A4339" s="7" t="s">
        <v>6280</v>
      </c>
    </row>
    <row r="4340" spans="1:1" x14ac:dyDescent="0.25">
      <c r="A4340" s="7" t="s">
        <v>6280</v>
      </c>
    </row>
    <row r="4341" spans="1:1" x14ac:dyDescent="0.25">
      <c r="A4341" s="7" t="s">
        <v>6280</v>
      </c>
    </row>
    <row r="4342" spans="1:1" x14ac:dyDescent="0.25">
      <c r="A4342" s="7" t="s">
        <v>6280</v>
      </c>
    </row>
    <row r="4343" spans="1:1" x14ac:dyDescent="0.25">
      <c r="A4343" s="7" t="s">
        <v>6280</v>
      </c>
    </row>
    <row r="4344" spans="1:1" x14ac:dyDescent="0.25">
      <c r="A4344" s="8" t="s">
        <v>6280</v>
      </c>
    </row>
    <row r="4345" spans="1:1" x14ac:dyDescent="0.25">
      <c r="A4345" s="8" t="s">
        <v>6280</v>
      </c>
    </row>
    <row r="4346" spans="1:1" x14ac:dyDescent="0.25">
      <c r="A4346" s="8" t="s">
        <v>6280</v>
      </c>
    </row>
    <row r="4347" spans="1:1" x14ac:dyDescent="0.25">
      <c r="A4347" s="8" t="s">
        <v>9773</v>
      </c>
    </row>
    <row r="4348" spans="1:1" x14ac:dyDescent="0.25">
      <c r="A4348" s="8" t="s">
        <v>9773</v>
      </c>
    </row>
    <row r="4349" spans="1:1" x14ac:dyDescent="0.25">
      <c r="A4349" s="8" t="s">
        <v>9387</v>
      </c>
    </row>
    <row r="4350" spans="1:1" x14ac:dyDescent="0.25">
      <c r="A4350" s="8" t="s">
        <v>9387</v>
      </c>
    </row>
    <row r="4351" spans="1:1" x14ac:dyDescent="0.25">
      <c r="A4351" s="8" t="s">
        <v>9387</v>
      </c>
    </row>
    <row r="4352" spans="1:1" x14ac:dyDescent="0.25">
      <c r="A4352" s="8" t="s">
        <v>9387</v>
      </c>
    </row>
    <row r="4353" spans="1:1" x14ac:dyDescent="0.25">
      <c r="A4353" s="8" t="s">
        <v>9387</v>
      </c>
    </row>
    <row r="4354" spans="1:1" x14ac:dyDescent="0.25">
      <c r="A4354" s="8" t="s">
        <v>9387</v>
      </c>
    </row>
    <row r="4355" spans="1:1" x14ac:dyDescent="0.25">
      <c r="A4355" s="8" t="s">
        <v>10409</v>
      </c>
    </row>
    <row r="4356" spans="1:1" x14ac:dyDescent="0.25">
      <c r="A4356" s="7" t="s">
        <v>4600</v>
      </c>
    </row>
    <row r="4357" spans="1:1" x14ac:dyDescent="0.25">
      <c r="A4357" s="7" t="s">
        <v>9294</v>
      </c>
    </row>
    <row r="4358" spans="1:1" x14ac:dyDescent="0.25">
      <c r="A4358" s="7" t="s">
        <v>7781</v>
      </c>
    </row>
    <row r="4359" spans="1:1" x14ac:dyDescent="0.25">
      <c r="A4359" s="7" t="s">
        <v>7781</v>
      </c>
    </row>
    <row r="4360" spans="1:1" x14ac:dyDescent="0.25">
      <c r="A4360" s="7" t="s">
        <v>7781</v>
      </c>
    </row>
    <row r="4361" spans="1:1" x14ac:dyDescent="0.25">
      <c r="A4361" s="8" t="s">
        <v>7781</v>
      </c>
    </row>
    <row r="4362" spans="1:1" x14ac:dyDescent="0.25">
      <c r="A4362" s="8" t="s">
        <v>7781</v>
      </c>
    </row>
    <row r="4363" spans="1:1" x14ac:dyDescent="0.25">
      <c r="A4363" s="8" t="s">
        <v>8856</v>
      </c>
    </row>
    <row r="4364" spans="1:1" x14ac:dyDescent="0.25">
      <c r="A4364" s="7" t="s">
        <v>1934</v>
      </c>
    </row>
    <row r="4365" spans="1:1" x14ac:dyDescent="0.25">
      <c r="A4365" s="8" t="s">
        <v>9042</v>
      </c>
    </row>
    <row r="4366" spans="1:1" x14ac:dyDescent="0.25">
      <c r="A4366" s="8" t="s">
        <v>9760</v>
      </c>
    </row>
    <row r="4367" spans="1:1" x14ac:dyDescent="0.25">
      <c r="A4367" s="7" t="s">
        <v>4620</v>
      </c>
    </row>
    <row r="4368" spans="1:1" x14ac:dyDescent="0.25">
      <c r="A4368" s="7" t="s">
        <v>4620</v>
      </c>
    </row>
    <row r="4369" spans="1:1" x14ac:dyDescent="0.25">
      <c r="A4369" s="8" t="s">
        <v>4620</v>
      </c>
    </row>
    <row r="4370" spans="1:1" x14ac:dyDescent="0.25">
      <c r="A4370" s="7" t="s">
        <v>9799</v>
      </c>
    </row>
    <row r="4371" spans="1:1" x14ac:dyDescent="0.25">
      <c r="A4371" s="7" t="s">
        <v>8249</v>
      </c>
    </row>
    <row r="4372" spans="1:1" x14ac:dyDescent="0.25">
      <c r="A4372" s="7" t="s">
        <v>2213</v>
      </c>
    </row>
    <row r="4373" spans="1:1" x14ac:dyDescent="0.25">
      <c r="A4373" s="7" t="s">
        <v>5337</v>
      </c>
    </row>
    <row r="4374" spans="1:1" x14ac:dyDescent="0.25">
      <c r="A4374" s="7" t="s">
        <v>2162</v>
      </c>
    </row>
    <row r="4375" spans="1:1" x14ac:dyDescent="0.25">
      <c r="A4375" s="8" t="s">
        <v>2162</v>
      </c>
    </row>
    <row r="4376" spans="1:1" x14ac:dyDescent="0.25">
      <c r="A4376" s="7" t="s">
        <v>9980</v>
      </c>
    </row>
    <row r="4377" spans="1:1" x14ac:dyDescent="0.25">
      <c r="A4377" s="8" t="s">
        <v>9980</v>
      </c>
    </row>
    <row r="4378" spans="1:1" x14ac:dyDescent="0.25">
      <c r="A4378" s="7" t="s">
        <v>9998</v>
      </c>
    </row>
    <row r="4379" spans="1:1" x14ac:dyDescent="0.25">
      <c r="A4379" s="7" t="s">
        <v>9998</v>
      </c>
    </row>
    <row r="4380" spans="1:1" x14ac:dyDescent="0.25">
      <c r="A4380" s="7" t="s">
        <v>9998</v>
      </c>
    </row>
    <row r="4381" spans="1:1" x14ac:dyDescent="0.25">
      <c r="A4381" s="7" t="s">
        <v>9998</v>
      </c>
    </row>
    <row r="4382" spans="1:1" x14ac:dyDescent="0.25">
      <c r="A4382" s="8" t="s">
        <v>9998</v>
      </c>
    </row>
    <row r="4383" spans="1:1" x14ac:dyDescent="0.25">
      <c r="A4383" s="7" t="s">
        <v>7550</v>
      </c>
    </row>
    <row r="4384" spans="1:1" x14ac:dyDescent="0.25">
      <c r="A4384" s="7" t="s">
        <v>3829</v>
      </c>
    </row>
    <row r="4385" spans="1:1" x14ac:dyDescent="0.25">
      <c r="A4385" s="7" t="s">
        <v>3829</v>
      </c>
    </row>
    <row r="4386" spans="1:1" x14ac:dyDescent="0.25">
      <c r="A4386" s="7" t="s">
        <v>3829</v>
      </c>
    </row>
    <row r="4387" spans="1:1" x14ac:dyDescent="0.25">
      <c r="A4387" s="8" t="s">
        <v>8967</v>
      </c>
    </row>
    <row r="4388" spans="1:1" x14ac:dyDescent="0.25">
      <c r="A4388" s="8" t="s">
        <v>8967</v>
      </c>
    </row>
    <row r="4389" spans="1:1" x14ac:dyDescent="0.25">
      <c r="A4389" s="7" t="s">
        <v>6296</v>
      </c>
    </row>
    <row r="4390" spans="1:1" x14ac:dyDescent="0.25">
      <c r="A4390" s="7" t="s">
        <v>6836</v>
      </c>
    </row>
    <row r="4391" spans="1:1" x14ac:dyDescent="0.25">
      <c r="A4391" s="8" t="s">
        <v>9733</v>
      </c>
    </row>
    <row r="4392" spans="1:1" x14ac:dyDescent="0.25">
      <c r="A4392" s="8" t="s">
        <v>9852</v>
      </c>
    </row>
    <row r="4393" spans="1:1" x14ac:dyDescent="0.25">
      <c r="A4393" s="8" t="s">
        <v>9852</v>
      </c>
    </row>
    <row r="4394" spans="1:1" x14ac:dyDescent="0.25">
      <c r="A4394" s="7" t="s">
        <v>3956</v>
      </c>
    </row>
    <row r="4395" spans="1:1" x14ac:dyDescent="0.25">
      <c r="A4395" s="7" t="s">
        <v>3956</v>
      </c>
    </row>
    <row r="4396" spans="1:1" x14ac:dyDescent="0.25">
      <c r="A4396" s="7" t="s">
        <v>3956</v>
      </c>
    </row>
    <row r="4397" spans="1:1" x14ac:dyDescent="0.25">
      <c r="A4397" s="7" t="s">
        <v>3956</v>
      </c>
    </row>
    <row r="4398" spans="1:1" x14ac:dyDescent="0.25">
      <c r="A4398" s="7" t="s">
        <v>3956</v>
      </c>
    </row>
    <row r="4399" spans="1:1" x14ac:dyDescent="0.25">
      <c r="A4399" s="7" t="s">
        <v>3956</v>
      </c>
    </row>
    <row r="4400" spans="1:1" x14ac:dyDescent="0.25">
      <c r="A4400" s="8" t="s">
        <v>9482</v>
      </c>
    </row>
    <row r="4401" spans="1:1" x14ac:dyDescent="0.25">
      <c r="A4401" s="7" t="s">
        <v>5524</v>
      </c>
    </row>
    <row r="4402" spans="1:1" x14ac:dyDescent="0.25">
      <c r="A4402" s="8" t="s">
        <v>10189</v>
      </c>
    </row>
    <row r="4403" spans="1:1" x14ac:dyDescent="0.25">
      <c r="A4403" s="7" t="s">
        <v>6152</v>
      </c>
    </row>
    <row r="4404" spans="1:1" x14ac:dyDescent="0.25">
      <c r="A4404" s="7" t="s">
        <v>6152</v>
      </c>
    </row>
    <row r="4405" spans="1:1" x14ac:dyDescent="0.25">
      <c r="A4405" s="7" t="s">
        <v>6152</v>
      </c>
    </row>
    <row r="4406" spans="1:1" x14ac:dyDescent="0.25">
      <c r="A4406" s="8" t="s">
        <v>6152</v>
      </c>
    </row>
    <row r="4407" spans="1:1" x14ac:dyDescent="0.25">
      <c r="A4407" s="8" t="s">
        <v>6152</v>
      </c>
    </row>
    <row r="4408" spans="1:1" x14ac:dyDescent="0.25">
      <c r="A4408" s="7" t="s">
        <v>3708</v>
      </c>
    </row>
    <row r="4409" spans="1:1" x14ac:dyDescent="0.25">
      <c r="A4409" s="7" t="s">
        <v>3708</v>
      </c>
    </row>
    <row r="4410" spans="1:1" x14ac:dyDescent="0.25">
      <c r="A4410" s="7" t="s">
        <v>3708</v>
      </c>
    </row>
    <row r="4411" spans="1:1" x14ac:dyDescent="0.25">
      <c r="A4411" s="7" t="s">
        <v>3708</v>
      </c>
    </row>
    <row r="4412" spans="1:1" x14ac:dyDescent="0.25">
      <c r="A4412" s="7" t="s">
        <v>3708</v>
      </c>
    </row>
    <row r="4413" spans="1:1" x14ac:dyDescent="0.25">
      <c r="A4413" s="7" t="s">
        <v>3708</v>
      </c>
    </row>
    <row r="4414" spans="1:1" x14ac:dyDescent="0.25">
      <c r="A4414" s="7" t="s">
        <v>3708</v>
      </c>
    </row>
    <row r="4415" spans="1:1" x14ac:dyDescent="0.25">
      <c r="A4415" s="7" t="s">
        <v>3708</v>
      </c>
    </row>
    <row r="4416" spans="1:1" x14ac:dyDescent="0.25">
      <c r="A4416" s="7" t="s">
        <v>3708</v>
      </c>
    </row>
    <row r="4417" spans="1:1" x14ac:dyDescent="0.25">
      <c r="A4417" s="7" t="s">
        <v>3708</v>
      </c>
    </row>
    <row r="4418" spans="1:1" x14ac:dyDescent="0.25">
      <c r="A4418" s="7" t="s">
        <v>3708</v>
      </c>
    </row>
    <row r="4419" spans="1:1" x14ac:dyDescent="0.25">
      <c r="A4419" s="7" t="s">
        <v>3708</v>
      </c>
    </row>
    <row r="4420" spans="1:1" x14ac:dyDescent="0.25">
      <c r="A4420" s="7" t="s">
        <v>3708</v>
      </c>
    </row>
    <row r="4421" spans="1:1" x14ac:dyDescent="0.25">
      <c r="A4421" s="7" t="s">
        <v>3708</v>
      </c>
    </row>
    <row r="4422" spans="1:1" x14ac:dyDescent="0.25">
      <c r="A4422" s="7" t="s">
        <v>3708</v>
      </c>
    </row>
    <row r="4423" spans="1:1" x14ac:dyDescent="0.25">
      <c r="A4423" s="7" t="s">
        <v>3708</v>
      </c>
    </row>
    <row r="4424" spans="1:1" x14ac:dyDescent="0.25">
      <c r="A4424" s="7" t="s">
        <v>3708</v>
      </c>
    </row>
    <row r="4425" spans="1:1" x14ac:dyDescent="0.25">
      <c r="A4425" s="7" t="s">
        <v>3708</v>
      </c>
    </row>
    <row r="4426" spans="1:1" x14ac:dyDescent="0.25">
      <c r="A4426" s="7" t="s">
        <v>3708</v>
      </c>
    </row>
    <row r="4427" spans="1:1" x14ac:dyDescent="0.25">
      <c r="A4427" s="7" t="s">
        <v>3708</v>
      </c>
    </row>
    <row r="4428" spans="1:1" x14ac:dyDescent="0.25">
      <c r="A4428" s="8" t="s">
        <v>3708</v>
      </c>
    </row>
    <row r="4429" spans="1:1" x14ac:dyDescent="0.25">
      <c r="A4429" s="8" t="s">
        <v>9136</v>
      </c>
    </row>
    <row r="4430" spans="1:1" x14ac:dyDescent="0.25">
      <c r="A4430" s="7" t="s">
        <v>7106</v>
      </c>
    </row>
    <row r="4431" spans="1:1" x14ac:dyDescent="0.25">
      <c r="A4431" s="7" t="s">
        <v>7106</v>
      </c>
    </row>
    <row r="4432" spans="1:1" x14ac:dyDescent="0.25">
      <c r="A4432" s="7" t="s">
        <v>7106</v>
      </c>
    </row>
    <row r="4433" spans="1:1" x14ac:dyDescent="0.25">
      <c r="A4433" s="7" t="s">
        <v>7106</v>
      </c>
    </row>
    <row r="4434" spans="1:1" x14ac:dyDescent="0.25">
      <c r="A4434" s="7" t="s">
        <v>2557</v>
      </c>
    </row>
    <row r="4435" spans="1:1" x14ac:dyDescent="0.25">
      <c r="A4435" s="7" t="s">
        <v>9110</v>
      </c>
    </row>
    <row r="4436" spans="1:1" x14ac:dyDescent="0.25">
      <c r="A4436" s="7" t="s">
        <v>9469</v>
      </c>
    </row>
    <row r="4437" spans="1:1" x14ac:dyDescent="0.25">
      <c r="A4437" s="8" t="s">
        <v>10631</v>
      </c>
    </row>
    <row r="4438" spans="1:1" x14ac:dyDescent="0.25">
      <c r="A4438" s="8" t="s">
        <v>8975</v>
      </c>
    </row>
    <row r="4439" spans="1:1" x14ac:dyDescent="0.25">
      <c r="A4439" s="7" t="s">
        <v>2928</v>
      </c>
    </row>
    <row r="4440" spans="1:1" x14ac:dyDescent="0.25">
      <c r="A4440" s="8" t="s">
        <v>2928</v>
      </c>
    </row>
    <row r="4441" spans="1:1" x14ac:dyDescent="0.25">
      <c r="A4441" s="8" t="s">
        <v>2928</v>
      </c>
    </row>
    <row r="4442" spans="1:1" x14ac:dyDescent="0.25">
      <c r="A4442" s="8" t="s">
        <v>2928</v>
      </c>
    </row>
    <row r="4443" spans="1:1" x14ac:dyDescent="0.25">
      <c r="A4443" s="7" t="s">
        <v>7188</v>
      </c>
    </row>
    <row r="4444" spans="1:1" x14ac:dyDescent="0.25">
      <c r="A4444" s="7" t="s">
        <v>7188</v>
      </c>
    </row>
    <row r="4445" spans="1:1" x14ac:dyDescent="0.25">
      <c r="A4445" s="7" t="s">
        <v>3028</v>
      </c>
    </row>
    <row r="4446" spans="1:1" x14ac:dyDescent="0.25">
      <c r="A4446" s="7" t="s">
        <v>3028</v>
      </c>
    </row>
    <row r="4447" spans="1:1" x14ac:dyDescent="0.25">
      <c r="A4447" s="7" t="s">
        <v>3028</v>
      </c>
    </row>
    <row r="4448" spans="1:1" x14ac:dyDescent="0.25">
      <c r="A4448" s="8" t="s">
        <v>3028</v>
      </c>
    </row>
    <row r="4449" spans="1:1" x14ac:dyDescent="0.25">
      <c r="A4449" s="8" t="s">
        <v>3028</v>
      </c>
    </row>
    <row r="4450" spans="1:1" x14ac:dyDescent="0.25">
      <c r="A4450" s="7" t="s">
        <v>9730</v>
      </c>
    </row>
    <row r="4451" spans="1:1" x14ac:dyDescent="0.25">
      <c r="A4451" s="8" t="s">
        <v>9999</v>
      </c>
    </row>
    <row r="4452" spans="1:1" x14ac:dyDescent="0.25">
      <c r="A4452" s="8" t="s">
        <v>9999</v>
      </c>
    </row>
    <row r="4453" spans="1:1" x14ac:dyDescent="0.25">
      <c r="A4453" s="8" t="s">
        <v>9999</v>
      </c>
    </row>
    <row r="4454" spans="1:1" x14ac:dyDescent="0.25">
      <c r="A4454" s="8" t="s">
        <v>9999</v>
      </c>
    </row>
    <row r="4455" spans="1:1" x14ac:dyDescent="0.25">
      <c r="A4455" s="8" t="s">
        <v>9053</v>
      </c>
    </row>
    <row r="4456" spans="1:1" x14ac:dyDescent="0.25">
      <c r="A4456" s="8" t="s">
        <v>9883</v>
      </c>
    </row>
    <row r="4457" spans="1:1" x14ac:dyDescent="0.25">
      <c r="A4457" s="7" t="s">
        <v>5974</v>
      </c>
    </row>
    <row r="4458" spans="1:1" x14ac:dyDescent="0.25">
      <c r="A4458" s="7" t="s">
        <v>5974</v>
      </c>
    </row>
    <row r="4459" spans="1:1" x14ac:dyDescent="0.25">
      <c r="A4459" s="8" t="s">
        <v>5974</v>
      </c>
    </row>
    <row r="4460" spans="1:1" x14ac:dyDescent="0.25">
      <c r="A4460" s="7" t="s">
        <v>8969</v>
      </c>
    </row>
    <row r="4461" spans="1:1" x14ac:dyDescent="0.25">
      <c r="A4461" s="7" t="s">
        <v>9282</v>
      </c>
    </row>
    <row r="4462" spans="1:1" x14ac:dyDescent="0.25">
      <c r="A4462" s="8" t="s">
        <v>9282</v>
      </c>
    </row>
    <row r="4463" spans="1:1" x14ac:dyDescent="0.25">
      <c r="A4463" s="8" t="s">
        <v>9192</v>
      </c>
    </row>
    <row r="4464" spans="1:1" x14ac:dyDescent="0.25">
      <c r="A4464" s="8" t="s">
        <v>9192</v>
      </c>
    </row>
    <row r="4465" spans="1:1" x14ac:dyDescent="0.25">
      <c r="A4465" s="8" t="s">
        <v>9192</v>
      </c>
    </row>
    <row r="4466" spans="1:1" x14ac:dyDescent="0.25">
      <c r="A4466" s="8" t="s">
        <v>10164</v>
      </c>
    </row>
    <row r="4467" spans="1:1" x14ac:dyDescent="0.25">
      <c r="A4467" s="8" t="s">
        <v>9015</v>
      </c>
    </row>
    <row r="4468" spans="1:1" x14ac:dyDescent="0.25">
      <c r="A4468" s="7" t="s">
        <v>2235</v>
      </c>
    </row>
    <row r="4469" spans="1:1" x14ac:dyDescent="0.25">
      <c r="A4469" s="7" t="s">
        <v>9780</v>
      </c>
    </row>
    <row r="4470" spans="1:1" x14ac:dyDescent="0.25">
      <c r="A4470" s="7" t="s">
        <v>9780</v>
      </c>
    </row>
    <row r="4471" spans="1:1" x14ac:dyDescent="0.25">
      <c r="A4471" s="7" t="s">
        <v>9520</v>
      </c>
    </row>
    <row r="4472" spans="1:1" x14ac:dyDescent="0.25">
      <c r="A4472" s="8" t="s">
        <v>9520</v>
      </c>
    </row>
    <row r="4473" spans="1:1" x14ac:dyDescent="0.25">
      <c r="A4473" s="8" t="s">
        <v>9520</v>
      </c>
    </row>
    <row r="4474" spans="1:1" x14ac:dyDescent="0.25">
      <c r="A4474" s="8" t="s">
        <v>9520</v>
      </c>
    </row>
    <row r="4475" spans="1:1" x14ac:dyDescent="0.25">
      <c r="A4475" s="8" t="s">
        <v>9520</v>
      </c>
    </row>
    <row r="4476" spans="1:1" x14ac:dyDescent="0.25">
      <c r="A4476" s="7" t="s">
        <v>7421</v>
      </c>
    </row>
    <row r="4477" spans="1:1" x14ac:dyDescent="0.25">
      <c r="A4477" s="8" t="s">
        <v>7421</v>
      </c>
    </row>
    <row r="4478" spans="1:1" x14ac:dyDescent="0.25">
      <c r="A4478" s="7" t="s">
        <v>9774</v>
      </c>
    </row>
    <row r="4479" spans="1:1" x14ac:dyDescent="0.25">
      <c r="A4479" s="7" t="s">
        <v>9774</v>
      </c>
    </row>
    <row r="4480" spans="1:1" x14ac:dyDescent="0.25">
      <c r="A4480" s="7" t="s">
        <v>9298</v>
      </c>
    </row>
    <row r="4481" spans="1:1" x14ac:dyDescent="0.25">
      <c r="A4481" s="7" t="s">
        <v>9139</v>
      </c>
    </row>
    <row r="4482" spans="1:1" x14ac:dyDescent="0.25">
      <c r="A4482" s="7" t="s">
        <v>9139</v>
      </c>
    </row>
    <row r="4483" spans="1:1" x14ac:dyDescent="0.25">
      <c r="A4483" s="7" t="s">
        <v>9139</v>
      </c>
    </row>
    <row r="4484" spans="1:1" x14ac:dyDescent="0.25">
      <c r="A4484" s="7" t="s">
        <v>9139</v>
      </c>
    </row>
    <row r="4485" spans="1:1" x14ac:dyDescent="0.25">
      <c r="A4485" s="7" t="s">
        <v>9139</v>
      </c>
    </row>
    <row r="4486" spans="1:1" x14ac:dyDescent="0.25">
      <c r="A4486" s="7" t="s">
        <v>9139</v>
      </c>
    </row>
    <row r="4487" spans="1:1" x14ac:dyDescent="0.25">
      <c r="A4487" s="7" t="s">
        <v>9139</v>
      </c>
    </row>
    <row r="4488" spans="1:1" x14ac:dyDescent="0.25">
      <c r="A4488" s="7" t="s">
        <v>9139</v>
      </c>
    </row>
    <row r="4489" spans="1:1" x14ac:dyDescent="0.25">
      <c r="A4489" s="7" t="s">
        <v>9139</v>
      </c>
    </row>
    <row r="4490" spans="1:1" x14ac:dyDescent="0.25">
      <c r="A4490" s="8" t="s">
        <v>9139</v>
      </c>
    </row>
    <row r="4491" spans="1:1" x14ac:dyDescent="0.25">
      <c r="A4491" s="8" t="s">
        <v>9139</v>
      </c>
    </row>
    <row r="4492" spans="1:1" x14ac:dyDescent="0.25">
      <c r="A4492" s="8" t="s">
        <v>9139</v>
      </c>
    </row>
    <row r="4493" spans="1:1" x14ac:dyDescent="0.25">
      <c r="A4493" s="8" t="s">
        <v>9139</v>
      </c>
    </row>
    <row r="4494" spans="1:1" x14ac:dyDescent="0.25">
      <c r="A4494" s="8" t="s">
        <v>9139</v>
      </c>
    </row>
    <row r="4495" spans="1:1" x14ac:dyDescent="0.25">
      <c r="A4495" s="8" t="s">
        <v>9139</v>
      </c>
    </row>
    <row r="4496" spans="1:1" x14ac:dyDescent="0.25">
      <c r="A4496" s="8" t="s">
        <v>9139</v>
      </c>
    </row>
    <row r="4497" spans="1:1" x14ac:dyDescent="0.25">
      <c r="A4497" s="8" t="s">
        <v>9091</v>
      </c>
    </row>
    <row r="4498" spans="1:1" x14ac:dyDescent="0.25">
      <c r="A4498" s="8" t="s">
        <v>8952</v>
      </c>
    </row>
    <row r="4499" spans="1:1" x14ac:dyDescent="0.25">
      <c r="A4499" s="7" t="s">
        <v>2230</v>
      </c>
    </row>
    <row r="4500" spans="1:1" x14ac:dyDescent="0.25">
      <c r="A4500" s="7" t="s">
        <v>10376</v>
      </c>
    </row>
    <row r="4501" spans="1:1" x14ac:dyDescent="0.25">
      <c r="A4501" s="8" t="s">
        <v>9985</v>
      </c>
    </row>
    <row r="4502" spans="1:1" x14ac:dyDescent="0.25">
      <c r="A4502" s="7" t="s">
        <v>4191</v>
      </c>
    </row>
    <row r="4503" spans="1:1" x14ac:dyDescent="0.25">
      <c r="A4503" s="7" t="s">
        <v>4191</v>
      </c>
    </row>
    <row r="4504" spans="1:1" x14ac:dyDescent="0.25">
      <c r="A4504" s="7" t="s">
        <v>4191</v>
      </c>
    </row>
    <row r="4505" spans="1:1" x14ac:dyDescent="0.25">
      <c r="A4505" s="7" t="s">
        <v>4191</v>
      </c>
    </row>
    <row r="4506" spans="1:1" x14ac:dyDescent="0.25">
      <c r="A4506" s="7" t="s">
        <v>4191</v>
      </c>
    </row>
    <row r="4507" spans="1:1" x14ac:dyDescent="0.25">
      <c r="A4507" s="7" t="s">
        <v>4191</v>
      </c>
    </row>
    <row r="4508" spans="1:1" x14ac:dyDescent="0.25">
      <c r="A4508" s="7" t="s">
        <v>7102</v>
      </c>
    </row>
    <row r="4509" spans="1:1" x14ac:dyDescent="0.25">
      <c r="A4509" s="8" t="s">
        <v>7102</v>
      </c>
    </row>
    <row r="4510" spans="1:1" x14ac:dyDescent="0.25">
      <c r="A4510" s="8" t="s">
        <v>7102</v>
      </c>
    </row>
    <row r="4511" spans="1:1" x14ac:dyDescent="0.25">
      <c r="A4511" s="7" t="s">
        <v>9683</v>
      </c>
    </row>
    <row r="4512" spans="1:1" x14ac:dyDescent="0.25">
      <c r="A4512" s="8" t="s">
        <v>10568</v>
      </c>
    </row>
    <row r="4513" spans="1:1" x14ac:dyDescent="0.25">
      <c r="A4513" s="7" t="s">
        <v>9179</v>
      </c>
    </row>
    <row r="4514" spans="1:1" x14ac:dyDescent="0.25">
      <c r="A4514" s="7" t="s">
        <v>9179</v>
      </c>
    </row>
    <row r="4515" spans="1:1" x14ac:dyDescent="0.25">
      <c r="A4515" s="7" t="s">
        <v>9179</v>
      </c>
    </row>
    <row r="4516" spans="1:1" x14ac:dyDescent="0.25">
      <c r="A4516" s="7" t="s">
        <v>9179</v>
      </c>
    </row>
    <row r="4517" spans="1:1" x14ac:dyDescent="0.25">
      <c r="A4517" s="7" t="s">
        <v>9179</v>
      </c>
    </row>
    <row r="4518" spans="1:1" x14ac:dyDescent="0.25">
      <c r="A4518" s="8" t="s">
        <v>10072</v>
      </c>
    </row>
    <row r="4519" spans="1:1" x14ac:dyDescent="0.25">
      <c r="A4519" s="7" t="s">
        <v>10148</v>
      </c>
    </row>
    <row r="4520" spans="1:1" x14ac:dyDescent="0.25">
      <c r="A4520" s="7" t="s">
        <v>9462</v>
      </c>
    </row>
    <row r="4521" spans="1:1" x14ac:dyDescent="0.25">
      <c r="A4521" s="7" t="s">
        <v>7955</v>
      </c>
    </row>
    <row r="4522" spans="1:1" x14ac:dyDescent="0.25">
      <c r="A4522" s="7" t="s">
        <v>9182</v>
      </c>
    </row>
    <row r="4523" spans="1:1" x14ac:dyDescent="0.25">
      <c r="A4523" s="7" t="s">
        <v>6451</v>
      </c>
    </row>
    <row r="4524" spans="1:1" x14ac:dyDescent="0.25">
      <c r="A4524" s="7" t="s">
        <v>803</v>
      </c>
    </row>
    <row r="4525" spans="1:1" x14ac:dyDescent="0.25">
      <c r="A4525" s="7" t="s">
        <v>10136</v>
      </c>
    </row>
    <row r="4526" spans="1:1" x14ac:dyDescent="0.25">
      <c r="A4526" s="7" t="s">
        <v>5986</v>
      </c>
    </row>
    <row r="4527" spans="1:1" x14ac:dyDescent="0.25">
      <c r="A4527" s="7" t="s">
        <v>5986</v>
      </c>
    </row>
    <row r="4528" spans="1:1" x14ac:dyDescent="0.25">
      <c r="A4528" s="7" t="s">
        <v>5986</v>
      </c>
    </row>
    <row r="4529" spans="1:1" x14ac:dyDescent="0.25">
      <c r="A4529" s="7" t="s">
        <v>5986</v>
      </c>
    </row>
    <row r="4530" spans="1:1" x14ac:dyDescent="0.25">
      <c r="A4530" s="7" t="s">
        <v>10684</v>
      </c>
    </row>
    <row r="4531" spans="1:1" x14ac:dyDescent="0.25">
      <c r="A4531" s="8" t="s">
        <v>9863</v>
      </c>
    </row>
    <row r="4532" spans="1:1" x14ac:dyDescent="0.25">
      <c r="A4532" s="8" t="s">
        <v>9863</v>
      </c>
    </row>
    <row r="4533" spans="1:1" x14ac:dyDescent="0.25">
      <c r="A4533" s="8" t="s">
        <v>9863</v>
      </c>
    </row>
    <row r="4534" spans="1:1" x14ac:dyDescent="0.25">
      <c r="A4534" s="8" t="s">
        <v>9276</v>
      </c>
    </row>
    <row r="4535" spans="1:1" x14ac:dyDescent="0.25">
      <c r="A4535" s="8" t="s">
        <v>9782</v>
      </c>
    </row>
    <row r="4536" spans="1:1" x14ac:dyDescent="0.25">
      <c r="A4536" s="8" t="s">
        <v>9782</v>
      </c>
    </row>
    <row r="4537" spans="1:1" x14ac:dyDescent="0.25">
      <c r="A4537" s="8" t="s">
        <v>10290</v>
      </c>
    </row>
    <row r="4538" spans="1:1" x14ac:dyDescent="0.25">
      <c r="A4538" s="7" t="s">
        <v>5968</v>
      </c>
    </row>
    <row r="4539" spans="1:1" x14ac:dyDescent="0.25">
      <c r="A4539" s="8" t="s">
        <v>8846</v>
      </c>
    </row>
    <row r="4540" spans="1:1" x14ac:dyDescent="0.25">
      <c r="A4540" s="8" t="s">
        <v>8935</v>
      </c>
    </row>
    <row r="4541" spans="1:1" x14ac:dyDescent="0.25">
      <c r="A4541" s="7" t="s">
        <v>10336</v>
      </c>
    </row>
    <row r="4542" spans="1:1" x14ac:dyDescent="0.25">
      <c r="A4542" s="7" t="s">
        <v>2805</v>
      </c>
    </row>
    <row r="4543" spans="1:1" x14ac:dyDescent="0.25">
      <c r="A4543" s="7" t="s">
        <v>8911</v>
      </c>
    </row>
    <row r="4544" spans="1:1" x14ac:dyDescent="0.25">
      <c r="A4544" s="8" t="s">
        <v>8911</v>
      </c>
    </row>
    <row r="4545" spans="1:1" x14ac:dyDescent="0.25">
      <c r="A4545" s="8" t="s">
        <v>10395</v>
      </c>
    </row>
    <row r="4546" spans="1:1" x14ac:dyDescent="0.25">
      <c r="A4546" s="8" t="s">
        <v>9591</v>
      </c>
    </row>
    <row r="4547" spans="1:1" x14ac:dyDescent="0.25">
      <c r="A4547" s="7" t="s">
        <v>8868</v>
      </c>
    </row>
    <row r="4548" spans="1:1" x14ac:dyDescent="0.25">
      <c r="A4548" s="7" t="s">
        <v>8939</v>
      </c>
    </row>
    <row r="4549" spans="1:1" x14ac:dyDescent="0.25">
      <c r="A4549" s="8" t="s">
        <v>8939</v>
      </c>
    </row>
    <row r="4550" spans="1:1" x14ac:dyDescent="0.25">
      <c r="A4550" s="8" t="s">
        <v>8939</v>
      </c>
    </row>
    <row r="4551" spans="1:1" x14ac:dyDescent="0.25">
      <c r="A4551" s="8" t="s">
        <v>10364</v>
      </c>
    </row>
    <row r="4552" spans="1:1" x14ac:dyDescent="0.25">
      <c r="A4552" s="8" t="s">
        <v>10403</v>
      </c>
    </row>
    <row r="4553" spans="1:1" x14ac:dyDescent="0.25">
      <c r="A4553" s="7" t="s">
        <v>2319</v>
      </c>
    </row>
    <row r="4554" spans="1:1" x14ac:dyDescent="0.25">
      <c r="A4554" s="7" t="s">
        <v>2319</v>
      </c>
    </row>
    <row r="4555" spans="1:1" x14ac:dyDescent="0.25">
      <c r="A4555" s="8" t="s">
        <v>9259</v>
      </c>
    </row>
    <row r="4556" spans="1:1" x14ac:dyDescent="0.25">
      <c r="A4556" s="7" t="s">
        <v>1616</v>
      </c>
    </row>
    <row r="4557" spans="1:1" x14ac:dyDescent="0.25">
      <c r="A4557" s="8" t="s">
        <v>9815</v>
      </c>
    </row>
    <row r="4558" spans="1:1" x14ac:dyDescent="0.25">
      <c r="A4558" s="8" t="s">
        <v>9815</v>
      </c>
    </row>
    <row r="4559" spans="1:1" x14ac:dyDescent="0.25">
      <c r="A4559" s="7" t="s">
        <v>10649</v>
      </c>
    </row>
    <row r="4560" spans="1:1" x14ac:dyDescent="0.25">
      <c r="A4560" s="8" t="s">
        <v>10537</v>
      </c>
    </row>
    <row r="4561" spans="1:1" x14ac:dyDescent="0.25">
      <c r="A4561" s="8" t="s">
        <v>9510</v>
      </c>
    </row>
    <row r="4562" spans="1:1" x14ac:dyDescent="0.25">
      <c r="A4562" s="7" t="s">
        <v>9949</v>
      </c>
    </row>
    <row r="4563" spans="1:1" x14ac:dyDescent="0.25">
      <c r="A4563" s="7" t="s">
        <v>9949</v>
      </c>
    </row>
    <row r="4564" spans="1:1" x14ac:dyDescent="0.25">
      <c r="A4564" s="7" t="s">
        <v>9949</v>
      </c>
    </row>
    <row r="4565" spans="1:1" x14ac:dyDescent="0.25">
      <c r="A4565" s="7" t="s">
        <v>10313</v>
      </c>
    </row>
    <row r="4566" spans="1:1" x14ac:dyDescent="0.25">
      <c r="A4566" s="8" t="s">
        <v>9682</v>
      </c>
    </row>
    <row r="4567" spans="1:1" x14ac:dyDescent="0.25">
      <c r="A4567" s="8" t="s">
        <v>9509</v>
      </c>
    </row>
    <row r="4568" spans="1:1" x14ac:dyDescent="0.25">
      <c r="A4568" s="7" t="s">
        <v>9501</v>
      </c>
    </row>
    <row r="4569" spans="1:1" x14ac:dyDescent="0.25">
      <c r="A4569" s="7" t="s">
        <v>9501</v>
      </c>
    </row>
    <row r="4570" spans="1:1" x14ac:dyDescent="0.25">
      <c r="A4570" s="8" t="s">
        <v>9501</v>
      </c>
    </row>
    <row r="4571" spans="1:1" x14ac:dyDescent="0.25">
      <c r="A4571" s="8" t="s">
        <v>9501</v>
      </c>
    </row>
    <row r="4572" spans="1:1" x14ac:dyDescent="0.25">
      <c r="A4572" s="8" t="s">
        <v>9501</v>
      </c>
    </row>
    <row r="4573" spans="1:1" x14ac:dyDescent="0.25">
      <c r="A4573" s="8" t="s">
        <v>9501</v>
      </c>
    </row>
    <row r="4574" spans="1:1" x14ac:dyDescent="0.25">
      <c r="A4574" s="7" t="s">
        <v>3589</v>
      </c>
    </row>
    <row r="4575" spans="1:1" x14ac:dyDescent="0.25">
      <c r="A4575" s="8" t="s">
        <v>3589</v>
      </c>
    </row>
    <row r="4576" spans="1:1" x14ac:dyDescent="0.25">
      <c r="A4576" s="8" t="s">
        <v>3589</v>
      </c>
    </row>
    <row r="4577" spans="1:1" x14ac:dyDescent="0.25">
      <c r="A4577" s="8" t="s">
        <v>3589</v>
      </c>
    </row>
    <row r="4578" spans="1:1" x14ac:dyDescent="0.25">
      <c r="A4578" s="8" t="s">
        <v>3589</v>
      </c>
    </row>
    <row r="4579" spans="1:1" x14ac:dyDescent="0.25">
      <c r="A4579" s="8" t="s">
        <v>3589</v>
      </c>
    </row>
    <row r="4580" spans="1:1" x14ac:dyDescent="0.25">
      <c r="A4580" s="8" t="s">
        <v>3589</v>
      </c>
    </row>
    <row r="4581" spans="1:1" x14ac:dyDescent="0.25">
      <c r="A4581" s="8" t="s">
        <v>3589</v>
      </c>
    </row>
    <row r="4582" spans="1:1" x14ac:dyDescent="0.25">
      <c r="A4582" s="8" t="s">
        <v>3589</v>
      </c>
    </row>
    <row r="4583" spans="1:1" x14ac:dyDescent="0.25">
      <c r="A4583" s="8" t="s">
        <v>3589</v>
      </c>
    </row>
    <row r="4584" spans="1:1" x14ac:dyDescent="0.25">
      <c r="A4584" s="8" t="s">
        <v>3589</v>
      </c>
    </row>
    <row r="4585" spans="1:1" x14ac:dyDescent="0.25">
      <c r="A4585" s="8" t="s">
        <v>3589</v>
      </c>
    </row>
    <row r="4586" spans="1:1" x14ac:dyDescent="0.25">
      <c r="A4586" s="8" t="s">
        <v>9418</v>
      </c>
    </row>
    <row r="4587" spans="1:1" x14ac:dyDescent="0.25">
      <c r="A4587" s="7" t="s">
        <v>9036</v>
      </c>
    </row>
    <row r="4588" spans="1:1" x14ac:dyDescent="0.25">
      <c r="A4588" s="7" t="s">
        <v>442</v>
      </c>
    </row>
    <row r="4589" spans="1:1" x14ac:dyDescent="0.25">
      <c r="A4589" s="7" t="s">
        <v>442</v>
      </c>
    </row>
    <row r="4590" spans="1:1" x14ac:dyDescent="0.25">
      <c r="A4590" s="7" t="s">
        <v>442</v>
      </c>
    </row>
    <row r="4591" spans="1:1" x14ac:dyDescent="0.25">
      <c r="A4591" s="7" t="s">
        <v>442</v>
      </c>
    </row>
    <row r="4592" spans="1:1" x14ac:dyDescent="0.25">
      <c r="A4592" s="7" t="s">
        <v>442</v>
      </c>
    </row>
    <row r="4593" spans="1:1" x14ac:dyDescent="0.25">
      <c r="A4593" s="7" t="s">
        <v>442</v>
      </c>
    </row>
    <row r="4594" spans="1:1" x14ac:dyDescent="0.25">
      <c r="A4594" s="7" t="s">
        <v>442</v>
      </c>
    </row>
    <row r="4595" spans="1:1" x14ac:dyDescent="0.25">
      <c r="A4595" s="7" t="s">
        <v>442</v>
      </c>
    </row>
    <row r="4596" spans="1:1" x14ac:dyDescent="0.25">
      <c r="A4596" s="7" t="s">
        <v>442</v>
      </c>
    </row>
    <row r="4597" spans="1:1" x14ac:dyDescent="0.25">
      <c r="A4597" s="7" t="s">
        <v>442</v>
      </c>
    </row>
    <row r="4598" spans="1:1" x14ac:dyDescent="0.25">
      <c r="A4598" s="7" t="s">
        <v>442</v>
      </c>
    </row>
    <row r="4599" spans="1:1" x14ac:dyDescent="0.25">
      <c r="A4599" s="8" t="s">
        <v>442</v>
      </c>
    </row>
    <row r="4600" spans="1:1" x14ac:dyDescent="0.25">
      <c r="A4600" s="8" t="s">
        <v>442</v>
      </c>
    </row>
    <row r="4601" spans="1:1" x14ac:dyDescent="0.25">
      <c r="A4601" s="8" t="s">
        <v>442</v>
      </c>
    </row>
    <row r="4602" spans="1:1" x14ac:dyDescent="0.25">
      <c r="A4602" s="8" t="s">
        <v>442</v>
      </c>
    </row>
    <row r="4603" spans="1:1" x14ac:dyDescent="0.25">
      <c r="A4603" s="8" t="s">
        <v>442</v>
      </c>
    </row>
    <row r="4604" spans="1:1" x14ac:dyDescent="0.25">
      <c r="A4604" s="8" t="s">
        <v>8991</v>
      </c>
    </row>
    <row r="4605" spans="1:1" x14ac:dyDescent="0.25">
      <c r="A4605" s="7" t="s">
        <v>5816</v>
      </c>
    </row>
    <row r="4606" spans="1:1" x14ac:dyDescent="0.25">
      <c r="A4606" s="7" t="s">
        <v>5816</v>
      </c>
    </row>
    <row r="4607" spans="1:1" x14ac:dyDescent="0.25">
      <c r="A4607" s="8" t="s">
        <v>5816</v>
      </c>
    </row>
    <row r="4608" spans="1:1" x14ac:dyDescent="0.25">
      <c r="A4608" s="7" t="s">
        <v>7215</v>
      </c>
    </row>
    <row r="4609" spans="1:1" x14ac:dyDescent="0.25">
      <c r="A4609" s="8" t="s">
        <v>7215</v>
      </c>
    </row>
    <row r="4610" spans="1:1" x14ac:dyDescent="0.25">
      <c r="A4610" s="8" t="s">
        <v>7215</v>
      </c>
    </row>
    <row r="4611" spans="1:1" x14ac:dyDescent="0.25">
      <c r="A4611" s="8" t="s">
        <v>7215</v>
      </c>
    </row>
    <row r="4612" spans="1:1" x14ac:dyDescent="0.25">
      <c r="A4612" s="8" t="s">
        <v>7215</v>
      </c>
    </row>
    <row r="4613" spans="1:1" x14ac:dyDescent="0.25">
      <c r="A4613" s="8" t="s">
        <v>7215</v>
      </c>
    </row>
    <row r="4614" spans="1:1" x14ac:dyDescent="0.25">
      <c r="A4614" s="7" t="s">
        <v>9060</v>
      </c>
    </row>
    <row r="4615" spans="1:1" x14ac:dyDescent="0.25">
      <c r="A4615" s="7" t="s">
        <v>9060</v>
      </c>
    </row>
    <row r="4616" spans="1:1" x14ac:dyDescent="0.25">
      <c r="A4616" s="7" t="s">
        <v>10596</v>
      </c>
    </row>
    <row r="4617" spans="1:1" x14ac:dyDescent="0.25">
      <c r="A4617" s="8" t="s">
        <v>10158</v>
      </c>
    </row>
    <row r="4618" spans="1:1" x14ac:dyDescent="0.25">
      <c r="A4618" s="7" t="s">
        <v>9291</v>
      </c>
    </row>
    <row r="4619" spans="1:1" x14ac:dyDescent="0.25">
      <c r="A4619" s="7" t="s">
        <v>9291</v>
      </c>
    </row>
    <row r="4620" spans="1:1" x14ac:dyDescent="0.25">
      <c r="A4620" s="8" t="s">
        <v>9291</v>
      </c>
    </row>
    <row r="4621" spans="1:1" x14ac:dyDescent="0.25">
      <c r="A4621" s="8" t="s">
        <v>9291</v>
      </c>
    </row>
    <row r="4622" spans="1:1" x14ac:dyDescent="0.25">
      <c r="A4622" s="8" t="s">
        <v>10560</v>
      </c>
    </row>
    <row r="4623" spans="1:1" x14ac:dyDescent="0.25">
      <c r="A4623" s="8" t="s">
        <v>10560</v>
      </c>
    </row>
    <row r="4624" spans="1:1" x14ac:dyDescent="0.25">
      <c r="A4624" s="7" t="s">
        <v>9376</v>
      </c>
    </row>
    <row r="4625" spans="1:1" x14ac:dyDescent="0.25">
      <c r="A4625" s="7" t="s">
        <v>10477</v>
      </c>
    </row>
    <row r="4626" spans="1:1" x14ac:dyDescent="0.25">
      <c r="A4626" s="7" t="s">
        <v>10477</v>
      </c>
    </row>
    <row r="4627" spans="1:1" x14ac:dyDescent="0.25">
      <c r="A4627" s="7" t="s">
        <v>10477</v>
      </c>
    </row>
    <row r="4628" spans="1:1" x14ac:dyDescent="0.25">
      <c r="A4628" s="7" t="s">
        <v>10477</v>
      </c>
    </row>
    <row r="4629" spans="1:1" x14ac:dyDescent="0.25">
      <c r="A4629" s="8" t="s">
        <v>10573</v>
      </c>
    </row>
    <row r="4630" spans="1:1" x14ac:dyDescent="0.25">
      <c r="A4630" s="8" t="s">
        <v>10356</v>
      </c>
    </row>
    <row r="4631" spans="1:1" x14ac:dyDescent="0.25">
      <c r="A4631" s="8" t="s">
        <v>10337</v>
      </c>
    </row>
    <row r="4632" spans="1:1" x14ac:dyDescent="0.25">
      <c r="A4632" s="7" t="s">
        <v>9562</v>
      </c>
    </row>
    <row r="4633" spans="1:1" x14ac:dyDescent="0.25">
      <c r="A4633" s="7" t="s">
        <v>10089</v>
      </c>
    </row>
    <row r="4634" spans="1:1" x14ac:dyDescent="0.25">
      <c r="A4634" s="7" t="s">
        <v>9924</v>
      </c>
    </row>
    <row r="4635" spans="1:1" x14ac:dyDescent="0.25">
      <c r="A4635" s="7" t="s">
        <v>8311</v>
      </c>
    </row>
    <row r="4636" spans="1:1" x14ac:dyDescent="0.25">
      <c r="A4636" s="7" t="s">
        <v>8905</v>
      </c>
    </row>
    <row r="4637" spans="1:1" x14ac:dyDescent="0.25">
      <c r="A4637" s="7" t="s">
        <v>8905</v>
      </c>
    </row>
    <row r="4638" spans="1:1" x14ac:dyDescent="0.25">
      <c r="A4638" s="7" t="s">
        <v>8905</v>
      </c>
    </row>
    <row r="4639" spans="1:1" x14ac:dyDescent="0.25">
      <c r="A4639" s="7" t="s">
        <v>8905</v>
      </c>
    </row>
    <row r="4640" spans="1:1" x14ac:dyDescent="0.25">
      <c r="A4640" s="8" t="s">
        <v>8905</v>
      </c>
    </row>
    <row r="4641" spans="1:1" x14ac:dyDescent="0.25">
      <c r="A4641" s="8" t="s">
        <v>8905</v>
      </c>
    </row>
    <row r="4642" spans="1:1" x14ac:dyDescent="0.25">
      <c r="A4642" s="7" t="s">
        <v>9838</v>
      </c>
    </row>
    <row r="4643" spans="1:1" x14ac:dyDescent="0.25">
      <c r="A4643" s="8" t="s">
        <v>8869</v>
      </c>
    </row>
    <row r="4644" spans="1:1" x14ac:dyDescent="0.25">
      <c r="A4644" s="7" t="s">
        <v>9656</v>
      </c>
    </row>
    <row r="4645" spans="1:1" x14ac:dyDescent="0.25">
      <c r="A4645" s="8" t="s">
        <v>10135</v>
      </c>
    </row>
    <row r="4646" spans="1:1" x14ac:dyDescent="0.25">
      <c r="A4646" s="8" t="s">
        <v>9233</v>
      </c>
    </row>
    <row r="4647" spans="1:1" x14ac:dyDescent="0.25">
      <c r="A4647" s="8" t="s">
        <v>9233</v>
      </c>
    </row>
    <row r="4648" spans="1:1" x14ac:dyDescent="0.25">
      <c r="A4648" s="8" t="s">
        <v>9233</v>
      </c>
    </row>
    <row r="4649" spans="1:1" x14ac:dyDescent="0.25">
      <c r="A4649" s="8" t="s">
        <v>10342</v>
      </c>
    </row>
    <row r="4650" spans="1:1" x14ac:dyDescent="0.25">
      <c r="A4650" s="8" t="s">
        <v>9057</v>
      </c>
    </row>
    <row r="4651" spans="1:1" x14ac:dyDescent="0.25">
      <c r="A4651" s="8" t="s">
        <v>9707</v>
      </c>
    </row>
    <row r="4652" spans="1:1" x14ac:dyDescent="0.25">
      <c r="A4652" s="8" t="s">
        <v>9174</v>
      </c>
    </row>
    <row r="4653" spans="1:1" x14ac:dyDescent="0.25">
      <c r="A4653" s="8" t="s">
        <v>9174</v>
      </c>
    </row>
    <row r="4654" spans="1:1" x14ac:dyDescent="0.25">
      <c r="A4654" s="8" t="s">
        <v>9090</v>
      </c>
    </row>
    <row r="4655" spans="1:1" x14ac:dyDescent="0.25">
      <c r="A4655" s="8" t="s">
        <v>9714</v>
      </c>
    </row>
    <row r="4656" spans="1:1" x14ac:dyDescent="0.25">
      <c r="A4656" s="7" t="s">
        <v>7634</v>
      </c>
    </row>
    <row r="4657" spans="1:1" x14ac:dyDescent="0.25">
      <c r="A4657" s="7" t="s">
        <v>7634</v>
      </c>
    </row>
    <row r="4658" spans="1:1" x14ac:dyDescent="0.25">
      <c r="A4658" s="7" t="s">
        <v>7634</v>
      </c>
    </row>
    <row r="4659" spans="1:1" x14ac:dyDescent="0.25">
      <c r="A4659" s="7" t="s">
        <v>7634</v>
      </c>
    </row>
    <row r="4660" spans="1:1" x14ac:dyDescent="0.25">
      <c r="A4660" s="7" t="s">
        <v>7634</v>
      </c>
    </row>
    <row r="4661" spans="1:1" x14ac:dyDescent="0.25">
      <c r="A4661" s="8" t="s">
        <v>7634</v>
      </c>
    </row>
    <row r="4662" spans="1:1" x14ac:dyDescent="0.25">
      <c r="A4662" s="8" t="s">
        <v>7634</v>
      </c>
    </row>
    <row r="4663" spans="1:1" x14ac:dyDescent="0.25">
      <c r="A4663" s="8" t="s">
        <v>9065</v>
      </c>
    </row>
    <row r="4664" spans="1:1" x14ac:dyDescent="0.25">
      <c r="A4664" s="8" t="s">
        <v>9065</v>
      </c>
    </row>
    <row r="4665" spans="1:1" x14ac:dyDescent="0.25">
      <c r="A4665" s="8" t="s">
        <v>9065</v>
      </c>
    </row>
    <row r="4666" spans="1:1" x14ac:dyDescent="0.25">
      <c r="A4666" s="8" t="s">
        <v>9065</v>
      </c>
    </row>
    <row r="4667" spans="1:1" x14ac:dyDescent="0.25">
      <c r="A4667" s="8" t="s">
        <v>9802</v>
      </c>
    </row>
    <row r="4668" spans="1:1" x14ac:dyDescent="0.25">
      <c r="A4668" s="8" t="s">
        <v>9846</v>
      </c>
    </row>
    <row r="4669" spans="1:1" x14ac:dyDescent="0.25">
      <c r="A4669" s="7" t="s">
        <v>2681</v>
      </c>
    </row>
    <row r="4670" spans="1:1" x14ac:dyDescent="0.25">
      <c r="A4670" s="7" t="s">
        <v>2681</v>
      </c>
    </row>
    <row r="4671" spans="1:1" x14ac:dyDescent="0.25">
      <c r="A4671" s="8" t="s">
        <v>9767</v>
      </c>
    </row>
    <row r="4672" spans="1:1" x14ac:dyDescent="0.25">
      <c r="A4672" s="8" t="s">
        <v>9767</v>
      </c>
    </row>
    <row r="4673" spans="1:1" x14ac:dyDescent="0.25">
      <c r="A4673" s="7" t="s">
        <v>10075</v>
      </c>
    </row>
    <row r="4674" spans="1:1" x14ac:dyDescent="0.25">
      <c r="A4674" s="7" t="s">
        <v>9013</v>
      </c>
    </row>
    <row r="4675" spans="1:1" x14ac:dyDescent="0.25">
      <c r="A4675" s="7" t="s">
        <v>8896</v>
      </c>
    </row>
    <row r="4676" spans="1:1" x14ac:dyDescent="0.25">
      <c r="A4676" s="8" t="s">
        <v>10245</v>
      </c>
    </row>
    <row r="4677" spans="1:1" x14ac:dyDescent="0.25">
      <c r="A4677" s="8" t="s">
        <v>10245</v>
      </c>
    </row>
    <row r="4678" spans="1:1" x14ac:dyDescent="0.25">
      <c r="A4678" s="8" t="s">
        <v>10245</v>
      </c>
    </row>
    <row r="4679" spans="1:1" x14ac:dyDescent="0.25">
      <c r="A4679" s="8" t="s">
        <v>10245</v>
      </c>
    </row>
    <row r="4680" spans="1:1" x14ac:dyDescent="0.25">
      <c r="A4680" s="8" t="s">
        <v>10245</v>
      </c>
    </row>
    <row r="4681" spans="1:1" x14ac:dyDescent="0.25">
      <c r="A4681" s="8" t="s">
        <v>10245</v>
      </c>
    </row>
    <row r="4682" spans="1:1" x14ac:dyDescent="0.25">
      <c r="A4682" s="8" t="s">
        <v>10198</v>
      </c>
    </row>
    <row r="4683" spans="1:1" x14ac:dyDescent="0.25">
      <c r="A4683" s="7" t="s">
        <v>9753</v>
      </c>
    </row>
    <row r="4684" spans="1:1" x14ac:dyDescent="0.25">
      <c r="A4684" s="7" t="s">
        <v>9753</v>
      </c>
    </row>
    <row r="4685" spans="1:1" x14ac:dyDescent="0.25">
      <c r="A4685" s="7" t="s">
        <v>9753</v>
      </c>
    </row>
    <row r="4686" spans="1:1" x14ac:dyDescent="0.25">
      <c r="A4686" s="8" t="s">
        <v>9753</v>
      </c>
    </row>
    <row r="4687" spans="1:1" x14ac:dyDescent="0.25">
      <c r="A4687" s="8" t="s">
        <v>9910</v>
      </c>
    </row>
    <row r="4688" spans="1:1" x14ac:dyDescent="0.25">
      <c r="A4688" s="8" t="s">
        <v>9809</v>
      </c>
    </row>
    <row r="4689" spans="1:1" x14ac:dyDescent="0.25">
      <c r="A4689" s="7" t="s">
        <v>10091</v>
      </c>
    </row>
    <row r="4690" spans="1:1" x14ac:dyDescent="0.25">
      <c r="A4690" s="7" t="s">
        <v>10091</v>
      </c>
    </row>
    <row r="4691" spans="1:1" x14ac:dyDescent="0.25">
      <c r="A4691" s="7" t="s">
        <v>10091</v>
      </c>
    </row>
    <row r="4692" spans="1:1" x14ac:dyDescent="0.25">
      <c r="A4692" s="7" t="s">
        <v>10091</v>
      </c>
    </row>
    <row r="4693" spans="1:1" x14ac:dyDescent="0.25">
      <c r="A4693" s="7" t="s">
        <v>5615</v>
      </c>
    </row>
    <row r="4694" spans="1:1" x14ac:dyDescent="0.25">
      <c r="A4694" s="8" t="s">
        <v>5615</v>
      </c>
    </row>
    <row r="4695" spans="1:1" x14ac:dyDescent="0.25">
      <c r="A4695" s="8" t="s">
        <v>5615</v>
      </c>
    </row>
    <row r="4696" spans="1:1" x14ac:dyDescent="0.25">
      <c r="A4696" s="8" t="s">
        <v>5615</v>
      </c>
    </row>
    <row r="4697" spans="1:1" x14ac:dyDescent="0.25">
      <c r="A4697" s="8" t="s">
        <v>5615</v>
      </c>
    </row>
    <row r="4698" spans="1:1" x14ac:dyDescent="0.25">
      <c r="A4698" s="8" t="s">
        <v>5615</v>
      </c>
    </row>
    <row r="4699" spans="1:1" x14ac:dyDescent="0.25">
      <c r="A4699" s="8" t="s">
        <v>5615</v>
      </c>
    </row>
    <row r="4700" spans="1:1" x14ac:dyDescent="0.25">
      <c r="A4700" s="8" t="s">
        <v>5615</v>
      </c>
    </row>
    <row r="4701" spans="1:1" x14ac:dyDescent="0.25">
      <c r="A4701" s="8" t="s">
        <v>5615</v>
      </c>
    </row>
    <row r="4702" spans="1:1" x14ac:dyDescent="0.25">
      <c r="A4702" s="8" t="s">
        <v>5615</v>
      </c>
    </row>
    <row r="4703" spans="1:1" x14ac:dyDescent="0.25">
      <c r="A4703" s="8" t="s">
        <v>5615</v>
      </c>
    </row>
    <row r="4704" spans="1:1" x14ac:dyDescent="0.25">
      <c r="A4704" s="8" t="s">
        <v>5615</v>
      </c>
    </row>
    <row r="4705" spans="1:1" x14ac:dyDescent="0.25">
      <c r="A4705" s="8" t="s">
        <v>5615</v>
      </c>
    </row>
    <row r="4706" spans="1:1" x14ac:dyDescent="0.25">
      <c r="A4706" s="8" t="s">
        <v>5615</v>
      </c>
    </row>
    <row r="4707" spans="1:1" x14ac:dyDescent="0.25">
      <c r="A4707" s="8" t="s">
        <v>5615</v>
      </c>
    </row>
    <row r="4708" spans="1:1" x14ac:dyDescent="0.25">
      <c r="A4708" s="7" t="s">
        <v>10383</v>
      </c>
    </row>
    <row r="4709" spans="1:1" x14ac:dyDescent="0.25">
      <c r="A4709" s="8" t="s">
        <v>9936</v>
      </c>
    </row>
    <row r="4710" spans="1:1" x14ac:dyDescent="0.25">
      <c r="A4710" s="7" t="s">
        <v>9599</v>
      </c>
    </row>
    <row r="4711" spans="1:1" x14ac:dyDescent="0.25">
      <c r="A4711" s="8" t="s">
        <v>8946</v>
      </c>
    </row>
    <row r="4712" spans="1:1" x14ac:dyDescent="0.25">
      <c r="A4712" s="8" t="s">
        <v>8946</v>
      </c>
    </row>
    <row r="4713" spans="1:1" x14ac:dyDescent="0.25">
      <c r="A4713" s="8" t="s">
        <v>8946</v>
      </c>
    </row>
    <row r="4714" spans="1:1" x14ac:dyDescent="0.25">
      <c r="A4714" s="7" t="s">
        <v>9157</v>
      </c>
    </row>
    <row r="4715" spans="1:1" x14ac:dyDescent="0.25">
      <c r="A4715" s="7" t="s">
        <v>9157</v>
      </c>
    </row>
    <row r="4716" spans="1:1" x14ac:dyDescent="0.25">
      <c r="A4716" s="7" t="s">
        <v>9157</v>
      </c>
    </row>
    <row r="4717" spans="1:1" x14ac:dyDescent="0.25">
      <c r="A4717" s="8" t="s">
        <v>10048</v>
      </c>
    </row>
    <row r="4718" spans="1:1" x14ac:dyDescent="0.25">
      <c r="A4718" s="8" t="s">
        <v>10048</v>
      </c>
    </row>
    <row r="4719" spans="1:1" x14ac:dyDescent="0.25">
      <c r="A4719" s="8" t="s">
        <v>10048</v>
      </c>
    </row>
    <row r="4720" spans="1:1" x14ac:dyDescent="0.25">
      <c r="A4720" s="8" t="s">
        <v>9848</v>
      </c>
    </row>
    <row r="4721" spans="1:1" x14ac:dyDescent="0.25">
      <c r="A4721" s="8" t="s">
        <v>9473</v>
      </c>
    </row>
    <row r="4722" spans="1:1" x14ac:dyDescent="0.25">
      <c r="A4722" s="8" t="s">
        <v>10638</v>
      </c>
    </row>
    <row r="4723" spans="1:1" x14ac:dyDescent="0.25">
      <c r="A4723" s="7" t="s">
        <v>9014</v>
      </c>
    </row>
    <row r="4724" spans="1:1" x14ac:dyDescent="0.25">
      <c r="A4724" s="7" t="s">
        <v>9014</v>
      </c>
    </row>
    <row r="4725" spans="1:1" x14ac:dyDescent="0.25">
      <c r="A4725" s="7" t="s">
        <v>9014</v>
      </c>
    </row>
    <row r="4726" spans="1:1" x14ac:dyDescent="0.25">
      <c r="A4726" s="7" t="s">
        <v>9014</v>
      </c>
    </row>
    <row r="4727" spans="1:1" x14ac:dyDescent="0.25">
      <c r="A4727" s="7" t="s">
        <v>9014</v>
      </c>
    </row>
    <row r="4728" spans="1:1" x14ac:dyDescent="0.25">
      <c r="A4728" s="7" t="s">
        <v>9014</v>
      </c>
    </row>
    <row r="4729" spans="1:1" x14ac:dyDescent="0.25">
      <c r="A4729" s="7" t="s">
        <v>9014</v>
      </c>
    </row>
    <row r="4730" spans="1:1" x14ac:dyDescent="0.25">
      <c r="A4730" s="7" t="s">
        <v>9014</v>
      </c>
    </row>
    <row r="4731" spans="1:1" x14ac:dyDescent="0.25">
      <c r="A4731" s="7" t="s">
        <v>9014</v>
      </c>
    </row>
    <row r="4732" spans="1:1" x14ac:dyDescent="0.25">
      <c r="A4732" s="8" t="s">
        <v>9014</v>
      </c>
    </row>
    <row r="4733" spans="1:1" x14ac:dyDescent="0.25">
      <c r="A4733" s="8" t="s">
        <v>9014</v>
      </c>
    </row>
    <row r="4734" spans="1:1" x14ac:dyDescent="0.25">
      <c r="A4734" s="8" t="s">
        <v>9014</v>
      </c>
    </row>
    <row r="4735" spans="1:1" x14ac:dyDescent="0.25">
      <c r="A4735" s="8" t="s">
        <v>9014</v>
      </c>
    </row>
    <row r="4736" spans="1:1" x14ac:dyDescent="0.25">
      <c r="A4736" s="8" t="s">
        <v>9014</v>
      </c>
    </row>
    <row r="4737" spans="1:1" x14ac:dyDescent="0.25">
      <c r="A4737" s="8" t="s">
        <v>9014</v>
      </c>
    </row>
    <row r="4738" spans="1:1" x14ac:dyDescent="0.25">
      <c r="A4738" s="8" t="s">
        <v>9014</v>
      </c>
    </row>
    <row r="4739" spans="1:1" x14ac:dyDescent="0.25">
      <c r="A4739" s="8" t="s">
        <v>9014</v>
      </c>
    </row>
    <row r="4740" spans="1:1" x14ac:dyDescent="0.25">
      <c r="A4740" s="8" t="s">
        <v>9014</v>
      </c>
    </row>
    <row r="4741" spans="1:1" x14ac:dyDescent="0.25">
      <c r="A4741" s="7" t="s">
        <v>10327</v>
      </c>
    </row>
    <row r="4742" spans="1:1" x14ac:dyDescent="0.25">
      <c r="A4742" s="7" t="s">
        <v>9184</v>
      </c>
    </row>
    <row r="4743" spans="1:1" x14ac:dyDescent="0.25">
      <c r="A4743" s="7" t="s">
        <v>3126</v>
      </c>
    </row>
    <row r="4744" spans="1:1" x14ac:dyDescent="0.25">
      <c r="A4744" s="7" t="s">
        <v>4290</v>
      </c>
    </row>
    <row r="4745" spans="1:1" x14ac:dyDescent="0.25">
      <c r="A4745" s="7" t="s">
        <v>4290</v>
      </c>
    </row>
    <row r="4746" spans="1:1" x14ac:dyDescent="0.25">
      <c r="A4746" s="7" t="s">
        <v>4290</v>
      </c>
    </row>
    <row r="4747" spans="1:1" x14ac:dyDescent="0.25">
      <c r="A4747" s="7" t="s">
        <v>9783</v>
      </c>
    </row>
    <row r="4748" spans="1:1" x14ac:dyDescent="0.25">
      <c r="A4748" s="7" t="s">
        <v>10378</v>
      </c>
    </row>
    <row r="4749" spans="1:1" x14ac:dyDescent="0.25">
      <c r="A4749" s="7" t="s">
        <v>9226</v>
      </c>
    </row>
    <row r="4750" spans="1:1" x14ac:dyDescent="0.25">
      <c r="A4750" s="7" t="s">
        <v>9696</v>
      </c>
    </row>
    <row r="4751" spans="1:1" x14ac:dyDescent="0.25">
      <c r="A4751" s="8" t="s">
        <v>9696</v>
      </c>
    </row>
    <row r="4752" spans="1:1" x14ac:dyDescent="0.25">
      <c r="A4752" s="8" t="s">
        <v>9623</v>
      </c>
    </row>
    <row r="4753" spans="1:1" x14ac:dyDescent="0.25">
      <c r="A4753" s="7" t="s">
        <v>8875</v>
      </c>
    </row>
    <row r="4754" spans="1:1" x14ac:dyDescent="0.25">
      <c r="A4754" s="7" t="s">
        <v>8875</v>
      </c>
    </row>
    <row r="4755" spans="1:1" x14ac:dyDescent="0.25">
      <c r="A4755" s="7" t="s">
        <v>9154</v>
      </c>
    </row>
    <row r="4756" spans="1:1" x14ac:dyDescent="0.25">
      <c r="A4756" s="8" t="s">
        <v>9154</v>
      </c>
    </row>
    <row r="4757" spans="1:1" x14ac:dyDescent="0.25">
      <c r="A4757" s="8" t="s">
        <v>9154</v>
      </c>
    </row>
    <row r="4758" spans="1:1" x14ac:dyDescent="0.25">
      <c r="A4758" s="7" t="s">
        <v>1921</v>
      </c>
    </row>
    <row r="4759" spans="1:1" x14ac:dyDescent="0.25">
      <c r="A4759" s="7" t="s">
        <v>1921</v>
      </c>
    </row>
    <row r="4760" spans="1:1" x14ac:dyDescent="0.25">
      <c r="A4760" s="7" t="s">
        <v>1921</v>
      </c>
    </row>
    <row r="4761" spans="1:1" x14ac:dyDescent="0.25">
      <c r="A4761" s="8" t="s">
        <v>1921</v>
      </c>
    </row>
    <row r="4762" spans="1:1" x14ac:dyDescent="0.25">
      <c r="A4762" s="8" t="s">
        <v>1921</v>
      </c>
    </row>
    <row r="4763" spans="1:1" x14ac:dyDescent="0.25">
      <c r="A4763" s="8" t="s">
        <v>1921</v>
      </c>
    </row>
    <row r="4764" spans="1:1" x14ac:dyDescent="0.25">
      <c r="A4764" s="7" t="s">
        <v>9131</v>
      </c>
    </row>
    <row r="4765" spans="1:1" x14ac:dyDescent="0.25">
      <c r="A4765" s="7" t="s">
        <v>9131</v>
      </c>
    </row>
    <row r="4766" spans="1:1" x14ac:dyDescent="0.25">
      <c r="A4766" s="8" t="s">
        <v>9033</v>
      </c>
    </row>
    <row r="4767" spans="1:1" x14ac:dyDescent="0.25">
      <c r="A4767" s="8" t="s">
        <v>9544</v>
      </c>
    </row>
    <row r="4768" spans="1:1" x14ac:dyDescent="0.25">
      <c r="A4768" s="7" t="s">
        <v>4956</v>
      </c>
    </row>
    <row r="4769" spans="1:1" x14ac:dyDescent="0.25">
      <c r="A4769" s="7" t="s">
        <v>4956</v>
      </c>
    </row>
    <row r="4770" spans="1:1" x14ac:dyDescent="0.25">
      <c r="A4770" s="7" t="s">
        <v>4956</v>
      </c>
    </row>
    <row r="4771" spans="1:1" x14ac:dyDescent="0.25">
      <c r="A4771" s="7" t="s">
        <v>4956</v>
      </c>
    </row>
    <row r="4772" spans="1:1" x14ac:dyDescent="0.25">
      <c r="A4772" s="7" t="s">
        <v>4956</v>
      </c>
    </row>
    <row r="4773" spans="1:1" x14ac:dyDescent="0.25">
      <c r="A4773" s="7" t="s">
        <v>4956</v>
      </c>
    </row>
    <row r="4774" spans="1:1" x14ac:dyDescent="0.25">
      <c r="A4774" s="7" t="s">
        <v>4956</v>
      </c>
    </row>
    <row r="4775" spans="1:1" x14ac:dyDescent="0.25">
      <c r="A4775" s="7" t="s">
        <v>4956</v>
      </c>
    </row>
    <row r="4776" spans="1:1" x14ac:dyDescent="0.25">
      <c r="A4776" s="7" t="s">
        <v>4956</v>
      </c>
    </row>
    <row r="4777" spans="1:1" x14ac:dyDescent="0.25">
      <c r="A4777" s="7" t="s">
        <v>4956</v>
      </c>
    </row>
    <row r="4778" spans="1:1" x14ac:dyDescent="0.25">
      <c r="A4778" s="8" t="s">
        <v>4956</v>
      </c>
    </row>
    <row r="4779" spans="1:1" x14ac:dyDescent="0.25">
      <c r="A4779" s="8" t="s">
        <v>4956</v>
      </c>
    </row>
    <row r="4780" spans="1:1" x14ac:dyDescent="0.25">
      <c r="A4780" s="8" t="s">
        <v>4956</v>
      </c>
    </row>
    <row r="4781" spans="1:1" x14ac:dyDescent="0.25">
      <c r="A4781" s="8" t="s">
        <v>4956</v>
      </c>
    </row>
    <row r="4782" spans="1:1" x14ac:dyDescent="0.25">
      <c r="A4782" s="7" t="s">
        <v>10077</v>
      </c>
    </row>
    <row r="4783" spans="1:1" x14ac:dyDescent="0.25">
      <c r="A4783" s="8" t="s">
        <v>10221</v>
      </c>
    </row>
    <row r="4784" spans="1:1" x14ac:dyDescent="0.25">
      <c r="A4784" s="8" t="s">
        <v>10221</v>
      </c>
    </row>
    <row r="4785" spans="1:1" x14ac:dyDescent="0.25">
      <c r="A4785" s="8" t="s">
        <v>10221</v>
      </c>
    </row>
    <row r="4786" spans="1:1" x14ac:dyDescent="0.25">
      <c r="A4786" s="8" t="s">
        <v>9894</v>
      </c>
    </row>
    <row r="4787" spans="1:1" x14ac:dyDescent="0.25">
      <c r="A4787" s="8" t="s">
        <v>10241</v>
      </c>
    </row>
    <row r="4788" spans="1:1" x14ac:dyDescent="0.25">
      <c r="A4788" s="8" t="s">
        <v>9962</v>
      </c>
    </row>
    <row r="4789" spans="1:1" x14ac:dyDescent="0.25">
      <c r="A4789" s="8" t="s">
        <v>10194</v>
      </c>
    </row>
    <row r="4790" spans="1:1" x14ac:dyDescent="0.25">
      <c r="A4790" s="8" t="s">
        <v>10194</v>
      </c>
    </row>
    <row r="4791" spans="1:1" x14ac:dyDescent="0.25">
      <c r="A4791" s="8" t="s">
        <v>10194</v>
      </c>
    </row>
    <row r="4792" spans="1:1" x14ac:dyDescent="0.25">
      <c r="A4792" s="8" t="s">
        <v>10194</v>
      </c>
    </row>
    <row r="4793" spans="1:1" x14ac:dyDescent="0.25">
      <c r="A4793" s="8" t="s">
        <v>9437</v>
      </c>
    </row>
    <row r="4794" spans="1:1" x14ac:dyDescent="0.25">
      <c r="A4794" s="8" t="s">
        <v>9546</v>
      </c>
    </row>
    <row r="4795" spans="1:1" x14ac:dyDescent="0.25">
      <c r="A4795" s="7" t="s">
        <v>9971</v>
      </c>
    </row>
    <row r="4796" spans="1:1" x14ac:dyDescent="0.25">
      <c r="A4796" s="8" t="s">
        <v>10056</v>
      </c>
    </row>
    <row r="4797" spans="1:1" x14ac:dyDescent="0.25">
      <c r="A4797" s="7" t="s">
        <v>2369</v>
      </c>
    </row>
    <row r="4798" spans="1:1" x14ac:dyDescent="0.25">
      <c r="A4798" s="7" t="s">
        <v>2369</v>
      </c>
    </row>
    <row r="4799" spans="1:1" x14ac:dyDescent="0.25">
      <c r="A4799" s="7" t="s">
        <v>2369</v>
      </c>
    </row>
    <row r="4800" spans="1:1" x14ac:dyDescent="0.25">
      <c r="A4800" s="7" t="s">
        <v>2369</v>
      </c>
    </row>
    <row r="4801" spans="1:1" x14ac:dyDescent="0.25">
      <c r="A4801" s="7" t="s">
        <v>2369</v>
      </c>
    </row>
    <row r="4802" spans="1:1" x14ac:dyDescent="0.25">
      <c r="A4802" s="7" t="s">
        <v>2369</v>
      </c>
    </row>
    <row r="4803" spans="1:1" x14ac:dyDescent="0.25">
      <c r="A4803" s="7" t="s">
        <v>2369</v>
      </c>
    </row>
    <row r="4804" spans="1:1" x14ac:dyDescent="0.25">
      <c r="A4804" s="7" t="s">
        <v>2369</v>
      </c>
    </row>
    <row r="4805" spans="1:1" x14ac:dyDescent="0.25">
      <c r="A4805" s="7" t="s">
        <v>2369</v>
      </c>
    </row>
    <row r="4806" spans="1:1" x14ac:dyDescent="0.25">
      <c r="A4806" s="7" t="s">
        <v>2369</v>
      </c>
    </row>
    <row r="4807" spans="1:1" x14ac:dyDescent="0.25">
      <c r="A4807" s="7" t="s">
        <v>2369</v>
      </c>
    </row>
    <row r="4808" spans="1:1" x14ac:dyDescent="0.25">
      <c r="A4808" s="7" t="s">
        <v>2369</v>
      </c>
    </row>
    <row r="4809" spans="1:1" x14ac:dyDescent="0.25">
      <c r="A4809" s="7" t="s">
        <v>2369</v>
      </c>
    </row>
    <row r="4810" spans="1:1" x14ac:dyDescent="0.25">
      <c r="A4810" s="7" t="s">
        <v>2369</v>
      </c>
    </row>
    <row r="4811" spans="1:1" x14ac:dyDescent="0.25">
      <c r="A4811" s="8" t="s">
        <v>2369</v>
      </c>
    </row>
    <row r="4812" spans="1:1" x14ac:dyDescent="0.25">
      <c r="A4812" s="8" t="s">
        <v>2369</v>
      </c>
    </row>
    <row r="4813" spans="1:1" x14ac:dyDescent="0.25">
      <c r="A4813" s="8" t="s">
        <v>2369</v>
      </c>
    </row>
    <row r="4814" spans="1:1" x14ac:dyDescent="0.25">
      <c r="A4814" s="7" t="s">
        <v>8996</v>
      </c>
    </row>
    <row r="4815" spans="1:1" x14ac:dyDescent="0.25">
      <c r="A4815" s="7" t="s">
        <v>8996</v>
      </c>
    </row>
    <row r="4816" spans="1:1" x14ac:dyDescent="0.25">
      <c r="A4816" s="8" t="s">
        <v>8996</v>
      </c>
    </row>
    <row r="4817" spans="1:1" x14ac:dyDescent="0.25">
      <c r="A4817" s="7" t="s">
        <v>9909</v>
      </c>
    </row>
    <row r="4818" spans="1:1" x14ac:dyDescent="0.25">
      <c r="A4818" s="8" t="s">
        <v>9777</v>
      </c>
    </row>
    <row r="4819" spans="1:1" x14ac:dyDescent="0.25">
      <c r="A4819" s="7" t="s">
        <v>9964</v>
      </c>
    </row>
    <row r="4820" spans="1:1" x14ac:dyDescent="0.25">
      <c r="A4820" s="8" t="s">
        <v>10499</v>
      </c>
    </row>
    <row r="4821" spans="1:1" x14ac:dyDescent="0.25">
      <c r="A4821" s="7" t="s">
        <v>9173</v>
      </c>
    </row>
    <row r="4822" spans="1:1" x14ac:dyDescent="0.25">
      <c r="A4822" s="7" t="s">
        <v>9173</v>
      </c>
    </row>
    <row r="4823" spans="1:1" x14ac:dyDescent="0.25">
      <c r="A4823" s="7" t="s">
        <v>9640</v>
      </c>
    </row>
    <row r="4824" spans="1:1" x14ac:dyDescent="0.25">
      <c r="A4824" s="8" t="s">
        <v>9238</v>
      </c>
    </row>
    <row r="4825" spans="1:1" x14ac:dyDescent="0.25">
      <c r="A4825" s="8" t="s">
        <v>8958</v>
      </c>
    </row>
    <row r="4826" spans="1:1" x14ac:dyDescent="0.25">
      <c r="A4826" s="7" t="s">
        <v>2675</v>
      </c>
    </row>
    <row r="4827" spans="1:1" x14ac:dyDescent="0.25">
      <c r="A4827" s="7" t="s">
        <v>2675</v>
      </c>
    </row>
    <row r="4828" spans="1:1" x14ac:dyDescent="0.25">
      <c r="A4828" s="7" t="s">
        <v>2675</v>
      </c>
    </row>
    <row r="4829" spans="1:1" x14ac:dyDescent="0.25">
      <c r="A4829" s="7" t="s">
        <v>6109</v>
      </c>
    </row>
    <row r="4830" spans="1:1" x14ac:dyDescent="0.25">
      <c r="A4830" s="8" t="s">
        <v>9452</v>
      </c>
    </row>
    <row r="4831" spans="1:1" x14ac:dyDescent="0.25">
      <c r="A4831" s="7" t="s">
        <v>8645</v>
      </c>
    </row>
    <row r="4832" spans="1:1" x14ac:dyDescent="0.25">
      <c r="A4832" s="7" t="s">
        <v>9827</v>
      </c>
    </row>
    <row r="4833" spans="1:1" x14ac:dyDescent="0.25">
      <c r="A4833" s="7" t="s">
        <v>5497</v>
      </c>
    </row>
    <row r="4834" spans="1:1" x14ac:dyDescent="0.25">
      <c r="A4834" s="7" t="s">
        <v>5497</v>
      </c>
    </row>
    <row r="4835" spans="1:1" x14ac:dyDescent="0.25">
      <c r="A4835" s="7" t="s">
        <v>5497</v>
      </c>
    </row>
    <row r="4836" spans="1:1" x14ac:dyDescent="0.25">
      <c r="A4836" s="7" t="s">
        <v>5497</v>
      </c>
    </row>
    <row r="4837" spans="1:1" x14ac:dyDescent="0.25">
      <c r="A4837" s="8" t="s">
        <v>5497</v>
      </c>
    </row>
    <row r="4838" spans="1:1" x14ac:dyDescent="0.25">
      <c r="A4838" s="8" t="s">
        <v>5497</v>
      </c>
    </row>
    <row r="4839" spans="1:1" x14ac:dyDescent="0.25">
      <c r="A4839" s="8" t="s">
        <v>5497</v>
      </c>
    </row>
    <row r="4840" spans="1:1" x14ac:dyDescent="0.25">
      <c r="A4840" s="8" t="s">
        <v>10117</v>
      </c>
    </row>
    <row r="4841" spans="1:1" x14ac:dyDescent="0.25">
      <c r="A4841" s="7" t="s">
        <v>3073</v>
      </c>
    </row>
    <row r="4842" spans="1:1" x14ac:dyDescent="0.25">
      <c r="A4842" s="7" t="s">
        <v>10265</v>
      </c>
    </row>
    <row r="4843" spans="1:1" x14ac:dyDescent="0.25">
      <c r="A4843" s="8" t="s">
        <v>10265</v>
      </c>
    </row>
    <row r="4844" spans="1:1" x14ac:dyDescent="0.25">
      <c r="A4844" s="8" t="s">
        <v>10265</v>
      </c>
    </row>
    <row r="4845" spans="1:1" x14ac:dyDescent="0.25">
      <c r="A4845" s="8" t="s">
        <v>10265</v>
      </c>
    </row>
    <row r="4846" spans="1:1" x14ac:dyDescent="0.25">
      <c r="A4846" s="8" t="s">
        <v>9055</v>
      </c>
    </row>
    <row r="4847" spans="1:1" x14ac:dyDescent="0.25">
      <c r="A4847" s="7" t="s">
        <v>10528</v>
      </c>
    </row>
    <row r="4848" spans="1:1" x14ac:dyDescent="0.25">
      <c r="A4848" s="7" t="s">
        <v>8848</v>
      </c>
    </row>
    <row r="4849" spans="1:1" x14ac:dyDescent="0.25">
      <c r="A4849" s="7" t="s">
        <v>8848</v>
      </c>
    </row>
    <row r="4850" spans="1:1" x14ac:dyDescent="0.25">
      <c r="A4850" s="7" t="s">
        <v>8848</v>
      </c>
    </row>
    <row r="4851" spans="1:1" x14ac:dyDescent="0.25">
      <c r="A4851" s="7" t="s">
        <v>8848</v>
      </c>
    </row>
    <row r="4852" spans="1:1" x14ac:dyDescent="0.25">
      <c r="A4852" s="8" t="s">
        <v>8848</v>
      </c>
    </row>
    <row r="4853" spans="1:1" x14ac:dyDescent="0.25">
      <c r="A4853" s="8" t="s">
        <v>8848</v>
      </c>
    </row>
    <row r="4854" spans="1:1" x14ac:dyDescent="0.25">
      <c r="A4854" s="8" t="s">
        <v>10181</v>
      </c>
    </row>
    <row r="4855" spans="1:1" x14ac:dyDescent="0.25">
      <c r="A4855" s="7" t="s">
        <v>576</v>
      </c>
    </row>
    <row r="4856" spans="1:1" x14ac:dyDescent="0.25">
      <c r="A4856" s="8" t="s">
        <v>9007</v>
      </c>
    </row>
    <row r="4857" spans="1:1" x14ac:dyDescent="0.25">
      <c r="A4857" s="7" t="s">
        <v>5932</v>
      </c>
    </row>
    <row r="4858" spans="1:1" x14ac:dyDescent="0.25">
      <c r="A4858" s="7" t="s">
        <v>5932</v>
      </c>
    </row>
    <row r="4859" spans="1:1" x14ac:dyDescent="0.25">
      <c r="A4859" s="7" t="s">
        <v>6057</v>
      </c>
    </row>
    <row r="4860" spans="1:1" x14ac:dyDescent="0.25">
      <c r="A4860" s="7" t="s">
        <v>6057</v>
      </c>
    </row>
    <row r="4861" spans="1:1" x14ac:dyDescent="0.25">
      <c r="A4861" s="8" t="s">
        <v>10316</v>
      </c>
    </row>
    <row r="4862" spans="1:1" x14ac:dyDescent="0.25">
      <c r="A4862" s="7" t="s">
        <v>3250</v>
      </c>
    </row>
    <row r="4863" spans="1:1" x14ac:dyDescent="0.25">
      <c r="A4863" s="7" t="s">
        <v>3250</v>
      </c>
    </row>
    <row r="4864" spans="1:1" x14ac:dyDescent="0.25">
      <c r="A4864" s="7" t="s">
        <v>3250</v>
      </c>
    </row>
    <row r="4865" spans="1:1" x14ac:dyDescent="0.25">
      <c r="A4865" s="7" t="s">
        <v>3250</v>
      </c>
    </row>
    <row r="4866" spans="1:1" x14ac:dyDescent="0.25">
      <c r="A4866" s="7" t="s">
        <v>3250</v>
      </c>
    </row>
    <row r="4867" spans="1:1" x14ac:dyDescent="0.25">
      <c r="A4867" s="7" t="s">
        <v>3250</v>
      </c>
    </row>
    <row r="4868" spans="1:1" x14ac:dyDescent="0.25">
      <c r="A4868" s="7" t="s">
        <v>3250</v>
      </c>
    </row>
    <row r="4869" spans="1:1" x14ac:dyDescent="0.25">
      <c r="A4869" s="7" t="s">
        <v>3250</v>
      </c>
    </row>
    <row r="4870" spans="1:1" x14ac:dyDescent="0.25">
      <c r="A4870" s="7" t="s">
        <v>3250</v>
      </c>
    </row>
    <row r="4871" spans="1:1" x14ac:dyDescent="0.25">
      <c r="A4871" s="7" t="s">
        <v>3250</v>
      </c>
    </row>
    <row r="4872" spans="1:1" x14ac:dyDescent="0.25">
      <c r="A4872" s="7" t="s">
        <v>3250</v>
      </c>
    </row>
    <row r="4873" spans="1:1" x14ac:dyDescent="0.25">
      <c r="A4873" s="7" t="s">
        <v>3250</v>
      </c>
    </row>
    <row r="4874" spans="1:1" x14ac:dyDescent="0.25">
      <c r="A4874" s="7" t="s">
        <v>3250</v>
      </c>
    </row>
    <row r="4875" spans="1:1" x14ac:dyDescent="0.25">
      <c r="A4875" s="7" t="s">
        <v>3250</v>
      </c>
    </row>
    <row r="4876" spans="1:1" x14ac:dyDescent="0.25">
      <c r="A4876" s="7" t="s">
        <v>3250</v>
      </c>
    </row>
    <row r="4877" spans="1:1" x14ac:dyDescent="0.25">
      <c r="A4877" s="7" t="s">
        <v>3250</v>
      </c>
    </row>
    <row r="4878" spans="1:1" x14ac:dyDescent="0.25">
      <c r="A4878" s="7" t="s">
        <v>3250</v>
      </c>
    </row>
    <row r="4879" spans="1:1" x14ac:dyDescent="0.25">
      <c r="A4879" s="7" t="s">
        <v>3250</v>
      </c>
    </row>
    <row r="4880" spans="1:1" x14ac:dyDescent="0.25">
      <c r="A4880" s="7" t="s">
        <v>3250</v>
      </c>
    </row>
    <row r="4881" spans="1:1" x14ac:dyDescent="0.25">
      <c r="A4881" s="7" t="s">
        <v>3250</v>
      </c>
    </row>
    <row r="4882" spans="1:1" x14ac:dyDescent="0.25">
      <c r="A4882" s="7" t="s">
        <v>3250</v>
      </c>
    </row>
    <row r="4883" spans="1:1" x14ac:dyDescent="0.25">
      <c r="A4883" s="7" t="s">
        <v>3250</v>
      </c>
    </row>
    <row r="4884" spans="1:1" x14ac:dyDescent="0.25">
      <c r="A4884" s="8" t="s">
        <v>3250</v>
      </c>
    </row>
    <row r="4885" spans="1:1" x14ac:dyDescent="0.25">
      <c r="A4885" s="8" t="s">
        <v>3250</v>
      </c>
    </row>
    <row r="4886" spans="1:1" x14ac:dyDescent="0.25">
      <c r="A4886" s="8" t="s">
        <v>3250</v>
      </c>
    </row>
    <row r="4887" spans="1:1" x14ac:dyDescent="0.25">
      <c r="A4887" s="8" t="s">
        <v>3250</v>
      </c>
    </row>
    <row r="4888" spans="1:1" x14ac:dyDescent="0.25">
      <c r="A4888" s="8" t="s">
        <v>3250</v>
      </c>
    </row>
    <row r="4889" spans="1:1" x14ac:dyDescent="0.25">
      <c r="A4889" s="8" t="s">
        <v>3250</v>
      </c>
    </row>
    <row r="4890" spans="1:1" x14ac:dyDescent="0.25">
      <c r="A4890" s="8" t="s">
        <v>3250</v>
      </c>
    </row>
    <row r="4891" spans="1:1" x14ac:dyDescent="0.25">
      <c r="A4891" s="8" t="s">
        <v>3250</v>
      </c>
    </row>
    <row r="4892" spans="1:1" x14ac:dyDescent="0.25">
      <c r="A4892" s="7" t="s">
        <v>4838</v>
      </c>
    </row>
    <row r="4893" spans="1:1" x14ac:dyDescent="0.25">
      <c r="A4893" s="7" t="s">
        <v>2038</v>
      </c>
    </row>
    <row r="4894" spans="1:1" x14ac:dyDescent="0.25">
      <c r="A4894" s="8" t="s">
        <v>9018</v>
      </c>
    </row>
    <row r="4895" spans="1:1" x14ac:dyDescent="0.25">
      <c r="A4895" s="7" t="s">
        <v>8928</v>
      </c>
    </row>
    <row r="4896" spans="1:1" x14ac:dyDescent="0.25">
      <c r="A4896" s="7" t="s">
        <v>8928</v>
      </c>
    </row>
    <row r="4897" spans="1:1" x14ac:dyDescent="0.25">
      <c r="A4897" s="7" t="s">
        <v>8928</v>
      </c>
    </row>
    <row r="4898" spans="1:1" x14ac:dyDescent="0.25">
      <c r="A4898" s="7" t="s">
        <v>8928</v>
      </c>
    </row>
    <row r="4899" spans="1:1" x14ac:dyDescent="0.25">
      <c r="A4899" s="7" t="s">
        <v>8928</v>
      </c>
    </row>
    <row r="4900" spans="1:1" x14ac:dyDescent="0.25">
      <c r="A4900" s="7" t="s">
        <v>8928</v>
      </c>
    </row>
    <row r="4901" spans="1:1" x14ac:dyDescent="0.25">
      <c r="A4901" s="7" t="s">
        <v>8928</v>
      </c>
    </row>
    <row r="4902" spans="1:1" x14ac:dyDescent="0.25">
      <c r="A4902" s="7" t="s">
        <v>8928</v>
      </c>
    </row>
    <row r="4903" spans="1:1" x14ac:dyDescent="0.25">
      <c r="A4903" s="7" t="s">
        <v>8928</v>
      </c>
    </row>
    <row r="4904" spans="1:1" x14ac:dyDescent="0.25">
      <c r="A4904" s="7" t="s">
        <v>8928</v>
      </c>
    </row>
    <row r="4905" spans="1:1" x14ac:dyDescent="0.25">
      <c r="A4905" s="7" t="s">
        <v>8928</v>
      </c>
    </row>
    <row r="4906" spans="1:1" x14ac:dyDescent="0.25">
      <c r="A4906" s="7" t="s">
        <v>8928</v>
      </c>
    </row>
    <row r="4907" spans="1:1" x14ac:dyDescent="0.25">
      <c r="A4907" s="7" t="s">
        <v>8928</v>
      </c>
    </row>
    <row r="4908" spans="1:1" x14ac:dyDescent="0.25">
      <c r="A4908" s="7" t="s">
        <v>8928</v>
      </c>
    </row>
    <row r="4909" spans="1:1" x14ac:dyDescent="0.25">
      <c r="A4909" s="7" t="s">
        <v>8928</v>
      </c>
    </row>
    <row r="4910" spans="1:1" x14ac:dyDescent="0.25">
      <c r="A4910" s="7" t="s">
        <v>8928</v>
      </c>
    </row>
    <row r="4911" spans="1:1" x14ac:dyDescent="0.25">
      <c r="A4911" s="7" t="s">
        <v>8928</v>
      </c>
    </row>
    <row r="4912" spans="1:1" x14ac:dyDescent="0.25">
      <c r="A4912" s="7" t="s">
        <v>8928</v>
      </c>
    </row>
    <row r="4913" spans="1:1" x14ac:dyDescent="0.25">
      <c r="A4913" s="7" t="s">
        <v>8928</v>
      </c>
    </row>
    <row r="4914" spans="1:1" x14ac:dyDescent="0.25">
      <c r="A4914" s="7" t="s">
        <v>8928</v>
      </c>
    </row>
    <row r="4915" spans="1:1" x14ac:dyDescent="0.25">
      <c r="A4915" s="7" t="s">
        <v>8928</v>
      </c>
    </row>
    <row r="4916" spans="1:1" x14ac:dyDescent="0.25">
      <c r="A4916" s="7" t="s">
        <v>8928</v>
      </c>
    </row>
    <row r="4917" spans="1:1" x14ac:dyDescent="0.25">
      <c r="A4917" s="8" t="s">
        <v>8928</v>
      </c>
    </row>
    <row r="4918" spans="1:1" x14ac:dyDescent="0.25">
      <c r="A4918" s="8" t="s">
        <v>8928</v>
      </c>
    </row>
    <row r="4919" spans="1:1" x14ac:dyDescent="0.25">
      <c r="A4919" s="8" t="s">
        <v>8928</v>
      </c>
    </row>
    <row r="4920" spans="1:1" x14ac:dyDescent="0.25">
      <c r="A4920" s="8" t="s">
        <v>8928</v>
      </c>
    </row>
    <row r="4921" spans="1:1" x14ac:dyDescent="0.25">
      <c r="A4921" s="8" t="s">
        <v>8928</v>
      </c>
    </row>
    <row r="4922" spans="1:1" x14ac:dyDescent="0.25">
      <c r="A4922" s="8" t="s">
        <v>10630</v>
      </c>
    </row>
    <row r="4923" spans="1:1" x14ac:dyDescent="0.25">
      <c r="A4923" s="7" t="s">
        <v>9363</v>
      </c>
    </row>
    <row r="4924" spans="1:1" x14ac:dyDescent="0.25">
      <c r="A4924" s="8" t="s">
        <v>9363</v>
      </c>
    </row>
    <row r="4925" spans="1:1" x14ac:dyDescent="0.25">
      <c r="A4925" s="7" t="s">
        <v>3117</v>
      </c>
    </row>
    <row r="4926" spans="1:1" x14ac:dyDescent="0.25">
      <c r="A4926" s="7" t="s">
        <v>6757</v>
      </c>
    </row>
    <row r="4927" spans="1:1" x14ac:dyDescent="0.25">
      <c r="A4927" s="7" t="s">
        <v>6757</v>
      </c>
    </row>
    <row r="4928" spans="1:1" x14ac:dyDescent="0.25">
      <c r="A4928" s="7" t="s">
        <v>6757</v>
      </c>
    </row>
    <row r="4929" spans="1:1" x14ac:dyDescent="0.25">
      <c r="A4929" s="7" t="s">
        <v>266</v>
      </c>
    </row>
    <row r="4930" spans="1:1" x14ac:dyDescent="0.25">
      <c r="A4930" s="8" t="s">
        <v>266</v>
      </c>
    </row>
    <row r="4931" spans="1:1" x14ac:dyDescent="0.25">
      <c r="A4931" s="7" t="s">
        <v>9168</v>
      </c>
    </row>
    <row r="4932" spans="1:1" x14ac:dyDescent="0.25">
      <c r="A4932" s="7" t="s">
        <v>9168</v>
      </c>
    </row>
    <row r="4933" spans="1:1" x14ac:dyDescent="0.25">
      <c r="A4933" s="7" t="s">
        <v>9168</v>
      </c>
    </row>
    <row r="4934" spans="1:1" x14ac:dyDescent="0.25">
      <c r="A4934" s="7" t="s">
        <v>9168</v>
      </c>
    </row>
    <row r="4935" spans="1:1" x14ac:dyDescent="0.25">
      <c r="A4935" s="8" t="s">
        <v>9168</v>
      </c>
    </row>
    <row r="4936" spans="1:1" x14ac:dyDescent="0.25">
      <c r="A4936" s="8" t="s">
        <v>9168</v>
      </c>
    </row>
    <row r="4937" spans="1:1" x14ac:dyDescent="0.25">
      <c r="A4937" s="8" t="s">
        <v>9857</v>
      </c>
    </row>
    <row r="4938" spans="1:1" x14ac:dyDescent="0.25">
      <c r="A4938" s="8" t="s">
        <v>9857</v>
      </c>
    </row>
    <row r="4939" spans="1:1" x14ac:dyDescent="0.25">
      <c r="A4939" s="8" t="s">
        <v>9857</v>
      </c>
    </row>
    <row r="4940" spans="1:1" x14ac:dyDescent="0.25">
      <c r="A4940" s="7" t="s">
        <v>9929</v>
      </c>
    </row>
    <row r="4941" spans="1:1" x14ac:dyDescent="0.25">
      <c r="A4941" s="8" t="s">
        <v>9929</v>
      </c>
    </row>
    <row r="4942" spans="1:1" x14ac:dyDescent="0.25">
      <c r="A4942" s="7" t="s">
        <v>9403</v>
      </c>
    </row>
    <row r="4943" spans="1:1" x14ac:dyDescent="0.25">
      <c r="A4943" s="8" t="s">
        <v>10616</v>
      </c>
    </row>
    <row r="4944" spans="1:1" x14ac:dyDescent="0.25">
      <c r="A4944" s="7" t="s">
        <v>9068</v>
      </c>
    </row>
    <row r="4945" spans="1:1" x14ac:dyDescent="0.25">
      <c r="A4945" s="8" t="s">
        <v>9068</v>
      </c>
    </row>
    <row r="4946" spans="1:1" x14ac:dyDescent="0.25">
      <c r="A4946" s="8" t="s">
        <v>9068</v>
      </c>
    </row>
    <row r="4947" spans="1:1" x14ac:dyDescent="0.25">
      <c r="A4947" s="7" t="s">
        <v>4795</v>
      </c>
    </row>
    <row r="4948" spans="1:1" x14ac:dyDescent="0.25">
      <c r="A4948" s="7" t="s">
        <v>5600</v>
      </c>
    </row>
    <row r="4949" spans="1:1" x14ac:dyDescent="0.25">
      <c r="A4949" s="7" t="s">
        <v>5600</v>
      </c>
    </row>
    <row r="4950" spans="1:1" x14ac:dyDescent="0.25">
      <c r="A4950" s="7" t="s">
        <v>5600</v>
      </c>
    </row>
    <row r="4951" spans="1:1" x14ac:dyDescent="0.25">
      <c r="A4951" s="7" t="s">
        <v>5600</v>
      </c>
    </row>
    <row r="4952" spans="1:1" x14ac:dyDescent="0.25">
      <c r="A4952" s="7" t="s">
        <v>5600</v>
      </c>
    </row>
    <row r="4953" spans="1:1" x14ac:dyDescent="0.25">
      <c r="A4953" s="7" t="s">
        <v>5600</v>
      </c>
    </row>
    <row r="4954" spans="1:1" x14ac:dyDescent="0.25">
      <c r="A4954" s="8" t="s">
        <v>10230</v>
      </c>
    </row>
    <row r="4955" spans="1:1" x14ac:dyDescent="0.25">
      <c r="A4955" s="7" t="s">
        <v>9650</v>
      </c>
    </row>
    <row r="4956" spans="1:1" x14ac:dyDescent="0.25">
      <c r="A4956" s="8" t="s">
        <v>10384</v>
      </c>
    </row>
    <row r="4957" spans="1:1" x14ac:dyDescent="0.25">
      <c r="A4957" s="7" t="s">
        <v>9098</v>
      </c>
    </row>
    <row r="4958" spans="1:1" x14ac:dyDescent="0.25">
      <c r="A4958" s="8" t="s">
        <v>9512</v>
      </c>
    </row>
    <row r="4959" spans="1:1" x14ac:dyDescent="0.25">
      <c r="A4959" s="7" t="s">
        <v>3402</v>
      </c>
    </row>
    <row r="4960" spans="1:1" x14ac:dyDescent="0.25">
      <c r="A4960" s="7" t="s">
        <v>89</v>
      </c>
    </row>
    <row r="4961" spans="1:1" x14ac:dyDescent="0.25">
      <c r="A4961" s="7" t="s">
        <v>89</v>
      </c>
    </row>
    <row r="4962" spans="1:1" x14ac:dyDescent="0.25">
      <c r="A4962" s="7" t="s">
        <v>658</v>
      </c>
    </row>
    <row r="4963" spans="1:1" x14ac:dyDescent="0.25">
      <c r="A4963" s="8" t="s">
        <v>658</v>
      </c>
    </row>
    <row r="4964" spans="1:1" x14ac:dyDescent="0.25">
      <c r="A4964" s="8" t="s">
        <v>658</v>
      </c>
    </row>
    <row r="4965" spans="1:1" x14ac:dyDescent="0.25">
      <c r="A4965" s="7" t="s">
        <v>5088</v>
      </c>
    </row>
    <row r="4966" spans="1:1" x14ac:dyDescent="0.25">
      <c r="A4966" s="7" t="s">
        <v>8899</v>
      </c>
    </row>
    <row r="4967" spans="1:1" x14ac:dyDescent="0.25">
      <c r="A4967" s="7" t="s">
        <v>4386</v>
      </c>
    </row>
    <row r="4968" spans="1:1" x14ac:dyDescent="0.25">
      <c r="A4968" s="7" t="s">
        <v>4386</v>
      </c>
    </row>
    <row r="4969" spans="1:1" x14ac:dyDescent="0.25">
      <c r="A4969" s="7" t="s">
        <v>4386</v>
      </c>
    </row>
    <row r="4970" spans="1:1" x14ac:dyDescent="0.25">
      <c r="A4970" s="7" t="s">
        <v>4386</v>
      </c>
    </row>
    <row r="4971" spans="1:1" x14ac:dyDescent="0.25">
      <c r="A4971" s="7" t="s">
        <v>4386</v>
      </c>
    </row>
    <row r="4972" spans="1:1" x14ac:dyDescent="0.25">
      <c r="A4972" s="8" t="s">
        <v>4386</v>
      </c>
    </row>
    <row r="4973" spans="1:1" x14ac:dyDescent="0.25">
      <c r="A4973" s="8" t="s">
        <v>4386</v>
      </c>
    </row>
    <row r="4974" spans="1:1" x14ac:dyDescent="0.25">
      <c r="A4974" s="8" t="s">
        <v>4386</v>
      </c>
    </row>
    <row r="4975" spans="1:1" x14ac:dyDescent="0.25">
      <c r="A4975" s="8" t="s">
        <v>4386</v>
      </c>
    </row>
    <row r="4976" spans="1:1" x14ac:dyDescent="0.25">
      <c r="A4976" s="7" t="s">
        <v>3009</v>
      </c>
    </row>
    <row r="4977" spans="1:1" x14ac:dyDescent="0.25">
      <c r="A4977" s="7" t="s">
        <v>3009</v>
      </c>
    </row>
    <row r="4978" spans="1:1" x14ac:dyDescent="0.25">
      <c r="A4978" s="7" t="s">
        <v>3009</v>
      </c>
    </row>
    <row r="4979" spans="1:1" x14ac:dyDescent="0.25">
      <c r="A4979" s="7" t="s">
        <v>3009</v>
      </c>
    </row>
    <row r="4980" spans="1:1" x14ac:dyDescent="0.25">
      <c r="A4980" s="7" t="s">
        <v>3009</v>
      </c>
    </row>
    <row r="4981" spans="1:1" x14ac:dyDescent="0.25">
      <c r="A4981" s="7" t="s">
        <v>3009</v>
      </c>
    </row>
    <row r="4982" spans="1:1" x14ac:dyDescent="0.25">
      <c r="A4982" s="7" t="s">
        <v>3009</v>
      </c>
    </row>
    <row r="4983" spans="1:1" x14ac:dyDescent="0.25">
      <c r="A4983" s="7" t="s">
        <v>3009</v>
      </c>
    </row>
    <row r="4984" spans="1:1" x14ac:dyDescent="0.25">
      <c r="A4984" s="7" t="s">
        <v>3009</v>
      </c>
    </row>
    <row r="4985" spans="1:1" x14ac:dyDescent="0.25">
      <c r="A4985" s="7" t="s">
        <v>3009</v>
      </c>
    </row>
    <row r="4986" spans="1:1" x14ac:dyDescent="0.25">
      <c r="A4986" s="7" t="s">
        <v>3009</v>
      </c>
    </row>
    <row r="4987" spans="1:1" x14ac:dyDescent="0.25">
      <c r="A4987" s="7" t="s">
        <v>3009</v>
      </c>
    </row>
    <row r="4988" spans="1:1" x14ac:dyDescent="0.25">
      <c r="A4988" s="7" t="s">
        <v>3009</v>
      </c>
    </row>
    <row r="4989" spans="1:1" x14ac:dyDescent="0.25">
      <c r="A4989" s="7" t="s">
        <v>3009</v>
      </c>
    </row>
    <row r="4990" spans="1:1" x14ac:dyDescent="0.25">
      <c r="A4990" s="8" t="s">
        <v>3009</v>
      </c>
    </row>
    <row r="4991" spans="1:1" x14ac:dyDescent="0.25">
      <c r="A4991" s="8" t="s">
        <v>3009</v>
      </c>
    </row>
    <row r="4992" spans="1:1" x14ac:dyDescent="0.25">
      <c r="A4992" s="8" t="s">
        <v>3009</v>
      </c>
    </row>
    <row r="4993" spans="1:1" x14ac:dyDescent="0.25">
      <c r="A4993" s="8" t="s">
        <v>3009</v>
      </c>
    </row>
    <row r="4994" spans="1:1" x14ac:dyDescent="0.25">
      <c r="A4994" s="8" t="s">
        <v>3009</v>
      </c>
    </row>
    <row r="4995" spans="1:1" x14ac:dyDescent="0.25">
      <c r="A4995" s="8" t="s">
        <v>3009</v>
      </c>
    </row>
    <row r="4996" spans="1:1" x14ac:dyDescent="0.25">
      <c r="A4996" s="8" t="s">
        <v>3009</v>
      </c>
    </row>
    <row r="4997" spans="1:1" x14ac:dyDescent="0.25">
      <c r="A4997" s="8" t="s">
        <v>3009</v>
      </c>
    </row>
    <row r="4998" spans="1:1" x14ac:dyDescent="0.25">
      <c r="A4998" s="7" t="s">
        <v>4031</v>
      </c>
    </row>
    <row r="4999" spans="1:1" x14ac:dyDescent="0.25">
      <c r="A4999" s="7" t="s">
        <v>9532</v>
      </c>
    </row>
    <row r="5000" spans="1:1" x14ac:dyDescent="0.25">
      <c r="A5000" s="7" t="s">
        <v>8862</v>
      </c>
    </row>
    <row r="5001" spans="1:1" x14ac:dyDescent="0.25">
      <c r="A5001" s="7" t="s">
        <v>8862</v>
      </c>
    </row>
    <row r="5002" spans="1:1" x14ac:dyDescent="0.25">
      <c r="A5002" s="7" t="s">
        <v>2825</v>
      </c>
    </row>
    <row r="5003" spans="1:1" x14ac:dyDescent="0.25">
      <c r="A5003" s="7" t="s">
        <v>2825</v>
      </c>
    </row>
    <row r="5004" spans="1:1" x14ac:dyDescent="0.25">
      <c r="A5004" s="7" t="s">
        <v>2825</v>
      </c>
    </row>
    <row r="5005" spans="1:1" x14ac:dyDescent="0.25">
      <c r="A5005" s="7" t="s">
        <v>2825</v>
      </c>
    </row>
    <row r="5006" spans="1:1" x14ac:dyDescent="0.25">
      <c r="A5006" s="7" t="s">
        <v>2825</v>
      </c>
    </row>
    <row r="5007" spans="1:1" x14ac:dyDescent="0.25">
      <c r="A5007" s="8" t="s">
        <v>2825</v>
      </c>
    </row>
    <row r="5008" spans="1:1" x14ac:dyDescent="0.25">
      <c r="A5008" s="8" t="s">
        <v>10632</v>
      </c>
    </row>
    <row r="5009" spans="1:1" x14ac:dyDescent="0.25">
      <c r="A5009" s="7" t="s">
        <v>64</v>
      </c>
    </row>
    <row r="5010" spans="1:1" x14ac:dyDescent="0.25">
      <c r="A5010" s="7" t="s">
        <v>64</v>
      </c>
    </row>
    <row r="5011" spans="1:1" x14ac:dyDescent="0.25">
      <c r="A5011" s="7" t="s">
        <v>64</v>
      </c>
    </row>
    <row r="5012" spans="1:1" x14ac:dyDescent="0.25">
      <c r="A5012" s="7" t="s">
        <v>64</v>
      </c>
    </row>
    <row r="5013" spans="1:1" x14ac:dyDescent="0.25">
      <c r="A5013" s="7" t="s">
        <v>64</v>
      </c>
    </row>
    <row r="5014" spans="1:1" x14ac:dyDescent="0.25">
      <c r="A5014" s="7" t="s">
        <v>229</v>
      </c>
    </row>
    <row r="5015" spans="1:1" x14ac:dyDescent="0.25">
      <c r="A5015" s="7" t="s">
        <v>9813</v>
      </c>
    </row>
    <row r="5016" spans="1:1" x14ac:dyDescent="0.25">
      <c r="A5016" s="8" t="s">
        <v>9787</v>
      </c>
    </row>
    <row r="5017" spans="1:1" x14ac:dyDescent="0.25">
      <c r="A5017" s="7" t="s">
        <v>9500</v>
      </c>
    </row>
    <row r="5018" spans="1:1" x14ac:dyDescent="0.25">
      <c r="A5018" s="8" t="s">
        <v>9500</v>
      </c>
    </row>
    <row r="5019" spans="1:1" x14ac:dyDescent="0.25">
      <c r="A5019" s="7" t="s">
        <v>10493</v>
      </c>
    </row>
    <row r="5020" spans="1:1" x14ac:dyDescent="0.25">
      <c r="A5020" s="8" t="s">
        <v>10155</v>
      </c>
    </row>
    <row r="5021" spans="1:1" x14ac:dyDescent="0.25">
      <c r="A5021" s="8" t="s">
        <v>8999</v>
      </c>
    </row>
    <row r="5022" spans="1:1" x14ac:dyDescent="0.25">
      <c r="A5022" s="8" t="s">
        <v>9749</v>
      </c>
    </row>
    <row r="5023" spans="1:1" x14ac:dyDescent="0.25">
      <c r="A5023" s="8" t="s">
        <v>9749</v>
      </c>
    </row>
    <row r="5024" spans="1:1" x14ac:dyDescent="0.25">
      <c r="A5024" s="7" t="s">
        <v>10118</v>
      </c>
    </row>
    <row r="5025" spans="1:1" x14ac:dyDescent="0.25">
      <c r="A5025" s="8" t="s">
        <v>10355</v>
      </c>
    </row>
    <row r="5026" spans="1:1" x14ac:dyDescent="0.25">
      <c r="A5026" s="8" t="s">
        <v>10355</v>
      </c>
    </row>
    <row r="5027" spans="1:1" x14ac:dyDescent="0.25">
      <c r="A5027" s="8" t="s">
        <v>10355</v>
      </c>
    </row>
    <row r="5028" spans="1:1" x14ac:dyDescent="0.25">
      <c r="A5028" s="8" t="s">
        <v>10260</v>
      </c>
    </row>
    <row r="5029" spans="1:1" x14ac:dyDescent="0.25">
      <c r="A5029" s="8" t="s">
        <v>9317</v>
      </c>
    </row>
    <row r="5030" spans="1:1" x14ac:dyDescent="0.25">
      <c r="A5030" s="7" t="s">
        <v>3156</v>
      </c>
    </row>
    <row r="5031" spans="1:1" x14ac:dyDescent="0.25">
      <c r="A5031" s="7" t="s">
        <v>3156</v>
      </c>
    </row>
    <row r="5032" spans="1:1" x14ac:dyDescent="0.25">
      <c r="A5032" s="7" t="s">
        <v>3156</v>
      </c>
    </row>
    <row r="5033" spans="1:1" x14ac:dyDescent="0.25">
      <c r="A5033" s="7" t="s">
        <v>3156</v>
      </c>
    </row>
    <row r="5034" spans="1:1" x14ac:dyDescent="0.25">
      <c r="A5034" s="7" t="s">
        <v>3156</v>
      </c>
    </row>
    <row r="5035" spans="1:1" x14ac:dyDescent="0.25">
      <c r="A5035" s="7" t="s">
        <v>3156</v>
      </c>
    </row>
    <row r="5036" spans="1:1" x14ac:dyDescent="0.25">
      <c r="A5036" s="7" t="s">
        <v>3156</v>
      </c>
    </row>
    <row r="5037" spans="1:1" x14ac:dyDescent="0.25">
      <c r="A5037" s="7" t="s">
        <v>3156</v>
      </c>
    </row>
    <row r="5038" spans="1:1" x14ac:dyDescent="0.25">
      <c r="A5038" s="7" t="s">
        <v>3156</v>
      </c>
    </row>
    <row r="5039" spans="1:1" x14ac:dyDescent="0.25">
      <c r="A5039" s="7" t="s">
        <v>3156</v>
      </c>
    </row>
    <row r="5040" spans="1:1" x14ac:dyDescent="0.25">
      <c r="A5040" s="7" t="s">
        <v>3156</v>
      </c>
    </row>
    <row r="5041" spans="1:1" x14ac:dyDescent="0.25">
      <c r="A5041" s="7" t="s">
        <v>3156</v>
      </c>
    </row>
    <row r="5042" spans="1:1" x14ac:dyDescent="0.25">
      <c r="A5042" s="8" t="s">
        <v>3156</v>
      </c>
    </row>
    <row r="5043" spans="1:1" x14ac:dyDescent="0.25">
      <c r="A5043" s="7" t="s">
        <v>6714</v>
      </c>
    </row>
    <row r="5044" spans="1:1" x14ac:dyDescent="0.25">
      <c r="A5044" s="7" t="s">
        <v>6714</v>
      </c>
    </row>
    <row r="5045" spans="1:1" x14ac:dyDescent="0.25">
      <c r="A5045" s="7" t="s">
        <v>6714</v>
      </c>
    </row>
    <row r="5046" spans="1:1" x14ac:dyDescent="0.25">
      <c r="A5046" s="7" t="s">
        <v>6714</v>
      </c>
    </row>
    <row r="5047" spans="1:1" x14ac:dyDescent="0.25">
      <c r="A5047" s="8" t="s">
        <v>9134</v>
      </c>
    </row>
    <row r="5048" spans="1:1" x14ac:dyDescent="0.25">
      <c r="A5048" s="8" t="s">
        <v>9134</v>
      </c>
    </row>
    <row r="5049" spans="1:1" x14ac:dyDescent="0.25">
      <c r="A5049" s="7" t="s">
        <v>3232</v>
      </c>
    </row>
    <row r="5050" spans="1:1" x14ac:dyDescent="0.25">
      <c r="A5050" s="7" t="s">
        <v>3232</v>
      </c>
    </row>
    <row r="5051" spans="1:1" x14ac:dyDescent="0.25">
      <c r="A5051" s="7" t="s">
        <v>3232</v>
      </c>
    </row>
    <row r="5052" spans="1:1" x14ac:dyDescent="0.25">
      <c r="A5052" s="7" t="s">
        <v>3232</v>
      </c>
    </row>
    <row r="5053" spans="1:1" x14ac:dyDescent="0.25">
      <c r="A5053" s="8" t="s">
        <v>3232</v>
      </c>
    </row>
    <row r="5054" spans="1:1" x14ac:dyDescent="0.25">
      <c r="A5054" s="8" t="s">
        <v>3232</v>
      </c>
    </row>
    <row r="5055" spans="1:1" x14ac:dyDescent="0.25">
      <c r="A5055" s="7" t="s">
        <v>689</v>
      </c>
    </row>
    <row r="5056" spans="1:1" x14ac:dyDescent="0.25">
      <c r="A5056" s="7" t="s">
        <v>689</v>
      </c>
    </row>
    <row r="5057" spans="1:1" x14ac:dyDescent="0.25">
      <c r="A5057" s="7" t="s">
        <v>689</v>
      </c>
    </row>
    <row r="5058" spans="1:1" x14ac:dyDescent="0.25">
      <c r="A5058" s="7" t="s">
        <v>689</v>
      </c>
    </row>
    <row r="5059" spans="1:1" x14ac:dyDescent="0.25">
      <c r="A5059" s="7" t="s">
        <v>689</v>
      </c>
    </row>
    <row r="5060" spans="1:1" x14ac:dyDescent="0.25">
      <c r="A5060" s="7" t="s">
        <v>689</v>
      </c>
    </row>
    <row r="5061" spans="1:1" x14ac:dyDescent="0.25">
      <c r="A5061" s="7" t="s">
        <v>689</v>
      </c>
    </row>
    <row r="5062" spans="1:1" x14ac:dyDescent="0.25">
      <c r="A5062" s="7" t="s">
        <v>689</v>
      </c>
    </row>
    <row r="5063" spans="1:1" x14ac:dyDescent="0.25">
      <c r="A5063" s="7" t="s">
        <v>689</v>
      </c>
    </row>
    <row r="5064" spans="1:1" x14ac:dyDescent="0.25">
      <c r="A5064" s="8" t="s">
        <v>689</v>
      </c>
    </row>
    <row r="5065" spans="1:1" x14ac:dyDescent="0.25">
      <c r="A5065" s="8" t="s">
        <v>689</v>
      </c>
    </row>
    <row r="5066" spans="1:1" x14ac:dyDescent="0.25">
      <c r="A5066" s="8" t="s">
        <v>689</v>
      </c>
    </row>
    <row r="5067" spans="1:1" x14ac:dyDescent="0.25">
      <c r="A5067" s="8" t="s">
        <v>689</v>
      </c>
    </row>
    <row r="5068" spans="1:1" x14ac:dyDescent="0.25">
      <c r="A5068" s="8" t="s">
        <v>689</v>
      </c>
    </row>
    <row r="5069" spans="1:1" x14ac:dyDescent="0.25">
      <c r="A5069" s="8" t="s">
        <v>689</v>
      </c>
    </row>
    <row r="5070" spans="1:1" x14ac:dyDescent="0.25">
      <c r="A5070" s="8" t="s">
        <v>689</v>
      </c>
    </row>
    <row r="5071" spans="1:1" x14ac:dyDescent="0.25">
      <c r="A5071" s="8" t="s">
        <v>689</v>
      </c>
    </row>
    <row r="5072" spans="1:1" x14ac:dyDescent="0.25">
      <c r="A5072" s="8" t="s">
        <v>689</v>
      </c>
    </row>
    <row r="5073" spans="1:1" x14ac:dyDescent="0.25">
      <c r="A5073" s="7" t="s">
        <v>3202</v>
      </c>
    </row>
    <row r="5074" spans="1:1" x14ac:dyDescent="0.25">
      <c r="A5074" s="7" t="s">
        <v>3202</v>
      </c>
    </row>
    <row r="5075" spans="1:1" x14ac:dyDescent="0.25">
      <c r="A5075" s="7" t="s">
        <v>3202</v>
      </c>
    </row>
    <row r="5076" spans="1:1" x14ac:dyDescent="0.25">
      <c r="A5076" s="7" t="s">
        <v>3202</v>
      </c>
    </row>
    <row r="5077" spans="1:1" x14ac:dyDescent="0.25">
      <c r="A5077" s="7" t="s">
        <v>3202</v>
      </c>
    </row>
    <row r="5078" spans="1:1" x14ac:dyDescent="0.25">
      <c r="A5078" s="7" t="s">
        <v>3202</v>
      </c>
    </row>
    <row r="5079" spans="1:1" x14ac:dyDescent="0.25">
      <c r="A5079" s="7" t="s">
        <v>3202</v>
      </c>
    </row>
    <row r="5080" spans="1:1" x14ac:dyDescent="0.25">
      <c r="A5080" s="7" t="s">
        <v>3202</v>
      </c>
    </row>
    <row r="5081" spans="1:1" x14ac:dyDescent="0.25">
      <c r="A5081" s="7" t="s">
        <v>4667</v>
      </c>
    </row>
    <row r="5082" spans="1:1" x14ac:dyDescent="0.25">
      <c r="A5082" s="8" t="s">
        <v>9092</v>
      </c>
    </row>
    <row r="5083" spans="1:1" x14ac:dyDescent="0.25">
      <c r="A5083" s="7" t="s">
        <v>8694</v>
      </c>
    </row>
    <row r="5084" spans="1:1" x14ac:dyDescent="0.25">
      <c r="A5084" s="7" t="s">
        <v>8694</v>
      </c>
    </row>
    <row r="5085" spans="1:1" x14ac:dyDescent="0.25">
      <c r="A5085" s="7" t="s">
        <v>8694</v>
      </c>
    </row>
    <row r="5086" spans="1:1" x14ac:dyDescent="0.25">
      <c r="A5086" s="8" t="s">
        <v>8694</v>
      </c>
    </row>
    <row r="5087" spans="1:1" x14ac:dyDescent="0.25">
      <c r="A5087" s="8" t="s">
        <v>8694</v>
      </c>
    </row>
    <row r="5088" spans="1:1" x14ac:dyDescent="0.25">
      <c r="A5088" s="8" t="s">
        <v>8694</v>
      </c>
    </row>
    <row r="5089" spans="1:1" x14ac:dyDescent="0.25">
      <c r="A5089" s="8" t="s">
        <v>10074</v>
      </c>
    </row>
    <row r="5090" spans="1:1" x14ac:dyDescent="0.25">
      <c r="A5090" s="8" t="s">
        <v>10074</v>
      </c>
    </row>
    <row r="5091" spans="1:1" x14ac:dyDescent="0.25">
      <c r="A5091" s="8" t="s">
        <v>10670</v>
      </c>
    </row>
    <row r="5092" spans="1:1" x14ac:dyDescent="0.25">
      <c r="A5092" s="8" t="s">
        <v>10346</v>
      </c>
    </row>
    <row r="5093" spans="1:1" x14ac:dyDescent="0.25">
      <c r="A5093" s="8" t="s">
        <v>9266</v>
      </c>
    </row>
    <row r="5094" spans="1:1" x14ac:dyDescent="0.25">
      <c r="A5094" s="7" t="s">
        <v>9626</v>
      </c>
    </row>
    <row r="5095" spans="1:1" x14ac:dyDescent="0.25">
      <c r="A5095" s="7" t="s">
        <v>9626</v>
      </c>
    </row>
    <row r="5096" spans="1:1" x14ac:dyDescent="0.25">
      <c r="A5096" s="7" t="s">
        <v>9626</v>
      </c>
    </row>
    <row r="5097" spans="1:1" x14ac:dyDescent="0.25">
      <c r="A5097" s="7" t="s">
        <v>9626</v>
      </c>
    </row>
    <row r="5098" spans="1:1" x14ac:dyDescent="0.25">
      <c r="A5098" s="8" t="s">
        <v>9626</v>
      </c>
    </row>
    <row r="5099" spans="1:1" x14ac:dyDescent="0.25">
      <c r="A5099" s="8" t="s">
        <v>9626</v>
      </c>
    </row>
    <row r="5100" spans="1:1" x14ac:dyDescent="0.25">
      <c r="A5100" s="8" t="s">
        <v>9626</v>
      </c>
    </row>
    <row r="5101" spans="1:1" x14ac:dyDescent="0.25">
      <c r="A5101" s="8" t="s">
        <v>9626</v>
      </c>
    </row>
    <row r="5102" spans="1:1" x14ac:dyDescent="0.25">
      <c r="A5102" s="7" t="s">
        <v>9458</v>
      </c>
    </row>
    <row r="5103" spans="1:1" x14ac:dyDescent="0.25">
      <c r="A5103" s="8" t="s">
        <v>10518</v>
      </c>
    </row>
    <row r="5104" spans="1:1" x14ac:dyDescent="0.25">
      <c r="A5104" s="8" t="s">
        <v>10518</v>
      </c>
    </row>
    <row r="5105" spans="1:1" x14ac:dyDescent="0.25">
      <c r="A5105" s="7" t="s">
        <v>2152</v>
      </c>
    </row>
    <row r="5106" spans="1:1" x14ac:dyDescent="0.25">
      <c r="A5106" s="7" t="s">
        <v>2152</v>
      </c>
    </row>
    <row r="5107" spans="1:1" x14ac:dyDescent="0.25">
      <c r="A5107" s="7" t="s">
        <v>2152</v>
      </c>
    </row>
    <row r="5108" spans="1:1" x14ac:dyDescent="0.25">
      <c r="A5108" s="7" t="s">
        <v>2152</v>
      </c>
    </row>
    <row r="5109" spans="1:1" x14ac:dyDescent="0.25">
      <c r="A5109" s="7" t="s">
        <v>2152</v>
      </c>
    </row>
    <row r="5110" spans="1:1" x14ac:dyDescent="0.25">
      <c r="A5110" s="7" t="s">
        <v>4523</v>
      </c>
    </row>
    <row r="5111" spans="1:1" x14ac:dyDescent="0.25">
      <c r="A5111" s="7" t="s">
        <v>10272</v>
      </c>
    </row>
    <row r="5112" spans="1:1" x14ac:dyDescent="0.25">
      <c r="A5112" s="7" t="s">
        <v>10272</v>
      </c>
    </row>
    <row r="5113" spans="1:1" x14ac:dyDescent="0.25">
      <c r="A5113" s="7" t="s">
        <v>9430</v>
      </c>
    </row>
    <row r="5114" spans="1:1" x14ac:dyDescent="0.25">
      <c r="A5114" s="7" t="s">
        <v>9430</v>
      </c>
    </row>
    <row r="5115" spans="1:1" x14ac:dyDescent="0.25">
      <c r="A5115" s="7" t="s">
        <v>9430</v>
      </c>
    </row>
    <row r="5116" spans="1:1" x14ac:dyDescent="0.25">
      <c r="A5116" s="7" t="s">
        <v>10435</v>
      </c>
    </row>
    <row r="5117" spans="1:1" x14ac:dyDescent="0.25">
      <c r="A5117" s="7" t="s">
        <v>10435</v>
      </c>
    </row>
    <row r="5118" spans="1:1" x14ac:dyDescent="0.25">
      <c r="A5118" s="7" t="s">
        <v>10435</v>
      </c>
    </row>
    <row r="5119" spans="1:1" x14ac:dyDescent="0.25">
      <c r="A5119" s="8" t="s">
        <v>9804</v>
      </c>
    </row>
    <row r="5120" spans="1:1" x14ac:dyDescent="0.25">
      <c r="A5120" s="8" t="s">
        <v>10636</v>
      </c>
    </row>
    <row r="5121" spans="1:1" x14ac:dyDescent="0.25">
      <c r="A5121" s="7" t="s">
        <v>7519</v>
      </c>
    </row>
    <row r="5122" spans="1:1" x14ac:dyDescent="0.25">
      <c r="A5122" s="7" t="s">
        <v>7519</v>
      </c>
    </row>
    <row r="5123" spans="1:1" x14ac:dyDescent="0.25">
      <c r="A5123" s="7" t="s">
        <v>7519</v>
      </c>
    </row>
    <row r="5124" spans="1:1" x14ac:dyDescent="0.25">
      <c r="A5124" s="7" t="s">
        <v>7519</v>
      </c>
    </row>
    <row r="5125" spans="1:1" x14ac:dyDescent="0.25">
      <c r="A5125" s="7" t="s">
        <v>7519</v>
      </c>
    </row>
    <row r="5126" spans="1:1" x14ac:dyDescent="0.25">
      <c r="A5126" s="7" t="s">
        <v>7519</v>
      </c>
    </row>
    <row r="5127" spans="1:1" x14ac:dyDescent="0.25">
      <c r="A5127" s="7" t="s">
        <v>7519</v>
      </c>
    </row>
    <row r="5128" spans="1:1" x14ac:dyDescent="0.25">
      <c r="A5128" s="8" t="s">
        <v>7519</v>
      </c>
    </row>
    <row r="5129" spans="1:1" x14ac:dyDescent="0.25">
      <c r="A5129" s="8" t="s">
        <v>7519</v>
      </c>
    </row>
    <row r="5130" spans="1:1" x14ac:dyDescent="0.25">
      <c r="A5130" s="7" t="s">
        <v>3620</v>
      </c>
    </row>
    <row r="5131" spans="1:1" x14ac:dyDescent="0.25">
      <c r="A5131" s="7" t="s">
        <v>6478</v>
      </c>
    </row>
    <row r="5132" spans="1:1" x14ac:dyDescent="0.25">
      <c r="A5132" s="7" t="s">
        <v>9948</v>
      </c>
    </row>
    <row r="5133" spans="1:1" x14ac:dyDescent="0.25">
      <c r="A5133" s="7" t="s">
        <v>10216</v>
      </c>
    </row>
    <row r="5134" spans="1:1" x14ac:dyDescent="0.25">
      <c r="A5134" s="7" t="s">
        <v>5907</v>
      </c>
    </row>
    <row r="5135" spans="1:1" x14ac:dyDescent="0.25">
      <c r="A5135" s="7" t="s">
        <v>5907</v>
      </c>
    </row>
    <row r="5136" spans="1:1" x14ac:dyDescent="0.25">
      <c r="A5136" s="7" t="s">
        <v>5907</v>
      </c>
    </row>
    <row r="5137" spans="1:1" x14ac:dyDescent="0.25">
      <c r="A5137" s="7" t="s">
        <v>5907</v>
      </c>
    </row>
    <row r="5138" spans="1:1" x14ac:dyDescent="0.25">
      <c r="A5138" s="7" t="s">
        <v>5907</v>
      </c>
    </row>
    <row r="5139" spans="1:1" x14ac:dyDescent="0.25">
      <c r="A5139" s="7" t="s">
        <v>9072</v>
      </c>
    </row>
    <row r="5140" spans="1:1" x14ac:dyDescent="0.25">
      <c r="A5140" s="8" t="s">
        <v>9072</v>
      </c>
    </row>
    <row r="5141" spans="1:1" x14ac:dyDescent="0.25">
      <c r="A5141" s="8" t="s">
        <v>9072</v>
      </c>
    </row>
    <row r="5142" spans="1:1" x14ac:dyDescent="0.25">
      <c r="A5142" s="8" t="s">
        <v>9072</v>
      </c>
    </row>
    <row r="5143" spans="1:1" x14ac:dyDescent="0.25">
      <c r="A5143" s="7" t="s">
        <v>10445</v>
      </c>
    </row>
    <row r="5144" spans="1:1" x14ac:dyDescent="0.25">
      <c r="A5144" s="7" t="s">
        <v>9050</v>
      </c>
    </row>
    <row r="5145" spans="1:1" x14ac:dyDescent="0.25">
      <c r="A5145" s="7" t="s">
        <v>9608</v>
      </c>
    </row>
    <row r="5146" spans="1:1" x14ac:dyDescent="0.25">
      <c r="A5146" s="8" t="s">
        <v>9610</v>
      </c>
    </row>
    <row r="5147" spans="1:1" x14ac:dyDescent="0.25">
      <c r="A5147" s="8" t="s">
        <v>9610</v>
      </c>
    </row>
    <row r="5148" spans="1:1" x14ac:dyDescent="0.25">
      <c r="A5148" s="7" t="s">
        <v>24</v>
      </c>
    </row>
    <row r="5149" spans="1:1" x14ac:dyDescent="0.25">
      <c r="A5149" s="7" t="s">
        <v>24</v>
      </c>
    </row>
    <row r="5150" spans="1:1" x14ac:dyDescent="0.25">
      <c r="A5150" s="8" t="s">
        <v>10656</v>
      </c>
    </row>
    <row r="5151" spans="1:1" x14ac:dyDescent="0.25">
      <c r="A5151" s="8" t="s">
        <v>10251</v>
      </c>
    </row>
    <row r="5152" spans="1:1" x14ac:dyDescent="0.25">
      <c r="A5152" s="8" t="s">
        <v>9234</v>
      </c>
    </row>
    <row r="5153" spans="1:1" x14ac:dyDescent="0.25">
      <c r="A5153" s="8" t="s">
        <v>9234</v>
      </c>
    </row>
    <row r="5154" spans="1:1" x14ac:dyDescent="0.25">
      <c r="A5154" s="8" t="s">
        <v>10687</v>
      </c>
    </row>
    <row r="5155" spans="1:1" x14ac:dyDescent="0.25">
      <c r="A5155" s="7" t="s">
        <v>8317</v>
      </c>
    </row>
    <row r="5156" spans="1:1" x14ac:dyDescent="0.25">
      <c r="A5156" s="8" t="s">
        <v>10510</v>
      </c>
    </row>
    <row r="5157" spans="1:1" x14ac:dyDescent="0.25">
      <c r="A5157" s="7" t="s">
        <v>5518</v>
      </c>
    </row>
    <row r="5158" spans="1:1" x14ac:dyDescent="0.25">
      <c r="A5158" s="8" t="s">
        <v>9523</v>
      </c>
    </row>
    <row r="5159" spans="1:1" x14ac:dyDescent="0.25">
      <c r="A5159" s="8" t="s">
        <v>9239</v>
      </c>
    </row>
    <row r="5160" spans="1:1" x14ac:dyDescent="0.25">
      <c r="A5160" s="7" t="s">
        <v>3285</v>
      </c>
    </row>
    <row r="5161" spans="1:1" x14ac:dyDescent="0.25">
      <c r="A5161" s="7" t="s">
        <v>3285</v>
      </c>
    </row>
    <row r="5162" spans="1:1" x14ac:dyDescent="0.25">
      <c r="A5162" s="7" t="s">
        <v>3285</v>
      </c>
    </row>
    <row r="5163" spans="1:1" x14ac:dyDescent="0.25">
      <c r="A5163" s="7" t="s">
        <v>3285</v>
      </c>
    </row>
    <row r="5164" spans="1:1" x14ac:dyDescent="0.25">
      <c r="A5164" s="8" t="s">
        <v>10481</v>
      </c>
    </row>
    <row r="5165" spans="1:1" x14ac:dyDescent="0.25">
      <c r="A5165" s="8" t="s">
        <v>9977</v>
      </c>
    </row>
    <row r="5166" spans="1:1" x14ac:dyDescent="0.25">
      <c r="A5166" s="8" t="s">
        <v>10657</v>
      </c>
    </row>
    <row r="5167" spans="1:1" x14ac:dyDescent="0.25">
      <c r="A5167" s="8" t="s">
        <v>9243</v>
      </c>
    </row>
    <row r="5168" spans="1:1" x14ac:dyDescent="0.25">
      <c r="A5168" s="8" t="s">
        <v>9856</v>
      </c>
    </row>
    <row r="5169" spans="1:1" x14ac:dyDescent="0.25">
      <c r="A5169" s="8" t="s">
        <v>9856</v>
      </c>
    </row>
    <row r="5170" spans="1:1" x14ac:dyDescent="0.25">
      <c r="A5170" s="8" t="s">
        <v>9062</v>
      </c>
    </row>
    <row r="5171" spans="1:1" x14ac:dyDescent="0.25">
      <c r="A5171" s="7" t="s">
        <v>9235</v>
      </c>
    </row>
    <row r="5172" spans="1:1" x14ac:dyDescent="0.25">
      <c r="A5172" s="8" t="s">
        <v>9235</v>
      </c>
    </row>
    <row r="5173" spans="1:1" x14ac:dyDescent="0.25">
      <c r="A5173" s="7" t="s">
        <v>9038</v>
      </c>
    </row>
    <row r="5174" spans="1:1" x14ac:dyDescent="0.25">
      <c r="A5174" s="7" t="s">
        <v>1479</v>
      </c>
    </row>
    <row r="5175" spans="1:1" x14ac:dyDescent="0.25">
      <c r="A5175" s="7" t="s">
        <v>1479</v>
      </c>
    </row>
    <row r="5176" spans="1:1" x14ac:dyDescent="0.25">
      <c r="A5176" s="7" t="s">
        <v>1479</v>
      </c>
    </row>
    <row r="5177" spans="1:1" x14ac:dyDescent="0.25">
      <c r="A5177" s="7" t="s">
        <v>5189</v>
      </c>
    </row>
    <row r="5178" spans="1:1" x14ac:dyDescent="0.25">
      <c r="A5178" s="7" t="s">
        <v>5189</v>
      </c>
    </row>
    <row r="5179" spans="1:1" x14ac:dyDescent="0.25">
      <c r="A5179" s="7" t="s">
        <v>5189</v>
      </c>
    </row>
    <row r="5180" spans="1:1" x14ac:dyDescent="0.25">
      <c r="A5180" s="8" t="s">
        <v>5189</v>
      </c>
    </row>
    <row r="5181" spans="1:1" x14ac:dyDescent="0.25">
      <c r="A5181" s="7" t="s">
        <v>9122</v>
      </c>
    </row>
    <row r="5182" spans="1:1" x14ac:dyDescent="0.25">
      <c r="A5182" s="8" t="s">
        <v>8932</v>
      </c>
    </row>
    <row r="5183" spans="1:1" x14ac:dyDescent="0.25">
      <c r="A5183" s="7" t="s">
        <v>9222</v>
      </c>
    </row>
    <row r="5184" spans="1:1" x14ac:dyDescent="0.25">
      <c r="A5184" s="7" t="s">
        <v>9222</v>
      </c>
    </row>
    <row r="5185" spans="1:1" x14ac:dyDescent="0.25">
      <c r="A5185" s="7" t="s">
        <v>9305</v>
      </c>
    </row>
    <row r="5186" spans="1:1" x14ac:dyDescent="0.25">
      <c r="A5186" s="8" t="s">
        <v>8950</v>
      </c>
    </row>
    <row r="5187" spans="1:1" x14ac:dyDescent="0.25">
      <c r="A5187" s="8" t="s">
        <v>10264</v>
      </c>
    </row>
    <row r="5188" spans="1:1" x14ac:dyDescent="0.25">
      <c r="A5188" s="8" t="s">
        <v>9322</v>
      </c>
    </row>
    <row r="5189" spans="1:1" x14ac:dyDescent="0.25">
      <c r="A5189" s="7" t="s">
        <v>9583</v>
      </c>
    </row>
    <row r="5190" spans="1:1" x14ac:dyDescent="0.25">
      <c r="A5190" s="8" t="s">
        <v>9570</v>
      </c>
    </row>
    <row r="5191" spans="1:1" x14ac:dyDescent="0.25">
      <c r="A5191" s="7" t="s">
        <v>4604</v>
      </c>
    </row>
    <row r="5192" spans="1:1" x14ac:dyDescent="0.25">
      <c r="A5192" s="7" t="s">
        <v>4604</v>
      </c>
    </row>
    <row r="5193" spans="1:1" x14ac:dyDescent="0.25">
      <c r="A5193" s="7" t="s">
        <v>4604</v>
      </c>
    </row>
    <row r="5194" spans="1:1" x14ac:dyDescent="0.25">
      <c r="A5194" s="8" t="s">
        <v>8922</v>
      </c>
    </row>
    <row r="5195" spans="1:1" x14ac:dyDescent="0.25">
      <c r="A5195" s="8" t="s">
        <v>8922</v>
      </c>
    </row>
    <row r="5196" spans="1:1" x14ac:dyDescent="0.25">
      <c r="A5196" s="7" t="s">
        <v>9679</v>
      </c>
    </row>
    <row r="5197" spans="1:1" x14ac:dyDescent="0.25">
      <c r="A5197" s="8" t="s">
        <v>9679</v>
      </c>
    </row>
    <row r="5198" spans="1:1" x14ac:dyDescent="0.25">
      <c r="A5198" s="8" t="s">
        <v>9679</v>
      </c>
    </row>
    <row r="5199" spans="1:1" x14ac:dyDescent="0.25">
      <c r="A5199" s="7" t="s">
        <v>10564</v>
      </c>
    </row>
    <row r="5200" spans="1:1" x14ac:dyDescent="0.25">
      <c r="A5200" s="7" t="s">
        <v>301</v>
      </c>
    </row>
    <row r="5201" spans="1:1" x14ac:dyDescent="0.25">
      <c r="A5201" s="8" t="s">
        <v>10504</v>
      </c>
    </row>
    <row r="5202" spans="1:1" x14ac:dyDescent="0.25">
      <c r="A5202" s="8" t="s">
        <v>10504</v>
      </c>
    </row>
    <row r="5203" spans="1:1" x14ac:dyDescent="0.25">
      <c r="A5203" s="7" t="s">
        <v>10288</v>
      </c>
    </row>
    <row r="5204" spans="1:1" x14ac:dyDescent="0.25">
      <c r="A5204" s="8" t="s">
        <v>10517</v>
      </c>
    </row>
    <row r="5205" spans="1:1" x14ac:dyDescent="0.25">
      <c r="A5205" s="7" t="s">
        <v>6422</v>
      </c>
    </row>
    <row r="5206" spans="1:1" x14ac:dyDescent="0.25">
      <c r="A5206" s="7" t="s">
        <v>6422</v>
      </c>
    </row>
    <row r="5207" spans="1:1" x14ac:dyDescent="0.25">
      <c r="A5207" s="7" t="s">
        <v>9713</v>
      </c>
    </row>
    <row r="5208" spans="1:1" x14ac:dyDescent="0.25">
      <c r="A5208" s="7" t="s">
        <v>9758</v>
      </c>
    </row>
    <row r="5209" spans="1:1" x14ac:dyDescent="0.25">
      <c r="A5209" s="8" t="s">
        <v>10094</v>
      </c>
    </row>
    <row r="5210" spans="1:1" x14ac:dyDescent="0.25">
      <c r="A5210" s="8" t="s">
        <v>9383</v>
      </c>
    </row>
    <row r="5211" spans="1:1" x14ac:dyDescent="0.25">
      <c r="A5211" s="8" t="s">
        <v>10235</v>
      </c>
    </row>
    <row r="5212" spans="1:1" x14ac:dyDescent="0.25">
      <c r="A5212" s="7" t="s">
        <v>4499</v>
      </c>
    </row>
    <row r="5213" spans="1:1" x14ac:dyDescent="0.25">
      <c r="A5213" s="7" t="s">
        <v>4499</v>
      </c>
    </row>
    <row r="5214" spans="1:1" x14ac:dyDescent="0.25">
      <c r="A5214" s="7" t="s">
        <v>4499</v>
      </c>
    </row>
    <row r="5215" spans="1:1" x14ac:dyDescent="0.25">
      <c r="A5215" s="7" t="s">
        <v>4499</v>
      </c>
    </row>
    <row r="5216" spans="1:1" x14ac:dyDescent="0.25">
      <c r="A5216" s="7" t="s">
        <v>4499</v>
      </c>
    </row>
    <row r="5217" spans="1:1" x14ac:dyDescent="0.25">
      <c r="A5217" s="7" t="s">
        <v>4499</v>
      </c>
    </row>
    <row r="5218" spans="1:1" x14ac:dyDescent="0.25">
      <c r="A5218" s="8" t="s">
        <v>4499</v>
      </c>
    </row>
    <row r="5219" spans="1:1" x14ac:dyDescent="0.25">
      <c r="A5219" s="8" t="s">
        <v>9858</v>
      </c>
    </row>
    <row r="5220" spans="1:1" x14ac:dyDescent="0.25">
      <c r="A5220" s="7" t="s">
        <v>9197</v>
      </c>
    </row>
    <row r="5221" spans="1:1" x14ac:dyDescent="0.25">
      <c r="A5221" s="8" t="s">
        <v>9939</v>
      </c>
    </row>
    <row r="5222" spans="1:1" x14ac:dyDescent="0.25">
      <c r="A5222" s="8" t="s">
        <v>9939</v>
      </c>
    </row>
    <row r="5223" spans="1:1" x14ac:dyDescent="0.25">
      <c r="A5223" s="8" t="s">
        <v>10646</v>
      </c>
    </row>
    <row r="5224" spans="1:1" x14ac:dyDescent="0.25">
      <c r="A5224" s="7" t="s">
        <v>9137</v>
      </c>
    </row>
    <row r="5225" spans="1:1" x14ac:dyDescent="0.25">
      <c r="A5225" s="8" t="s">
        <v>9137</v>
      </c>
    </row>
    <row r="5226" spans="1:1" x14ac:dyDescent="0.25">
      <c r="A5226" s="8" t="s">
        <v>9137</v>
      </c>
    </row>
    <row r="5227" spans="1:1" x14ac:dyDescent="0.25">
      <c r="A5227" s="7" t="s">
        <v>9618</v>
      </c>
    </row>
    <row r="5228" spans="1:1" x14ac:dyDescent="0.25">
      <c r="A5228" s="7" t="s">
        <v>9618</v>
      </c>
    </row>
    <row r="5229" spans="1:1" x14ac:dyDescent="0.25">
      <c r="A5229" s="8" t="s">
        <v>9618</v>
      </c>
    </row>
    <row r="5230" spans="1:1" x14ac:dyDescent="0.25">
      <c r="A5230" s="7" t="s">
        <v>3622</v>
      </c>
    </row>
    <row r="5231" spans="1:1" x14ac:dyDescent="0.25">
      <c r="A5231" s="7" t="s">
        <v>3622</v>
      </c>
    </row>
    <row r="5232" spans="1:1" x14ac:dyDescent="0.25">
      <c r="A5232" s="7" t="s">
        <v>5233</v>
      </c>
    </row>
    <row r="5233" spans="1:1" x14ac:dyDescent="0.25">
      <c r="A5233" s="7" t="s">
        <v>5233</v>
      </c>
    </row>
    <row r="5234" spans="1:1" x14ac:dyDescent="0.25">
      <c r="A5234" s="8" t="s">
        <v>5233</v>
      </c>
    </row>
    <row r="5235" spans="1:1" x14ac:dyDescent="0.25">
      <c r="A5235" s="8" t="s">
        <v>9819</v>
      </c>
    </row>
    <row r="5236" spans="1:1" x14ac:dyDescent="0.25">
      <c r="A5236" s="7" t="s">
        <v>1993</v>
      </c>
    </row>
    <row r="5237" spans="1:1" x14ac:dyDescent="0.25">
      <c r="A5237" s="7" t="s">
        <v>1993</v>
      </c>
    </row>
    <row r="5238" spans="1:1" x14ac:dyDescent="0.25">
      <c r="A5238" s="7" t="s">
        <v>1993</v>
      </c>
    </row>
    <row r="5239" spans="1:1" x14ac:dyDescent="0.25">
      <c r="A5239" s="7" t="s">
        <v>1993</v>
      </c>
    </row>
    <row r="5240" spans="1:1" x14ac:dyDescent="0.25">
      <c r="A5240" s="7" t="s">
        <v>1993</v>
      </c>
    </row>
    <row r="5241" spans="1:1" x14ac:dyDescent="0.25">
      <c r="A5241" s="7" t="s">
        <v>9088</v>
      </c>
    </row>
    <row r="5242" spans="1:1" x14ac:dyDescent="0.25">
      <c r="A5242" s="8" t="s">
        <v>9637</v>
      </c>
    </row>
    <row r="5243" spans="1:1" x14ac:dyDescent="0.25">
      <c r="A5243" s="7" t="s">
        <v>10624</v>
      </c>
    </row>
    <row r="5244" spans="1:1" x14ac:dyDescent="0.25">
      <c r="A5244" s="8" t="s">
        <v>10226</v>
      </c>
    </row>
    <row r="5245" spans="1:1" x14ac:dyDescent="0.25">
      <c r="A5245" s="8" t="s">
        <v>10452</v>
      </c>
    </row>
    <row r="5246" spans="1:1" x14ac:dyDescent="0.25">
      <c r="A5246" s="7" t="s">
        <v>157</v>
      </c>
    </row>
    <row r="5247" spans="1:1" x14ac:dyDescent="0.25">
      <c r="A5247" s="7" t="s">
        <v>157</v>
      </c>
    </row>
    <row r="5248" spans="1:1" x14ac:dyDescent="0.25">
      <c r="A5248" s="7" t="s">
        <v>157</v>
      </c>
    </row>
    <row r="5249" spans="1:1" x14ac:dyDescent="0.25">
      <c r="A5249" s="7" t="s">
        <v>157</v>
      </c>
    </row>
    <row r="5250" spans="1:1" x14ac:dyDescent="0.25">
      <c r="A5250" s="7" t="s">
        <v>157</v>
      </c>
    </row>
    <row r="5251" spans="1:1" x14ac:dyDescent="0.25">
      <c r="A5251" s="7" t="s">
        <v>157</v>
      </c>
    </row>
    <row r="5252" spans="1:1" x14ac:dyDescent="0.25">
      <c r="A5252" s="7" t="s">
        <v>157</v>
      </c>
    </row>
    <row r="5253" spans="1:1" x14ac:dyDescent="0.25">
      <c r="A5253" s="7" t="s">
        <v>157</v>
      </c>
    </row>
    <row r="5254" spans="1:1" x14ac:dyDescent="0.25">
      <c r="A5254" s="8" t="s">
        <v>157</v>
      </c>
    </row>
    <row r="5255" spans="1:1" x14ac:dyDescent="0.25">
      <c r="A5255" s="7" t="s">
        <v>6711</v>
      </c>
    </row>
    <row r="5256" spans="1:1" x14ac:dyDescent="0.25">
      <c r="A5256" s="7" t="s">
        <v>4579</v>
      </c>
    </row>
    <row r="5257" spans="1:1" x14ac:dyDescent="0.25">
      <c r="A5257" s="7" t="s">
        <v>9382</v>
      </c>
    </row>
    <row r="5258" spans="1:1" x14ac:dyDescent="0.25">
      <c r="A5258" s="8" t="s">
        <v>9089</v>
      </c>
    </row>
    <row r="5259" spans="1:1" x14ac:dyDescent="0.25">
      <c r="A5259" s="7" t="s">
        <v>6442</v>
      </c>
    </row>
    <row r="5260" spans="1:1" x14ac:dyDescent="0.25">
      <c r="A5260" s="7" t="s">
        <v>9518</v>
      </c>
    </row>
    <row r="5261" spans="1:1" x14ac:dyDescent="0.25">
      <c r="A5261" s="7" t="s">
        <v>3346</v>
      </c>
    </row>
    <row r="5262" spans="1:1" x14ac:dyDescent="0.25">
      <c r="A5262" s="7" t="s">
        <v>3346</v>
      </c>
    </row>
    <row r="5263" spans="1:1" x14ac:dyDescent="0.25">
      <c r="A5263" s="7" t="s">
        <v>3346</v>
      </c>
    </row>
    <row r="5264" spans="1:1" x14ac:dyDescent="0.25">
      <c r="A5264" s="7" t="s">
        <v>3346</v>
      </c>
    </row>
    <row r="5265" spans="1:1" x14ac:dyDescent="0.25">
      <c r="A5265" s="8" t="s">
        <v>3346</v>
      </c>
    </row>
    <row r="5266" spans="1:1" x14ac:dyDescent="0.25">
      <c r="A5266" s="7" t="s">
        <v>8918</v>
      </c>
    </row>
    <row r="5267" spans="1:1" x14ac:dyDescent="0.25">
      <c r="A5267" s="8" t="s">
        <v>8918</v>
      </c>
    </row>
    <row r="5268" spans="1:1" x14ac:dyDescent="0.25">
      <c r="A5268" s="8" t="s">
        <v>8918</v>
      </c>
    </row>
    <row r="5269" spans="1:1" x14ac:dyDescent="0.25">
      <c r="A5269" s="8" t="s">
        <v>8918</v>
      </c>
    </row>
    <row r="5270" spans="1:1" x14ac:dyDescent="0.25">
      <c r="A5270" s="8" t="s">
        <v>8918</v>
      </c>
    </row>
    <row r="5271" spans="1:1" x14ac:dyDescent="0.25">
      <c r="A5271" s="8" t="s">
        <v>9255</v>
      </c>
    </row>
    <row r="5272" spans="1:1" x14ac:dyDescent="0.25">
      <c r="A5272" s="7" t="s">
        <v>9832</v>
      </c>
    </row>
    <row r="5273" spans="1:1" x14ac:dyDescent="0.25">
      <c r="A5273" s="7" t="s">
        <v>2582</v>
      </c>
    </row>
    <row r="5274" spans="1:1" x14ac:dyDescent="0.25">
      <c r="A5274" s="8" t="s">
        <v>10565</v>
      </c>
    </row>
    <row r="5275" spans="1:1" x14ac:dyDescent="0.25">
      <c r="A5275" s="8" t="s">
        <v>10058</v>
      </c>
    </row>
    <row r="5276" spans="1:1" x14ac:dyDescent="0.25">
      <c r="A5276" s="8" t="s">
        <v>9127</v>
      </c>
    </row>
    <row r="5277" spans="1:1" x14ac:dyDescent="0.25">
      <c r="A5277" s="8" t="s">
        <v>9319</v>
      </c>
    </row>
    <row r="5278" spans="1:1" x14ac:dyDescent="0.25">
      <c r="A5278" s="8" t="s">
        <v>9319</v>
      </c>
    </row>
    <row r="5279" spans="1:1" x14ac:dyDescent="0.25">
      <c r="A5279" s="8" t="s">
        <v>9319</v>
      </c>
    </row>
    <row r="5280" spans="1:1" x14ac:dyDescent="0.25">
      <c r="A5280" s="8" t="s">
        <v>9319</v>
      </c>
    </row>
    <row r="5281" spans="1:1" x14ac:dyDescent="0.25">
      <c r="A5281" s="8" t="s">
        <v>9319</v>
      </c>
    </row>
    <row r="5282" spans="1:1" x14ac:dyDescent="0.25">
      <c r="A5282" s="8" t="s">
        <v>9319</v>
      </c>
    </row>
    <row r="5283" spans="1:1" x14ac:dyDescent="0.25">
      <c r="A5283" s="7" t="s">
        <v>9125</v>
      </c>
    </row>
    <row r="5284" spans="1:1" x14ac:dyDescent="0.25">
      <c r="A5284" s="8" t="s">
        <v>9125</v>
      </c>
    </row>
    <row r="5285" spans="1:1" x14ac:dyDescent="0.25">
      <c r="A5285" s="7" t="s">
        <v>73</v>
      </c>
    </row>
    <row r="5286" spans="1:1" x14ac:dyDescent="0.25">
      <c r="A5286" s="7" t="s">
        <v>73</v>
      </c>
    </row>
    <row r="5287" spans="1:1" x14ac:dyDescent="0.25">
      <c r="A5287" s="7" t="s">
        <v>73</v>
      </c>
    </row>
    <row r="5288" spans="1:1" x14ac:dyDescent="0.25">
      <c r="A5288" s="7" t="s">
        <v>73</v>
      </c>
    </row>
    <row r="5289" spans="1:1" x14ac:dyDescent="0.25">
      <c r="A5289" s="7" t="s">
        <v>73</v>
      </c>
    </row>
    <row r="5290" spans="1:1" x14ac:dyDescent="0.25">
      <c r="A5290" s="7" t="s">
        <v>73</v>
      </c>
    </row>
    <row r="5291" spans="1:1" x14ac:dyDescent="0.25">
      <c r="A5291" s="7" t="s">
        <v>73</v>
      </c>
    </row>
    <row r="5292" spans="1:1" x14ac:dyDescent="0.25">
      <c r="A5292" s="7" t="s">
        <v>73</v>
      </c>
    </row>
    <row r="5293" spans="1:1" x14ac:dyDescent="0.25">
      <c r="A5293" s="7" t="s">
        <v>73</v>
      </c>
    </row>
    <row r="5294" spans="1:1" x14ac:dyDescent="0.25">
      <c r="A5294" s="7" t="s">
        <v>73</v>
      </c>
    </row>
    <row r="5295" spans="1:1" x14ac:dyDescent="0.25">
      <c r="A5295" s="7" t="s">
        <v>73</v>
      </c>
    </row>
    <row r="5296" spans="1:1" x14ac:dyDescent="0.25">
      <c r="A5296" s="7" t="s">
        <v>73</v>
      </c>
    </row>
    <row r="5297" spans="1:1" x14ac:dyDescent="0.25">
      <c r="A5297" s="7" t="s">
        <v>73</v>
      </c>
    </row>
    <row r="5298" spans="1:1" x14ac:dyDescent="0.25">
      <c r="A5298" s="7" t="s">
        <v>73</v>
      </c>
    </row>
    <row r="5299" spans="1:1" x14ac:dyDescent="0.25">
      <c r="A5299" s="7" t="s">
        <v>73</v>
      </c>
    </row>
    <row r="5300" spans="1:1" x14ac:dyDescent="0.25">
      <c r="A5300" s="7" t="s">
        <v>73</v>
      </c>
    </row>
    <row r="5301" spans="1:1" x14ac:dyDescent="0.25">
      <c r="A5301" s="7" t="s">
        <v>73</v>
      </c>
    </row>
    <row r="5302" spans="1:1" x14ac:dyDescent="0.25">
      <c r="A5302" s="7" t="s">
        <v>73</v>
      </c>
    </row>
    <row r="5303" spans="1:1" x14ac:dyDescent="0.25">
      <c r="A5303" s="7" t="s">
        <v>73</v>
      </c>
    </row>
    <row r="5304" spans="1:1" x14ac:dyDescent="0.25">
      <c r="A5304" s="7" t="s">
        <v>73</v>
      </c>
    </row>
    <row r="5305" spans="1:1" x14ac:dyDescent="0.25">
      <c r="A5305" s="7" t="s">
        <v>73</v>
      </c>
    </row>
    <row r="5306" spans="1:1" x14ac:dyDescent="0.25">
      <c r="A5306" s="7" t="s">
        <v>73</v>
      </c>
    </row>
    <row r="5307" spans="1:1" x14ac:dyDescent="0.25">
      <c r="A5307" s="7" t="s">
        <v>73</v>
      </c>
    </row>
    <row r="5308" spans="1:1" x14ac:dyDescent="0.25">
      <c r="A5308" s="7" t="s">
        <v>73</v>
      </c>
    </row>
    <row r="5309" spans="1:1" x14ac:dyDescent="0.25">
      <c r="A5309" s="7" t="s">
        <v>73</v>
      </c>
    </row>
    <row r="5310" spans="1:1" x14ac:dyDescent="0.25">
      <c r="A5310" s="8" t="s">
        <v>73</v>
      </c>
    </row>
    <row r="5311" spans="1:1" x14ac:dyDescent="0.25">
      <c r="A5311" s="8" t="s">
        <v>10124</v>
      </c>
    </row>
    <row r="5312" spans="1:1" x14ac:dyDescent="0.25">
      <c r="A5312" s="8" t="s">
        <v>10349</v>
      </c>
    </row>
    <row r="5313" spans="1:1" x14ac:dyDescent="0.25">
      <c r="A5313" s="7" t="s">
        <v>8231</v>
      </c>
    </row>
    <row r="5314" spans="1:1" x14ac:dyDescent="0.25">
      <c r="A5314" s="7" t="s">
        <v>8231</v>
      </c>
    </row>
    <row r="5315" spans="1:1" x14ac:dyDescent="0.25">
      <c r="A5315" s="8" t="s">
        <v>8231</v>
      </c>
    </row>
    <row r="5316" spans="1:1" x14ac:dyDescent="0.25">
      <c r="A5316" s="7" t="s">
        <v>9670</v>
      </c>
    </row>
    <row r="5317" spans="1:1" x14ac:dyDescent="0.25">
      <c r="A5317" s="7" t="s">
        <v>10396</v>
      </c>
    </row>
    <row r="5318" spans="1:1" x14ac:dyDescent="0.25">
      <c r="A5318" s="7" t="s">
        <v>10396</v>
      </c>
    </row>
    <row r="5319" spans="1:1" x14ac:dyDescent="0.25">
      <c r="A5319" s="7" t="s">
        <v>10396</v>
      </c>
    </row>
    <row r="5320" spans="1:1" x14ac:dyDescent="0.25">
      <c r="A5320" s="8" t="s">
        <v>9795</v>
      </c>
    </row>
    <row r="5321" spans="1:1" x14ac:dyDescent="0.25">
      <c r="A5321" s="8" t="s">
        <v>8909</v>
      </c>
    </row>
    <row r="5322" spans="1:1" x14ac:dyDescent="0.25">
      <c r="A5322" s="8" t="s">
        <v>8909</v>
      </c>
    </row>
    <row r="5323" spans="1:1" x14ac:dyDescent="0.25">
      <c r="A5323" s="7" t="s">
        <v>8233</v>
      </c>
    </row>
    <row r="5324" spans="1:1" x14ac:dyDescent="0.25">
      <c r="A5324" s="7" t="s">
        <v>9811</v>
      </c>
    </row>
    <row r="5325" spans="1:1" x14ac:dyDescent="0.25">
      <c r="A5325" s="7" t="s">
        <v>9372</v>
      </c>
    </row>
    <row r="5326" spans="1:1" x14ac:dyDescent="0.25">
      <c r="A5326" s="7" t="s">
        <v>3390</v>
      </c>
    </row>
    <row r="5327" spans="1:1" x14ac:dyDescent="0.25">
      <c r="A5327" s="7" t="s">
        <v>3390</v>
      </c>
    </row>
    <row r="5328" spans="1:1" x14ac:dyDescent="0.25">
      <c r="A5328" s="7" t="s">
        <v>3390</v>
      </c>
    </row>
    <row r="5329" spans="1:1" x14ac:dyDescent="0.25">
      <c r="A5329" s="7" t="s">
        <v>5788</v>
      </c>
    </row>
    <row r="5330" spans="1:1" x14ac:dyDescent="0.25">
      <c r="A5330" s="8" t="s">
        <v>9701</v>
      </c>
    </row>
    <row r="5331" spans="1:1" x14ac:dyDescent="0.25">
      <c r="A5331" s="8" t="s">
        <v>9861</v>
      </c>
    </row>
    <row r="5332" spans="1:1" x14ac:dyDescent="0.25">
      <c r="A5332" s="8" t="s">
        <v>9861</v>
      </c>
    </row>
    <row r="5333" spans="1:1" x14ac:dyDescent="0.25">
      <c r="A5333" s="7" t="s">
        <v>411</v>
      </c>
    </row>
    <row r="5334" spans="1:1" x14ac:dyDescent="0.25">
      <c r="A5334" s="8" t="s">
        <v>411</v>
      </c>
    </row>
    <row r="5335" spans="1:1" x14ac:dyDescent="0.25">
      <c r="A5335" s="8" t="s">
        <v>9497</v>
      </c>
    </row>
    <row r="5336" spans="1:1" x14ac:dyDescent="0.25">
      <c r="A5336" s="8" t="s">
        <v>9497</v>
      </c>
    </row>
    <row r="5337" spans="1:1" x14ac:dyDescent="0.25">
      <c r="A5337" s="8" t="s">
        <v>10645</v>
      </c>
    </row>
    <row r="5338" spans="1:1" x14ac:dyDescent="0.25">
      <c r="A5338" s="7" t="s">
        <v>7491</v>
      </c>
    </row>
    <row r="5339" spans="1:1" x14ac:dyDescent="0.25">
      <c r="A5339" s="8" t="s">
        <v>7491</v>
      </c>
    </row>
    <row r="5340" spans="1:1" x14ac:dyDescent="0.25">
      <c r="A5340" s="8" t="s">
        <v>7491</v>
      </c>
    </row>
    <row r="5341" spans="1:1" x14ac:dyDescent="0.25">
      <c r="A5341" s="8" t="s">
        <v>7491</v>
      </c>
    </row>
    <row r="5342" spans="1:1" x14ac:dyDescent="0.25">
      <c r="A5342" s="8" t="s">
        <v>7491</v>
      </c>
    </row>
    <row r="5343" spans="1:1" x14ac:dyDescent="0.25">
      <c r="A5343" s="8" t="s">
        <v>10145</v>
      </c>
    </row>
    <row r="5344" spans="1:1" x14ac:dyDescent="0.25">
      <c r="A5344" s="8" t="s">
        <v>10145</v>
      </c>
    </row>
    <row r="5345" spans="1:1" x14ac:dyDescent="0.25">
      <c r="A5345" s="7" t="s">
        <v>9839</v>
      </c>
    </row>
    <row r="5346" spans="1:1" x14ac:dyDescent="0.25">
      <c r="A5346" s="7" t="s">
        <v>141</v>
      </c>
    </row>
    <row r="5347" spans="1:1" x14ac:dyDescent="0.25">
      <c r="A5347" s="7" t="s">
        <v>141</v>
      </c>
    </row>
    <row r="5348" spans="1:1" x14ac:dyDescent="0.25">
      <c r="A5348" s="7" t="s">
        <v>141</v>
      </c>
    </row>
    <row r="5349" spans="1:1" x14ac:dyDescent="0.25">
      <c r="A5349" s="7" t="s">
        <v>141</v>
      </c>
    </row>
    <row r="5350" spans="1:1" x14ac:dyDescent="0.25">
      <c r="A5350" s="7" t="s">
        <v>141</v>
      </c>
    </row>
    <row r="5351" spans="1:1" x14ac:dyDescent="0.25">
      <c r="A5351" s="7" t="s">
        <v>141</v>
      </c>
    </row>
    <row r="5352" spans="1:1" x14ac:dyDescent="0.25">
      <c r="A5352" s="7" t="s">
        <v>141</v>
      </c>
    </row>
    <row r="5353" spans="1:1" x14ac:dyDescent="0.25">
      <c r="A5353" s="7" t="s">
        <v>141</v>
      </c>
    </row>
    <row r="5354" spans="1:1" x14ac:dyDescent="0.25">
      <c r="A5354" s="7" t="s">
        <v>141</v>
      </c>
    </row>
    <row r="5355" spans="1:1" x14ac:dyDescent="0.25">
      <c r="A5355" s="7" t="s">
        <v>141</v>
      </c>
    </row>
    <row r="5356" spans="1:1" x14ac:dyDescent="0.25">
      <c r="A5356" s="7" t="s">
        <v>141</v>
      </c>
    </row>
    <row r="5357" spans="1:1" x14ac:dyDescent="0.25">
      <c r="A5357" s="7" t="s">
        <v>141</v>
      </c>
    </row>
    <row r="5358" spans="1:1" x14ac:dyDescent="0.25">
      <c r="A5358" s="7" t="s">
        <v>141</v>
      </c>
    </row>
    <row r="5359" spans="1:1" x14ac:dyDescent="0.25">
      <c r="A5359" s="7" t="s">
        <v>141</v>
      </c>
    </row>
    <row r="5360" spans="1:1" x14ac:dyDescent="0.25">
      <c r="A5360" s="7" t="s">
        <v>141</v>
      </c>
    </row>
    <row r="5361" spans="1:1" x14ac:dyDescent="0.25">
      <c r="A5361" s="7" t="s">
        <v>141</v>
      </c>
    </row>
    <row r="5362" spans="1:1" x14ac:dyDescent="0.25">
      <c r="A5362" s="8" t="s">
        <v>141</v>
      </c>
    </row>
    <row r="5363" spans="1:1" x14ac:dyDescent="0.25">
      <c r="A5363" s="8" t="s">
        <v>10303</v>
      </c>
    </row>
    <row r="5364" spans="1:1" x14ac:dyDescent="0.25">
      <c r="A5364" s="8" t="s">
        <v>10303</v>
      </c>
    </row>
    <row r="5365" spans="1:1" x14ac:dyDescent="0.25">
      <c r="A5365" s="7" t="s">
        <v>5390</v>
      </c>
    </row>
    <row r="5366" spans="1:1" x14ac:dyDescent="0.25">
      <c r="A5366" s="8" t="s">
        <v>5390</v>
      </c>
    </row>
    <row r="5367" spans="1:1" x14ac:dyDescent="0.25">
      <c r="A5367" s="8" t="s">
        <v>9700</v>
      </c>
    </row>
    <row r="5368" spans="1:1" x14ac:dyDescent="0.25">
      <c r="A5368" s="8" t="s">
        <v>9067</v>
      </c>
    </row>
    <row r="5369" spans="1:1" x14ac:dyDescent="0.25">
      <c r="A5369" s="8" t="s">
        <v>9258</v>
      </c>
    </row>
    <row r="5370" spans="1:1" x14ac:dyDescent="0.25">
      <c r="A5370" s="7" t="s">
        <v>8643</v>
      </c>
    </row>
    <row r="5371" spans="1:1" x14ac:dyDescent="0.25">
      <c r="A5371" s="7" t="s">
        <v>8643</v>
      </c>
    </row>
    <row r="5372" spans="1:1" x14ac:dyDescent="0.25">
      <c r="A5372" s="8" t="s">
        <v>8643</v>
      </c>
    </row>
    <row r="5373" spans="1:1" x14ac:dyDescent="0.25">
      <c r="A5373" s="8" t="s">
        <v>8643</v>
      </c>
    </row>
    <row r="5374" spans="1:1" x14ac:dyDescent="0.25">
      <c r="A5374" s="8" t="s">
        <v>8643</v>
      </c>
    </row>
    <row r="5375" spans="1:1" x14ac:dyDescent="0.25">
      <c r="A5375" s="8" t="s">
        <v>8643</v>
      </c>
    </row>
    <row r="5376" spans="1:1" x14ac:dyDescent="0.25">
      <c r="A5376" s="7" t="s">
        <v>7085</v>
      </c>
    </row>
    <row r="5377" spans="1:1" x14ac:dyDescent="0.25">
      <c r="A5377" s="7" t="s">
        <v>7085</v>
      </c>
    </row>
    <row r="5378" spans="1:1" x14ac:dyDescent="0.25">
      <c r="A5378" s="8" t="s">
        <v>7085</v>
      </c>
    </row>
    <row r="5379" spans="1:1" x14ac:dyDescent="0.25">
      <c r="A5379" s="8" t="s">
        <v>7085</v>
      </c>
    </row>
    <row r="5380" spans="1:1" x14ac:dyDescent="0.25">
      <c r="A5380" s="8" t="s">
        <v>7085</v>
      </c>
    </row>
    <row r="5381" spans="1:1" x14ac:dyDescent="0.25">
      <c r="A5381" s="8" t="s">
        <v>8897</v>
      </c>
    </row>
    <row r="5382" spans="1:1" x14ac:dyDescent="0.25">
      <c r="A5382" s="8" t="s">
        <v>8897</v>
      </c>
    </row>
    <row r="5383" spans="1:1" x14ac:dyDescent="0.25">
      <c r="A5383" s="7" t="s">
        <v>6502</v>
      </c>
    </row>
    <row r="5384" spans="1:1" x14ac:dyDescent="0.25">
      <c r="A5384" s="7" t="s">
        <v>6502</v>
      </c>
    </row>
    <row r="5385" spans="1:1" x14ac:dyDescent="0.25">
      <c r="A5385" s="7" t="s">
        <v>6502</v>
      </c>
    </row>
    <row r="5386" spans="1:1" x14ac:dyDescent="0.25">
      <c r="A5386" s="7" t="s">
        <v>6502</v>
      </c>
    </row>
    <row r="5387" spans="1:1" x14ac:dyDescent="0.25">
      <c r="A5387" s="7" t="s">
        <v>6502</v>
      </c>
    </row>
    <row r="5388" spans="1:1" x14ac:dyDescent="0.25">
      <c r="A5388" s="7" t="s">
        <v>5331</v>
      </c>
    </row>
    <row r="5389" spans="1:1" x14ac:dyDescent="0.25">
      <c r="A5389" s="8" t="s">
        <v>9264</v>
      </c>
    </row>
    <row r="5390" spans="1:1" x14ac:dyDescent="0.25">
      <c r="A5390" s="8" t="s">
        <v>10296</v>
      </c>
    </row>
    <row r="5391" spans="1:1" x14ac:dyDescent="0.25">
      <c r="A5391" s="8" t="s">
        <v>10019</v>
      </c>
    </row>
    <row r="5392" spans="1:1" x14ac:dyDescent="0.25">
      <c r="A5392" s="7" t="s">
        <v>9386</v>
      </c>
    </row>
    <row r="5393" spans="1:1" x14ac:dyDescent="0.25">
      <c r="A5393" s="8" t="s">
        <v>9717</v>
      </c>
    </row>
    <row r="5394" spans="1:1" x14ac:dyDescent="0.25">
      <c r="A5394" s="7" t="s">
        <v>6931</v>
      </c>
    </row>
    <row r="5395" spans="1:1" x14ac:dyDescent="0.25">
      <c r="A5395" s="7" t="s">
        <v>2471</v>
      </c>
    </row>
    <row r="5396" spans="1:1" x14ac:dyDescent="0.25">
      <c r="A5396" s="7" t="s">
        <v>2471</v>
      </c>
    </row>
    <row r="5397" spans="1:1" x14ac:dyDescent="0.25">
      <c r="A5397" s="7" t="s">
        <v>2471</v>
      </c>
    </row>
    <row r="5398" spans="1:1" x14ac:dyDescent="0.25">
      <c r="A5398" s="7" t="s">
        <v>2471</v>
      </c>
    </row>
    <row r="5399" spans="1:1" x14ac:dyDescent="0.25">
      <c r="A5399" s="7" t="s">
        <v>2471</v>
      </c>
    </row>
    <row r="5400" spans="1:1" x14ac:dyDescent="0.25">
      <c r="A5400" s="7" t="s">
        <v>2471</v>
      </c>
    </row>
    <row r="5401" spans="1:1" x14ac:dyDescent="0.25">
      <c r="A5401" s="7" t="s">
        <v>2471</v>
      </c>
    </row>
    <row r="5402" spans="1:1" x14ac:dyDescent="0.25">
      <c r="A5402" s="7" t="s">
        <v>9915</v>
      </c>
    </row>
    <row r="5403" spans="1:1" x14ac:dyDescent="0.25">
      <c r="A5403" s="7" t="s">
        <v>9603</v>
      </c>
    </row>
    <row r="5404" spans="1:1" x14ac:dyDescent="0.25">
      <c r="A5404" s="8" t="s">
        <v>9335</v>
      </c>
    </row>
    <row r="5405" spans="1:1" x14ac:dyDescent="0.25">
      <c r="A5405" s="7" t="s">
        <v>2232</v>
      </c>
    </row>
    <row r="5406" spans="1:1" x14ac:dyDescent="0.25">
      <c r="A5406" s="7" t="s">
        <v>2232</v>
      </c>
    </row>
    <row r="5407" spans="1:1" x14ac:dyDescent="0.25">
      <c r="A5407" s="8" t="s">
        <v>10044</v>
      </c>
    </row>
    <row r="5408" spans="1:1" x14ac:dyDescent="0.25">
      <c r="A5408" s="8" t="s">
        <v>9880</v>
      </c>
    </row>
    <row r="5409" spans="1:1" x14ac:dyDescent="0.25">
      <c r="A5409" s="7" t="s">
        <v>3393</v>
      </c>
    </row>
    <row r="5410" spans="1:1" x14ac:dyDescent="0.25">
      <c r="A5410" s="8" t="s">
        <v>10278</v>
      </c>
    </row>
    <row r="5411" spans="1:1" x14ac:dyDescent="0.25">
      <c r="A5411" s="7" t="s">
        <v>2872</v>
      </c>
    </row>
    <row r="5412" spans="1:1" x14ac:dyDescent="0.25">
      <c r="A5412" s="7" t="s">
        <v>2872</v>
      </c>
    </row>
    <row r="5413" spans="1:1" x14ac:dyDescent="0.25">
      <c r="A5413" s="7" t="s">
        <v>2872</v>
      </c>
    </row>
    <row r="5414" spans="1:1" x14ac:dyDescent="0.25">
      <c r="A5414" s="7" t="s">
        <v>2872</v>
      </c>
    </row>
    <row r="5415" spans="1:1" x14ac:dyDescent="0.25">
      <c r="A5415" s="7" t="s">
        <v>2872</v>
      </c>
    </row>
    <row r="5416" spans="1:1" x14ac:dyDescent="0.25">
      <c r="A5416" s="7" t="s">
        <v>2872</v>
      </c>
    </row>
    <row r="5417" spans="1:1" x14ac:dyDescent="0.25">
      <c r="A5417" s="7" t="s">
        <v>2872</v>
      </c>
    </row>
    <row r="5418" spans="1:1" x14ac:dyDescent="0.25">
      <c r="A5418" s="7" t="s">
        <v>2872</v>
      </c>
    </row>
    <row r="5419" spans="1:1" x14ac:dyDescent="0.25">
      <c r="A5419" s="7" t="s">
        <v>2872</v>
      </c>
    </row>
    <row r="5420" spans="1:1" x14ac:dyDescent="0.25">
      <c r="A5420" s="7" t="s">
        <v>2872</v>
      </c>
    </row>
    <row r="5421" spans="1:1" x14ac:dyDescent="0.25">
      <c r="A5421" s="7" t="s">
        <v>2872</v>
      </c>
    </row>
    <row r="5422" spans="1:1" x14ac:dyDescent="0.25">
      <c r="A5422" s="7" t="s">
        <v>2872</v>
      </c>
    </row>
    <row r="5423" spans="1:1" x14ac:dyDescent="0.25">
      <c r="A5423" s="7" t="s">
        <v>2872</v>
      </c>
    </row>
    <row r="5424" spans="1:1" x14ac:dyDescent="0.25">
      <c r="A5424" s="7" t="s">
        <v>2872</v>
      </c>
    </row>
    <row r="5425" spans="1:1" x14ac:dyDescent="0.25">
      <c r="A5425" s="7" t="s">
        <v>2872</v>
      </c>
    </row>
    <row r="5426" spans="1:1" x14ac:dyDescent="0.25">
      <c r="A5426" s="7" t="s">
        <v>2872</v>
      </c>
    </row>
    <row r="5427" spans="1:1" x14ac:dyDescent="0.25">
      <c r="A5427" s="7" t="s">
        <v>2872</v>
      </c>
    </row>
    <row r="5428" spans="1:1" x14ac:dyDescent="0.25">
      <c r="A5428" s="7" t="s">
        <v>2872</v>
      </c>
    </row>
    <row r="5429" spans="1:1" x14ac:dyDescent="0.25">
      <c r="A5429" s="7" t="s">
        <v>2872</v>
      </c>
    </row>
    <row r="5430" spans="1:1" x14ac:dyDescent="0.25">
      <c r="A5430" s="7" t="s">
        <v>2872</v>
      </c>
    </row>
    <row r="5431" spans="1:1" x14ac:dyDescent="0.25">
      <c r="A5431" s="7" t="s">
        <v>2872</v>
      </c>
    </row>
    <row r="5432" spans="1:1" x14ac:dyDescent="0.25">
      <c r="A5432" s="7" t="s">
        <v>2872</v>
      </c>
    </row>
    <row r="5433" spans="1:1" x14ac:dyDescent="0.25">
      <c r="A5433" s="7" t="s">
        <v>9865</v>
      </c>
    </row>
    <row r="5434" spans="1:1" x14ac:dyDescent="0.25">
      <c r="A5434" s="8" t="s">
        <v>9865</v>
      </c>
    </row>
    <row r="5435" spans="1:1" x14ac:dyDescent="0.25">
      <c r="A5435" s="7" t="s">
        <v>6763</v>
      </c>
    </row>
    <row r="5436" spans="1:1" x14ac:dyDescent="0.25">
      <c r="A5436" s="7" t="s">
        <v>6763</v>
      </c>
    </row>
    <row r="5437" spans="1:1" x14ac:dyDescent="0.25">
      <c r="A5437" s="7" t="s">
        <v>6763</v>
      </c>
    </row>
    <row r="5438" spans="1:1" x14ac:dyDescent="0.25">
      <c r="A5438" s="8" t="s">
        <v>6763</v>
      </c>
    </row>
    <row r="5439" spans="1:1" x14ac:dyDescent="0.25">
      <c r="A5439" s="8" t="s">
        <v>6763</v>
      </c>
    </row>
    <row r="5440" spans="1:1" x14ac:dyDescent="0.25">
      <c r="A5440" s="7" t="s">
        <v>9902</v>
      </c>
    </row>
    <row r="5441" spans="1:1" x14ac:dyDescent="0.25">
      <c r="A5441" s="7" t="s">
        <v>10013</v>
      </c>
    </row>
    <row r="5442" spans="1:1" x14ac:dyDescent="0.25">
      <c r="A5442" s="8" t="s">
        <v>9003</v>
      </c>
    </row>
    <row r="5443" spans="1:1" x14ac:dyDescent="0.25">
      <c r="A5443" s="8" t="s">
        <v>9003</v>
      </c>
    </row>
    <row r="5444" spans="1:1" x14ac:dyDescent="0.25">
      <c r="A5444" s="7" t="s">
        <v>7281</v>
      </c>
    </row>
    <row r="5445" spans="1:1" x14ac:dyDescent="0.25">
      <c r="A5445" s="7" t="s">
        <v>7281</v>
      </c>
    </row>
    <row r="5446" spans="1:1" x14ac:dyDescent="0.25">
      <c r="A5446" s="7" t="s">
        <v>7281</v>
      </c>
    </row>
    <row r="5447" spans="1:1" x14ac:dyDescent="0.25">
      <c r="A5447" s="7" t="s">
        <v>7281</v>
      </c>
    </row>
    <row r="5448" spans="1:1" x14ac:dyDescent="0.25">
      <c r="A5448" s="7" t="s">
        <v>7281</v>
      </c>
    </row>
    <row r="5449" spans="1:1" x14ac:dyDescent="0.25">
      <c r="A5449" s="8" t="s">
        <v>7281</v>
      </c>
    </row>
    <row r="5450" spans="1:1" x14ac:dyDescent="0.25">
      <c r="A5450" s="7" t="s">
        <v>6430</v>
      </c>
    </row>
    <row r="5451" spans="1:1" x14ac:dyDescent="0.25">
      <c r="A5451" s="7" t="s">
        <v>8913</v>
      </c>
    </row>
    <row r="5452" spans="1:1" x14ac:dyDescent="0.25">
      <c r="A5452" s="7" t="s">
        <v>8913</v>
      </c>
    </row>
    <row r="5453" spans="1:1" x14ac:dyDescent="0.25">
      <c r="A5453" s="7" t="s">
        <v>9287</v>
      </c>
    </row>
    <row r="5454" spans="1:1" x14ac:dyDescent="0.25">
      <c r="A5454" s="7" t="s">
        <v>9063</v>
      </c>
    </row>
    <row r="5455" spans="1:1" x14ac:dyDescent="0.25">
      <c r="A5455" s="8" t="s">
        <v>9063</v>
      </c>
    </row>
    <row r="5456" spans="1:1" x14ac:dyDescent="0.25">
      <c r="A5456" s="8" t="s">
        <v>9063</v>
      </c>
    </row>
    <row r="5457" spans="1:1" x14ac:dyDescent="0.25">
      <c r="A5457" s="7" t="s">
        <v>10171</v>
      </c>
    </row>
    <row r="5458" spans="1:1" x14ac:dyDescent="0.25">
      <c r="A5458" s="7" t="s">
        <v>10171</v>
      </c>
    </row>
    <row r="5459" spans="1:1" x14ac:dyDescent="0.25">
      <c r="A5459" s="7" t="s">
        <v>2516</v>
      </c>
    </row>
    <row r="5460" spans="1:1" x14ac:dyDescent="0.25">
      <c r="A5460" s="8" t="s">
        <v>10063</v>
      </c>
    </row>
    <row r="5461" spans="1:1" x14ac:dyDescent="0.25">
      <c r="A5461" s="8" t="s">
        <v>9330</v>
      </c>
    </row>
    <row r="5462" spans="1:1" x14ac:dyDescent="0.25">
      <c r="A5462" s="8" t="s">
        <v>10554</v>
      </c>
    </row>
    <row r="5463" spans="1:1" x14ac:dyDescent="0.25">
      <c r="A5463" s="7" t="s">
        <v>9543</v>
      </c>
    </row>
    <row r="5464" spans="1:1" x14ac:dyDescent="0.25">
      <c r="A5464" s="8" t="s">
        <v>10650</v>
      </c>
    </row>
    <row r="5465" spans="1:1" x14ac:dyDescent="0.25">
      <c r="A5465" s="8" t="s">
        <v>9573</v>
      </c>
    </row>
    <row r="5466" spans="1:1" x14ac:dyDescent="0.25">
      <c r="A5466" s="7" t="s">
        <v>3649</v>
      </c>
    </row>
    <row r="5467" spans="1:1" x14ac:dyDescent="0.25">
      <c r="A5467" s="7" t="s">
        <v>3649</v>
      </c>
    </row>
    <row r="5468" spans="1:1" x14ac:dyDescent="0.25">
      <c r="A5468" s="7" t="s">
        <v>3649</v>
      </c>
    </row>
    <row r="5469" spans="1:1" x14ac:dyDescent="0.25">
      <c r="A5469" s="7" t="s">
        <v>3649</v>
      </c>
    </row>
    <row r="5470" spans="1:1" x14ac:dyDescent="0.25">
      <c r="A5470" s="7" t="s">
        <v>3649</v>
      </c>
    </row>
    <row r="5471" spans="1:1" x14ac:dyDescent="0.25">
      <c r="A5471" s="7" t="s">
        <v>3649</v>
      </c>
    </row>
    <row r="5472" spans="1:1" x14ac:dyDescent="0.25">
      <c r="A5472" s="7" t="s">
        <v>3649</v>
      </c>
    </row>
    <row r="5473" spans="1:1" x14ac:dyDescent="0.25">
      <c r="A5473" s="7" t="s">
        <v>3649</v>
      </c>
    </row>
    <row r="5474" spans="1:1" x14ac:dyDescent="0.25">
      <c r="A5474" s="7" t="s">
        <v>3649</v>
      </c>
    </row>
    <row r="5475" spans="1:1" x14ac:dyDescent="0.25">
      <c r="A5475" s="7" t="s">
        <v>3649</v>
      </c>
    </row>
    <row r="5476" spans="1:1" x14ac:dyDescent="0.25">
      <c r="A5476" s="7" t="s">
        <v>3649</v>
      </c>
    </row>
    <row r="5477" spans="1:1" x14ac:dyDescent="0.25">
      <c r="A5477" s="7" t="s">
        <v>3649</v>
      </c>
    </row>
    <row r="5478" spans="1:1" x14ac:dyDescent="0.25">
      <c r="A5478" s="7" t="s">
        <v>3649</v>
      </c>
    </row>
    <row r="5479" spans="1:1" x14ac:dyDescent="0.25">
      <c r="A5479" s="7" t="s">
        <v>3649</v>
      </c>
    </row>
    <row r="5480" spans="1:1" x14ac:dyDescent="0.25">
      <c r="A5480" s="7" t="s">
        <v>3649</v>
      </c>
    </row>
    <row r="5481" spans="1:1" x14ac:dyDescent="0.25">
      <c r="A5481" s="8" t="s">
        <v>3649</v>
      </c>
    </row>
    <row r="5482" spans="1:1" x14ac:dyDescent="0.25">
      <c r="A5482" s="7" t="s">
        <v>3628</v>
      </c>
    </row>
    <row r="5483" spans="1:1" x14ac:dyDescent="0.25">
      <c r="A5483" s="7" t="s">
        <v>3628</v>
      </c>
    </row>
    <row r="5484" spans="1:1" x14ac:dyDescent="0.25">
      <c r="A5484" s="8" t="s">
        <v>8840</v>
      </c>
    </row>
    <row r="5485" spans="1:1" x14ac:dyDescent="0.25">
      <c r="A5485" s="7" t="s">
        <v>6439</v>
      </c>
    </row>
    <row r="5486" spans="1:1" x14ac:dyDescent="0.25">
      <c r="A5486" s="7" t="s">
        <v>6439</v>
      </c>
    </row>
    <row r="5487" spans="1:1" x14ac:dyDescent="0.25">
      <c r="A5487" s="7" t="s">
        <v>6439</v>
      </c>
    </row>
    <row r="5488" spans="1:1" x14ac:dyDescent="0.25">
      <c r="A5488" s="7" t="s">
        <v>6439</v>
      </c>
    </row>
    <row r="5489" spans="1:1" x14ac:dyDescent="0.25">
      <c r="A5489" s="7" t="s">
        <v>6439</v>
      </c>
    </row>
    <row r="5490" spans="1:1" x14ac:dyDescent="0.25">
      <c r="A5490" s="7" t="s">
        <v>6439</v>
      </c>
    </row>
    <row r="5491" spans="1:1" x14ac:dyDescent="0.25">
      <c r="A5491" s="7" t="s">
        <v>6439</v>
      </c>
    </row>
    <row r="5492" spans="1:1" x14ac:dyDescent="0.25">
      <c r="A5492" s="7" t="s">
        <v>6439</v>
      </c>
    </row>
    <row r="5493" spans="1:1" x14ac:dyDescent="0.25">
      <c r="A5493" s="7" t="s">
        <v>6439</v>
      </c>
    </row>
    <row r="5494" spans="1:1" x14ac:dyDescent="0.25">
      <c r="A5494" s="7" t="s">
        <v>6439</v>
      </c>
    </row>
    <row r="5495" spans="1:1" x14ac:dyDescent="0.25">
      <c r="A5495" s="7" t="s">
        <v>6439</v>
      </c>
    </row>
    <row r="5496" spans="1:1" x14ac:dyDescent="0.25">
      <c r="A5496" s="7" t="s">
        <v>6439</v>
      </c>
    </row>
    <row r="5497" spans="1:1" x14ac:dyDescent="0.25">
      <c r="A5497" s="7" t="s">
        <v>6439</v>
      </c>
    </row>
    <row r="5498" spans="1:1" x14ac:dyDescent="0.25">
      <c r="A5498" s="7" t="s">
        <v>6439</v>
      </c>
    </row>
    <row r="5499" spans="1:1" x14ac:dyDescent="0.25">
      <c r="A5499" s="7" t="s">
        <v>6439</v>
      </c>
    </row>
    <row r="5500" spans="1:1" x14ac:dyDescent="0.25">
      <c r="A5500" s="7" t="s">
        <v>6439</v>
      </c>
    </row>
    <row r="5501" spans="1:1" x14ac:dyDescent="0.25">
      <c r="A5501" s="7" t="s">
        <v>6439</v>
      </c>
    </row>
    <row r="5502" spans="1:1" x14ac:dyDescent="0.25">
      <c r="A5502" s="7" t="s">
        <v>6439</v>
      </c>
    </row>
    <row r="5503" spans="1:1" x14ac:dyDescent="0.25">
      <c r="A5503" s="8" t="s">
        <v>6439</v>
      </c>
    </row>
    <row r="5504" spans="1:1" x14ac:dyDescent="0.25">
      <c r="A5504" s="8" t="s">
        <v>6439</v>
      </c>
    </row>
    <row r="5505" spans="1:1" x14ac:dyDescent="0.25">
      <c r="A5505" s="8" t="s">
        <v>9521</v>
      </c>
    </row>
    <row r="5506" spans="1:1" x14ac:dyDescent="0.25">
      <c r="A5506" s="7" t="s">
        <v>2792</v>
      </c>
    </row>
    <row r="5507" spans="1:1" x14ac:dyDescent="0.25">
      <c r="A5507" s="7" t="s">
        <v>2792</v>
      </c>
    </row>
    <row r="5508" spans="1:1" x14ac:dyDescent="0.25">
      <c r="A5508" s="7" t="s">
        <v>2792</v>
      </c>
    </row>
    <row r="5509" spans="1:1" x14ac:dyDescent="0.25">
      <c r="A5509" s="7" t="s">
        <v>2792</v>
      </c>
    </row>
    <row r="5510" spans="1:1" x14ac:dyDescent="0.25">
      <c r="A5510" s="7" t="s">
        <v>2792</v>
      </c>
    </row>
    <row r="5511" spans="1:1" x14ac:dyDescent="0.25">
      <c r="A5511" s="7" t="s">
        <v>2792</v>
      </c>
    </row>
    <row r="5512" spans="1:1" x14ac:dyDescent="0.25">
      <c r="A5512" s="8" t="s">
        <v>2792</v>
      </c>
    </row>
    <row r="5513" spans="1:1" x14ac:dyDescent="0.25">
      <c r="A5513" s="8" t="s">
        <v>2792</v>
      </c>
    </row>
    <row r="5514" spans="1:1" x14ac:dyDescent="0.25">
      <c r="A5514" s="7" t="s">
        <v>2801</v>
      </c>
    </row>
    <row r="5515" spans="1:1" x14ac:dyDescent="0.25">
      <c r="A5515" s="7" t="s">
        <v>6383</v>
      </c>
    </row>
    <row r="5516" spans="1:1" x14ac:dyDescent="0.25">
      <c r="A5516" s="7" t="s">
        <v>6383</v>
      </c>
    </row>
    <row r="5517" spans="1:1" x14ac:dyDescent="0.25">
      <c r="A5517" s="7" t="s">
        <v>6383</v>
      </c>
    </row>
    <row r="5518" spans="1:1" x14ac:dyDescent="0.25">
      <c r="A5518" s="7" t="s">
        <v>6383</v>
      </c>
    </row>
    <row r="5519" spans="1:1" x14ac:dyDescent="0.25">
      <c r="A5519" s="7" t="s">
        <v>6383</v>
      </c>
    </row>
    <row r="5520" spans="1:1" x14ac:dyDescent="0.25">
      <c r="A5520" s="7" t="s">
        <v>6383</v>
      </c>
    </row>
    <row r="5521" spans="1:1" x14ac:dyDescent="0.25">
      <c r="A5521" s="7" t="s">
        <v>6383</v>
      </c>
    </row>
    <row r="5522" spans="1:1" x14ac:dyDescent="0.25">
      <c r="A5522" s="7" t="s">
        <v>6383</v>
      </c>
    </row>
    <row r="5523" spans="1:1" x14ac:dyDescent="0.25">
      <c r="A5523" s="7" t="s">
        <v>6383</v>
      </c>
    </row>
    <row r="5524" spans="1:1" x14ac:dyDescent="0.25">
      <c r="A5524" s="7" t="s">
        <v>6383</v>
      </c>
    </row>
    <row r="5525" spans="1:1" x14ac:dyDescent="0.25">
      <c r="A5525" s="7" t="s">
        <v>6383</v>
      </c>
    </row>
    <row r="5526" spans="1:1" x14ac:dyDescent="0.25">
      <c r="A5526" s="7" t="s">
        <v>6383</v>
      </c>
    </row>
    <row r="5527" spans="1:1" x14ac:dyDescent="0.25">
      <c r="A5527" s="7" t="s">
        <v>6383</v>
      </c>
    </row>
    <row r="5528" spans="1:1" x14ac:dyDescent="0.25">
      <c r="A5528" s="7" t="s">
        <v>6383</v>
      </c>
    </row>
    <row r="5529" spans="1:1" x14ac:dyDescent="0.25">
      <c r="A5529" s="7" t="s">
        <v>6383</v>
      </c>
    </row>
    <row r="5530" spans="1:1" x14ac:dyDescent="0.25">
      <c r="A5530" s="7" t="s">
        <v>6383</v>
      </c>
    </row>
    <row r="5531" spans="1:1" x14ac:dyDescent="0.25">
      <c r="A5531" s="7" t="s">
        <v>6383</v>
      </c>
    </row>
    <row r="5532" spans="1:1" x14ac:dyDescent="0.25">
      <c r="A5532" s="7" t="s">
        <v>6383</v>
      </c>
    </row>
    <row r="5533" spans="1:1" x14ac:dyDescent="0.25">
      <c r="A5533" s="7" t="s">
        <v>6383</v>
      </c>
    </row>
    <row r="5534" spans="1:1" x14ac:dyDescent="0.25">
      <c r="A5534" s="7" t="s">
        <v>6383</v>
      </c>
    </row>
    <row r="5535" spans="1:1" x14ac:dyDescent="0.25">
      <c r="A5535" s="7" t="s">
        <v>6383</v>
      </c>
    </row>
    <row r="5536" spans="1:1" x14ac:dyDescent="0.25">
      <c r="A5536" s="7" t="s">
        <v>6383</v>
      </c>
    </row>
    <row r="5537" spans="1:1" x14ac:dyDescent="0.25">
      <c r="A5537" s="7" t="s">
        <v>6383</v>
      </c>
    </row>
    <row r="5538" spans="1:1" x14ac:dyDescent="0.25">
      <c r="A5538" s="7" t="s">
        <v>6383</v>
      </c>
    </row>
    <row r="5539" spans="1:1" x14ac:dyDescent="0.25">
      <c r="A5539" s="7" t="s">
        <v>6383</v>
      </c>
    </row>
    <row r="5540" spans="1:1" x14ac:dyDescent="0.25">
      <c r="A5540" s="7" t="s">
        <v>6383</v>
      </c>
    </row>
    <row r="5541" spans="1:1" x14ac:dyDescent="0.25">
      <c r="A5541" s="8" t="s">
        <v>6383</v>
      </c>
    </row>
    <row r="5542" spans="1:1" x14ac:dyDescent="0.25">
      <c r="A5542" s="7" t="s">
        <v>3705</v>
      </c>
    </row>
    <row r="5543" spans="1:1" x14ac:dyDescent="0.25">
      <c r="A5543" s="7" t="s">
        <v>3705</v>
      </c>
    </row>
    <row r="5544" spans="1:1" x14ac:dyDescent="0.25">
      <c r="A5544" s="7" t="s">
        <v>202</v>
      </c>
    </row>
    <row r="5545" spans="1:1" x14ac:dyDescent="0.25">
      <c r="A5545" s="7" t="s">
        <v>202</v>
      </c>
    </row>
    <row r="5546" spans="1:1" x14ac:dyDescent="0.25">
      <c r="A5546" s="7" t="s">
        <v>202</v>
      </c>
    </row>
    <row r="5547" spans="1:1" x14ac:dyDescent="0.25">
      <c r="A5547" s="7" t="s">
        <v>202</v>
      </c>
    </row>
    <row r="5548" spans="1:1" x14ac:dyDescent="0.25">
      <c r="A5548" s="7" t="s">
        <v>202</v>
      </c>
    </row>
    <row r="5549" spans="1:1" x14ac:dyDescent="0.25">
      <c r="A5549" s="7" t="s">
        <v>202</v>
      </c>
    </row>
    <row r="5550" spans="1:1" x14ac:dyDescent="0.25">
      <c r="A5550" s="8" t="s">
        <v>10541</v>
      </c>
    </row>
    <row r="5551" spans="1:1" x14ac:dyDescent="0.25">
      <c r="A5551" s="7" t="s">
        <v>9557</v>
      </c>
    </row>
    <row r="5552" spans="1:1" x14ac:dyDescent="0.25">
      <c r="A5552" s="7" t="s">
        <v>9557</v>
      </c>
    </row>
    <row r="5553" spans="1:1" x14ac:dyDescent="0.25">
      <c r="A5553" s="8" t="s">
        <v>10509</v>
      </c>
    </row>
    <row r="5554" spans="1:1" x14ac:dyDescent="0.25">
      <c r="A5554" s="8" t="s">
        <v>9427</v>
      </c>
    </row>
    <row r="5555" spans="1:1" x14ac:dyDescent="0.25">
      <c r="A5555" s="8" t="s">
        <v>10153</v>
      </c>
    </row>
    <row r="5556" spans="1:1" x14ac:dyDescent="0.25">
      <c r="A5556" s="8" t="s">
        <v>9934</v>
      </c>
    </row>
    <row r="5557" spans="1:1" x14ac:dyDescent="0.25">
      <c r="A5557" s="8" t="s">
        <v>9587</v>
      </c>
    </row>
    <row r="5558" spans="1:1" x14ac:dyDescent="0.25">
      <c r="A5558" s="7" t="s">
        <v>8271</v>
      </c>
    </row>
    <row r="5559" spans="1:1" x14ac:dyDescent="0.25">
      <c r="A5559" s="7" t="s">
        <v>8271</v>
      </c>
    </row>
    <row r="5560" spans="1:1" x14ac:dyDescent="0.25">
      <c r="A5560" s="7" t="s">
        <v>8271</v>
      </c>
    </row>
    <row r="5561" spans="1:1" x14ac:dyDescent="0.25">
      <c r="A5561" s="7" t="s">
        <v>8271</v>
      </c>
    </row>
    <row r="5562" spans="1:1" x14ac:dyDescent="0.25">
      <c r="A5562" s="7" t="s">
        <v>8271</v>
      </c>
    </row>
    <row r="5563" spans="1:1" x14ac:dyDescent="0.25">
      <c r="A5563" s="7" t="s">
        <v>8271</v>
      </c>
    </row>
    <row r="5564" spans="1:1" x14ac:dyDescent="0.25">
      <c r="A5564" s="7" t="s">
        <v>8271</v>
      </c>
    </row>
    <row r="5565" spans="1:1" x14ac:dyDescent="0.25">
      <c r="A5565" s="7" t="s">
        <v>8271</v>
      </c>
    </row>
    <row r="5566" spans="1:1" x14ac:dyDescent="0.25">
      <c r="A5566" s="7" t="s">
        <v>8271</v>
      </c>
    </row>
    <row r="5567" spans="1:1" x14ac:dyDescent="0.25">
      <c r="A5567" s="7" t="s">
        <v>8271</v>
      </c>
    </row>
    <row r="5568" spans="1:1" x14ac:dyDescent="0.25">
      <c r="A5568" s="7" t="s">
        <v>8271</v>
      </c>
    </row>
    <row r="5569" spans="1:1" x14ac:dyDescent="0.25">
      <c r="A5569" s="8" t="s">
        <v>8271</v>
      </c>
    </row>
    <row r="5570" spans="1:1" x14ac:dyDescent="0.25">
      <c r="A5570" s="8" t="s">
        <v>10009</v>
      </c>
    </row>
    <row r="5571" spans="1:1" x14ac:dyDescent="0.25">
      <c r="A5571" s="7" t="s">
        <v>5346</v>
      </c>
    </row>
    <row r="5572" spans="1:1" x14ac:dyDescent="0.25">
      <c r="A5572" s="8" t="s">
        <v>9024</v>
      </c>
    </row>
    <row r="5573" spans="1:1" x14ac:dyDescent="0.25">
      <c r="A5573" s="7" t="s">
        <v>9058</v>
      </c>
    </row>
    <row r="5574" spans="1:1" x14ac:dyDescent="0.25">
      <c r="A5574" s="7" t="s">
        <v>9058</v>
      </c>
    </row>
    <row r="5575" spans="1:1" x14ac:dyDescent="0.25">
      <c r="A5575" s="7" t="s">
        <v>9058</v>
      </c>
    </row>
    <row r="5576" spans="1:1" x14ac:dyDescent="0.25">
      <c r="A5576" s="7" t="s">
        <v>9058</v>
      </c>
    </row>
    <row r="5577" spans="1:1" x14ac:dyDescent="0.25">
      <c r="A5577" s="8" t="s">
        <v>9058</v>
      </c>
    </row>
    <row r="5578" spans="1:1" x14ac:dyDescent="0.25">
      <c r="A5578" s="7" t="s">
        <v>9612</v>
      </c>
    </row>
    <row r="5579" spans="1:1" x14ac:dyDescent="0.25">
      <c r="A5579" s="7" t="s">
        <v>9612</v>
      </c>
    </row>
    <row r="5580" spans="1:1" x14ac:dyDescent="0.25">
      <c r="A5580" s="8" t="s">
        <v>9021</v>
      </c>
    </row>
    <row r="5581" spans="1:1" x14ac:dyDescent="0.25">
      <c r="A5581" s="8" t="s">
        <v>9021</v>
      </c>
    </row>
    <row r="5582" spans="1:1" x14ac:dyDescent="0.25">
      <c r="A5582" s="8" t="s">
        <v>9021</v>
      </c>
    </row>
    <row r="5583" spans="1:1" x14ac:dyDescent="0.25">
      <c r="A5583" s="8" t="s">
        <v>9021</v>
      </c>
    </row>
    <row r="5584" spans="1:1" x14ac:dyDescent="0.25">
      <c r="A5584" s="8" t="s">
        <v>10276</v>
      </c>
    </row>
    <row r="5585" spans="1:1" x14ac:dyDescent="0.25">
      <c r="A5585" s="8" t="s">
        <v>9464</v>
      </c>
    </row>
    <row r="5586" spans="1:1" x14ac:dyDescent="0.25">
      <c r="A5586" s="7" t="s">
        <v>9004</v>
      </c>
    </row>
    <row r="5587" spans="1:1" x14ac:dyDescent="0.25">
      <c r="A5587" s="8" t="s">
        <v>9004</v>
      </c>
    </row>
    <row r="5588" spans="1:1" x14ac:dyDescent="0.25">
      <c r="A5588" s="8" t="s">
        <v>9004</v>
      </c>
    </row>
    <row r="5589" spans="1:1" x14ac:dyDescent="0.25">
      <c r="A5589" s="7" t="s">
        <v>8915</v>
      </c>
    </row>
    <row r="5590" spans="1:1" x14ac:dyDescent="0.25">
      <c r="A5590" s="7" t="s">
        <v>8915</v>
      </c>
    </row>
    <row r="5591" spans="1:1" x14ac:dyDescent="0.25">
      <c r="A5591" s="7" t="s">
        <v>4206</v>
      </c>
    </row>
    <row r="5592" spans="1:1" x14ac:dyDescent="0.25">
      <c r="A5592" s="8" t="s">
        <v>10496</v>
      </c>
    </row>
    <row r="5593" spans="1:1" x14ac:dyDescent="0.25">
      <c r="A5593" s="7" t="s">
        <v>9181</v>
      </c>
    </row>
    <row r="5594" spans="1:1" x14ac:dyDescent="0.25">
      <c r="A5594" s="8" t="s">
        <v>9181</v>
      </c>
    </row>
    <row r="5595" spans="1:1" x14ac:dyDescent="0.25">
      <c r="A5595" s="8" t="s">
        <v>9181</v>
      </c>
    </row>
    <row r="5596" spans="1:1" x14ac:dyDescent="0.25">
      <c r="A5596" s="8" t="s">
        <v>9896</v>
      </c>
    </row>
    <row r="5597" spans="1:1" x14ac:dyDescent="0.25">
      <c r="A5597" s="8" t="s">
        <v>9925</v>
      </c>
    </row>
    <row r="5598" spans="1:1" x14ac:dyDescent="0.25">
      <c r="A5598" s="7" t="s">
        <v>6090</v>
      </c>
    </row>
    <row r="5599" spans="1:1" x14ac:dyDescent="0.25">
      <c r="A5599" s="7" t="s">
        <v>4284</v>
      </c>
    </row>
    <row r="5600" spans="1:1" x14ac:dyDescent="0.25">
      <c r="A5600" s="8" t="s">
        <v>4284</v>
      </c>
    </row>
    <row r="5601" spans="1:1" x14ac:dyDescent="0.25">
      <c r="A5601" s="8" t="s">
        <v>4284</v>
      </c>
    </row>
    <row r="5602" spans="1:1" x14ac:dyDescent="0.25">
      <c r="A5602" s="8" t="s">
        <v>9492</v>
      </c>
    </row>
    <row r="5603" spans="1:1" x14ac:dyDescent="0.25">
      <c r="A5603" s="8" t="s">
        <v>9709</v>
      </c>
    </row>
    <row r="5604" spans="1:1" x14ac:dyDescent="0.25">
      <c r="A5604" s="8" t="s">
        <v>9709</v>
      </c>
    </row>
    <row r="5605" spans="1:1" x14ac:dyDescent="0.25">
      <c r="A5605" s="8" t="s">
        <v>10329</v>
      </c>
    </row>
    <row r="5606" spans="1:1" x14ac:dyDescent="0.25">
      <c r="A5606" s="7" t="s">
        <v>4716</v>
      </c>
    </row>
    <row r="5607" spans="1:1" x14ac:dyDescent="0.25">
      <c r="A5607" s="8" t="s">
        <v>10031</v>
      </c>
    </row>
    <row r="5608" spans="1:1" x14ac:dyDescent="0.25">
      <c r="A5608" s="8" t="s">
        <v>9336</v>
      </c>
    </row>
    <row r="5609" spans="1:1" x14ac:dyDescent="0.25">
      <c r="A5609" s="8" t="s">
        <v>9632</v>
      </c>
    </row>
    <row r="5610" spans="1:1" x14ac:dyDescent="0.25">
      <c r="A5610" s="7" t="s">
        <v>1951</v>
      </c>
    </row>
    <row r="5611" spans="1:1" x14ac:dyDescent="0.25">
      <c r="A5611" s="7" t="s">
        <v>1951</v>
      </c>
    </row>
    <row r="5612" spans="1:1" x14ac:dyDescent="0.25">
      <c r="A5612" s="7" t="s">
        <v>1951</v>
      </c>
    </row>
    <row r="5613" spans="1:1" x14ac:dyDescent="0.25">
      <c r="A5613" s="7" t="s">
        <v>1951</v>
      </c>
    </row>
    <row r="5614" spans="1:1" x14ac:dyDescent="0.25">
      <c r="A5614" s="7" t="s">
        <v>1951</v>
      </c>
    </row>
    <row r="5615" spans="1:1" x14ac:dyDescent="0.25">
      <c r="A5615" s="7" t="s">
        <v>1951</v>
      </c>
    </row>
    <row r="5616" spans="1:1" x14ac:dyDescent="0.25">
      <c r="A5616" s="7" t="s">
        <v>10388</v>
      </c>
    </row>
    <row r="5617" spans="1:1" x14ac:dyDescent="0.25">
      <c r="A5617" s="8" t="s">
        <v>10659</v>
      </c>
    </row>
    <row r="5618" spans="1:1" x14ac:dyDescent="0.25">
      <c r="A5618" s="8" t="s">
        <v>9938</v>
      </c>
    </row>
    <row r="5619" spans="1:1" x14ac:dyDescent="0.25">
      <c r="A5619" s="7" t="s">
        <v>9715</v>
      </c>
    </row>
    <row r="5620" spans="1:1" x14ac:dyDescent="0.25">
      <c r="A5620" s="7" t="s">
        <v>9715</v>
      </c>
    </row>
    <row r="5621" spans="1:1" x14ac:dyDescent="0.25">
      <c r="A5621" s="8" t="s">
        <v>9715</v>
      </c>
    </row>
    <row r="5622" spans="1:1" x14ac:dyDescent="0.25">
      <c r="A5622" s="7" t="s">
        <v>10154</v>
      </c>
    </row>
    <row r="5623" spans="1:1" x14ac:dyDescent="0.25">
      <c r="A5623" s="7" t="s">
        <v>458</v>
      </c>
    </row>
    <row r="5624" spans="1:1" x14ac:dyDescent="0.25">
      <c r="A5624" s="7" t="s">
        <v>458</v>
      </c>
    </row>
    <row r="5625" spans="1:1" x14ac:dyDescent="0.25">
      <c r="A5625" s="8" t="s">
        <v>10362</v>
      </c>
    </row>
    <row r="5626" spans="1:1" x14ac:dyDescent="0.25">
      <c r="A5626" s="8" t="s">
        <v>8979</v>
      </c>
    </row>
    <row r="5627" spans="1:1" x14ac:dyDescent="0.25">
      <c r="A5627" s="8" t="s">
        <v>8979</v>
      </c>
    </row>
    <row r="5628" spans="1:1" x14ac:dyDescent="0.25">
      <c r="A5628" s="8" t="s">
        <v>9393</v>
      </c>
    </row>
    <row r="5629" spans="1:1" x14ac:dyDescent="0.25">
      <c r="A5629" s="8" t="s">
        <v>9393</v>
      </c>
    </row>
    <row r="5630" spans="1:1" x14ac:dyDescent="0.25">
      <c r="A5630" s="8" t="s">
        <v>9283</v>
      </c>
    </row>
    <row r="5631" spans="1:1" x14ac:dyDescent="0.25">
      <c r="A5631" s="8" t="s">
        <v>9504</v>
      </c>
    </row>
    <row r="5632" spans="1:1" x14ac:dyDescent="0.25">
      <c r="A5632" s="7" t="s">
        <v>5209</v>
      </c>
    </row>
    <row r="5633" spans="1:1" x14ac:dyDescent="0.25">
      <c r="A5633" s="7" t="s">
        <v>5209</v>
      </c>
    </row>
    <row r="5634" spans="1:1" x14ac:dyDescent="0.25">
      <c r="A5634" s="8" t="s">
        <v>5209</v>
      </c>
    </row>
    <row r="5635" spans="1:1" x14ac:dyDescent="0.25">
      <c r="A5635" s="8" t="s">
        <v>5209</v>
      </c>
    </row>
    <row r="5636" spans="1:1" x14ac:dyDescent="0.25">
      <c r="A5636" s="8" t="s">
        <v>5209</v>
      </c>
    </row>
    <row r="5637" spans="1:1" x14ac:dyDescent="0.25">
      <c r="A5637" s="8" t="s">
        <v>5209</v>
      </c>
    </row>
    <row r="5638" spans="1:1" x14ac:dyDescent="0.25">
      <c r="A5638" s="7" t="s">
        <v>4438</v>
      </c>
    </row>
    <row r="5639" spans="1:1" x14ac:dyDescent="0.25">
      <c r="A5639" s="7" t="s">
        <v>4438</v>
      </c>
    </row>
    <row r="5640" spans="1:1" x14ac:dyDescent="0.25">
      <c r="A5640" s="8" t="s">
        <v>4438</v>
      </c>
    </row>
    <row r="5641" spans="1:1" x14ac:dyDescent="0.25">
      <c r="A5641" s="8" t="s">
        <v>4438</v>
      </c>
    </row>
    <row r="5642" spans="1:1" x14ac:dyDescent="0.25">
      <c r="A5642" s="8" t="s">
        <v>10387</v>
      </c>
    </row>
    <row r="5643" spans="1:1" x14ac:dyDescent="0.25">
      <c r="A5643" s="7" t="s">
        <v>9726</v>
      </c>
    </row>
    <row r="5644" spans="1:1" x14ac:dyDescent="0.25">
      <c r="A5644" s="8" t="s">
        <v>9750</v>
      </c>
    </row>
    <row r="5645" spans="1:1" x14ac:dyDescent="0.25">
      <c r="A5645" s="8" t="s">
        <v>9563</v>
      </c>
    </row>
    <row r="5646" spans="1:1" x14ac:dyDescent="0.25">
      <c r="A5646" s="7" t="s">
        <v>8901</v>
      </c>
    </row>
    <row r="5647" spans="1:1" x14ac:dyDescent="0.25">
      <c r="A5647" s="7" t="s">
        <v>8943</v>
      </c>
    </row>
    <row r="5648" spans="1:1" x14ac:dyDescent="0.25">
      <c r="A5648" s="8" t="s">
        <v>8943</v>
      </c>
    </row>
    <row r="5649" spans="1:1" x14ac:dyDescent="0.25">
      <c r="A5649" s="7" t="s">
        <v>9820</v>
      </c>
    </row>
    <row r="5650" spans="1:1" x14ac:dyDescent="0.25">
      <c r="A5650" s="7" t="s">
        <v>9321</v>
      </c>
    </row>
    <row r="5651" spans="1:1" x14ac:dyDescent="0.25">
      <c r="A5651" s="8" t="s">
        <v>9426</v>
      </c>
    </row>
    <row r="5652" spans="1:1" x14ac:dyDescent="0.25">
      <c r="A5652" s="7" t="s">
        <v>10121</v>
      </c>
    </row>
    <row r="5653" spans="1:1" x14ac:dyDescent="0.25">
      <c r="A5653" s="8" t="s">
        <v>9835</v>
      </c>
    </row>
    <row r="5654" spans="1:1" x14ac:dyDescent="0.25">
      <c r="A5654" s="8" t="s">
        <v>9835</v>
      </c>
    </row>
    <row r="5655" spans="1:1" x14ac:dyDescent="0.25">
      <c r="A5655" s="8" t="s">
        <v>9835</v>
      </c>
    </row>
    <row r="5656" spans="1:1" x14ac:dyDescent="0.25">
      <c r="A5656" s="8" t="s">
        <v>9748</v>
      </c>
    </row>
    <row r="5657" spans="1:1" x14ac:dyDescent="0.25">
      <c r="A5657" s="8" t="s">
        <v>9666</v>
      </c>
    </row>
    <row r="5658" spans="1:1" x14ac:dyDescent="0.25">
      <c r="A5658" s="7" t="s">
        <v>8260</v>
      </c>
    </row>
    <row r="5659" spans="1:1" x14ac:dyDescent="0.25">
      <c r="A5659" s="7" t="s">
        <v>8260</v>
      </c>
    </row>
    <row r="5660" spans="1:1" x14ac:dyDescent="0.25">
      <c r="A5660" s="7" t="s">
        <v>2155</v>
      </c>
    </row>
    <row r="5661" spans="1:1" x14ac:dyDescent="0.25">
      <c r="A5661" s="7" t="s">
        <v>2155</v>
      </c>
    </row>
    <row r="5662" spans="1:1" x14ac:dyDescent="0.25">
      <c r="A5662" s="7" t="s">
        <v>2155</v>
      </c>
    </row>
    <row r="5663" spans="1:1" x14ac:dyDescent="0.25">
      <c r="A5663" s="7" t="s">
        <v>2155</v>
      </c>
    </row>
    <row r="5664" spans="1:1" x14ac:dyDescent="0.25">
      <c r="A5664" s="7" t="s">
        <v>2155</v>
      </c>
    </row>
    <row r="5665" spans="1:1" x14ac:dyDescent="0.25">
      <c r="A5665" s="7" t="s">
        <v>2155</v>
      </c>
    </row>
    <row r="5666" spans="1:1" x14ac:dyDescent="0.25">
      <c r="A5666" s="7" t="s">
        <v>2155</v>
      </c>
    </row>
    <row r="5667" spans="1:1" x14ac:dyDescent="0.25">
      <c r="A5667" s="7" t="s">
        <v>2155</v>
      </c>
    </row>
    <row r="5668" spans="1:1" x14ac:dyDescent="0.25">
      <c r="A5668" s="7" t="s">
        <v>2155</v>
      </c>
    </row>
    <row r="5669" spans="1:1" x14ac:dyDescent="0.25">
      <c r="A5669" s="7" t="s">
        <v>2155</v>
      </c>
    </row>
    <row r="5670" spans="1:1" x14ac:dyDescent="0.25">
      <c r="A5670" s="7" t="s">
        <v>2155</v>
      </c>
    </row>
    <row r="5671" spans="1:1" x14ac:dyDescent="0.25">
      <c r="A5671" s="8" t="s">
        <v>2155</v>
      </c>
    </row>
    <row r="5672" spans="1:1" x14ac:dyDescent="0.25">
      <c r="A5672" s="8" t="s">
        <v>9256</v>
      </c>
    </row>
    <row r="5673" spans="1:1" x14ac:dyDescent="0.25">
      <c r="A5673" s="7" t="s">
        <v>5802</v>
      </c>
    </row>
    <row r="5674" spans="1:1" x14ac:dyDescent="0.25">
      <c r="A5674" s="7" t="s">
        <v>5802</v>
      </c>
    </row>
    <row r="5675" spans="1:1" x14ac:dyDescent="0.25">
      <c r="A5675" s="7" t="s">
        <v>5802</v>
      </c>
    </row>
    <row r="5676" spans="1:1" x14ac:dyDescent="0.25">
      <c r="A5676" s="7" t="s">
        <v>5802</v>
      </c>
    </row>
    <row r="5677" spans="1:1" x14ac:dyDescent="0.25">
      <c r="A5677" s="7" t="s">
        <v>5802</v>
      </c>
    </row>
    <row r="5678" spans="1:1" x14ac:dyDescent="0.25">
      <c r="A5678" s="7" t="s">
        <v>5802</v>
      </c>
    </row>
    <row r="5679" spans="1:1" x14ac:dyDescent="0.25">
      <c r="A5679" s="7" t="s">
        <v>5802</v>
      </c>
    </row>
    <row r="5680" spans="1:1" x14ac:dyDescent="0.25">
      <c r="A5680" s="7" t="s">
        <v>5802</v>
      </c>
    </row>
    <row r="5681" spans="1:1" x14ac:dyDescent="0.25">
      <c r="A5681" s="8" t="s">
        <v>5802</v>
      </c>
    </row>
    <row r="5682" spans="1:1" x14ac:dyDescent="0.25">
      <c r="A5682" s="7" t="s">
        <v>6067</v>
      </c>
    </row>
    <row r="5683" spans="1:1" x14ac:dyDescent="0.25">
      <c r="A5683" s="7" t="s">
        <v>6067</v>
      </c>
    </row>
    <row r="5684" spans="1:1" x14ac:dyDescent="0.25">
      <c r="A5684" s="7" t="s">
        <v>6067</v>
      </c>
    </row>
    <row r="5685" spans="1:1" x14ac:dyDescent="0.25">
      <c r="A5685" s="7" t="s">
        <v>6067</v>
      </c>
    </row>
    <row r="5686" spans="1:1" x14ac:dyDescent="0.25">
      <c r="A5686" s="7" t="s">
        <v>6067</v>
      </c>
    </row>
    <row r="5687" spans="1:1" x14ac:dyDescent="0.25">
      <c r="A5687" s="7" t="s">
        <v>6067</v>
      </c>
    </row>
    <row r="5688" spans="1:1" x14ac:dyDescent="0.25">
      <c r="A5688" s="8" t="s">
        <v>6067</v>
      </c>
    </row>
    <row r="5689" spans="1:1" x14ac:dyDescent="0.25">
      <c r="A5689" s="8" t="s">
        <v>6067</v>
      </c>
    </row>
    <row r="5690" spans="1:1" x14ac:dyDescent="0.25">
      <c r="A5690" s="7" t="s">
        <v>9451</v>
      </c>
    </row>
    <row r="5691" spans="1:1" x14ac:dyDescent="0.25">
      <c r="A5691" s="7" t="s">
        <v>9451</v>
      </c>
    </row>
    <row r="5692" spans="1:1" x14ac:dyDescent="0.25">
      <c r="A5692" s="7" t="s">
        <v>9451</v>
      </c>
    </row>
    <row r="5693" spans="1:1" x14ac:dyDescent="0.25">
      <c r="A5693" s="7" t="s">
        <v>9451</v>
      </c>
    </row>
    <row r="5694" spans="1:1" x14ac:dyDescent="0.25">
      <c r="A5694" s="7" t="s">
        <v>9451</v>
      </c>
    </row>
    <row r="5695" spans="1:1" x14ac:dyDescent="0.25">
      <c r="A5695" s="7" t="s">
        <v>9451</v>
      </c>
    </row>
    <row r="5696" spans="1:1" x14ac:dyDescent="0.25">
      <c r="A5696" s="7" t="s">
        <v>9451</v>
      </c>
    </row>
    <row r="5697" spans="1:1" x14ac:dyDescent="0.25">
      <c r="A5697" s="8" t="s">
        <v>9451</v>
      </c>
    </row>
    <row r="5698" spans="1:1" x14ac:dyDescent="0.25">
      <c r="A5698" s="8" t="s">
        <v>9451</v>
      </c>
    </row>
    <row r="5699" spans="1:1" x14ac:dyDescent="0.25">
      <c r="A5699" s="8" t="s">
        <v>9451</v>
      </c>
    </row>
    <row r="5700" spans="1:1" x14ac:dyDescent="0.25">
      <c r="A5700" s="8" t="s">
        <v>9451</v>
      </c>
    </row>
    <row r="5701" spans="1:1" x14ac:dyDescent="0.25">
      <c r="A5701" s="8" t="s">
        <v>9451</v>
      </c>
    </row>
    <row r="5702" spans="1:1" x14ac:dyDescent="0.25">
      <c r="A5702" s="8" t="s">
        <v>9451</v>
      </c>
    </row>
    <row r="5703" spans="1:1" x14ac:dyDescent="0.25">
      <c r="A5703" s="8" t="s">
        <v>9451</v>
      </c>
    </row>
    <row r="5704" spans="1:1" x14ac:dyDescent="0.25">
      <c r="A5704" s="8" t="s">
        <v>9451</v>
      </c>
    </row>
    <row r="5705" spans="1:1" x14ac:dyDescent="0.25">
      <c r="A5705" s="8" t="s">
        <v>9451</v>
      </c>
    </row>
    <row r="5706" spans="1:1" x14ac:dyDescent="0.25">
      <c r="A5706" s="8" t="s">
        <v>9404</v>
      </c>
    </row>
    <row r="5707" spans="1:1" x14ac:dyDescent="0.25">
      <c r="A5707" s="8" t="s">
        <v>9442</v>
      </c>
    </row>
    <row r="5708" spans="1:1" x14ac:dyDescent="0.25">
      <c r="A5708" s="8" t="s">
        <v>9442</v>
      </c>
    </row>
    <row r="5709" spans="1:1" x14ac:dyDescent="0.25">
      <c r="A5709" s="8" t="s">
        <v>9442</v>
      </c>
    </row>
    <row r="5710" spans="1:1" x14ac:dyDescent="0.25">
      <c r="A5710" s="8" t="s">
        <v>9442</v>
      </c>
    </row>
    <row r="5711" spans="1:1" x14ac:dyDescent="0.25">
      <c r="A5711" s="7" t="s">
        <v>5807</v>
      </c>
    </row>
    <row r="5712" spans="1:1" x14ac:dyDescent="0.25">
      <c r="A5712" s="7" t="s">
        <v>5807</v>
      </c>
    </row>
    <row r="5713" spans="1:1" x14ac:dyDescent="0.25">
      <c r="A5713" s="7" t="s">
        <v>5807</v>
      </c>
    </row>
    <row r="5714" spans="1:1" x14ac:dyDescent="0.25">
      <c r="A5714" s="8" t="s">
        <v>10370</v>
      </c>
    </row>
    <row r="5715" spans="1:1" x14ac:dyDescent="0.25">
      <c r="A5715" s="8" t="s">
        <v>10370</v>
      </c>
    </row>
    <row r="5716" spans="1:1" x14ac:dyDescent="0.25">
      <c r="A5716" s="8" t="s">
        <v>9539</v>
      </c>
    </row>
    <row r="5717" spans="1:1" x14ac:dyDescent="0.25">
      <c r="A5717" s="7" t="s">
        <v>9824</v>
      </c>
    </row>
    <row r="5718" spans="1:1" x14ac:dyDescent="0.25">
      <c r="A5718" s="7" t="s">
        <v>9855</v>
      </c>
    </row>
    <row r="5719" spans="1:1" x14ac:dyDescent="0.25">
      <c r="A5719" s="7" t="s">
        <v>8951</v>
      </c>
    </row>
    <row r="5720" spans="1:1" x14ac:dyDescent="0.25">
      <c r="A5720" s="7" t="s">
        <v>8951</v>
      </c>
    </row>
    <row r="5721" spans="1:1" x14ac:dyDescent="0.25">
      <c r="A5721" s="7" t="s">
        <v>8951</v>
      </c>
    </row>
    <row r="5722" spans="1:1" x14ac:dyDescent="0.25">
      <c r="A5722" s="8" t="s">
        <v>8951</v>
      </c>
    </row>
    <row r="5723" spans="1:1" x14ac:dyDescent="0.25">
      <c r="A5723" s="8" t="s">
        <v>8951</v>
      </c>
    </row>
    <row r="5724" spans="1:1" x14ac:dyDescent="0.25">
      <c r="A5724" s="8" t="s">
        <v>8951</v>
      </c>
    </row>
    <row r="5725" spans="1:1" x14ac:dyDescent="0.25">
      <c r="A5725" s="7" t="s">
        <v>2923</v>
      </c>
    </row>
    <row r="5726" spans="1:1" x14ac:dyDescent="0.25">
      <c r="A5726" s="8" t="s">
        <v>10217</v>
      </c>
    </row>
    <row r="5727" spans="1:1" x14ac:dyDescent="0.25">
      <c r="A5727" s="7" t="s">
        <v>387</v>
      </c>
    </row>
    <row r="5728" spans="1:1" x14ac:dyDescent="0.25">
      <c r="A5728" s="7" t="s">
        <v>387</v>
      </c>
    </row>
    <row r="5729" spans="1:1" x14ac:dyDescent="0.25">
      <c r="A5729" s="7" t="s">
        <v>387</v>
      </c>
    </row>
    <row r="5730" spans="1:1" x14ac:dyDescent="0.25">
      <c r="A5730" s="7" t="s">
        <v>387</v>
      </c>
    </row>
    <row r="5731" spans="1:1" x14ac:dyDescent="0.25">
      <c r="A5731" s="7" t="s">
        <v>387</v>
      </c>
    </row>
    <row r="5732" spans="1:1" x14ac:dyDescent="0.25">
      <c r="A5732" s="8" t="s">
        <v>9465</v>
      </c>
    </row>
    <row r="5733" spans="1:1" x14ac:dyDescent="0.25">
      <c r="A5733" s="8" t="s">
        <v>9284</v>
      </c>
    </row>
    <row r="5734" spans="1:1" x14ac:dyDescent="0.25">
      <c r="A5734" s="7" t="s">
        <v>4705</v>
      </c>
    </row>
    <row r="5735" spans="1:1" x14ac:dyDescent="0.25">
      <c r="A5735" s="7" t="s">
        <v>154</v>
      </c>
    </row>
    <row r="5736" spans="1:1" x14ac:dyDescent="0.25">
      <c r="A5736" s="7" t="s">
        <v>154</v>
      </c>
    </row>
    <row r="5737" spans="1:1" x14ac:dyDescent="0.25">
      <c r="A5737" s="7" t="s">
        <v>154</v>
      </c>
    </row>
    <row r="5738" spans="1:1" x14ac:dyDescent="0.25">
      <c r="A5738" s="7" t="s">
        <v>154</v>
      </c>
    </row>
    <row r="5739" spans="1:1" x14ac:dyDescent="0.25">
      <c r="A5739" s="7" t="s">
        <v>154</v>
      </c>
    </row>
    <row r="5740" spans="1:1" x14ac:dyDescent="0.25">
      <c r="A5740" s="7" t="s">
        <v>154</v>
      </c>
    </row>
    <row r="5741" spans="1:1" x14ac:dyDescent="0.25">
      <c r="A5741" s="7" t="s">
        <v>154</v>
      </c>
    </row>
    <row r="5742" spans="1:1" x14ac:dyDescent="0.25">
      <c r="A5742" s="7" t="s">
        <v>154</v>
      </c>
    </row>
    <row r="5743" spans="1:1" x14ac:dyDescent="0.25">
      <c r="A5743" s="7" t="s">
        <v>154</v>
      </c>
    </row>
    <row r="5744" spans="1:1" x14ac:dyDescent="0.25">
      <c r="A5744" s="7" t="s">
        <v>154</v>
      </c>
    </row>
    <row r="5745" spans="1:1" x14ac:dyDescent="0.25">
      <c r="A5745" s="7" t="s">
        <v>154</v>
      </c>
    </row>
    <row r="5746" spans="1:1" x14ac:dyDescent="0.25">
      <c r="A5746" s="8" t="s">
        <v>154</v>
      </c>
    </row>
    <row r="5747" spans="1:1" x14ac:dyDescent="0.25">
      <c r="A5747" s="7" t="s">
        <v>3332</v>
      </c>
    </row>
    <row r="5748" spans="1:1" x14ac:dyDescent="0.25">
      <c r="A5748" s="8" t="s">
        <v>3332</v>
      </c>
    </row>
    <row r="5749" spans="1:1" x14ac:dyDescent="0.25">
      <c r="A5749" s="7" t="s">
        <v>4971</v>
      </c>
    </row>
    <row r="5750" spans="1:1" x14ac:dyDescent="0.25">
      <c r="A5750" s="7" t="s">
        <v>4971</v>
      </c>
    </row>
    <row r="5751" spans="1:1" x14ac:dyDescent="0.25">
      <c r="A5751" s="7" t="s">
        <v>8831</v>
      </c>
    </row>
    <row r="5752" spans="1:1" x14ac:dyDescent="0.25">
      <c r="A5752" s="8" t="s">
        <v>8831</v>
      </c>
    </row>
    <row r="5753" spans="1:1" x14ac:dyDescent="0.25">
      <c r="A5753" s="8" t="s">
        <v>8831</v>
      </c>
    </row>
    <row r="5754" spans="1:1" x14ac:dyDescent="0.25">
      <c r="A5754" s="8" t="s">
        <v>8831</v>
      </c>
    </row>
    <row r="5755" spans="1:1" x14ac:dyDescent="0.25">
      <c r="A5755" s="8" t="s">
        <v>8831</v>
      </c>
    </row>
    <row r="5756" spans="1:1" x14ac:dyDescent="0.25">
      <c r="A5756" s="8" t="s">
        <v>8831</v>
      </c>
    </row>
    <row r="5757" spans="1:1" x14ac:dyDescent="0.25">
      <c r="A5757" s="8" t="s">
        <v>10300</v>
      </c>
    </row>
    <row r="5758" spans="1:1" x14ac:dyDescent="0.25">
      <c r="A5758" s="8" t="s">
        <v>8872</v>
      </c>
    </row>
    <row r="5759" spans="1:1" x14ac:dyDescent="0.25">
      <c r="A5759" s="8" t="s">
        <v>8872</v>
      </c>
    </row>
    <row r="5760" spans="1:1" x14ac:dyDescent="0.25">
      <c r="A5760" s="8" t="s">
        <v>9988</v>
      </c>
    </row>
    <row r="5761" spans="1:1" x14ac:dyDescent="0.25">
      <c r="A5761" s="8" t="s">
        <v>9988</v>
      </c>
    </row>
    <row r="5762" spans="1:1" x14ac:dyDescent="0.25">
      <c r="A5762" s="8" t="s">
        <v>9039</v>
      </c>
    </row>
    <row r="5763" spans="1:1" x14ac:dyDescent="0.25">
      <c r="A5763" s="7" t="s">
        <v>9797</v>
      </c>
    </row>
    <row r="5764" spans="1:1" x14ac:dyDescent="0.25">
      <c r="A5764" s="7" t="s">
        <v>4165</v>
      </c>
    </row>
    <row r="5765" spans="1:1" x14ac:dyDescent="0.25">
      <c r="A5765" s="7" t="s">
        <v>4165</v>
      </c>
    </row>
    <row r="5766" spans="1:1" x14ac:dyDescent="0.25">
      <c r="A5766" s="7" t="s">
        <v>4165</v>
      </c>
    </row>
    <row r="5767" spans="1:1" x14ac:dyDescent="0.25">
      <c r="A5767" s="8" t="s">
        <v>9878</v>
      </c>
    </row>
    <row r="5768" spans="1:1" x14ac:dyDescent="0.25">
      <c r="A5768" s="8" t="s">
        <v>9878</v>
      </c>
    </row>
    <row r="5769" spans="1:1" x14ac:dyDescent="0.25">
      <c r="A5769" s="7" t="s">
        <v>1972</v>
      </c>
    </row>
    <row r="5770" spans="1:1" x14ac:dyDescent="0.25">
      <c r="A5770" s="7" t="s">
        <v>1972</v>
      </c>
    </row>
    <row r="5771" spans="1:1" x14ac:dyDescent="0.25">
      <c r="A5771" s="7" t="s">
        <v>1972</v>
      </c>
    </row>
    <row r="5772" spans="1:1" x14ac:dyDescent="0.25">
      <c r="A5772" s="7" t="s">
        <v>1972</v>
      </c>
    </row>
    <row r="5773" spans="1:1" x14ac:dyDescent="0.25">
      <c r="A5773" s="7" t="s">
        <v>1972</v>
      </c>
    </row>
    <row r="5774" spans="1:1" x14ac:dyDescent="0.25">
      <c r="A5774" s="7" t="s">
        <v>1972</v>
      </c>
    </row>
    <row r="5775" spans="1:1" x14ac:dyDescent="0.25">
      <c r="A5775" s="7" t="s">
        <v>1972</v>
      </c>
    </row>
    <row r="5776" spans="1:1" x14ac:dyDescent="0.25">
      <c r="A5776" s="7" t="s">
        <v>1972</v>
      </c>
    </row>
    <row r="5777" spans="1:1" x14ac:dyDescent="0.25">
      <c r="A5777" s="7" t="s">
        <v>1972</v>
      </c>
    </row>
    <row r="5778" spans="1:1" x14ac:dyDescent="0.25">
      <c r="A5778" s="7" t="s">
        <v>1972</v>
      </c>
    </row>
    <row r="5779" spans="1:1" x14ac:dyDescent="0.25">
      <c r="A5779" s="7" t="s">
        <v>1972</v>
      </c>
    </row>
    <row r="5780" spans="1:1" x14ac:dyDescent="0.25">
      <c r="A5780" s="7" t="s">
        <v>1972</v>
      </c>
    </row>
    <row r="5781" spans="1:1" x14ac:dyDescent="0.25">
      <c r="A5781" s="7" t="s">
        <v>1972</v>
      </c>
    </row>
    <row r="5782" spans="1:1" x14ac:dyDescent="0.25">
      <c r="A5782" s="7" t="s">
        <v>1972</v>
      </c>
    </row>
    <row r="5783" spans="1:1" x14ac:dyDescent="0.25">
      <c r="A5783" s="7" t="s">
        <v>1972</v>
      </c>
    </row>
    <row r="5784" spans="1:1" x14ac:dyDescent="0.25">
      <c r="A5784" s="7" t="s">
        <v>1972</v>
      </c>
    </row>
    <row r="5785" spans="1:1" x14ac:dyDescent="0.25">
      <c r="A5785" s="7" t="s">
        <v>1972</v>
      </c>
    </row>
    <row r="5786" spans="1:1" x14ac:dyDescent="0.25">
      <c r="A5786" s="7" t="s">
        <v>1972</v>
      </c>
    </row>
    <row r="5787" spans="1:1" x14ac:dyDescent="0.25">
      <c r="A5787" s="7" t="s">
        <v>1972</v>
      </c>
    </row>
    <row r="5788" spans="1:1" x14ac:dyDescent="0.25">
      <c r="A5788" s="7" t="s">
        <v>1972</v>
      </c>
    </row>
    <row r="5789" spans="1:1" x14ac:dyDescent="0.25">
      <c r="A5789" s="7" t="s">
        <v>1972</v>
      </c>
    </row>
    <row r="5790" spans="1:1" x14ac:dyDescent="0.25">
      <c r="A5790" s="8" t="s">
        <v>1972</v>
      </c>
    </row>
    <row r="5791" spans="1:1" x14ac:dyDescent="0.25">
      <c r="A5791" s="7" t="s">
        <v>5969</v>
      </c>
    </row>
    <row r="5792" spans="1:1" x14ac:dyDescent="0.25">
      <c r="A5792" s="7" t="s">
        <v>5969</v>
      </c>
    </row>
    <row r="5793" spans="1:1" x14ac:dyDescent="0.25">
      <c r="A5793" s="7" t="s">
        <v>5969</v>
      </c>
    </row>
    <row r="5794" spans="1:1" x14ac:dyDescent="0.25">
      <c r="A5794" s="8" t="s">
        <v>10530</v>
      </c>
    </row>
    <row r="5795" spans="1:1" x14ac:dyDescent="0.25">
      <c r="A5795" s="7" t="s">
        <v>10015</v>
      </c>
    </row>
    <row r="5796" spans="1:1" x14ac:dyDescent="0.25">
      <c r="A5796" s="8" t="s">
        <v>10640</v>
      </c>
    </row>
    <row r="5797" spans="1:1" x14ac:dyDescent="0.25">
      <c r="A5797" s="8" t="s">
        <v>10308</v>
      </c>
    </row>
    <row r="5798" spans="1:1" x14ac:dyDescent="0.25">
      <c r="A5798" s="8" t="s">
        <v>7331</v>
      </c>
    </row>
    <row r="5799" spans="1:1" x14ac:dyDescent="0.25">
      <c r="A5799" s="8" t="s">
        <v>9698</v>
      </c>
    </row>
    <row r="5800" spans="1:1" x14ac:dyDescent="0.25">
      <c r="A5800" s="7" t="s">
        <v>160</v>
      </c>
    </row>
    <row r="5801" spans="1:1" x14ac:dyDescent="0.25">
      <c r="A5801" s="7" t="s">
        <v>160</v>
      </c>
    </row>
    <row r="5802" spans="1:1" x14ac:dyDescent="0.25">
      <c r="A5802" s="7" t="s">
        <v>160</v>
      </c>
    </row>
    <row r="5803" spans="1:1" x14ac:dyDescent="0.25">
      <c r="A5803" s="7" t="s">
        <v>160</v>
      </c>
    </row>
    <row r="5804" spans="1:1" x14ac:dyDescent="0.25">
      <c r="A5804" s="7" t="s">
        <v>160</v>
      </c>
    </row>
    <row r="5805" spans="1:1" x14ac:dyDescent="0.25">
      <c r="A5805" s="7" t="s">
        <v>160</v>
      </c>
    </row>
    <row r="5806" spans="1:1" x14ac:dyDescent="0.25">
      <c r="A5806" s="7" t="s">
        <v>160</v>
      </c>
    </row>
    <row r="5807" spans="1:1" x14ac:dyDescent="0.25">
      <c r="A5807" s="7" t="s">
        <v>160</v>
      </c>
    </row>
    <row r="5808" spans="1:1" x14ac:dyDescent="0.25">
      <c r="A5808" s="7" t="s">
        <v>160</v>
      </c>
    </row>
    <row r="5809" spans="1:1" x14ac:dyDescent="0.25">
      <c r="A5809" s="7" t="s">
        <v>160</v>
      </c>
    </row>
    <row r="5810" spans="1:1" x14ac:dyDescent="0.25">
      <c r="A5810" s="7" t="s">
        <v>160</v>
      </c>
    </row>
    <row r="5811" spans="1:1" x14ac:dyDescent="0.25">
      <c r="A5811" s="7" t="s">
        <v>160</v>
      </c>
    </row>
    <row r="5812" spans="1:1" x14ac:dyDescent="0.25">
      <c r="A5812" s="7" t="s">
        <v>160</v>
      </c>
    </row>
    <row r="5813" spans="1:1" x14ac:dyDescent="0.25">
      <c r="A5813" s="7" t="s">
        <v>160</v>
      </c>
    </row>
    <row r="5814" spans="1:1" x14ac:dyDescent="0.25">
      <c r="A5814" s="7" t="s">
        <v>160</v>
      </c>
    </row>
    <row r="5815" spans="1:1" x14ac:dyDescent="0.25">
      <c r="A5815" s="8" t="s">
        <v>10453</v>
      </c>
    </row>
    <row r="5816" spans="1:1" x14ac:dyDescent="0.25">
      <c r="A5816" s="7" t="s">
        <v>9790</v>
      </c>
    </row>
    <row r="5817" spans="1:1" x14ac:dyDescent="0.25">
      <c r="A5817" s="8" t="s">
        <v>9812</v>
      </c>
    </row>
    <row r="5818" spans="1:1" x14ac:dyDescent="0.25">
      <c r="A5818" s="8" t="s">
        <v>9812</v>
      </c>
    </row>
    <row r="5819" spans="1:1" x14ac:dyDescent="0.25">
      <c r="A5819" s="8" t="s">
        <v>9812</v>
      </c>
    </row>
    <row r="5820" spans="1:1" x14ac:dyDescent="0.25">
      <c r="A5820" s="8" t="s">
        <v>9812</v>
      </c>
    </row>
    <row r="5821" spans="1:1" x14ac:dyDescent="0.25">
      <c r="A5821" s="7" t="s">
        <v>5259</v>
      </c>
    </row>
    <row r="5822" spans="1:1" x14ac:dyDescent="0.25">
      <c r="A5822" s="7" t="s">
        <v>5259</v>
      </c>
    </row>
    <row r="5823" spans="1:1" x14ac:dyDescent="0.25">
      <c r="A5823" s="7" t="s">
        <v>5259</v>
      </c>
    </row>
    <row r="5824" spans="1:1" x14ac:dyDescent="0.25">
      <c r="A5824" s="7" t="s">
        <v>9215</v>
      </c>
    </row>
    <row r="5825" spans="1:1" x14ac:dyDescent="0.25">
      <c r="A5825" s="7" t="s">
        <v>6255</v>
      </c>
    </row>
    <row r="5826" spans="1:1" x14ac:dyDescent="0.25">
      <c r="A5826" s="7" t="s">
        <v>8419</v>
      </c>
    </row>
    <row r="5827" spans="1:1" x14ac:dyDescent="0.25">
      <c r="A5827" s="7" t="s">
        <v>8419</v>
      </c>
    </row>
    <row r="5828" spans="1:1" x14ac:dyDescent="0.25">
      <c r="A5828" s="7" t="s">
        <v>8419</v>
      </c>
    </row>
    <row r="5829" spans="1:1" x14ac:dyDescent="0.25">
      <c r="A5829" s="7" t="s">
        <v>8419</v>
      </c>
    </row>
    <row r="5830" spans="1:1" x14ac:dyDescent="0.25">
      <c r="A5830" s="7" t="s">
        <v>8419</v>
      </c>
    </row>
    <row r="5831" spans="1:1" x14ac:dyDescent="0.25">
      <c r="A5831" s="7" t="s">
        <v>8419</v>
      </c>
    </row>
    <row r="5832" spans="1:1" x14ac:dyDescent="0.25">
      <c r="A5832" s="7" t="s">
        <v>8419</v>
      </c>
    </row>
    <row r="5833" spans="1:1" x14ac:dyDescent="0.25">
      <c r="A5833" s="7" t="s">
        <v>8419</v>
      </c>
    </row>
    <row r="5834" spans="1:1" x14ac:dyDescent="0.25">
      <c r="A5834" s="7" t="s">
        <v>8419</v>
      </c>
    </row>
    <row r="5835" spans="1:1" x14ac:dyDescent="0.25">
      <c r="A5835" s="7" t="s">
        <v>8419</v>
      </c>
    </row>
    <row r="5836" spans="1:1" x14ac:dyDescent="0.25">
      <c r="A5836" s="7" t="s">
        <v>8419</v>
      </c>
    </row>
    <row r="5837" spans="1:1" x14ac:dyDescent="0.25">
      <c r="A5837" s="7" t="s">
        <v>8419</v>
      </c>
    </row>
    <row r="5838" spans="1:1" x14ac:dyDescent="0.25">
      <c r="A5838" s="7" t="s">
        <v>8419</v>
      </c>
    </row>
    <row r="5839" spans="1:1" x14ac:dyDescent="0.25">
      <c r="A5839" s="8" t="s">
        <v>8419</v>
      </c>
    </row>
    <row r="5840" spans="1:1" x14ac:dyDescent="0.25">
      <c r="A5840" s="8" t="s">
        <v>8419</v>
      </c>
    </row>
    <row r="5841" spans="1:1" x14ac:dyDescent="0.25">
      <c r="A5841" s="8" t="s">
        <v>8419</v>
      </c>
    </row>
    <row r="5842" spans="1:1" x14ac:dyDescent="0.25">
      <c r="A5842" s="7" t="s">
        <v>9643</v>
      </c>
    </row>
    <row r="5843" spans="1:1" x14ac:dyDescent="0.25">
      <c r="A5843" s="8" t="s">
        <v>10034</v>
      </c>
    </row>
    <row r="5844" spans="1:1" x14ac:dyDescent="0.25">
      <c r="A5844" s="8" t="s">
        <v>9978</v>
      </c>
    </row>
    <row r="5845" spans="1:1" x14ac:dyDescent="0.25">
      <c r="A5845" s="8" t="s">
        <v>9978</v>
      </c>
    </row>
    <row r="5846" spans="1:1" x14ac:dyDescent="0.25">
      <c r="A5846" s="8" t="s">
        <v>9978</v>
      </c>
    </row>
    <row r="5847" spans="1:1" x14ac:dyDescent="0.25">
      <c r="A5847" s="8" t="s">
        <v>9704</v>
      </c>
    </row>
    <row r="5848" spans="1:1" x14ac:dyDescent="0.25">
      <c r="A5848" s="8" t="s">
        <v>9970</v>
      </c>
    </row>
    <row r="5849" spans="1:1" x14ac:dyDescent="0.25">
      <c r="A5849" s="7" t="s">
        <v>9162</v>
      </c>
    </row>
    <row r="5850" spans="1:1" x14ac:dyDescent="0.25">
      <c r="A5850" s="7" t="s">
        <v>9162</v>
      </c>
    </row>
    <row r="5851" spans="1:1" x14ac:dyDescent="0.25">
      <c r="A5851" s="8" t="s">
        <v>9162</v>
      </c>
    </row>
    <row r="5852" spans="1:1" x14ac:dyDescent="0.25">
      <c r="A5852" s="8" t="s">
        <v>9162</v>
      </c>
    </row>
    <row r="5853" spans="1:1" x14ac:dyDescent="0.25">
      <c r="A5853" s="8" t="s">
        <v>9162</v>
      </c>
    </row>
    <row r="5854" spans="1:1" x14ac:dyDescent="0.25">
      <c r="A5854" s="8" t="s">
        <v>9162</v>
      </c>
    </row>
    <row r="5855" spans="1:1" x14ac:dyDescent="0.25">
      <c r="A5855" s="8" t="s">
        <v>9162</v>
      </c>
    </row>
    <row r="5856" spans="1:1" x14ac:dyDescent="0.25">
      <c r="A5856" s="8" t="s">
        <v>9162</v>
      </c>
    </row>
    <row r="5857" spans="1:1" x14ac:dyDescent="0.25">
      <c r="A5857" s="8" t="s">
        <v>9162</v>
      </c>
    </row>
    <row r="5858" spans="1:1" x14ac:dyDescent="0.25">
      <c r="A5858" s="8" t="s">
        <v>9162</v>
      </c>
    </row>
    <row r="5859" spans="1:1" x14ac:dyDescent="0.25">
      <c r="A5859" s="8" t="s">
        <v>9162</v>
      </c>
    </row>
    <row r="5860" spans="1:1" x14ac:dyDescent="0.25">
      <c r="A5860" s="8" t="s">
        <v>9162</v>
      </c>
    </row>
    <row r="5861" spans="1:1" x14ac:dyDescent="0.25">
      <c r="A5861" s="7" t="s">
        <v>9842</v>
      </c>
    </row>
    <row r="5862" spans="1:1" x14ac:dyDescent="0.25">
      <c r="A5862" s="7" t="s">
        <v>9667</v>
      </c>
    </row>
    <row r="5863" spans="1:1" x14ac:dyDescent="0.25">
      <c r="A5863" s="7" t="s">
        <v>7897</v>
      </c>
    </row>
    <row r="5864" spans="1:1" x14ac:dyDescent="0.25">
      <c r="A5864" s="7" t="s">
        <v>7897</v>
      </c>
    </row>
    <row r="5865" spans="1:1" x14ac:dyDescent="0.25">
      <c r="A5865" s="7" t="s">
        <v>7897</v>
      </c>
    </row>
    <row r="5866" spans="1:1" x14ac:dyDescent="0.25">
      <c r="A5866" s="7" t="s">
        <v>7897</v>
      </c>
    </row>
    <row r="5867" spans="1:1" x14ac:dyDescent="0.25">
      <c r="A5867" s="7" t="s">
        <v>7897</v>
      </c>
    </row>
    <row r="5868" spans="1:1" x14ac:dyDescent="0.25">
      <c r="A5868" s="7" t="s">
        <v>7897</v>
      </c>
    </row>
    <row r="5869" spans="1:1" x14ac:dyDescent="0.25">
      <c r="A5869" s="7" t="s">
        <v>7897</v>
      </c>
    </row>
    <row r="5870" spans="1:1" x14ac:dyDescent="0.25">
      <c r="A5870" s="7" t="s">
        <v>7897</v>
      </c>
    </row>
    <row r="5871" spans="1:1" x14ac:dyDescent="0.25">
      <c r="A5871" s="7" t="s">
        <v>7897</v>
      </c>
    </row>
    <row r="5872" spans="1:1" x14ac:dyDescent="0.25">
      <c r="A5872" s="7" t="s">
        <v>7897</v>
      </c>
    </row>
    <row r="5873" spans="1:1" x14ac:dyDescent="0.25">
      <c r="A5873" s="7" t="s">
        <v>7897</v>
      </c>
    </row>
    <row r="5874" spans="1:1" x14ac:dyDescent="0.25">
      <c r="A5874" s="7" t="s">
        <v>7897</v>
      </c>
    </row>
    <row r="5875" spans="1:1" x14ac:dyDescent="0.25">
      <c r="A5875" s="7" t="s">
        <v>7897</v>
      </c>
    </row>
    <row r="5876" spans="1:1" x14ac:dyDescent="0.25">
      <c r="A5876" s="7" t="s">
        <v>7897</v>
      </c>
    </row>
    <row r="5877" spans="1:1" x14ac:dyDescent="0.25">
      <c r="A5877" s="7" t="s">
        <v>7897</v>
      </c>
    </row>
    <row r="5878" spans="1:1" x14ac:dyDescent="0.25">
      <c r="A5878" s="7" t="s">
        <v>7897</v>
      </c>
    </row>
    <row r="5879" spans="1:1" x14ac:dyDescent="0.25">
      <c r="A5879" s="7" t="s">
        <v>7897</v>
      </c>
    </row>
    <row r="5880" spans="1:1" x14ac:dyDescent="0.25">
      <c r="A5880" s="7" t="s">
        <v>7897</v>
      </c>
    </row>
    <row r="5881" spans="1:1" x14ac:dyDescent="0.25">
      <c r="A5881" s="7" t="s">
        <v>7897</v>
      </c>
    </row>
    <row r="5882" spans="1:1" x14ac:dyDescent="0.25">
      <c r="A5882" s="8" t="s">
        <v>10258</v>
      </c>
    </row>
    <row r="5883" spans="1:1" x14ac:dyDescent="0.25">
      <c r="A5883" s="8" t="s">
        <v>10258</v>
      </c>
    </row>
    <row r="5884" spans="1:1" x14ac:dyDescent="0.25">
      <c r="A5884" s="8" t="s">
        <v>10258</v>
      </c>
    </row>
    <row r="5885" spans="1:1" x14ac:dyDescent="0.25">
      <c r="A5885" s="8" t="s">
        <v>9655</v>
      </c>
    </row>
    <row r="5886" spans="1:1" x14ac:dyDescent="0.25">
      <c r="A5886" s="8" t="s">
        <v>9655</v>
      </c>
    </row>
    <row r="5887" spans="1:1" x14ac:dyDescent="0.25">
      <c r="A5887" s="8" t="s">
        <v>9655</v>
      </c>
    </row>
    <row r="5888" spans="1:1" x14ac:dyDescent="0.25">
      <c r="A5888" s="8" t="s">
        <v>9655</v>
      </c>
    </row>
    <row r="5889" spans="1:1" x14ac:dyDescent="0.25">
      <c r="A5889" s="8" t="s">
        <v>9589</v>
      </c>
    </row>
    <row r="5890" spans="1:1" x14ac:dyDescent="0.25">
      <c r="A5890" s="8" t="s">
        <v>9123</v>
      </c>
    </row>
    <row r="5891" spans="1:1" x14ac:dyDescent="0.25">
      <c r="A5891" s="7" t="s">
        <v>3812</v>
      </c>
    </row>
    <row r="5892" spans="1:1" x14ac:dyDescent="0.25">
      <c r="A5892" s="7" t="s">
        <v>3812</v>
      </c>
    </row>
    <row r="5893" spans="1:1" x14ac:dyDescent="0.25">
      <c r="A5893" s="7" t="s">
        <v>9133</v>
      </c>
    </row>
    <row r="5894" spans="1:1" x14ac:dyDescent="0.25">
      <c r="A5894" s="7" t="s">
        <v>9133</v>
      </c>
    </row>
    <row r="5895" spans="1:1" x14ac:dyDescent="0.25">
      <c r="A5895" s="7" t="s">
        <v>5376</v>
      </c>
    </row>
    <row r="5896" spans="1:1" x14ac:dyDescent="0.25">
      <c r="A5896" s="7" t="s">
        <v>5376</v>
      </c>
    </row>
    <row r="5897" spans="1:1" x14ac:dyDescent="0.25">
      <c r="A5897" s="7" t="s">
        <v>5376</v>
      </c>
    </row>
    <row r="5898" spans="1:1" x14ac:dyDescent="0.25">
      <c r="A5898" s="7" t="s">
        <v>5376</v>
      </c>
    </row>
    <row r="5899" spans="1:1" x14ac:dyDescent="0.25">
      <c r="A5899" s="7" t="s">
        <v>5376</v>
      </c>
    </row>
    <row r="5900" spans="1:1" x14ac:dyDescent="0.25">
      <c r="A5900" s="7" t="s">
        <v>5376</v>
      </c>
    </row>
    <row r="5901" spans="1:1" x14ac:dyDescent="0.25">
      <c r="A5901" s="7" t="s">
        <v>5376</v>
      </c>
    </row>
    <row r="5902" spans="1:1" x14ac:dyDescent="0.25">
      <c r="A5902" s="7" t="s">
        <v>5376</v>
      </c>
    </row>
    <row r="5903" spans="1:1" x14ac:dyDescent="0.25">
      <c r="A5903" s="7" t="s">
        <v>5376</v>
      </c>
    </row>
    <row r="5904" spans="1:1" x14ac:dyDescent="0.25">
      <c r="A5904" s="7" t="s">
        <v>5376</v>
      </c>
    </row>
    <row r="5905" spans="1:1" x14ac:dyDescent="0.25">
      <c r="A5905" s="7" t="s">
        <v>5376</v>
      </c>
    </row>
    <row r="5906" spans="1:1" x14ac:dyDescent="0.25">
      <c r="A5906" s="7" t="s">
        <v>5376</v>
      </c>
    </row>
    <row r="5907" spans="1:1" x14ac:dyDescent="0.25">
      <c r="A5907" s="8" t="s">
        <v>5376</v>
      </c>
    </row>
    <row r="5908" spans="1:1" x14ac:dyDescent="0.25">
      <c r="A5908" s="8" t="s">
        <v>10397</v>
      </c>
    </row>
    <row r="5909" spans="1:1" x14ac:dyDescent="0.25">
      <c r="A5909" s="8" t="s">
        <v>10360</v>
      </c>
    </row>
    <row r="5910" spans="1:1" x14ac:dyDescent="0.25">
      <c r="A5910" s="7" t="s">
        <v>10515</v>
      </c>
    </row>
    <row r="5911" spans="1:1" x14ac:dyDescent="0.25">
      <c r="A5911" s="7" t="s">
        <v>4912</v>
      </c>
    </row>
    <row r="5912" spans="1:1" x14ac:dyDescent="0.25">
      <c r="A5912" s="7" t="s">
        <v>4912</v>
      </c>
    </row>
    <row r="5913" spans="1:1" x14ac:dyDescent="0.25">
      <c r="A5913" s="8" t="s">
        <v>10061</v>
      </c>
    </row>
    <row r="5914" spans="1:1" x14ac:dyDescent="0.25">
      <c r="A5914" s="8" t="s">
        <v>9958</v>
      </c>
    </row>
    <row r="5915" spans="1:1" x14ac:dyDescent="0.25">
      <c r="A5915" s="8" t="s">
        <v>9907</v>
      </c>
    </row>
    <row r="5916" spans="1:1" x14ac:dyDescent="0.25">
      <c r="A5916" s="7" t="s">
        <v>5038</v>
      </c>
    </row>
    <row r="5917" spans="1:1" x14ac:dyDescent="0.25">
      <c r="A5917" s="7" t="s">
        <v>10252</v>
      </c>
    </row>
    <row r="5918" spans="1:1" x14ac:dyDescent="0.25">
      <c r="A5918" s="7" t="s">
        <v>9288</v>
      </c>
    </row>
    <row r="5919" spans="1:1" x14ac:dyDescent="0.25">
      <c r="A5919" s="7" t="s">
        <v>9288</v>
      </c>
    </row>
    <row r="5920" spans="1:1" x14ac:dyDescent="0.25">
      <c r="A5920" s="7" t="s">
        <v>9288</v>
      </c>
    </row>
    <row r="5921" spans="1:1" x14ac:dyDescent="0.25">
      <c r="A5921" s="7" t="s">
        <v>9288</v>
      </c>
    </row>
    <row r="5922" spans="1:1" x14ac:dyDescent="0.25">
      <c r="A5922" s="8" t="s">
        <v>9288</v>
      </c>
    </row>
    <row r="5923" spans="1:1" x14ac:dyDescent="0.25">
      <c r="A5923" s="8" t="s">
        <v>9892</v>
      </c>
    </row>
    <row r="5924" spans="1:1" x14ac:dyDescent="0.25">
      <c r="A5924" s="7" t="s">
        <v>2888</v>
      </c>
    </row>
    <row r="5925" spans="1:1" x14ac:dyDescent="0.25">
      <c r="A5925" s="7" t="s">
        <v>2888</v>
      </c>
    </row>
    <row r="5926" spans="1:1" x14ac:dyDescent="0.25">
      <c r="A5926" s="7" t="s">
        <v>2888</v>
      </c>
    </row>
    <row r="5927" spans="1:1" x14ac:dyDescent="0.25">
      <c r="A5927" s="8" t="s">
        <v>9253</v>
      </c>
    </row>
    <row r="5928" spans="1:1" x14ac:dyDescent="0.25">
      <c r="A5928" s="8" t="s">
        <v>10614</v>
      </c>
    </row>
    <row r="5929" spans="1:1" x14ac:dyDescent="0.25">
      <c r="A5929" s="7" t="s">
        <v>3850</v>
      </c>
    </row>
    <row r="5930" spans="1:1" x14ac:dyDescent="0.25">
      <c r="A5930" s="7" t="s">
        <v>3850</v>
      </c>
    </row>
    <row r="5931" spans="1:1" x14ac:dyDescent="0.25">
      <c r="A5931" s="8" t="s">
        <v>9764</v>
      </c>
    </row>
    <row r="5932" spans="1:1" x14ac:dyDescent="0.25">
      <c r="A5932" s="7" t="s">
        <v>9394</v>
      </c>
    </row>
    <row r="5933" spans="1:1" x14ac:dyDescent="0.25">
      <c r="A5933" s="7" t="s">
        <v>9394</v>
      </c>
    </row>
    <row r="5934" spans="1:1" x14ac:dyDescent="0.25">
      <c r="A5934" s="8" t="s">
        <v>9394</v>
      </c>
    </row>
    <row r="5935" spans="1:1" x14ac:dyDescent="0.25">
      <c r="A5935" s="8" t="s">
        <v>9394</v>
      </c>
    </row>
    <row r="5936" spans="1:1" x14ac:dyDescent="0.25">
      <c r="A5936" s="8" t="s">
        <v>9394</v>
      </c>
    </row>
    <row r="5937" spans="1:1" x14ac:dyDescent="0.25">
      <c r="A5937" s="7" t="s">
        <v>6023</v>
      </c>
    </row>
    <row r="5938" spans="1:1" x14ac:dyDescent="0.25">
      <c r="A5938" s="7" t="s">
        <v>6023</v>
      </c>
    </row>
    <row r="5939" spans="1:1" x14ac:dyDescent="0.25">
      <c r="A5939" s="7" t="s">
        <v>6023</v>
      </c>
    </row>
    <row r="5940" spans="1:1" x14ac:dyDescent="0.25">
      <c r="A5940" s="7" t="s">
        <v>6023</v>
      </c>
    </row>
    <row r="5941" spans="1:1" x14ac:dyDescent="0.25">
      <c r="A5941" s="7" t="s">
        <v>6023</v>
      </c>
    </row>
    <row r="5942" spans="1:1" x14ac:dyDescent="0.25">
      <c r="A5942" s="8" t="s">
        <v>10345</v>
      </c>
    </row>
    <row r="5943" spans="1:1" x14ac:dyDescent="0.25">
      <c r="A5943" s="7" t="s">
        <v>6933</v>
      </c>
    </row>
    <row r="5944" spans="1:1" x14ac:dyDescent="0.25">
      <c r="A5944" s="8" t="s">
        <v>9407</v>
      </c>
    </row>
    <row r="5945" spans="1:1" x14ac:dyDescent="0.25">
      <c r="A5945" s="7" t="s">
        <v>8223</v>
      </c>
    </row>
    <row r="5946" spans="1:1" x14ac:dyDescent="0.25">
      <c r="A5946" s="7" t="s">
        <v>10112</v>
      </c>
    </row>
    <row r="5947" spans="1:1" x14ac:dyDescent="0.25">
      <c r="A5947" s="8" t="s">
        <v>9061</v>
      </c>
    </row>
    <row r="5948" spans="1:1" x14ac:dyDescent="0.25">
      <c r="A5948" s="8" t="s">
        <v>10240</v>
      </c>
    </row>
    <row r="5949" spans="1:1" x14ac:dyDescent="0.25">
      <c r="A5949" s="7" t="s">
        <v>705</v>
      </c>
    </row>
    <row r="5950" spans="1:1" x14ac:dyDescent="0.25">
      <c r="A5950" s="7" t="s">
        <v>10373</v>
      </c>
    </row>
    <row r="5951" spans="1:1" x14ac:dyDescent="0.25">
      <c r="A5951" s="8" t="s">
        <v>10373</v>
      </c>
    </row>
    <row r="5952" spans="1:1" x14ac:dyDescent="0.25">
      <c r="A5952" s="8" t="s">
        <v>9941</v>
      </c>
    </row>
    <row r="5953" spans="1:1" x14ac:dyDescent="0.25">
      <c r="A5953" s="8" t="s">
        <v>9941</v>
      </c>
    </row>
    <row r="5954" spans="1:1" x14ac:dyDescent="0.25">
      <c r="A5954" s="8" t="s">
        <v>9328</v>
      </c>
    </row>
    <row r="5955" spans="1:1" x14ac:dyDescent="0.25">
      <c r="A5955" s="7" t="s">
        <v>2046</v>
      </c>
    </row>
    <row r="5956" spans="1:1" x14ac:dyDescent="0.25">
      <c r="A5956" s="8" t="s">
        <v>10363</v>
      </c>
    </row>
    <row r="5957" spans="1:1" x14ac:dyDescent="0.25">
      <c r="A5957" s="7" t="s">
        <v>10119</v>
      </c>
    </row>
    <row r="5958" spans="1:1" x14ac:dyDescent="0.25">
      <c r="A5958" s="8" t="s">
        <v>10576</v>
      </c>
    </row>
    <row r="5959" spans="1:1" x14ac:dyDescent="0.25">
      <c r="A5959" s="7" t="s">
        <v>3281</v>
      </c>
    </row>
    <row r="5960" spans="1:1" x14ac:dyDescent="0.25">
      <c r="A5960" s="8" t="s">
        <v>10471</v>
      </c>
    </row>
    <row r="5961" spans="1:1" x14ac:dyDescent="0.25">
      <c r="A5961" s="8" t="s">
        <v>9149</v>
      </c>
    </row>
    <row r="5962" spans="1:1" x14ac:dyDescent="0.25">
      <c r="A5962" s="7" t="s">
        <v>6776</v>
      </c>
    </row>
    <row r="5963" spans="1:1" x14ac:dyDescent="0.25">
      <c r="A5963" s="7" t="s">
        <v>6776</v>
      </c>
    </row>
    <row r="5964" spans="1:1" x14ac:dyDescent="0.25">
      <c r="A5964" s="7" t="s">
        <v>9719</v>
      </c>
    </row>
    <row r="5965" spans="1:1" x14ac:dyDescent="0.25">
      <c r="A5965" s="7" t="s">
        <v>10229</v>
      </c>
    </row>
    <row r="5966" spans="1:1" x14ac:dyDescent="0.25">
      <c r="A5966" s="7" t="s">
        <v>9745</v>
      </c>
    </row>
    <row r="5967" spans="1:1" x14ac:dyDescent="0.25">
      <c r="A5967" s="8" t="s">
        <v>9976</v>
      </c>
    </row>
    <row r="5968" spans="1:1" x14ac:dyDescent="0.25">
      <c r="A5968" s="7" t="s">
        <v>3827</v>
      </c>
    </row>
    <row r="5969" spans="1:1" x14ac:dyDescent="0.25">
      <c r="A5969" s="7" t="s">
        <v>10600</v>
      </c>
    </row>
    <row r="5970" spans="1:1" x14ac:dyDescent="0.25">
      <c r="A5970" s="7" t="s">
        <v>4585</v>
      </c>
    </row>
    <row r="5971" spans="1:1" x14ac:dyDescent="0.25">
      <c r="A5971" s="7" t="s">
        <v>9261</v>
      </c>
    </row>
    <row r="5972" spans="1:1" x14ac:dyDescent="0.25">
      <c r="A5972" s="7" t="s">
        <v>9261</v>
      </c>
    </row>
    <row r="5973" spans="1:1" x14ac:dyDescent="0.25">
      <c r="A5973" s="7" t="s">
        <v>9261</v>
      </c>
    </row>
    <row r="5974" spans="1:1" x14ac:dyDescent="0.25">
      <c r="A5974" s="8" t="s">
        <v>9261</v>
      </c>
    </row>
    <row r="5975" spans="1:1" x14ac:dyDescent="0.25">
      <c r="A5975" s="8" t="s">
        <v>9261</v>
      </c>
    </row>
    <row r="5976" spans="1:1" x14ac:dyDescent="0.25">
      <c r="A5976" s="8" t="s">
        <v>9261</v>
      </c>
    </row>
    <row r="5977" spans="1:1" x14ac:dyDescent="0.25">
      <c r="A5977" s="7" t="s">
        <v>9331</v>
      </c>
    </row>
    <row r="5978" spans="1:1" x14ac:dyDescent="0.25">
      <c r="A5978" s="7" t="s">
        <v>9331</v>
      </c>
    </row>
    <row r="5979" spans="1:1" x14ac:dyDescent="0.25">
      <c r="A5979" s="7" t="s">
        <v>9331</v>
      </c>
    </row>
    <row r="5980" spans="1:1" x14ac:dyDescent="0.25">
      <c r="A5980" s="7" t="s">
        <v>9331</v>
      </c>
    </row>
    <row r="5981" spans="1:1" x14ac:dyDescent="0.25">
      <c r="A5981" s="7" t="s">
        <v>9331</v>
      </c>
    </row>
    <row r="5982" spans="1:1" x14ac:dyDescent="0.25">
      <c r="A5982" s="7" t="s">
        <v>9331</v>
      </c>
    </row>
    <row r="5983" spans="1:1" x14ac:dyDescent="0.25">
      <c r="A5983" s="7" t="s">
        <v>9331</v>
      </c>
    </row>
    <row r="5984" spans="1:1" x14ac:dyDescent="0.25">
      <c r="A5984" s="7" t="s">
        <v>9331</v>
      </c>
    </row>
    <row r="5985" spans="1:1" x14ac:dyDescent="0.25">
      <c r="A5985" s="7" t="s">
        <v>9331</v>
      </c>
    </row>
    <row r="5986" spans="1:1" x14ac:dyDescent="0.25">
      <c r="A5986" s="7" t="s">
        <v>9331</v>
      </c>
    </row>
    <row r="5987" spans="1:1" x14ac:dyDescent="0.25">
      <c r="A5987" s="7" t="s">
        <v>9331</v>
      </c>
    </row>
    <row r="5988" spans="1:1" x14ac:dyDescent="0.25">
      <c r="A5988" s="8" t="s">
        <v>9331</v>
      </c>
    </row>
    <row r="5989" spans="1:1" x14ac:dyDescent="0.25">
      <c r="A5989" s="8" t="s">
        <v>9331</v>
      </c>
    </row>
    <row r="5990" spans="1:1" x14ac:dyDescent="0.25">
      <c r="A5990" s="8" t="s">
        <v>9331</v>
      </c>
    </row>
    <row r="5991" spans="1:1" x14ac:dyDescent="0.25">
      <c r="A5991" s="7" t="s">
        <v>10527</v>
      </c>
    </row>
    <row r="5992" spans="1:1" x14ac:dyDescent="0.25">
      <c r="A5992" s="8" t="s">
        <v>9254</v>
      </c>
    </row>
    <row r="5993" spans="1:1" x14ac:dyDescent="0.25">
      <c r="A5993" s="8" t="s">
        <v>9254</v>
      </c>
    </row>
    <row r="5994" spans="1:1" x14ac:dyDescent="0.25">
      <c r="A5994" s="7" t="s">
        <v>9349</v>
      </c>
    </row>
    <row r="5995" spans="1:1" x14ac:dyDescent="0.25">
      <c r="A5995" s="8" t="s">
        <v>10408</v>
      </c>
    </row>
    <row r="5996" spans="1:1" x14ac:dyDescent="0.25">
      <c r="A5996" s="8" t="s">
        <v>9147</v>
      </c>
    </row>
    <row r="5997" spans="1:1" x14ac:dyDescent="0.25">
      <c r="A5997" s="7" t="s">
        <v>10257</v>
      </c>
    </row>
    <row r="5998" spans="1:1" x14ac:dyDescent="0.25">
      <c r="A5998" s="7" t="s">
        <v>9193</v>
      </c>
    </row>
    <row r="5999" spans="1:1" x14ac:dyDescent="0.25">
      <c r="A5999" s="7" t="s">
        <v>4914</v>
      </c>
    </row>
    <row r="6000" spans="1:1" x14ac:dyDescent="0.25">
      <c r="A6000" s="8" t="s">
        <v>4914</v>
      </c>
    </row>
    <row r="6001" spans="1:1" x14ac:dyDescent="0.25">
      <c r="A6001" s="8" t="s">
        <v>4914</v>
      </c>
    </row>
    <row r="6002" spans="1:1" x14ac:dyDescent="0.25">
      <c r="A6002" s="8" t="s">
        <v>10654</v>
      </c>
    </row>
    <row r="6003" spans="1:1" x14ac:dyDescent="0.25">
      <c r="A6003" s="8" t="s">
        <v>10654</v>
      </c>
    </row>
    <row r="6004" spans="1:1" x14ac:dyDescent="0.25">
      <c r="A6004" s="7" t="s">
        <v>2691</v>
      </c>
    </row>
    <row r="6005" spans="1:1" x14ac:dyDescent="0.25">
      <c r="A6005" s="7" t="s">
        <v>2691</v>
      </c>
    </row>
    <row r="6006" spans="1:1" x14ac:dyDescent="0.25">
      <c r="A6006" s="8" t="s">
        <v>3282</v>
      </c>
    </row>
    <row r="6007" spans="1:1" x14ac:dyDescent="0.25">
      <c r="A6007" s="7" t="s">
        <v>10233</v>
      </c>
    </row>
    <row r="6008" spans="1:1" x14ac:dyDescent="0.25">
      <c r="A6008" s="8" t="s">
        <v>9973</v>
      </c>
    </row>
    <row r="6009" spans="1:1" x14ac:dyDescent="0.25">
      <c r="A6009" s="7" t="s">
        <v>10050</v>
      </c>
    </row>
    <row r="6010" spans="1:1" x14ac:dyDescent="0.25">
      <c r="A6010" s="7" t="s">
        <v>10050</v>
      </c>
    </row>
    <row r="6011" spans="1:1" x14ac:dyDescent="0.25">
      <c r="A6011" s="7" t="s">
        <v>10050</v>
      </c>
    </row>
    <row r="6012" spans="1:1" x14ac:dyDescent="0.25">
      <c r="A6012" s="8" t="s">
        <v>10627</v>
      </c>
    </row>
    <row r="6013" spans="1:1" x14ac:dyDescent="0.25">
      <c r="A6013" s="7" t="s">
        <v>6372</v>
      </c>
    </row>
    <row r="6014" spans="1:1" x14ac:dyDescent="0.25">
      <c r="A6014" s="7" t="s">
        <v>6372</v>
      </c>
    </row>
    <row r="6015" spans="1:1" x14ac:dyDescent="0.25">
      <c r="A6015" s="7" t="s">
        <v>6372</v>
      </c>
    </row>
    <row r="6016" spans="1:1" x14ac:dyDescent="0.25">
      <c r="A6016" s="7" t="s">
        <v>6372</v>
      </c>
    </row>
    <row r="6017" spans="1:1" x14ac:dyDescent="0.25">
      <c r="A6017" s="7" t="s">
        <v>6372</v>
      </c>
    </row>
    <row r="6018" spans="1:1" x14ac:dyDescent="0.25">
      <c r="A6018" s="7" t="s">
        <v>6372</v>
      </c>
    </row>
    <row r="6019" spans="1:1" x14ac:dyDescent="0.25">
      <c r="A6019" s="7" t="s">
        <v>6372</v>
      </c>
    </row>
    <row r="6020" spans="1:1" x14ac:dyDescent="0.25">
      <c r="A6020" s="7" t="s">
        <v>6372</v>
      </c>
    </row>
    <row r="6021" spans="1:1" x14ac:dyDescent="0.25">
      <c r="A6021" s="7" t="s">
        <v>6372</v>
      </c>
    </row>
    <row r="6022" spans="1:1" x14ac:dyDescent="0.25">
      <c r="A6022" s="7" t="s">
        <v>6372</v>
      </c>
    </row>
    <row r="6023" spans="1:1" x14ac:dyDescent="0.25">
      <c r="A6023" s="8" t="s">
        <v>6372</v>
      </c>
    </row>
    <row r="6024" spans="1:1" x14ac:dyDescent="0.25">
      <c r="A6024" s="8" t="s">
        <v>6372</v>
      </c>
    </row>
    <row r="6025" spans="1:1" x14ac:dyDescent="0.25">
      <c r="A6025" s="8" t="s">
        <v>6372</v>
      </c>
    </row>
    <row r="6026" spans="1:1" x14ac:dyDescent="0.25">
      <c r="A6026" s="8" t="s">
        <v>6372</v>
      </c>
    </row>
    <row r="6027" spans="1:1" x14ac:dyDescent="0.25">
      <c r="A6027" s="8" t="s">
        <v>9844</v>
      </c>
    </row>
    <row r="6028" spans="1:1" x14ac:dyDescent="0.25">
      <c r="A6028" s="8" t="s">
        <v>10425</v>
      </c>
    </row>
    <row r="6029" spans="1:1" x14ac:dyDescent="0.25">
      <c r="A6029" s="8" t="s">
        <v>9639</v>
      </c>
    </row>
    <row r="6030" spans="1:1" x14ac:dyDescent="0.25">
      <c r="A6030" s="7" t="s">
        <v>1482</v>
      </c>
    </row>
    <row r="6031" spans="1:1" x14ac:dyDescent="0.25">
      <c r="A6031" s="7" t="s">
        <v>1482</v>
      </c>
    </row>
    <row r="6032" spans="1:1" x14ac:dyDescent="0.25">
      <c r="A6032" s="8" t="s">
        <v>1482</v>
      </c>
    </row>
    <row r="6033" spans="1:1" x14ac:dyDescent="0.25">
      <c r="A6033" s="7" t="s">
        <v>9551</v>
      </c>
    </row>
    <row r="6034" spans="1:1" x14ac:dyDescent="0.25">
      <c r="A6034" s="8" t="s">
        <v>9551</v>
      </c>
    </row>
    <row r="6035" spans="1:1" x14ac:dyDescent="0.25">
      <c r="A6035" s="8" t="s">
        <v>9338</v>
      </c>
    </row>
    <row r="6036" spans="1:1" x14ac:dyDescent="0.25">
      <c r="A6036" s="8" t="s">
        <v>9338</v>
      </c>
    </row>
    <row r="6037" spans="1:1" x14ac:dyDescent="0.25">
      <c r="A6037" s="7" t="s">
        <v>9185</v>
      </c>
    </row>
    <row r="6038" spans="1:1" x14ac:dyDescent="0.25">
      <c r="A6038" s="8" t="s">
        <v>9185</v>
      </c>
    </row>
    <row r="6039" spans="1:1" x14ac:dyDescent="0.25">
      <c r="A6039" s="8" t="s">
        <v>9185</v>
      </c>
    </row>
    <row r="6040" spans="1:1" x14ac:dyDescent="0.25">
      <c r="A6040" s="8" t="s">
        <v>9185</v>
      </c>
    </row>
    <row r="6041" spans="1:1" x14ac:dyDescent="0.25">
      <c r="A6041" s="8" t="s">
        <v>9185</v>
      </c>
    </row>
    <row r="6042" spans="1:1" x14ac:dyDescent="0.25">
      <c r="A6042" s="8" t="s">
        <v>9185</v>
      </c>
    </row>
    <row r="6043" spans="1:1" x14ac:dyDescent="0.25">
      <c r="A6043" s="8" t="s">
        <v>9991</v>
      </c>
    </row>
    <row r="6044" spans="1:1" x14ac:dyDescent="0.25">
      <c r="A6044" s="7" t="s">
        <v>10205</v>
      </c>
    </row>
    <row r="6045" spans="1:1" x14ac:dyDescent="0.25">
      <c r="A6045" s="7" t="s">
        <v>2475</v>
      </c>
    </row>
    <row r="6046" spans="1:1" x14ac:dyDescent="0.25">
      <c r="A6046" s="7" t="s">
        <v>2475</v>
      </c>
    </row>
    <row r="6047" spans="1:1" x14ac:dyDescent="0.25">
      <c r="A6047" s="7" t="s">
        <v>2475</v>
      </c>
    </row>
    <row r="6048" spans="1:1" x14ac:dyDescent="0.25">
      <c r="A6048" s="7" t="s">
        <v>2475</v>
      </c>
    </row>
    <row r="6049" spans="1:1" x14ac:dyDescent="0.25">
      <c r="A6049" s="7" t="s">
        <v>2475</v>
      </c>
    </row>
    <row r="6050" spans="1:1" x14ac:dyDescent="0.25">
      <c r="A6050" s="7" t="s">
        <v>2475</v>
      </c>
    </row>
    <row r="6051" spans="1:1" x14ac:dyDescent="0.25">
      <c r="A6051" s="8" t="s">
        <v>9513</v>
      </c>
    </row>
    <row r="6052" spans="1:1" x14ac:dyDescent="0.25">
      <c r="A6052" s="7" t="s">
        <v>9450</v>
      </c>
    </row>
    <row r="6053" spans="1:1" x14ac:dyDescent="0.25">
      <c r="A6053" s="8" t="s">
        <v>9450</v>
      </c>
    </row>
    <row r="6054" spans="1:1" x14ac:dyDescent="0.25">
      <c r="A6054" s="8" t="s">
        <v>9450</v>
      </c>
    </row>
    <row r="6055" spans="1:1" x14ac:dyDescent="0.25">
      <c r="A6055" s="8" t="s">
        <v>9450</v>
      </c>
    </row>
    <row r="6056" spans="1:1" x14ac:dyDescent="0.25">
      <c r="A6056" s="7" t="s">
        <v>2393</v>
      </c>
    </row>
    <row r="6057" spans="1:1" x14ac:dyDescent="0.25">
      <c r="A6057" s="7" t="s">
        <v>6185</v>
      </c>
    </row>
    <row r="6058" spans="1:1" x14ac:dyDescent="0.25">
      <c r="A6058" s="8" t="s">
        <v>6185</v>
      </c>
    </row>
    <row r="6059" spans="1:1" x14ac:dyDescent="0.25">
      <c r="A6059" s="7" t="s">
        <v>3897</v>
      </c>
    </row>
    <row r="6060" spans="1:1" x14ac:dyDescent="0.25">
      <c r="A6060" s="8" t="s">
        <v>10314</v>
      </c>
    </row>
    <row r="6061" spans="1:1" x14ac:dyDescent="0.25">
      <c r="A6061" s="8" t="s">
        <v>9339</v>
      </c>
    </row>
    <row r="6062" spans="1:1" x14ac:dyDescent="0.25">
      <c r="A6062" s="8" t="s">
        <v>9339</v>
      </c>
    </row>
    <row r="6063" spans="1:1" x14ac:dyDescent="0.25">
      <c r="A6063" s="8" t="s">
        <v>9339</v>
      </c>
    </row>
    <row r="6064" spans="1:1" x14ac:dyDescent="0.25">
      <c r="A6064" s="7" t="s">
        <v>9425</v>
      </c>
    </row>
    <row r="6065" spans="1:1" x14ac:dyDescent="0.25">
      <c r="A6065" s="8" t="s">
        <v>9425</v>
      </c>
    </row>
    <row r="6066" spans="1:1" x14ac:dyDescent="0.25">
      <c r="A6066" s="8" t="s">
        <v>9425</v>
      </c>
    </row>
    <row r="6067" spans="1:1" x14ac:dyDescent="0.25">
      <c r="A6067" s="8" t="s">
        <v>9425</v>
      </c>
    </row>
    <row r="6068" spans="1:1" x14ac:dyDescent="0.25">
      <c r="A6068" s="8" t="s">
        <v>9425</v>
      </c>
    </row>
    <row r="6069" spans="1:1" x14ac:dyDescent="0.25">
      <c r="A6069" s="7" t="s">
        <v>9779</v>
      </c>
    </row>
    <row r="6070" spans="1:1" x14ac:dyDescent="0.25">
      <c r="A6070" s="8" t="s">
        <v>9779</v>
      </c>
    </row>
    <row r="6071" spans="1:1" x14ac:dyDescent="0.25">
      <c r="A6071" s="7" t="s">
        <v>6374</v>
      </c>
    </row>
    <row r="6072" spans="1:1" x14ac:dyDescent="0.25">
      <c r="A6072" s="7" t="s">
        <v>6658</v>
      </c>
    </row>
    <row r="6073" spans="1:1" x14ac:dyDescent="0.25">
      <c r="A6073" s="8" t="s">
        <v>9791</v>
      </c>
    </row>
    <row r="6074" spans="1:1" x14ac:dyDescent="0.25">
      <c r="A6074" s="8" t="s">
        <v>9791</v>
      </c>
    </row>
    <row r="6075" spans="1:1" x14ac:dyDescent="0.25">
      <c r="A6075" s="8" t="s">
        <v>9075</v>
      </c>
    </row>
    <row r="6076" spans="1:1" x14ac:dyDescent="0.25">
      <c r="A6076" s="8" t="s">
        <v>10134</v>
      </c>
    </row>
    <row r="6077" spans="1:1" x14ac:dyDescent="0.25">
      <c r="A6077" s="7" t="s">
        <v>4344</v>
      </c>
    </row>
    <row r="6078" spans="1:1" x14ac:dyDescent="0.25">
      <c r="A6078" s="7" t="s">
        <v>2880</v>
      </c>
    </row>
    <row r="6079" spans="1:1" x14ac:dyDescent="0.25">
      <c r="A6079" s="8" t="s">
        <v>10574</v>
      </c>
    </row>
    <row r="6080" spans="1:1" x14ac:dyDescent="0.25">
      <c r="A6080" s="7" t="s">
        <v>10142</v>
      </c>
    </row>
    <row r="6081" spans="1:1" x14ac:dyDescent="0.25">
      <c r="A6081" s="7" t="s">
        <v>3818</v>
      </c>
    </row>
    <row r="6082" spans="1:1" x14ac:dyDescent="0.25">
      <c r="A6082" s="7" t="s">
        <v>3818</v>
      </c>
    </row>
    <row r="6083" spans="1:1" x14ac:dyDescent="0.25">
      <c r="A6083" s="8" t="s">
        <v>3818</v>
      </c>
    </row>
    <row r="6084" spans="1:1" x14ac:dyDescent="0.25">
      <c r="A6084" s="7" t="s">
        <v>2481</v>
      </c>
    </row>
    <row r="6085" spans="1:1" x14ac:dyDescent="0.25">
      <c r="A6085" s="8" t="s">
        <v>2481</v>
      </c>
    </row>
    <row r="6086" spans="1:1" x14ac:dyDescent="0.25">
      <c r="A6086" s="7" t="s">
        <v>8886</v>
      </c>
    </row>
    <row r="6087" spans="1:1" x14ac:dyDescent="0.25">
      <c r="A6087" s="7" t="s">
        <v>1948</v>
      </c>
    </row>
    <row r="6088" spans="1:1" x14ac:dyDescent="0.25">
      <c r="A6088" s="7" t="s">
        <v>1948</v>
      </c>
    </row>
    <row r="6089" spans="1:1" x14ac:dyDescent="0.25">
      <c r="A6089" s="7" t="s">
        <v>1948</v>
      </c>
    </row>
    <row r="6090" spans="1:1" x14ac:dyDescent="0.25">
      <c r="A6090" s="7" t="s">
        <v>1948</v>
      </c>
    </row>
    <row r="6091" spans="1:1" x14ac:dyDescent="0.25">
      <c r="A6091" s="7" t="s">
        <v>1948</v>
      </c>
    </row>
    <row r="6092" spans="1:1" x14ac:dyDescent="0.25">
      <c r="A6092" s="7" t="s">
        <v>1948</v>
      </c>
    </row>
    <row r="6093" spans="1:1" x14ac:dyDescent="0.25">
      <c r="A6093" s="8" t="s">
        <v>1948</v>
      </c>
    </row>
    <row r="6094" spans="1:1" x14ac:dyDescent="0.25">
      <c r="A6094" s="8" t="s">
        <v>1948</v>
      </c>
    </row>
    <row r="6095" spans="1:1" x14ac:dyDescent="0.25">
      <c r="A6095" s="8" t="s">
        <v>9433</v>
      </c>
    </row>
    <row r="6096" spans="1:1" x14ac:dyDescent="0.25">
      <c r="A6096" s="8" t="s">
        <v>9433</v>
      </c>
    </row>
    <row r="6097" spans="1:1" x14ac:dyDescent="0.25">
      <c r="A6097" s="7" t="s">
        <v>6214</v>
      </c>
    </row>
    <row r="6098" spans="1:1" x14ac:dyDescent="0.25">
      <c r="A6098" s="7" t="s">
        <v>6214</v>
      </c>
    </row>
    <row r="6099" spans="1:1" x14ac:dyDescent="0.25">
      <c r="A6099" s="8" t="s">
        <v>6214</v>
      </c>
    </row>
    <row r="6100" spans="1:1" x14ac:dyDescent="0.25">
      <c r="A6100" s="8" t="s">
        <v>9468</v>
      </c>
    </row>
    <row r="6101" spans="1:1" x14ac:dyDescent="0.25">
      <c r="A6101" s="7" t="s">
        <v>5202</v>
      </c>
    </row>
    <row r="6102" spans="1:1" x14ac:dyDescent="0.25">
      <c r="A6102" s="7" t="s">
        <v>5202</v>
      </c>
    </row>
    <row r="6103" spans="1:1" x14ac:dyDescent="0.25">
      <c r="A6103" s="7" t="s">
        <v>5191</v>
      </c>
    </row>
    <row r="6104" spans="1:1" x14ac:dyDescent="0.25">
      <c r="A6104" s="7" t="s">
        <v>5191</v>
      </c>
    </row>
    <row r="6105" spans="1:1" x14ac:dyDescent="0.25">
      <c r="A6105" s="7" t="s">
        <v>5191</v>
      </c>
    </row>
    <row r="6106" spans="1:1" x14ac:dyDescent="0.25">
      <c r="A6106" s="7" t="s">
        <v>4617</v>
      </c>
    </row>
    <row r="6107" spans="1:1" x14ac:dyDescent="0.25">
      <c r="A6107" s="7" t="s">
        <v>4617</v>
      </c>
    </row>
    <row r="6108" spans="1:1" x14ac:dyDescent="0.25">
      <c r="A6108" s="8" t="s">
        <v>4617</v>
      </c>
    </row>
    <row r="6109" spans="1:1" x14ac:dyDescent="0.25">
      <c r="A6109" s="8" t="s">
        <v>4617</v>
      </c>
    </row>
    <row r="6110" spans="1:1" x14ac:dyDescent="0.25">
      <c r="A6110" s="8" t="s">
        <v>4617</v>
      </c>
    </row>
    <row r="6111" spans="1:1" x14ac:dyDescent="0.25">
      <c r="A6111" s="7" t="s">
        <v>5140</v>
      </c>
    </row>
    <row r="6112" spans="1:1" x14ac:dyDescent="0.25">
      <c r="A6112" s="7" t="s">
        <v>5140</v>
      </c>
    </row>
    <row r="6113" spans="1:1" x14ac:dyDescent="0.25">
      <c r="A6113" s="8" t="s">
        <v>10674</v>
      </c>
    </row>
    <row r="6114" spans="1:1" x14ac:dyDescent="0.25">
      <c r="A6114" s="7" t="s">
        <v>4539</v>
      </c>
    </row>
    <row r="6115" spans="1:1" x14ac:dyDescent="0.25">
      <c r="A6115" s="7" t="s">
        <v>9622</v>
      </c>
    </row>
    <row r="6116" spans="1:1" x14ac:dyDescent="0.25">
      <c r="A6116" s="7" t="s">
        <v>8627</v>
      </c>
    </row>
    <row r="6117" spans="1:1" x14ac:dyDescent="0.25">
      <c r="A6117" s="7" t="s">
        <v>8627</v>
      </c>
    </row>
    <row r="6118" spans="1:1" x14ac:dyDescent="0.25">
      <c r="A6118" s="8" t="s">
        <v>8627</v>
      </c>
    </row>
    <row r="6119" spans="1:1" x14ac:dyDescent="0.25">
      <c r="A6119" s="7" t="s">
        <v>10330</v>
      </c>
    </row>
    <row r="6120" spans="1:1" x14ac:dyDescent="0.25">
      <c r="A6120" s="7" t="s">
        <v>4036</v>
      </c>
    </row>
    <row r="6121" spans="1:1" x14ac:dyDescent="0.25">
      <c r="A6121" s="8" t="s">
        <v>9031</v>
      </c>
    </row>
    <row r="6122" spans="1:1" x14ac:dyDescent="0.25">
      <c r="A6122" s="7" t="s">
        <v>10332</v>
      </c>
    </row>
    <row r="6123" spans="1:1" x14ac:dyDescent="0.25">
      <c r="A6123" s="8" t="s">
        <v>8904</v>
      </c>
    </row>
    <row r="6124" spans="1:1" x14ac:dyDescent="0.25">
      <c r="A6124" s="8" t="s">
        <v>8904</v>
      </c>
    </row>
    <row r="6125" spans="1:1" x14ac:dyDescent="0.25">
      <c r="A6125" s="8" t="s">
        <v>10348</v>
      </c>
    </row>
    <row r="6126" spans="1:1" x14ac:dyDescent="0.25">
      <c r="A6126" s="7" t="s">
        <v>9917</v>
      </c>
    </row>
    <row r="6127" spans="1:1" x14ac:dyDescent="0.25">
      <c r="A6127" s="8" t="s">
        <v>10157</v>
      </c>
    </row>
    <row r="6128" spans="1:1" x14ac:dyDescent="0.25">
      <c r="A6128" s="8" t="s">
        <v>10157</v>
      </c>
    </row>
    <row r="6129" spans="1:1" x14ac:dyDescent="0.25">
      <c r="A6129" s="8" t="s">
        <v>9201</v>
      </c>
    </row>
    <row r="6130" spans="1:1" x14ac:dyDescent="0.25">
      <c r="A6130" s="8" t="s">
        <v>9796</v>
      </c>
    </row>
    <row r="6131" spans="1:1" x14ac:dyDescent="0.25">
      <c r="A6131" s="8" t="s">
        <v>10128</v>
      </c>
    </row>
    <row r="6132" spans="1:1" x14ac:dyDescent="0.25">
      <c r="A6132" s="7" t="s">
        <v>9538</v>
      </c>
    </row>
    <row r="6133" spans="1:1" x14ac:dyDescent="0.25">
      <c r="A6133" s="7" t="s">
        <v>2552</v>
      </c>
    </row>
    <row r="6134" spans="1:1" x14ac:dyDescent="0.25">
      <c r="A6134" s="8" t="s">
        <v>2552</v>
      </c>
    </row>
    <row r="6135" spans="1:1" x14ac:dyDescent="0.25">
      <c r="A6135" s="7" t="s">
        <v>2895</v>
      </c>
    </row>
    <row r="6136" spans="1:1" x14ac:dyDescent="0.25">
      <c r="A6136" s="8" t="s">
        <v>10634</v>
      </c>
    </row>
    <row r="6137" spans="1:1" x14ac:dyDescent="0.25">
      <c r="A6137" s="8" t="s">
        <v>10502</v>
      </c>
    </row>
    <row r="6138" spans="1:1" x14ac:dyDescent="0.25">
      <c r="A6138" s="7" t="s">
        <v>6072</v>
      </c>
    </row>
    <row r="6139" spans="1:1" x14ac:dyDescent="0.25">
      <c r="A6139" s="8" t="s">
        <v>10413</v>
      </c>
    </row>
    <row r="6140" spans="1:1" x14ac:dyDescent="0.25">
      <c r="A6140" s="8" t="s">
        <v>9517</v>
      </c>
    </row>
    <row r="6141" spans="1:1" x14ac:dyDescent="0.25">
      <c r="A6141" s="7" t="s">
        <v>4313</v>
      </c>
    </row>
    <row r="6142" spans="1:1" x14ac:dyDescent="0.25">
      <c r="A6142" s="7" t="s">
        <v>1978</v>
      </c>
    </row>
    <row r="6143" spans="1:1" x14ac:dyDescent="0.25">
      <c r="A6143" s="7" t="s">
        <v>1978</v>
      </c>
    </row>
    <row r="6144" spans="1:1" x14ac:dyDescent="0.25">
      <c r="A6144" s="7" t="s">
        <v>1978</v>
      </c>
    </row>
    <row r="6145" spans="1:1" x14ac:dyDescent="0.25">
      <c r="A6145" s="7" t="s">
        <v>1978</v>
      </c>
    </row>
    <row r="6146" spans="1:1" x14ac:dyDescent="0.25">
      <c r="A6146" s="7" t="s">
        <v>1978</v>
      </c>
    </row>
    <row r="6147" spans="1:1" x14ac:dyDescent="0.25">
      <c r="A6147" s="7" t="s">
        <v>1978</v>
      </c>
    </row>
    <row r="6148" spans="1:1" x14ac:dyDescent="0.25">
      <c r="A6148" s="7" t="s">
        <v>1978</v>
      </c>
    </row>
    <row r="6149" spans="1:1" x14ac:dyDescent="0.25">
      <c r="A6149" s="8" t="s">
        <v>1978</v>
      </c>
    </row>
    <row r="6150" spans="1:1" x14ac:dyDescent="0.25">
      <c r="A6150" s="8" t="s">
        <v>1978</v>
      </c>
    </row>
    <row r="6151" spans="1:1" x14ac:dyDescent="0.25">
      <c r="A6151" s="8" t="s">
        <v>1978</v>
      </c>
    </row>
    <row r="6152" spans="1:1" x14ac:dyDescent="0.25">
      <c r="A6152" s="8" t="s">
        <v>1978</v>
      </c>
    </row>
    <row r="6153" spans="1:1" x14ac:dyDescent="0.25">
      <c r="A6153" s="7" t="s">
        <v>587</v>
      </c>
    </row>
    <row r="6154" spans="1:1" x14ac:dyDescent="0.25">
      <c r="A6154" s="7" t="s">
        <v>587</v>
      </c>
    </row>
    <row r="6155" spans="1:1" x14ac:dyDescent="0.25">
      <c r="A6155" s="7" t="s">
        <v>10418</v>
      </c>
    </row>
    <row r="6156" spans="1:1" x14ac:dyDescent="0.25">
      <c r="A6156" s="7" t="s">
        <v>10418</v>
      </c>
    </row>
    <row r="6157" spans="1:1" x14ac:dyDescent="0.25">
      <c r="A6157" s="7" t="s">
        <v>9974</v>
      </c>
    </row>
    <row r="6158" spans="1:1" x14ac:dyDescent="0.25">
      <c r="A6158" s="7" t="s">
        <v>9974</v>
      </c>
    </row>
    <row r="6159" spans="1:1" x14ac:dyDescent="0.25">
      <c r="A6159" s="7" t="s">
        <v>9974</v>
      </c>
    </row>
    <row r="6160" spans="1:1" x14ac:dyDescent="0.25">
      <c r="A6160" s="7" t="s">
        <v>9974</v>
      </c>
    </row>
    <row r="6161" spans="1:1" x14ac:dyDescent="0.25">
      <c r="A6161" s="7" t="s">
        <v>9974</v>
      </c>
    </row>
    <row r="6162" spans="1:1" x14ac:dyDescent="0.25">
      <c r="A6162" s="7" t="s">
        <v>9974</v>
      </c>
    </row>
    <row r="6163" spans="1:1" x14ac:dyDescent="0.25">
      <c r="A6163" s="7" t="s">
        <v>9974</v>
      </c>
    </row>
    <row r="6164" spans="1:1" x14ac:dyDescent="0.25">
      <c r="A6164" s="7" t="s">
        <v>9974</v>
      </c>
    </row>
    <row r="6165" spans="1:1" x14ac:dyDescent="0.25">
      <c r="A6165" s="7" t="s">
        <v>9974</v>
      </c>
    </row>
    <row r="6166" spans="1:1" x14ac:dyDescent="0.25">
      <c r="A6166" s="7" t="s">
        <v>9974</v>
      </c>
    </row>
    <row r="6167" spans="1:1" x14ac:dyDescent="0.25">
      <c r="A6167" s="7" t="s">
        <v>9974</v>
      </c>
    </row>
    <row r="6168" spans="1:1" x14ac:dyDescent="0.25">
      <c r="A6168" s="8" t="s">
        <v>9974</v>
      </c>
    </row>
    <row r="6169" spans="1:1" x14ac:dyDescent="0.25">
      <c r="A6169" s="8" t="s">
        <v>9974</v>
      </c>
    </row>
    <row r="6170" spans="1:1" x14ac:dyDescent="0.25">
      <c r="A6170" s="7" t="s">
        <v>9114</v>
      </c>
    </row>
    <row r="6171" spans="1:1" x14ac:dyDescent="0.25">
      <c r="A6171" s="7" t="s">
        <v>9114</v>
      </c>
    </row>
    <row r="6172" spans="1:1" x14ac:dyDescent="0.25">
      <c r="A6172" s="7" t="s">
        <v>9114</v>
      </c>
    </row>
    <row r="6173" spans="1:1" x14ac:dyDescent="0.25">
      <c r="A6173" s="7" t="s">
        <v>9114</v>
      </c>
    </row>
    <row r="6174" spans="1:1" x14ac:dyDescent="0.25">
      <c r="A6174" s="7" t="s">
        <v>9114</v>
      </c>
    </row>
    <row r="6175" spans="1:1" x14ac:dyDescent="0.25">
      <c r="A6175" s="7" t="s">
        <v>9114</v>
      </c>
    </row>
    <row r="6176" spans="1:1" x14ac:dyDescent="0.25">
      <c r="A6176" s="7" t="s">
        <v>9114</v>
      </c>
    </row>
    <row r="6177" spans="1:1" x14ac:dyDescent="0.25">
      <c r="A6177" s="7" t="s">
        <v>9114</v>
      </c>
    </row>
    <row r="6178" spans="1:1" x14ac:dyDescent="0.25">
      <c r="A6178" s="7" t="s">
        <v>9114</v>
      </c>
    </row>
    <row r="6179" spans="1:1" x14ac:dyDescent="0.25">
      <c r="A6179" s="7" t="s">
        <v>9114</v>
      </c>
    </row>
    <row r="6180" spans="1:1" x14ac:dyDescent="0.25">
      <c r="A6180" s="7" t="s">
        <v>9114</v>
      </c>
    </row>
    <row r="6181" spans="1:1" x14ac:dyDescent="0.25">
      <c r="A6181" s="7" t="s">
        <v>9114</v>
      </c>
    </row>
    <row r="6182" spans="1:1" x14ac:dyDescent="0.25">
      <c r="A6182" s="7" t="s">
        <v>9114</v>
      </c>
    </row>
    <row r="6183" spans="1:1" x14ac:dyDescent="0.25">
      <c r="A6183" s="7" t="s">
        <v>9114</v>
      </c>
    </row>
    <row r="6184" spans="1:1" x14ac:dyDescent="0.25">
      <c r="A6184" s="7" t="s">
        <v>9114</v>
      </c>
    </row>
    <row r="6185" spans="1:1" x14ac:dyDescent="0.25">
      <c r="A6185" s="7" t="s">
        <v>9114</v>
      </c>
    </row>
    <row r="6186" spans="1:1" x14ac:dyDescent="0.25">
      <c r="A6186" s="7" t="s">
        <v>9114</v>
      </c>
    </row>
    <row r="6187" spans="1:1" x14ac:dyDescent="0.25">
      <c r="A6187" s="8" t="s">
        <v>9114</v>
      </c>
    </row>
    <row r="6188" spans="1:1" x14ac:dyDescent="0.25">
      <c r="A6188" s="8" t="s">
        <v>9114</v>
      </c>
    </row>
    <row r="6189" spans="1:1" x14ac:dyDescent="0.25">
      <c r="A6189" s="8" t="s">
        <v>9114</v>
      </c>
    </row>
    <row r="6190" spans="1:1" x14ac:dyDescent="0.25">
      <c r="A6190" s="8" t="s">
        <v>9114</v>
      </c>
    </row>
    <row r="6191" spans="1:1" x14ac:dyDescent="0.25">
      <c r="A6191" s="8" t="s">
        <v>9114</v>
      </c>
    </row>
    <row r="6192" spans="1:1" x14ac:dyDescent="0.25">
      <c r="A6192" s="8" t="s">
        <v>8835</v>
      </c>
    </row>
    <row r="6193" spans="1:1" x14ac:dyDescent="0.25">
      <c r="A6193" s="8" t="s">
        <v>8835</v>
      </c>
    </row>
    <row r="6194" spans="1:1" x14ac:dyDescent="0.25">
      <c r="A6194" s="7" t="s">
        <v>4054</v>
      </c>
    </row>
    <row r="6195" spans="1:1" x14ac:dyDescent="0.25">
      <c r="A6195" s="7" t="s">
        <v>4054</v>
      </c>
    </row>
    <row r="6196" spans="1:1" x14ac:dyDescent="0.25">
      <c r="A6196" s="7" t="s">
        <v>4054</v>
      </c>
    </row>
    <row r="6197" spans="1:1" x14ac:dyDescent="0.25">
      <c r="A6197" s="8" t="s">
        <v>9515</v>
      </c>
    </row>
    <row r="6198" spans="1:1" x14ac:dyDescent="0.25">
      <c r="A6198" s="8" t="s">
        <v>9619</v>
      </c>
    </row>
    <row r="6199" spans="1:1" x14ac:dyDescent="0.25">
      <c r="A6199" s="8" t="s">
        <v>10511</v>
      </c>
    </row>
    <row r="6200" spans="1:1" x14ac:dyDescent="0.25">
      <c r="A6200" s="8" t="s">
        <v>10003</v>
      </c>
    </row>
    <row r="6201" spans="1:1" x14ac:dyDescent="0.25">
      <c r="A6201" s="7" t="s">
        <v>7750</v>
      </c>
    </row>
    <row r="6202" spans="1:1" x14ac:dyDescent="0.25">
      <c r="A6202" s="7" t="s">
        <v>7750</v>
      </c>
    </row>
    <row r="6203" spans="1:1" x14ac:dyDescent="0.25">
      <c r="A6203" s="7" t="s">
        <v>7750</v>
      </c>
    </row>
    <row r="6204" spans="1:1" x14ac:dyDescent="0.25">
      <c r="A6204" s="7" t="s">
        <v>7750</v>
      </c>
    </row>
    <row r="6205" spans="1:1" x14ac:dyDescent="0.25">
      <c r="A6205" s="8" t="s">
        <v>7750</v>
      </c>
    </row>
    <row r="6206" spans="1:1" x14ac:dyDescent="0.25">
      <c r="A6206" s="7" t="s">
        <v>2808</v>
      </c>
    </row>
    <row r="6207" spans="1:1" x14ac:dyDescent="0.25">
      <c r="A6207" s="8" t="s">
        <v>9736</v>
      </c>
    </row>
    <row r="6208" spans="1:1" x14ac:dyDescent="0.25">
      <c r="A6208" s="8" t="s">
        <v>10486</v>
      </c>
    </row>
    <row r="6209" spans="1:1" x14ac:dyDescent="0.25">
      <c r="A6209" s="8" t="s">
        <v>8895</v>
      </c>
    </row>
    <row r="6210" spans="1:1" x14ac:dyDescent="0.25">
      <c r="A6210" s="8" t="s">
        <v>8923</v>
      </c>
    </row>
    <row r="6211" spans="1:1" x14ac:dyDescent="0.25">
      <c r="A6211" s="8" t="s">
        <v>8923</v>
      </c>
    </row>
    <row r="6212" spans="1:1" x14ac:dyDescent="0.25">
      <c r="A6212" s="7" t="s">
        <v>4623</v>
      </c>
    </row>
    <row r="6213" spans="1:1" x14ac:dyDescent="0.25">
      <c r="A6213" s="8" t="s">
        <v>10693</v>
      </c>
    </row>
    <row r="6214" spans="1:1" x14ac:dyDescent="0.25">
      <c r="A6214" s="7" t="s">
        <v>4137</v>
      </c>
    </row>
    <row r="6215" spans="1:1" x14ac:dyDescent="0.25">
      <c r="A6215" s="7" t="s">
        <v>4057</v>
      </c>
    </row>
    <row r="6216" spans="1:1" x14ac:dyDescent="0.25">
      <c r="A6216" s="7" t="s">
        <v>4057</v>
      </c>
    </row>
    <row r="6217" spans="1:1" x14ac:dyDescent="0.25">
      <c r="A6217" s="7" t="s">
        <v>4057</v>
      </c>
    </row>
    <row r="6218" spans="1:1" x14ac:dyDescent="0.25">
      <c r="A6218" s="7" t="s">
        <v>4057</v>
      </c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</sheetData>
  <sortState xmlns:xlrd2="http://schemas.microsoft.com/office/spreadsheetml/2017/richdata2" ref="A1:A14438">
    <sortCondition ref="A1:A14438"/>
  </sortState>
  <dataConsolidate/>
  <pageMargins left="0.7" right="0.7" top="0.75" bottom="0.75" header="0.3" footer="0.3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D59A9-AC8B-4CED-BA50-E72733E67D5D}">
  <sheetPr codeName="Sheet11"/>
  <dimension ref="A1:Q3613"/>
  <sheetViews>
    <sheetView topLeftCell="A3577" workbookViewId="0">
      <selection activeCell="D3603" sqref="D3603"/>
    </sheetView>
  </sheetViews>
  <sheetFormatPr defaultRowHeight="15" x14ac:dyDescent="0.25"/>
  <cols>
    <col min="1" max="6" width="30.5703125" bestFit="1" customWidth="1"/>
    <col min="7" max="7" width="24.28515625" bestFit="1" customWidth="1"/>
    <col min="8" max="8" width="27.28515625" bestFit="1" customWidth="1"/>
    <col min="9" max="10" width="30.5703125" bestFit="1" customWidth="1"/>
    <col min="11" max="11" width="26" bestFit="1" customWidth="1"/>
    <col min="12" max="15" width="30.5703125" bestFit="1" customWidth="1"/>
    <col min="16" max="16" width="19.28515625" bestFit="1" customWidth="1"/>
    <col min="17" max="17" width="20" bestFit="1" customWidth="1"/>
  </cols>
  <sheetData>
    <row r="1" spans="1:17" x14ac:dyDescent="0.25">
      <c r="A1" s="1" t="s">
        <v>8195</v>
      </c>
      <c r="B1" s="1" t="s">
        <v>918</v>
      </c>
      <c r="C1" s="1" t="s">
        <v>919</v>
      </c>
      <c r="D1" s="1" t="s">
        <v>924</v>
      </c>
      <c r="E1" s="1" t="s">
        <v>936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25">
      <c r="A2" s="1" t="s">
        <v>918</v>
      </c>
      <c r="B2" s="1" t="s">
        <v>919</v>
      </c>
      <c r="C2" s="1" t="s">
        <v>924</v>
      </c>
      <c r="D2" s="1" t="s">
        <v>936</v>
      </c>
      <c r="E2" s="1" t="s">
        <v>943</v>
      </c>
      <c r="F2" s="1" t="s">
        <v>1079</v>
      </c>
      <c r="G2" s="1" t="s">
        <v>955</v>
      </c>
      <c r="H2" s="1" t="s">
        <v>930</v>
      </c>
      <c r="I2" s="1" t="s">
        <v>944</v>
      </c>
      <c r="J2" s="1" t="s">
        <v>956</v>
      </c>
      <c r="K2" s="1" t="s">
        <v>957</v>
      </c>
      <c r="L2" s="1"/>
      <c r="M2" s="1"/>
      <c r="N2" s="1"/>
      <c r="O2" s="1"/>
      <c r="P2" s="1"/>
      <c r="Q2" s="1"/>
    </row>
    <row r="3" spans="1:17" x14ac:dyDescent="0.25">
      <c r="A3" s="1" t="s">
        <v>918</v>
      </c>
      <c r="B3" s="1" t="s">
        <v>919</v>
      </c>
      <c r="C3" s="1" t="s">
        <v>929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 t="s">
        <v>918</v>
      </c>
      <c r="B4" s="1" t="s">
        <v>919</v>
      </c>
      <c r="C4" s="1" t="s">
        <v>929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5">
      <c r="A5" s="1" t="s">
        <v>948</v>
      </c>
      <c r="B5" s="1" t="s">
        <v>918</v>
      </c>
      <c r="C5" s="1" t="s">
        <v>25</v>
      </c>
      <c r="D5" s="1" t="s">
        <v>919</v>
      </c>
      <c r="E5" s="1" t="s">
        <v>920</v>
      </c>
      <c r="F5" s="1" t="s">
        <v>954</v>
      </c>
      <c r="G5" s="1" t="s">
        <v>1114</v>
      </c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 t="s">
        <v>50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5">
      <c r="A7" s="1" t="s">
        <v>25</v>
      </c>
      <c r="B7" s="1" t="s">
        <v>920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 t="s">
        <v>923</v>
      </c>
      <c r="B8" s="1" t="s">
        <v>1113</v>
      </c>
      <c r="C8" s="1" t="s">
        <v>328</v>
      </c>
      <c r="D8" s="1" t="s">
        <v>84</v>
      </c>
      <c r="E8" s="1" t="s">
        <v>10696</v>
      </c>
      <c r="F8" s="1" t="s">
        <v>25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 t="s">
        <v>25</v>
      </c>
      <c r="B9" s="1" t="s">
        <v>919</v>
      </c>
      <c r="C9" s="1" t="s">
        <v>920</v>
      </c>
      <c r="D9" s="1" t="s">
        <v>946</v>
      </c>
      <c r="E9" s="1" t="s">
        <v>921</v>
      </c>
      <c r="F9" s="1" t="s">
        <v>923</v>
      </c>
      <c r="G9" s="1" t="s">
        <v>1113</v>
      </c>
      <c r="H9" s="1" t="s">
        <v>328</v>
      </c>
      <c r="I9" s="1" t="s">
        <v>922</v>
      </c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 t="s">
        <v>50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1" t="s">
        <v>25</v>
      </c>
      <c r="B11" s="1" t="s">
        <v>920</v>
      </c>
      <c r="C11" s="1" t="s">
        <v>946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5">
      <c r="A12" s="1" t="s">
        <v>934</v>
      </c>
      <c r="B12" s="1" t="s">
        <v>918</v>
      </c>
      <c r="C12" s="1" t="s">
        <v>1110</v>
      </c>
      <c r="D12" s="1" t="s">
        <v>25</v>
      </c>
      <c r="E12" s="1" t="s">
        <v>923</v>
      </c>
      <c r="F12" s="1" t="s">
        <v>920</v>
      </c>
      <c r="G12" s="1" t="s">
        <v>924</v>
      </c>
      <c r="H12" s="1" t="s">
        <v>974</v>
      </c>
      <c r="I12" s="1" t="s">
        <v>921</v>
      </c>
      <c r="J12" s="1" t="s">
        <v>919</v>
      </c>
      <c r="K12" s="1"/>
      <c r="L12" s="1"/>
      <c r="M12" s="1"/>
      <c r="N12" s="1"/>
      <c r="O12" s="1"/>
      <c r="P12" s="1"/>
      <c r="Q12" s="1"/>
    </row>
    <row r="13" spans="1:17" x14ac:dyDescent="0.25">
      <c r="A13" s="1" t="s">
        <v>1090</v>
      </c>
      <c r="B13" s="1" t="s">
        <v>25</v>
      </c>
      <c r="C13" s="1" t="s">
        <v>920</v>
      </c>
      <c r="D13" s="1" t="s">
        <v>974</v>
      </c>
      <c r="E13" s="1" t="s">
        <v>950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 t="s">
        <v>918</v>
      </c>
      <c r="B14" s="1" t="s">
        <v>916</v>
      </c>
      <c r="C14" s="1" t="s">
        <v>920</v>
      </c>
      <c r="D14" s="1" t="s">
        <v>921</v>
      </c>
      <c r="E14" s="1" t="s">
        <v>922</v>
      </c>
      <c r="F14" s="1" t="s">
        <v>919</v>
      </c>
      <c r="G14" s="1" t="s">
        <v>972</v>
      </c>
      <c r="H14" s="1" t="s">
        <v>929</v>
      </c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 t="s">
        <v>918</v>
      </c>
      <c r="B15" s="1" t="s">
        <v>932</v>
      </c>
      <c r="C15" s="1" t="s">
        <v>25</v>
      </c>
      <c r="D15" s="1" t="s">
        <v>916</v>
      </c>
      <c r="E15" s="1" t="s">
        <v>920</v>
      </c>
      <c r="F15" s="1" t="s">
        <v>921</v>
      </c>
      <c r="G15" s="1" t="s">
        <v>922</v>
      </c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 t="s">
        <v>918</v>
      </c>
      <c r="B16" s="1" t="s">
        <v>919</v>
      </c>
      <c r="C16" s="1" t="s">
        <v>936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 t="s">
        <v>1081</v>
      </c>
      <c r="B17" s="1" t="s">
        <v>923</v>
      </c>
      <c r="C17" s="1" t="s">
        <v>1113</v>
      </c>
      <c r="D17" s="1" t="s">
        <v>328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 t="s">
        <v>1081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 t="s">
        <v>1167</v>
      </c>
      <c r="B19" s="1" t="s">
        <v>1053</v>
      </c>
      <c r="C19" s="1" t="s">
        <v>1086</v>
      </c>
      <c r="D19" s="1" t="s">
        <v>933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 t="s">
        <v>981</v>
      </c>
      <c r="B20" s="1" t="s">
        <v>1019</v>
      </c>
      <c r="C20" s="1" t="s">
        <v>983</v>
      </c>
      <c r="D20" s="1" t="s">
        <v>10697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 t="s">
        <v>918</v>
      </c>
      <c r="B21" s="1" t="s">
        <v>25</v>
      </c>
      <c r="C21" s="1" t="s">
        <v>923</v>
      </c>
      <c r="D21" s="1" t="s">
        <v>1000</v>
      </c>
      <c r="E21" s="1" t="s">
        <v>919</v>
      </c>
      <c r="F21" s="1" t="s">
        <v>920</v>
      </c>
      <c r="G21" s="1" t="s">
        <v>933</v>
      </c>
      <c r="H21" s="1" t="s">
        <v>921</v>
      </c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 t="s">
        <v>1001</v>
      </c>
      <c r="B22" s="1" t="s">
        <v>927</v>
      </c>
      <c r="C22" s="1" t="s">
        <v>992</v>
      </c>
      <c r="D22" s="1" t="s">
        <v>981</v>
      </c>
      <c r="E22" s="1" t="s">
        <v>1066</v>
      </c>
      <c r="F22" s="1" t="s">
        <v>919</v>
      </c>
      <c r="G22" s="1" t="s">
        <v>993</v>
      </c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 t="s">
        <v>10698</v>
      </c>
      <c r="B23" s="1" t="s">
        <v>983</v>
      </c>
      <c r="C23" s="1" t="s">
        <v>919</v>
      </c>
      <c r="D23" s="1" t="s">
        <v>1020</v>
      </c>
      <c r="E23" s="1" t="s">
        <v>929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1" t="s">
        <v>4580</v>
      </c>
      <c r="B24" s="1" t="s">
        <v>1030</v>
      </c>
      <c r="C24" s="1" t="s">
        <v>1013</v>
      </c>
      <c r="D24" s="1" t="s">
        <v>918</v>
      </c>
      <c r="E24" s="1" t="s">
        <v>919</v>
      </c>
      <c r="F24" s="1" t="s">
        <v>936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25">
      <c r="A25" s="1" t="s">
        <v>1001</v>
      </c>
      <c r="B25" s="1" t="s">
        <v>927</v>
      </c>
      <c r="C25" s="1" t="s">
        <v>919</v>
      </c>
      <c r="D25" s="1" t="s">
        <v>921</v>
      </c>
      <c r="E25" s="1" t="s">
        <v>918</v>
      </c>
      <c r="F25" s="1" t="s">
        <v>25</v>
      </c>
      <c r="G25" s="1" t="s">
        <v>920</v>
      </c>
      <c r="H25" s="1" t="s">
        <v>933</v>
      </c>
      <c r="I25" s="1" t="s">
        <v>924</v>
      </c>
      <c r="J25" s="1"/>
      <c r="K25" s="1"/>
      <c r="L25" s="1"/>
      <c r="M25" s="1"/>
      <c r="N25" s="1"/>
      <c r="O25" s="1"/>
      <c r="P25" s="1"/>
      <c r="Q25" s="1"/>
    </row>
    <row r="26" spans="1:17" x14ac:dyDescent="0.25">
      <c r="A26" s="1" t="s">
        <v>918</v>
      </c>
      <c r="B26" s="1" t="s">
        <v>927</v>
      </c>
      <c r="C26" s="1" t="s">
        <v>1056</v>
      </c>
      <c r="D26" s="1" t="s">
        <v>981</v>
      </c>
      <c r="E26" s="1" t="s">
        <v>919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x14ac:dyDescent="0.25">
      <c r="A27" s="1" t="s">
        <v>979</v>
      </c>
      <c r="B27" s="1" t="s">
        <v>980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x14ac:dyDescent="0.25">
      <c r="A28" s="1" t="s">
        <v>964</v>
      </c>
      <c r="B28" s="1" t="s">
        <v>1109</v>
      </c>
      <c r="C28" s="1" t="s">
        <v>919</v>
      </c>
      <c r="D28" s="1" t="s">
        <v>918</v>
      </c>
      <c r="E28" s="1" t="s">
        <v>932</v>
      </c>
      <c r="F28" s="1" t="s">
        <v>940</v>
      </c>
      <c r="G28" s="1" t="s">
        <v>25</v>
      </c>
      <c r="H28" s="1" t="s">
        <v>923</v>
      </c>
      <c r="I28" s="1" t="s">
        <v>916</v>
      </c>
      <c r="J28" s="1" t="s">
        <v>920</v>
      </c>
      <c r="K28" s="1" t="s">
        <v>933</v>
      </c>
      <c r="L28" s="1" t="s">
        <v>954</v>
      </c>
      <c r="M28" s="1" t="s">
        <v>974</v>
      </c>
      <c r="N28" s="1" t="s">
        <v>921</v>
      </c>
      <c r="O28" s="1"/>
      <c r="P28" s="1"/>
      <c r="Q28" s="1"/>
    </row>
    <row r="29" spans="1:17" x14ac:dyDescent="0.25">
      <c r="A29" s="1" t="s">
        <v>928</v>
      </c>
      <c r="B29" s="1" t="s">
        <v>983</v>
      </c>
      <c r="C29" s="1" t="s">
        <v>919</v>
      </c>
      <c r="D29" s="1" t="s">
        <v>1020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x14ac:dyDescent="0.25">
      <c r="A30" s="1" t="s">
        <v>981</v>
      </c>
      <c r="B30" s="1" t="s">
        <v>1019</v>
      </c>
      <c r="C30" s="1" t="s">
        <v>983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x14ac:dyDescent="0.25">
      <c r="A31" s="1" t="s">
        <v>1013</v>
      </c>
      <c r="B31" s="1" t="s">
        <v>918</v>
      </c>
      <c r="C31" s="1" t="s">
        <v>927</v>
      </c>
      <c r="D31" s="1" t="s">
        <v>919</v>
      </c>
      <c r="E31" s="1" t="s">
        <v>936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x14ac:dyDescent="0.25">
      <c r="A32" s="1" t="s">
        <v>918</v>
      </c>
      <c r="B32" s="1" t="s">
        <v>25</v>
      </c>
      <c r="C32" s="1" t="s">
        <v>927</v>
      </c>
      <c r="D32" s="1" t="s">
        <v>919</v>
      </c>
      <c r="E32" s="1" t="s">
        <v>920</v>
      </c>
      <c r="F32" s="1" t="s">
        <v>936</v>
      </c>
      <c r="G32" s="1" t="s">
        <v>1108</v>
      </c>
      <c r="H32" s="1" t="s">
        <v>960</v>
      </c>
      <c r="I32" s="1" t="s">
        <v>961</v>
      </c>
      <c r="J32" s="1" t="s">
        <v>921</v>
      </c>
      <c r="K32" s="1"/>
      <c r="L32" s="1"/>
      <c r="M32" s="1"/>
      <c r="N32" s="1"/>
      <c r="O32" s="1"/>
      <c r="P32" s="1"/>
      <c r="Q32" s="1"/>
    </row>
    <row r="33" spans="1:17" x14ac:dyDescent="0.25">
      <c r="A33" s="1" t="s">
        <v>1108</v>
      </c>
      <c r="B33" s="1" t="s">
        <v>918</v>
      </c>
      <c r="C33" s="1" t="s">
        <v>25</v>
      </c>
      <c r="D33" s="1" t="s">
        <v>923</v>
      </c>
      <c r="E33" s="1" t="s">
        <v>947</v>
      </c>
      <c r="F33" s="1" t="s">
        <v>919</v>
      </c>
      <c r="G33" s="1" t="s">
        <v>920</v>
      </c>
      <c r="H33" s="1" t="s">
        <v>924</v>
      </c>
      <c r="I33" s="1" t="s">
        <v>921</v>
      </c>
      <c r="J33" s="1"/>
      <c r="K33" s="1"/>
      <c r="L33" s="1"/>
      <c r="M33" s="1"/>
      <c r="N33" s="1"/>
      <c r="O33" s="1"/>
      <c r="P33" s="1"/>
      <c r="Q33" s="1"/>
    </row>
    <row r="34" spans="1:17" x14ac:dyDescent="0.25">
      <c r="A34" s="1" t="s">
        <v>50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x14ac:dyDescent="0.25">
      <c r="A35" s="1" t="s">
        <v>840</v>
      </c>
      <c r="B35" s="1" t="s">
        <v>328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x14ac:dyDescent="0.25">
      <c r="A36" s="1" t="s">
        <v>1146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x14ac:dyDescent="0.25">
      <c r="A37" s="1" t="s">
        <v>1045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x14ac:dyDescent="0.25">
      <c r="A38" s="1" t="s">
        <v>335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x14ac:dyDescent="0.25">
      <c r="A39" s="1" t="s">
        <v>918</v>
      </c>
      <c r="B39" s="1" t="s">
        <v>25</v>
      </c>
      <c r="C39" s="1" t="s">
        <v>923</v>
      </c>
      <c r="D39" s="1" t="s">
        <v>920</v>
      </c>
      <c r="E39" s="1" t="s">
        <v>328</v>
      </c>
      <c r="F39" s="1" t="s">
        <v>921</v>
      </c>
      <c r="G39" s="1" t="s">
        <v>931</v>
      </c>
      <c r="H39" s="1" t="s">
        <v>1054</v>
      </c>
      <c r="I39" s="1"/>
      <c r="J39" s="1"/>
      <c r="K39" s="1"/>
      <c r="L39" s="1"/>
      <c r="M39" s="1"/>
      <c r="N39" s="1"/>
      <c r="O39" s="1"/>
      <c r="P39" s="1"/>
      <c r="Q39" s="1"/>
    </row>
    <row r="40" spans="1:17" x14ac:dyDescent="0.25">
      <c r="A40" s="1" t="s">
        <v>934</v>
      </c>
      <c r="B40" s="1" t="s">
        <v>1110</v>
      </c>
      <c r="C40" s="1" t="s">
        <v>25</v>
      </c>
      <c r="D40" s="1" t="s">
        <v>923</v>
      </c>
      <c r="E40" s="1" t="s">
        <v>920</v>
      </c>
      <c r="F40" s="1" t="s">
        <v>933</v>
      </c>
      <c r="G40" s="1" t="s">
        <v>954</v>
      </c>
      <c r="H40" s="1" t="s">
        <v>974</v>
      </c>
      <c r="I40" s="1" t="s">
        <v>921</v>
      </c>
      <c r="J40" s="1" t="s">
        <v>949</v>
      </c>
      <c r="K40" s="1"/>
      <c r="L40" s="1"/>
      <c r="M40" s="1"/>
      <c r="N40" s="1"/>
      <c r="O40" s="1"/>
      <c r="P40" s="1"/>
      <c r="Q40" s="1"/>
    </row>
    <row r="41" spans="1:17" x14ac:dyDescent="0.25">
      <c r="A41" s="1" t="s">
        <v>1051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x14ac:dyDescent="0.25">
      <c r="A42" s="1" t="s">
        <v>933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x14ac:dyDescent="0.25">
      <c r="A43" s="1" t="s">
        <v>948</v>
      </c>
      <c r="B43" s="1" t="s">
        <v>25</v>
      </c>
      <c r="C43" s="1" t="s">
        <v>923</v>
      </c>
      <c r="D43" s="1" t="s">
        <v>1053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x14ac:dyDescent="0.25">
      <c r="A44" s="1" t="s">
        <v>999</v>
      </c>
      <c r="B44" s="1" t="s">
        <v>921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x14ac:dyDescent="0.25">
      <c r="A45" s="1" t="s">
        <v>999</v>
      </c>
      <c r="B45" s="1" t="s">
        <v>921</v>
      </c>
      <c r="C45" s="1" t="s">
        <v>918</v>
      </c>
      <c r="D45" s="1" t="s">
        <v>25</v>
      </c>
      <c r="E45" s="1" t="s">
        <v>923</v>
      </c>
      <c r="F45" s="1" t="s">
        <v>919</v>
      </c>
      <c r="G45" s="1" t="s">
        <v>920</v>
      </c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x14ac:dyDescent="0.25">
      <c r="A46" s="1" t="s">
        <v>999</v>
      </c>
      <c r="B46" s="1" t="s">
        <v>921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x14ac:dyDescent="0.25">
      <c r="A47" s="1" t="s">
        <v>50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x14ac:dyDescent="0.25">
      <c r="A48" s="1" t="s">
        <v>918</v>
      </c>
      <c r="B48" s="1" t="s">
        <v>25</v>
      </c>
      <c r="C48" s="1" t="s">
        <v>923</v>
      </c>
      <c r="D48" s="1" t="s">
        <v>999</v>
      </c>
      <c r="E48" s="1" t="s">
        <v>919</v>
      </c>
      <c r="F48" s="1" t="s">
        <v>920</v>
      </c>
      <c r="G48" s="1" t="s">
        <v>921</v>
      </c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x14ac:dyDescent="0.25">
      <c r="A49" s="1" t="s">
        <v>1045</v>
      </c>
      <c r="B49" s="1" t="s">
        <v>1042</v>
      </c>
      <c r="C49" s="1" t="s">
        <v>999</v>
      </c>
      <c r="D49" s="1" t="s">
        <v>921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x14ac:dyDescent="0.25">
      <c r="A50" s="1" t="s">
        <v>1045</v>
      </c>
      <c r="B50" s="1" t="s">
        <v>1042</v>
      </c>
      <c r="C50" s="1" t="s">
        <v>999</v>
      </c>
      <c r="D50" s="1" t="s">
        <v>921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x14ac:dyDescent="0.25">
      <c r="A51" s="1" t="s">
        <v>967</v>
      </c>
      <c r="B51" s="1" t="s">
        <v>10699</v>
      </c>
      <c r="C51" s="1" t="s">
        <v>1065</v>
      </c>
      <c r="D51" s="1" t="s">
        <v>10700</v>
      </c>
      <c r="E51" s="1" t="s">
        <v>10701</v>
      </c>
      <c r="F51" s="1" t="s">
        <v>10702</v>
      </c>
      <c r="G51" s="1" t="s">
        <v>10703</v>
      </c>
      <c r="H51" s="1" t="s">
        <v>10704</v>
      </c>
      <c r="I51" s="1" t="s">
        <v>10705</v>
      </c>
      <c r="J51" s="1"/>
      <c r="K51" s="1"/>
      <c r="L51" s="1"/>
      <c r="M51" s="1"/>
      <c r="N51" s="1"/>
      <c r="O51" s="1"/>
      <c r="P51" s="1"/>
      <c r="Q51" s="1"/>
    </row>
    <row r="52" spans="1:17" x14ac:dyDescent="0.25">
      <c r="A52" s="1" t="s">
        <v>919</v>
      </c>
      <c r="B52" s="1" t="s">
        <v>929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x14ac:dyDescent="0.25">
      <c r="A53" s="1" t="s">
        <v>1108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x14ac:dyDescent="0.25">
      <c r="A54" s="1" t="s">
        <v>25</v>
      </c>
      <c r="B54" s="1" t="s">
        <v>920</v>
      </c>
      <c r="C54" s="1" t="s">
        <v>921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x14ac:dyDescent="0.25">
      <c r="A55" s="1" t="s">
        <v>919</v>
      </c>
      <c r="B55" s="1" t="s">
        <v>929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x14ac:dyDescent="0.25">
      <c r="A56" s="1" t="s">
        <v>918</v>
      </c>
      <c r="B56" s="1" t="s">
        <v>25</v>
      </c>
      <c r="C56" s="1" t="s">
        <v>997</v>
      </c>
      <c r="D56" s="1" t="s">
        <v>919</v>
      </c>
      <c r="E56" s="1" t="s">
        <v>920</v>
      </c>
      <c r="F56" s="1" t="s">
        <v>924</v>
      </c>
      <c r="G56" s="1" t="s">
        <v>967</v>
      </c>
      <c r="H56" s="1" t="s">
        <v>969</v>
      </c>
      <c r="I56" s="1" t="s">
        <v>10706</v>
      </c>
      <c r="J56" s="1" t="s">
        <v>970</v>
      </c>
      <c r="K56" s="1" t="s">
        <v>955</v>
      </c>
      <c r="L56" s="1" t="s">
        <v>1014</v>
      </c>
      <c r="M56" s="1" t="s">
        <v>944</v>
      </c>
      <c r="N56" s="1" t="s">
        <v>956</v>
      </c>
      <c r="O56" s="1"/>
      <c r="P56" s="1"/>
      <c r="Q56" s="1"/>
    </row>
    <row r="57" spans="1:17" x14ac:dyDescent="0.25">
      <c r="A57" s="1" t="s">
        <v>10707</v>
      </c>
      <c r="B57" s="1" t="s">
        <v>10708</v>
      </c>
      <c r="C57" s="1" t="s">
        <v>10709</v>
      </c>
      <c r="D57" s="1" t="s">
        <v>138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x14ac:dyDescent="0.25">
      <c r="A58" s="1" t="s">
        <v>1045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x14ac:dyDescent="0.25">
      <c r="A59" s="1" t="s">
        <v>967</v>
      </c>
      <c r="B59" s="1" t="s">
        <v>969</v>
      </c>
      <c r="C59" s="1" t="s">
        <v>10706</v>
      </c>
      <c r="D59" s="1" t="s">
        <v>970</v>
      </c>
      <c r="E59" s="1" t="s">
        <v>1045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x14ac:dyDescent="0.25">
      <c r="A60" s="1" t="s">
        <v>1012</v>
      </c>
      <c r="B60" s="1" t="s">
        <v>1013</v>
      </c>
      <c r="C60" s="1" t="s">
        <v>955</v>
      </c>
      <c r="D60" s="1" t="s">
        <v>1014</v>
      </c>
      <c r="E60" s="1" t="s">
        <v>1015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  <row r="61" spans="1:17" x14ac:dyDescent="0.25">
      <c r="A61" s="1" t="s">
        <v>918</v>
      </c>
      <c r="B61" s="1" t="s">
        <v>25</v>
      </c>
      <c r="C61" s="1" t="s">
        <v>923</v>
      </c>
      <c r="D61" s="1" t="s">
        <v>919</v>
      </c>
      <c r="E61" s="1" t="s">
        <v>920</v>
      </c>
      <c r="F61" s="1" t="s">
        <v>933</v>
      </c>
      <c r="G61" s="1" t="s">
        <v>921</v>
      </c>
      <c r="H61" s="1" t="s">
        <v>10698</v>
      </c>
      <c r="I61" s="1" t="s">
        <v>10710</v>
      </c>
      <c r="J61" s="1"/>
      <c r="K61" s="1"/>
      <c r="L61" s="1"/>
      <c r="M61" s="1"/>
      <c r="N61" s="1"/>
      <c r="O61" s="1"/>
      <c r="P61" s="1"/>
      <c r="Q61" s="1"/>
    </row>
    <row r="62" spans="1:17" x14ac:dyDescent="0.25">
      <c r="A62" s="1" t="s">
        <v>1101</v>
      </c>
      <c r="B62" s="1" t="s">
        <v>1102</v>
      </c>
      <c r="C62" s="1" t="s">
        <v>977</v>
      </c>
      <c r="D62" s="1" t="s">
        <v>1103</v>
      </c>
      <c r="E62" s="1" t="s">
        <v>1104</v>
      </c>
      <c r="F62" s="1" t="s">
        <v>1105</v>
      </c>
      <c r="G62" s="1" t="s">
        <v>1106</v>
      </c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 x14ac:dyDescent="0.25">
      <c r="A63" s="1" t="s">
        <v>1101</v>
      </c>
      <c r="B63" s="1" t="s">
        <v>1102</v>
      </c>
      <c r="C63" s="1" t="s">
        <v>977</v>
      </c>
      <c r="D63" s="1" t="s">
        <v>1103</v>
      </c>
      <c r="E63" s="1" t="s">
        <v>1104</v>
      </c>
      <c r="F63" s="1" t="s">
        <v>1105</v>
      </c>
      <c r="G63" s="1" t="s">
        <v>1106</v>
      </c>
      <c r="H63" s="1" t="s">
        <v>25</v>
      </c>
      <c r="I63" s="1" t="s">
        <v>919</v>
      </c>
      <c r="J63" s="1" t="s">
        <v>920</v>
      </c>
      <c r="K63" s="1" t="s">
        <v>921</v>
      </c>
      <c r="L63" s="1"/>
      <c r="M63" s="1"/>
      <c r="N63" s="1"/>
      <c r="O63" s="1"/>
      <c r="P63" s="1"/>
      <c r="Q63" s="1"/>
    </row>
    <row r="64" spans="1:17" x14ac:dyDescent="0.25">
      <c r="A64" s="1" t="s">
        <v>10711</v>
      </c>
      <c r="B64" s="1" t="s">
        <v>10712</v>
      </c>
      <c r="C64" s="1" t="s">
        <v>10713</v>
      </c>
      <c r="D64" s="1" t="s">
        <v>10714</v>
      </c>
      <c r="E64" s="1" t="s">
        <v>10715</v>
      </c>
      <c r="F64" s="1" t="s">
        <v>10716</v>
      </c>
      <c r="G64" s="1" t="s">
        <v>984</v>
      </c>
      <c r="H64" s="1" t="s">
        <v>990</v>
      </c>
      <c r="I64" s="1" t="s">
        <v>10717</v>
      </c>
      <c r="J64" s="1"/>
      <c r="K64" s="1"/>
      <c r="L64" s="1"/>
      <c r="M64" s="1"/>
      <c r="N64" s="1"/>
      <c r="O64" s="1"/>
      <c r="P64" s="1"/>
      <c r="Q64" s="1"/>
    </row>
    <row r="65" spans="1:17" x14ac:dyDescent="0.25">
      <c r="A65" s="1" t="s">
        <v>1095</v>
      </c>
      <c r="B65" s="1" t="s">
        <v>1096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x14ac:dyDescent="0.25">
      <c r="A66" s="1" t="s">
        <v>918</v>
      </c>
      <c r="B66" s="1" t="s">
        <v>940</v>
      </c>
      <c r="C66" s="1" t="s">
        <v>1031</v>
      </c>
      <c r="D66" s="1" t="s">
        <v>1110</v>
      </c>
      <c r="E66" s="1" t="s">
        <v>25</v>
      </c>
      <c r="F66" s="1" t="s">
        <v>923</v>
      </c>
      <c r="G66" s="1" t="s">
        <v>916</v>
      </c>
      <c r="H66" s="1" t="s">
        <v>920</v>
      </c>
      <c r="I66" s="1" t="s">
        <v>954</v>
      </c>
      <c r="J66" s="1" t="s">
        <v>974</v>
      </c>
      <c r="K66" s="1" t="s">
        <v>921</v>
      </c>
      <c r="L66" s="1" t="s">
        <v>1033</v>
      </c>
      <c r="M66" s="1" t="s">
        <v>1108</v>
      </c>
      <c r="N66" s="1"/>
      <c r="O66" s="1"/>
      <c r="P66" s="1"/>
      <c r="Q66" s="1"/>
    </row>
    <row r="67" spans="1:17" x14ac:dyDescent="0.25">
      <c r="A67" s="1" t="s">
        <v>25</v>
      </c>
      <c r="B67" s="1" t="s">
        <v>927</v>
      </c>
      <c r="C67" s="1" t="s">
        <v>981</v>
      </c>
      <c r="D67" s="1" t="s">
        <v>920</v>
      </c>
      <c r="E67" s="1" t="s">
        <v>933</v>
      </c>
      <c r="F67" s="1" t="s">
        <v>921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x14ac:dyDescent="0.25">
      <c r="A68" s="1" t="s">
        <v>1004</v>
      </c>
      <c r="B68" s="1" t="s">
        <v>1010</v>
      </c>
      <c r="C68" s="1" t="s">
        <v>1005</v>
      </c>
      <c r="D68" s="1" t="s">
        <v>10718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x14ac:dyDescent="0.25">
      <c r="A69" s="1" t="s">
        <v>996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x14ac:dyDescent="0.25">
      <c r="A70" s="1" t="s">
        <v>25</v>
      </c>
      <c r="B70" s="1" t="s">
        <v>920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x14ac:dyDescent="0.25">
      <c r="A71" s="1" t="s">
        <v>25</v>
      </c>
      <c r="B71" s="1" t="s">
        <v>974</v>
      </c>
      <c r="C71" s="1" t="s">
        <v>10719</v>
      </c>
      <c r="D71" s="1" t="s">
        <v>950</v>
      </c>
      <c r="E71" s="1" t="s">
        <v>10720</v>
      </c>
      <c r="F71" s="1" t="s">
        <v>920</v>
      </c>
      <c r="G71" s="1" t="s">
        <v>933</v>
      </c>
      <c r="H71" s="1" t="s">
        <v>10721</v>
      </c>
      <c r="I71" s="1"/>
      <c r="J71" s="1"/>
      <c r="K71" s="1"/>
      <c r="L71" s="1"/>
      <c r="M71" s="1"/>
      <c r="N71" s="1"/>
      <c r="O71" s="1"/>
      <c r="P71" s="1"/>
      <c r="Q71" s="1"/>
    </row>
    <row r="72" spans="1:17" x14ac:dyDescent="0.25">
      <c r="A72" s="1" t="s">
        <v>50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 x14ac:dyDescent="0.25">
      <c r="A73" s="1" t="s">
        <v>1149</v>
      </c>
      <c r="B73" s="1" t="s">
        <v>25</v>
      </c>
      <c r="C73" s="1" t="s">
        <v>923</v>
      </c>
      <c r="D73" s="1" t="s">
        <v>998</v>
      </c>
      <c r="E73" s="1" t="s">
        <v>1086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x14ac:dyDescent="0.25">
      <c r="A74" s="1" t="s">
        <v>50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 x14ac:dyDescent="0.25">
      <c r="A75" s="1" t="s">
        <v>927</v>
      </c>
      <c r="B75" s="1" t="s">
        <v>998</v>
      </c>
      <c r="C75" s="1" t="s">
        <v>992</v>
      </c>
      <c r="D75" s="1" t="s">
        <v>1086</v>
      </c>
      <c r="E75" s="1" t="s">
        <v>933</v>
      </c>
      <c r="F75" s="1" t="s">
        <v>993</v>
      </c>
      <c r="G75" s="1" t="s">
        <v>994</v>
      </c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 x14ac:dyDescent="0.25">
      <c r="A76" s="1" t="s">
        <v>25</v>
      </c>
      <c r="B76" s="1" t="s">
        <v>920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 x14ac:dyDescent="0.25">
      <c r="A77" s="1" t="s">
        <v>50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 x14ac:dyDescent="0.25">
      <c r="A78" s="1" t="s">
        <v>25</v>
      </c>
      <c r="B78" s="1" t="s">
        <v>1086</v>
      </c>
      <c r="C78" s="1" t="s">
        <v>919</v>
      </c>
      <c r="D78" s="1" t="s">
        <v>920</v>
      </c>
      <c r="E78" s="1" t="s">
        <v>921</v>
      </c>
      <c r="F78" s="1" t="s">
        <v>998</v>
      </c>
      <c r="G78" s="1" t="s">
        <v>933</v>
      </c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x14ac:dyDescent="0.25">
      <c r="A79" s="1" t="s">
        <v>918</v>
      </c>
      <c r="B79" s="1" t="s">
        <v>25</v>
      </c>
      <c r="C79" s="1" t="s">
        <v>923</v>
      </c>
      <c r="D79" s="1" t="s">
        <v>919</v>
      </c>
      <c r="E79" s="1" t="s">
        <v>920</v>
      </c>
      <c r="F79" s="1" t="s">
        <v>921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x14ac:dyDescent="0.25">
      <c r="A80" s="1" t="s">
        <v>1001</v>
      </c>
      <c r="B80" s="1" t="s">
        <v>996</v>
      </c>
      <c r="C80" s="1" t="s">
        <v>933</v>
      </c>
      <c r="D80" s="1" t="s">
        <v>2541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1:17" x14ac:dyDescent="0.25">
      <c r="A81" s="1" t="s">
        <v>1001</v>
      </c>
      <c r="B81" s="1" t="s">
        <v>1019</v>
      </c>
      <c r="C81" s="1" t="s">
        <v>10722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x14ac:dyDescent="0.25">
      <c r="A82" s="1" t="s">
        <v>996</v>
      </c>
      <c r="B82" s="1" t="s">
        <v>25</v>
      </c>
      <c r="C82" s="1" t="s">
        <v>997</v>
      </c>
      <c r="D82" s="1" t="s">
        <v>927</v>
      </c>
      <c r="E82" s="1" t="s">
        <v>998</v>
      </c>
      <c r="F82" s="1" t="s">
        <v>992</v>
      </c>
      <c r="G82" s="1" t="s">
        <v>933</v>
      </c>
      <c r="H82" s="1" t="s">
        <v>994</v>
      </c>
      <c r="I82" s="1"/>
      <c r="J82" s="1"/>
      <c r="K82" s="1"/>
      <c r="L82" s="1"/>
      <c r="M82" s="1"/>
      <c r="N82" s="1"/>
      <c r="O82" s="1"/>
      <c r="P82" s="1"/>
      <c r="Q82" s="1"/>
    </row>
    <row r="83" spans="1:17" x14ac:dyDescent="0.25">
      <c r="A83" s="1" t="s">
        <v>975</v>
      </c>
      <c r="B83" s="1" t="s">
        <v>925</v>
      </c>
      <c r="C83" s="1" t="s">
        <v>10723</v>
      </c>
      <c r="D83" s="1" t="s">
        <v>10724</v>
      </c>
      <c r="E83" s="1" t="s">
        <v>1058</v>
      </c>
      <c r="F83" s="1" t="s">
        <v>927</v>
      </c>
      <c r="G83" s="1" t="s">
        <v>10725</v>
      </c>
      <c r="H83" s="1" t="s">
        <v>1001</v>
      </c>
      <c r="I83" s="1" t="s">
        <v>918</v>
      </c>
      <c r="J83" s="1" t="s">
        <v>1000</v>
      </c>
      <c r="K83" s="1" t="s">
        <v>919</v>
      </c>
      <c r="L83" s="1" t="s">
        <v>936</v>
      </c>
      <c r="M83" s="1" t="s">
        <v>921</v>
      </c>
      <c r="N83" s="1"/>
      <c r="O83" s="1"/>
      <c r="P83" s="1"/>
      <c r="Q83" s="1"/>
    </row>
    <row r="84" spans="1:17" x14ac:dyDescent="0.25">
      <c r="A84" s="1" t="s">
        <v>996</v>
      </c>
      <c r="B84" s="1" t="s">
        <v>2541</v>
      </c>
      <c r="C84" s="1" t="s">
        <v>1082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1:17" x14ac:dyDescent="0.25">
      <c r="A85" s="1" t="s">
        <v>10726</v>
      </c>
      <c r="B85" s="1" t="s">
        <v>924</v>
      </c>
      <c r="C85" s="1" t="s">
        <v>919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x14ac:dyDescent="0.25">
      <c r="A86" s="1" t="s">
        <v>918</v>
      </c>
      <c r="B86" s="1" t="s">
        <v>924</v>
      </c>
      <c r="C86" s="1" t="s">
        <v>1001</v>
      </c>
      <c r="D86" s="1" t="s">
        <v>25</v>
      </c>
      <c r="E86" s="1" t="s">
        <v>927</v>
      </c>
      <c r="F86" s="1" t="s">
        <v>998</v>
      </c>
      <c r="G86" s="1" t="s">
        <v>992</v>
      </c>
      <c r="H86" s="1" t="s">
        <v>981</v>
      </c>
      <c r="I86" s="1" t="s">
        <v>939</v>
      </c>
      <c r="J86" s="1" t="s">
        <v>1066</v>
      </c>
      <c r="K86" s="1" t="s">
        <v>993</v>
      </c>
      <c r="L86" s="1" t="s">
        <v>994</v>
      </c>
      <c r="M86" s="1"/>
      <c r="N86" s="1"/>
      <c r="O86" s="1"/>
      <c r="P86" s="1"/>
      <c r="Q86" s="1"/>
    </row>
    <row r="87" spans="1:17" x14ac:dyDescent="0.25">
      <c r="A87" s="1" t="s">
        <v>50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x14ac:dyDescent="0.25">
      <c r="A88" s="1" t="s">
        <v>918</v>
      </c>
      <c r="B88" s="1" t="s">
        <v>8695</v>
      </c>
      <c r="C88" s="1" t="s">
        <v>919</v>
      </c>
      <c r="D88" s="1" t="s">
        <v>1020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</row>
    <row r="89" spans="1:17" x14ac:dyDescent="0.25">
      <c r="A89" s="1" t="s">
        <v>1001</v>
      </c>
      <c r="B89" s="1" t="s">
        <v>1019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1:17" x14ac:dyDescent="0.25">
      <c r="A90" s="1" t="s">
        <v>981</v>
      </c>
      <c r="B90" s="1" t="s">
        <v>1019</v>
      </c>
      <c r="C90" s="1" t="s">
        <v>983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</row>
    <row r="91" spans="1:17" x14ac:dyDescent="0.25">
      <c r="A91" s="1" t="s">
        <v>996</v>
      </c>
      <c r="B91" s="1" t="s">
        <v>10727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spans="1:17" x14ac:dyDescent="0.25">
      <c r="A92" s="1" t="s">
        <v>918</v>
      </c>
      <c r="B92" s="1" t="s">
        <v>25</v>
      </c>
      <c r="C92" s="1" t="s">
        <v>923</v>
      </c>
      <c r="D92" s="1" t="s">
        <v>916</v>
      </c>
      <c r="E92" s="1" t="s">
        <v>919</v>
      </c>
      <c r="F92" s="1" t="s">
        <v>924</v>
      </c>
      <c r="G92" s="1" t="s">
        <v>974</v>
      </c>
      <c r="H92" s="1" t="s">
        <v>922</v>
      </c>
      <c r="I92" s="1" t="s">
        <v>929</v>
      </c>
      <c r="J92" s="1" t="s">
        <v>941</v>
      </c>
      <c r="K92" s="1" t="s">
        <v>1084</v>
      </c>
      <c r="L92" s="1" t="s">
        <v>1085</v>
      </c>
      <c r="M92" s="1" t="s">
        <v>955</v>
      </c>
      <c r="N92" s="1" t="s">
        <v>1034</v>
      </c>
      <c r="O92" s="1" t="s">
        <v>1014</v>
      </c>
      <c r="P92" s="1" t="s">
        <v>956</v>
      </c>
      <c r="Q92" s="1"/>
    </row>
    <row r="93" spans="1:17" x14ac:dyDescent="0.25">
      <c r="A93" s="1" t="s">
        <v>1043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spans="1:17" x14ac:dyDescent="0.25">
      <c r="A94" s="1" t="s">
        <v>918</v>
      </c>
      <c r="B94" s="1" t="s">
        <v>971</v>
      </c>
      <c r="C94" s="1" t="s">
        <v>940</v>
      </c>
      <c r="D94" s="1" t="s">
        <v>25</v>
      </c>
      <c r="E94" s="1" t="s">
        <v>947</v>
      </c>
      <c r="F94" s="1" t="s">
        <v>919</v>
      </c>
      <c r="G94" s="1" t="s">
        <v>920</v>
      </c>
      <c r="H94" s="1" t="s">
        <v>921</v>
      </c>
      <c r="I94" s="1" t="s">
        <v>924</v>
      </c>
      <c r="J94" s="1" t="s">
        <v>10728</v>
      </c>
      <c r="K94" s="1"/>
      <c r="L94" s="1"/>
      <c r="M94" s="1"/>
      <c r="N94" s="1"/>
      <c r="O94" s="1"/>
      <c r="P94" s="1"/>
      <c r="Q94" s="1"/>
    </row>
    <row r="95" spans="1:17" x14ac:dyDescent="0.25">
      <c r="A95" s="1" t="s">
        <v>918</v>
      </c>
      <c r="B95" s="1" t="s">
        <v>919</v>
      </c>
      <c r="C95" s="1" t="s">
        <v>930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spans="1:17" x14ac:dyDescent="0.25">
      <c r="A96" s="1" t="s">
        <v>963</v>
      </c>
      <c r="B96" s="1" t="s">
        <v>951</v>
      </c>
      <c r="C96" s="1" t="s">
        <v>934</v>
      </c>
      <c r="D96" s="1" t="s">
        <v>918</v>
      </c>
      <c r="E96" s="1" t="s">
        <v>25</v>
      </c>
      <c r="F96" s="1" t="s">
        <v>923</v>
      </c>
      <c r="G96" s="1" t="s">
        <v>920</v>
      </c>
      <c r="H96" s="1" t="s">
        <v>954</v>
      </c>
      <c r="I96" s="1" t="s">
        <v>921</v>
      </c>
      <c r="J96" s="1" t="s">
        <v>919</v>
      </c>
      <c r="K96" s="1" t="s">
        <v>933</v>
      </c>
      <c r="L96" s="1" t="s">
        <v>328</v>
      </c>
      <c r="M96" s="1"/>
      <c r="N96" s="1"/>
      <c r="O96" s="1"/>
      <c r="P96" s="1"/>
      <c r="Q96" s="1"/>
    </row>
    <row r="97" spans="1:17" x14ac:dyDescent="0.25">
      <c r="A97" s="1" t="s">
        <v>1081</v>
      </c>
      <c r="B97" s="1" t="s">
        <v>1013</v>
      </c>
      <c r="C97" s="1" t="s">
        <v>919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</row>
    <row r="98" spans="1:17" x14ac:dyDescent="0.25">
      <c r="A98" s="1" t="s">
        <v>25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</row>
    <row r="99" spans="1:17" x14ac:dyDescent="0.25">
      <c r="A99" s="1" t="s">
        <v>996</v>
      </c>
      <c r="B99" s="1" t="s">
        <v>948</v>
      </c>
      <c r="C99" s="1" t="s">
        <v>25</v>
      </c>
      <c r="D99" s="1" t="s">
        <v>923</v>
      </c>
      <c r="E99" s="1" t="s">
        <v>997</v>
      </c>
      <c r="F99" s="1" t="s">
        <v>920</v>
      </c>
      <c r="G99" s="1" t="s">
        <v>1149</v>
      </c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spans="1:17" x14ac:dyDescent="0.25">
      <c r="A100" s="1" t="s">
        <v>918</v>
      </c>
      <c r="B100" s="1" t="s">
        <v>25</v>
      </c>
      <c r="C100" s="1" t="s">
        <v>919</v>
      </c>
      <c r="D100" s="1" t="s">
        <v>920</v>
      </c>
      <c r="E100" s="1" t="s">
        <v>921</v>
      </c>
      <c r="F100" s="1" t="s">
        <v>10729</v>
      </c>
      <c r="G100" s="1" t="s">
        <v>930</v>
      </c>
      <c r="H100" s="1"/>
      <c r="I100" s="1"/>
      <c r="J100" s="1"/>
      <c r="K100" s="1"/>
      <c r="L100" s="1"/>
      <c r="M100" s="1"/>
      <c r="N100" s="1"/>
      <c r="O100" s="1"/>
      <c r="P100" s="1"/>
      <c r="Q100" s="1"/>
    </row>
    <row r="101" spans="1:17" x14ac:dyDescent="0.25">
      <c r="A101" s="1" t="s">
        <v>918</v>
      </c>
      <c r="B101" s="1" t="s">
        <v>25</v>
      </c>
      <c r="C101" s="1" t="s">
        <v>919</v>
      </c>
      <c r="D101" s="1" t="s">
        <v>920</v>
      </c>
      <c r="E101" s="1" t="s">
        <v>921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spans="1:17" x14ac:dyDescent="0.25">
      <c r="A102" s="1" t="s">
        <v>918</v>
      </c>
      <c r="B102" s="1" t="s">
        <v>25</v>
      </c>
      <c r="C102" s="1" t="s">
        <v>919</v>
      </c>
      <c r="D102" s="1" t="s">
        <v>920</v>
      </c>
      <c r="E102" s="1" t="s">
        <v>921</v>
      </c>
      <c r="F102" s="1" t="s">
        <v>1013</v>
      </c>
      <c r="G102" s="1" t="s">
        <v>927</v>
      </c>
      <c r="H102" s="1" t="s">
        <v>936</v>
      </c>
      <c r="I102" s="1"/>
      <c r="J102" s="1"/>
      <c r="K102" s="1"/>
      <c r="L102" s="1"/>
      <c r="M102" s="1"/>
      <c r="N102" s="1"/>
      <c r="O102" s="1"/>
      <c r="P102" s="1"/>
      <c r="Q102" s="1"/>
    </row>
    <row r="103" spans="1:17" x14ac:dyDescent="0.25">
      <c r="A103" s="1" t="s">
        <v>918</v>
      </c>
      <c r="B103" s="1" t="s">
        <v>25</v>
      </c>
      <c r="C103" s="1" t="s">
        <v>919</v>
      </c>
      <c r="D103" s="1" t="s">
        <v>920</v>
      </c>
      <c r="E103" s="1" t="s">
        <v>921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spans="1:17" x14ac:dyDescent="0.25">
      <c r="A104" s="1" t="s">
        <v>918</v>
      </c>
      <c r="B104" s="1" t="s">
        <v>25</v>
      </c>
      <c r="C104" s="1" t="s">
        <v>919</v>
      </c>
      <c r="D104" s="1" t="s">
        <v>920</v>
      </c>
      <c r="E104" s="1" t="s">
        <v>921</v>
      </c>
      <c r="F104" s="1" t="s">
        <v>925</v>
      </c>
      <c r="G104" s="1" t="s">
        <v>927</v>
      </c>
      <c r="H104" s="1" t="s">
        <v>928</v>
      </c>
      <c r="I104" s="1" t="s">
        <v>10730</v>
      </c>
      <c r="J104" s="1"/>
      <c r="K104" s="1"/>
      <c r="L104" s="1"/>
      <c r="M104" s="1"/>
      <c r="N104" s="1"/>
      <c r="O104" s="1"/>
      <c r="P104" s="1"/>
      <c r="Q104" s="1"/>
    </row>
    <row r="105" spans="1:17" x14ac:dyDescent="0.25">
      <c r="A105" s="1" t="s">
        <v>918</v>
      </c>
      <c r="B105" s="1" t="s">
        <v>25</v>
      </c>
      <c r="C105" s="1" t="s">
        <v>919</v>
      </c>
      <c r="D105" s="1" t="s">
        <v>920</v>
      </c>
      <c r="E105" s="1" t="s">
        <v>921</v>
      </c>
      <c r="F105" s="1" t="s">
        <v>1001</v>
      </c>
      <c r="G105" s="1" t="s">
        <v>927</v>
      </c>
      <c r="H105" s="1" t="s">
        <v>992</v>
      </c>
      <c r="I105" s="1"/>
      <c r="J105" s="1"/>
      <c r="K105" s="1"/>
      <c r="L105" s="1"/>
      <c r="M105" s="1"/>
      <c r="N105" s="1"/>
      <c r="O105" s="1"/>
      <c r="P105" s="1"/>
      <c r="Q105" s="1"/>
    </row>
    <row r="106" spans="1:17" x14ac:dyDescent="0.25">
      <c r="A106" s="1" t="s">
        <v>918</v>
      </c>
      <c r="B106" s="1" t="s">
        <v>25</v>
      </c>
      <c r="C106" s="1" t="s">
        <v>919</v>
      </c>
      <c r="D106" s="1" t="s">
        <v>920</v>
      </c>
      <c r="E106" s="1" t="s">
        <v>921</v>
      </c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</row>
    <row r="107" spans="1:17" x14ac:dyDescent="0.25">
      <c r="A107" s="1" t="s">
        <v>918</v>
      </c>
      <c r="B107" s="1" t="s">
        <v>25</v>
      </c>
      <c r="C107" s="1" t="s">
        <v>919</v>
      </c>
      <c r="D107" s="1" t="s">
        <v>920</v>
      </c>
      <c r="E107" s="1" t="s">
        <v>921</v>
      </c>
      <c r="F107" s="1" t="s">
        <v>996</v>
      </c>
      <c r="G107" s="1" t="s">
        <v>997</v>
      </c>
      <c r="H107" s="1" t="s">
        <v>927</v>
      </c>
      <c r="I107" s="1" t="s">
        <v>998</v>
      </c>
      <c r="J107" s="1" t="s">
        <v>933</v>
      </c>
      <c r="K107" s="1" t="s">
        <v>993</v>
      </c>
      <c r="L107" s="1" t="s">
        <v>994</v>
      </c>
      <c r="M107" s="1" t="s">
        <v>925</v>
      </c>
      <c r="N107" s="1" t="s">
        <v>10731</v>
      </c>
      <c r="O107" s="1"/>
      <c r="P107" s="1"/>
      <c r="Q107" s="1"/>
    </row>
    <row r="108" spans="1:17" x14ac:dyDescent="0.25">
      <c r="A108" s="1" t="s">
        <v>918</v>
      </c>
      <c r="B108" s="1" t="s">
        <v>25</v>
      </c>
      <c r="C108" s="1" t="s">
        <v>919</v>
      </c>
      <c r="D108" s="1" t="s">
        <v>920</v>
      </c>
      <c r="E108" s="1" t="s">
        <v>921</v>
      </c>
      <c r="F108" s="1" t="s">
        <v>1149</v>
      </c>
      <c r="G108" s="1" t="s">
        <v>923</v>
      </c>
      <c r="H108" s="1" t="s">
        <v>998</v>
      </c>
      <c r="I108" s="1" t="s">
        <v>1086</v>
      </c>
      <c r="J108" s="1" t="s">
        <v>933</v>
      </c>
      <c r="K108" s="1" t="s">
        <v>10719</v>
      </c>
      <c r="L108" s="1" t="s">
        <v>1020</v>
      </c>
      <c r="M108" s="1" t="s">
        <v>10732</v>
      </c>
      <c r="N108" s="1"/>
      <c r="O108" s="1"/>
      <c r="P108" s="1"/>
      <c r="Q108" s="1"/>
    </row>
    <row r="109" spans="1:17" x14ac:dyDescent="0.25">
      <c r="A109" s="1" t="s">
        <v>25</v>
      </c>
      <c r="B109" s="1" t="s">
        <v>1086</v>
      </c>
      <c r="C109" s="1" t="s">
        <v>919</v>
      </c>
      <c r="D109" s="1" t="s">
        <v>920</v>
      </c>
      <c r="E109" s="1" t="s">
        <v>921</v>
      </c>
      <c r="F109" s="1" t="s">
        <v>948</v>
      </c>
      <c r="G109" s="1" t="s">
        <v>298</v>
      </c>
      <c r="H109" s="1" t="s">
        <v>923</v>
      </c>
      <c r="I109" s="1"/>
      <c r="J109" s="1"/>
      <c r="K109" s="1"/>
      <c r="L109" s="1"/>
      <c r="M109" s="1"/>
      <c r="N109" s="1"/>
      <c r="O109" s="1"/>
      <c r="P109" s="1"/>
      <c r="Q109" s="1"/>
    </row>
    <row r="110" spans="1:17" x14ac:dyDescent="0.25">
      <c r="A110" s="1" t="s">
        <v>948</v>
      </c>
      <c r="B110" s="1" t="s">
        <v>298</v>
      </c>
      <c r="C110" s="1" t="s">
        <v>25</v>
      </c>
      <c r="D110" s="1" t="s">
        <v>923</v>
      </c>
      <c r="E110" s="1" t="s">
        <v>1069</v>
      </c>
      <c r="F110" s="1" t="s">
        <v>1149</v>
      </c>
      <c r="G110" s="1" t="s">
        <v>997</v>
      </c>
      <c r="H110" s="1" t="s">
        <v>1150</v>
      </c>
      <c r="I110" s="1"/>
      <c r="J110" s="1"/>
      <c r="K110" s="1"/>
      <c r="L110" s="1"/>
      <c r="M110" s="1"/>
      <c r="N110" s="1"/>
      <c r="O110" s="1"/>
      <c r="P110" s="1"/>
      <c r="Q110" s="1"/>
    </row>
    <row r="111" spans="1:17" x14ac:dyDescent="0.25">
      <c r="A111" s="1" t="s">
        <v>10733</v>
      </c>
      <c r="B111" s="1" t="s">
        <v>948</v>
      </c>
      <c r="C111" s="1" t="s">
        <v>298</v>
      </c>
      <c r="D111" s="1" t="s">
        <v>25</v>
      </c>
      <c r="E111" s="1" t="s">
        <v>923</v>
      </c>
      <c r="F111" s="1" t="s">
        <v>997</v>
      </c>
      <c r="G111" s="1" t="s">
        <v>1167</v>
      </c>
      <c r="H111" s="1" t="s">
        <v>10734</v>
      </c>
      <c r="I111" s="1" t="s">
        <v>1085</v>
      </c>
      <c r="J111" s="1" t="s">
        <v>10735</v>
      </c>
      <c r="K111" s="1" t="s">
        <v>955</v>
      </c>
      <c r="L111" s="1" t="s">
        <v>959</v>
      </c>
      <c r="M111" s="1" t="s">
        <v>1014</v>
      </c>
      <c r="N111" s="1" t="s">
        <v>944</v>
      </c>
      <c r="O111" s="1" t="s">
        <v>10736</v>
      </c>
      <c r="P111" s="1"/>
      <c r="Q111" s="1"/>
    </row>
    <row r="112" spans="1:17" x14ac:dyDescent="0.25">
      <c r="A112" s="1" t="s">
        <v>948</v>
      </c>
      <c r="B112" s="1" t="s">
        <v>1051</v>
      </c>
      <c r="C112" s="1" t="s">
        <v>25</v>
      </c>
      <c r="D112" s="1" t="s">
        <v>923</v>
      </c>
      <c r="E112" s="1" t="s">
        <v>1053</v>
      </c>
      <c r="F112" s="1" t="s">
        <v>1086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spans="1:17" x14ac:dyDescent="0.25">
      <c r="A113" s="1" t="s">
        <v>1053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spans="1:17" x14ac:dyDescent="0.25">
      <c r="A114" s="1" t="s">
        <v>1053</v>
      </c>
      <c r="B114" s="1" t="s">
        <v>992</v>
      </c>
      <c r="C114" s="1" t="s">
        <v>993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spans="1:17" x14ac:dyDescent="0.25">
      <c r="A115" s="1" t="s">
        <v>1053</v>
      </c>
      <c r="B115" s="1" t="s">
        <v>298</v>
      </c>
      <c r="C115" s="1" t="s">
        <v>2927</v>
      </c>
      <c r="D115" s="1" t="s">
        <v>1069</v>
      </c>
      <c r="E115" s="1" t="s">
        <v>25</v>
      </c>
      <c r="F115" s="1" t="s">
        <v>923</v>
      </c>
      <c r="G115" s="1" t="s">
        <v>998</v>
      </c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spans="1:17" x14ac:dyDescent="0.25">
      <c r="A116" s="1" t="s">
        <v>1053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spans="1:17" x14ac:dyDescent="0.25">
      <c r="A117" s="1" t="s">
        <v>2147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spans="1:17" x14ac:dyDescent="0.25">
      <c r="A118" s="1" t="s">
        <v>927</v>
      </c>
      <c r="B118" s="1" t="s">
        <v>1001</v>
      </c>
      <c r="C118" s="1" t="s">
        <v>10737</v>
      </c>
      <c r="D118" s="1" t="s">
        <v>10738</v>
      </c>
      <c r="E118" s="1" t="s">
        <v>919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spans="1:17" x14ac:dyDescent="0.25">
      <c r="A119" s="1" t="s">
        <v>2153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spans="1:17" x14ac:dyDescent="0.25">
      <c r="A120" s="1" t="s">
        <v>996</v>
      </c>
      <c r="B120" s="1" t="s">
        <v>999</v>
      </c>
      <c r="C120" s="1" t="s">
        <v>921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spans="1:17" x14ac:dyDescent="0.25">
      <c r="A121" s="1" t="s">
        <v>919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1:17" x14ac:dyDescent="0.25">
      <c r="A122" s="1" t="s">
        <v>918</v>
      </c>
      <c r="B122" s="1" t="s">
        <v>919</v>
      </c>
      <c r="C122" s="1" t="s">
        <v>924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spans="1:17" x14ac:dyDescent="0.25">
      <c r="A123" s="1" t="s">
        <v>918</v>
      </c>
      <c r="B123" s="1" t="s">
        <v>919</v>
      </c>
      <c r="C123" s="1" t="s">
        <v>924</v>
      </c>
      <c r="D123" s="1" t="s">
        <v>930</v>
      </c>
      <c r="E123" s="1" t="s">
        <v>1014</v>
      </c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spans="1:17" x14ac:dyDescent="0.25">
      <c r="A124" s="1" t="s">
        <v>918</v>
      </c>
      <c r="B124" s="1" t="s">
        <v>919</v>
      </c>
      <c r="C124" s="1" t="s">
        <v>936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spans="1:17" x14ac:dyDescent="0.25">
      <c r="A125" s="1" t="s">
        <v>1004</v>
      </c>
      <c r="B125" s="1" t="s">
        <v>1005</v>
      </c>
      <c r="C125" s="1" t="s">
        <v>1006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spans="1:17" x14ac:dyDescent="0.25">
      <c r="A126" s="1" t="s">
        <v>1074</v>
      </c>
      <c r="B126" s="1" t="s">
        <v>955</v>
      </c>
      <c r="C126" s="1" t="s">
        <v>1034</v>
      </c>
      <c r="D126" s="1" t="s">
        <v>995</v>
      </c>
      <c r="E126" s="1" t="s">
        <v>1014</v>
      </c>
      <c r="F126" s="1" t="s">
        <v>956</v>
      </c>
      <c r="G126" s="1" t="s">
        <v>941</v>
      </c>
      <c r="H126" s="1" t="s">
        <v>924</v>
      </c>
      <c r="I126" s="1" t="s">
        <v>944</v>
      </c>
      <c r="J126" s="1" t="s">
        <v>328</v>
      </c>
      <c r="K126" s="1"/>
      <c r="L126" s="1"/>
      <c r="M126" s="1"/>
      <c r="N126" s="1"/>
      <c r="O126" s="1"/>
      <c r="P126" s="1"/>
      <c r="Q126" s="1"/>
    </row>
    <row r="127" spans="1:17" x14ac:dyDescent="0.25">
      <c r="A127" s="1" t="s">
        <v>941</v>
      </c>
      <c r="B127" s="1" t="s">
        <v>1143</v>
      </c>
      <c r="C127" s="1" t="s">
        <v>1085</v>
      </c>
      <c r="D127" s="1" t="s">
        <v>955</v>
      </c>
      <c r="E127" s="1" t="s">
        <v>924</v>
      </c>
      <c r="F127" s="1" t="s">
        <v>1014</v>
      </c>
      <c r="G127" s="1" t="s">
        <v>944</v>
      </c>
      <c r="H127" s="1" t="s">
        <v>956</v>
      </c>
      <c r="I127" s="1" t="s">
        <v>918</v>
      </c>
      <c r="J127" s="1" t="s">
        <v>919</v>
      </c>
      <c r="K127" s="1" t="s">
        <v>1074</v>
      </c>
      <c r="L127" s="1" t="s">
        <v>1034</v>
      </c>
      <c r="M127" s="1" t="s">
        <v>995</v>
      </c>
      <c r="N127" s="1"/>
      <c r="O127" s="1"/>
      <c r="P127" s="1"/>
      <c r="Q127" s="1"/>
    </row>
    <row r="128" spans="1:17" x14ac:dyDescent="0.25">
      <c r="A128" s="1" t="s">
        <v>1034</v>
      </c>
      <c r="B128" s="1" t="s">
        <v>1014</v>
      </c>
      <c r="C128" s="1" t="s">
        <v>956</v>
      </c>
      <c r="D128" s="1" t="s">
        <v>1074</v>
      </c>
      <c r="E128" s="1" t="s">
        <v>955</v>
      </c>
      <c r="F128" s="1" t="s">
        <v>995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spans="1:17" x14ac:dyDescent="0.25">
      <c r="A129" s="1" t="s">
        <v>10739</v>
      </c>
      <c r="B129" s="1" t="s">
        <v>955</v>
      </c>
      <c r="C129" s="1" t="s">
        <v>1014</v>
      </c>
      <c r="D129" s="1" t="s">
        <v>10740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</row>
    <row r="130" spans="1:17" x14ac:dyDescent="0.25">
      <c r="A130" s="1" t="s">
        <v>918</v>
      </c>
      <c r="B130" s="1" t="s">
        <v>927</v>
      </c>
      <c r="C130" s="1" t="s">
        <v>919</v>
      </c>
      <c r="D130" s="1" t="s">
        <v>965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spans="1:17" x14ac:dyDescent="0.25">
      <c r="A131" s="1" t="s">
        <v>918</v>
      </c>
      <c r="B131" s="1" t="s">
        <v>919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1:17" x14ac:dyDescent="0.25">
      <c r="A132" s="1" t="s">
        <v>50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1:17" x14ac:dyDescent="0.25">
      <c r="A133" s="1" t="s">
        <v>918</v>
      </c>
      <c r="B133" s="1" t="s">
        <v>919</v>
      </c>
      <c r="C133" s="1" t="s">
        <v>929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1:17" x14ac:dyDescent="0.25">
      <c r="A134" s="1" t="s">
        <v>918</v>
      </c>
      <c r="B134" s="1" t="s">
        <v>1051</v>
      </c>
      <c r="C134" s="1" t="s">
        <v>1052</v>
      </c>
      <c r="D134" s="1" t="s">
        <v>916</v>
      </c>
      <c r="E134" s="1" t="s">
        <v>920</v>
      </c>
      <c r="F134" s="1" t="s">
        <v>921</v>
      </c>
      <c r="G134" s="1" t="s">
        <v>922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1:17" x14ac:dyDescent="0.25">
      <c r="A135" s="1" t="s">
        <v>10741</v>
      </c>
      <c r="B135" s="1" t="s">
        <v>1014</v>
      </c>
      <c r="C135" s="1" t="s">
        <v>1040</v>
      </c>
      <c r="D135" s="1" t="s">
        <v>930</v>
      </c>
      <c r="E135" s="1" t="s">
        <v>945</v>
      </c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spans="1:17" x14ac:dyDescent="0.25">
      <c r="A136" s="1" t="s">
        <v>10741</v>
      </c>
      <c r="B136" s="1" t="s">
        <v>1014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spans="1:17" x14ac:dyDescent="0.25">
      <c r="A137" s="1" t="s">
        <v>10741</v>
      </c>
      <c r="B137" s="1" t="s">
        <v>1014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1:17" x14ac:dyDescent="0.25">
      <c r="A138" s="1" t="s">
        <v>10741</v>
      </c>
      <c r="B138" s="1" t="s">
        <v>1014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spans="1:17" x14ac:dyDescent="0.25">
      <c r="A139" s="1" t="s">
        <v>10734</v>
      </c>
      <c r="B139" s="1" t="s">
        <v>955</v>
      </c>
      <c r="C139" s="1" t="s">
        <v>1014</v>
      </c>
      <c r="D139" s="1" t="s">
        <v>10741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spans="1:17" x14ac:dyDescent="0.25">
      <c r="A140" s="1" t="s">
        <v>1040</v>
      </c>
      <c r="B140" s="1" t="s">
        <v>930</v>
      </c>
      <c r="C140" s="1" t="s">
        <v>10741</v>
      </c>
      <c r="D140" s="1" t="s">
        <v>1014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spans="1:17" x14ac:dyDescent="0.25">
      <c r="A141" s="1" t="s">
        <v>918</v>
      </c>
      <c r="B141" s="1" t="s">
        <v>919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spans="1:17" x14ac:dyDescent="0.25">
      <c r="A142" s="1" t="s">
        <v>25</v>
      </c>
      <c r="B142" s="1" t="s">
        <v>1086</v>
      </c>
      <c r="C142" s="1" t="s">
        <v>919</v>
      </c>
      <c r="D142" s="1" t="s">
        <v>920</v>
      </c>
      <c r="E142" s="1" t="s">
        <v>921</v>
      </c>
      <c r="F142" s="1" t="s">
        <v>10742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spans="1:17" x14ac:dyDescent="0.25">
      <c r="A143" s="1" t="s">
        <v>934</v>
      </c>
      <c r="B143" s="1" t="s">
        <v>918</v>
      </c>
      <c r="C143" s="1" t="s">
        <v>25</v>
      </c>
      <c r="D143" s="1" t="s">
        <v>923</v>
      </c>
      <c r="E143" s="1" t="s">
        <v>935</v>
      </c>
      <c r="F143" s="1" t="s">
        <v>920</v>
      </c>
      <c r="G143" s="1" t="s">
        <v>921</v>
      </c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spans="1:17" x14ac:dyDescent="0.25">
      <c r="A144" s="1" t="s">
        <v>934</v>
      </c>
      <c r="B144" s="1" t="s">
        <v>918</v>
      </c>
      <c r="C144" s="1" t="s">
        <v>25</v>
      </c>
      <c r="D144" s="1" t="s">
        <v>923</v>
      </c>
      <c r="E144" s="1" t="s">
        <v>935</v>
      </c>
      <c r="F144" s="1" t="s">
        <v>920</v>
      </c>
      <c r="G144" s="1" t="s">
        <v>921</v>
      </c>
      <c r="H144" s="1" t="s">
        <v>955</v>
      </c>
      <c r="I144" s="1" t="s">
        <v>924</v>
      </c>
      <c r="J144" s="1" t="s">
        <v>1014</v>
      </c>
      <c r="K144" s="1" t="s">
        <v>944</v>
      </c>
      <c r="L144" s="1" t="s">
        <v>956</v>
      </c>
      <c r="M144" s="1" t="s">
        <v>750</v>
      </c>
      <c r="N144" s="1" t="s">
        <v>1129</v>
      </c>
      <c r="O144" s="1" t="s">
        <v>761</v>
      </c>
      <c r="P144" s="1"/>
      <c r="Q144" s="1"/>
    </row>
    <row r="145" spans="1:17" x14ac:dyDescent="0.25">
      <c r="A145" s="1" t="s">
        <v>931</v>
      </c>
      <c r="B145" s="1" t="s">
        <v>932</v>
      </c>
      <c r="C145" s="1" t="s">
        <v>923</v>
      </c>
      <c r="D145" s="1" t="s">
        <v>916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1:17" x14ac:dyDescent="0.25">
      <c r="A146" s="1" t="s">
        <v>298</v>
      </c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spans="1:17" x14ac:dyDescent="0.25">
      <c r="A147" s="1" t="s">
        <v>918</v>
      </c>
      <c r="B147" s="1" t="s">
        <v>25</v>
      </c>
      <c r="C147" s="1" t="s">
        <v>923</v>
      </c>
      <c r="D147" s="1" t="s">
        <v>919</v>
      </c>
      <c r="E147" s="1" t="s">
        <v>920</v>
      </c>
      <c r="F147" s="1" t="s">
        <v>921</v>
      </c>
      <c r="G147" s="1" t="s">
        <v>1090</v>
      </c>
      <c r="H147" s="1" t="s">
        <v>974</v>
      </c>
      <c r="I147" s="1" t="s">
        <v>950</v>
      </c>
      <c r="J147" s="1"/>
      <c r="K147" s="1"/>
      <c r="L147" s="1"/>
      <c r="M147" s="1"/>
      <c r="N147" s="1"/>
      <c r="O147" s="1"/>
      <c r="P147" s="1"/>
      <c r="Q147" s="1"/>
    </row>
    <row r="148" spans="1:17" x14ac:dyDescent="0.25">
      <c r="A148" s="1" t="s">
        <v>84</v>
      </c>
      <c r="B148" s="1" t="s">
        <v>1168</v>
      </c>
      <c r="C148" s="1" t="s">
        <v>10743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spans="1:17" x14ac:dyDescent="0.25">
      <c r="A149" s="1" t="s">
        <v>25</v>
      </c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1:17" x14ac:dyDescent="0.25">
      <c r="A150" s="1" t="s">
        <v>916</v>
      </c>
      <c r="B150" s="1" t="s">
        <v>920</v>
      </c>
      <c r="C150" s="1" t="s">
        <v>922</v>
      </c>
      <c r="D150" s="1" t="s">
        <v>1137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spans="1:17" x14ac:dyDescent="0.25">
      <c r="A151" s="1" t="s">
        <v>25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spans="1:17" x14ac:dyDescent="0.25">
      <c r="A152" s="1" t="s">
        <v>90</v>
      </c>
      <c r="B152" s="1" t="s">
        <v>934</v>
      </c>
      <c r="C152" s="1" t="s">
        <v>918</v>
      </c>
      <c r="D152" s="1" t="s">
        <v>25</v>
      </c>
      <c r="E152" s="1" t="s">
        <v>919</v>
      </c>
      <c r="F152" s="1" t="s">
        <v>920</v>
      </c>
      <c r="G152" s="1" t="s">
        <v>924</v>
      </c>
      <c r="H152" s="1"/>
      <c r="I152" s="1"/>
      <c r="J152" s="1"/>
      <c r="K152" s="1"/>
      <c r="L152" s="1"/>
      <c r="M152" s="1"/>
      <c r="N152" s="1"/>
      <c r="O152" s="1"/>
      <c r="P152" s="1"/>
      <c r="Q152" s="1"/>
    </row>
    <row r="153" spans="1:17" x14ac:dyDescent="0.25">
      <c r="A153" s="1" t="s">
        <v>10744</v>
      </c>
      <c r="B153" s="1" t="s">
        <v>10745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spans="1:17" x14ac:dyDescent="0.25">
      <c r="A154" s="1" t="s">
        <v>949</v>
      </c>
      <c r="B154" s="1" t="s">
        <v>920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</row>
    <row r="155" spans="1:17" x14ac:dyDescent="0.25">
      <c r="A155" s="1" t="s">
        <v>916</v>
      </c>
      <c r="B155" s="1" t="s">
        <v>1066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1:17" x14ac:dyDescent="0.25">
      <c r="A156" s="1" t="s">
        <v>918</v>
      </c>
      <c r="B156" s="1" t="s">
        <v>25</v>
      </c>
      <c r="C156" s="1" t="s">
        <v>923</v>
      </c>
      <c r="D156" s="1" t="s">
        <v>920</v>
      </c>
      <c r="E156" s="1" t="s">
        <v>933</v>
      </c>
      <c r="F156" s="1" t="s">
        <v>921</v>
      </c>
      <c r="G156" s="1" t="s">
        <v>934</v>
      </c>
      <c r="H156" s="1" t="s">
        <v>935</v>
      </c>
      <c r="I156" s="1"/>
      <c r="J156" s="1"/>
      <c r="K156" s="1"/>
      <c r="L156" s="1"/>
      <c r="M156" s="1"/>
      <c r="N156" s="1"/>
      <c r="O156" s="1"/>
      <c r="P156" s="1"/>
      <c r="Q156" s="1"/>
    </row>
    <row r="157" spans="1:17" x14ac:dyDescent="0.25">
      <c r="A157" s="1" t="s">
        <v>25</v>
      </c>
      <c r="B157" s="1" t="s">
        <v>923</v>
      </c>
      <c r="C157" s="1" t="s">
        <v>916</v>
      </c>
      <c r="D157" s="1" t="s">
        <v>920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spans="1:17" x14ac:dyDescent="0.25">
      <c r="A158" s="1" t="s">
        <v>967</v>
      </c>
      <c r="B158" s="1" t="s">
        <v>968</v>
      </c>
      <c r="C158" s="1" t="s">
        <v>969</v>
      </c>
      <c r="D158" s="1" t="s">
        <v>970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</row>
    <row r="159" spans="1:17" x14ac:dyDescent="0.25">
      <c r="A159" s="1" t="s">
        <v>918</v>
      </c>
      <c r="B159" s="1" t="s">
        <v>971</v>
      </c>
      <c r="C159" s="1" t="s">
        <v>940</v>
      </c>
      <c r="D159" s="1" t="s">
        <v>25</v>
      </c>
      <c r="E159" s="1" t="s">
        <v>947</v>
      </c>
      <c r="F159" s="1" t="s">
        <v>919</v>
      </c>
      <c r="G159" s="1" t="s">
        <v>920</v>
      </c>
      <c r="H159" s="1" t="s">
        <v>921</v>
      </c>
      <c r="I159" s="1" t="s">
        <v>6272</v>
      </c>
      <c r="J159" s="1"/>
      <c r="K159" s="1"/>
      <c r="L159" s="1"/>
      <c r="M159" s="1"/>
      <c r="N159" s="1"/>
      <c r="O159" s="1"/>
      <c r="P159" s="1"/>
      <c r="Q159" s="1"/>
    </row>
    <row r="160" spans="1:17" x14ac:dyDescent="0.25">
      <c r="A160" s="1" t="s">
        <v>918</v>
      </c>
      <c r="B160" s="1" t="s">
        <v>25</v>
      </c>
      <c r="C160" s="1" t="s">
        <v>919</v>
      </c>
      <c r="D160" s="1" t="s">
        <v>920</v>
      </c>
      <c r="E160" s="1" t="s">
        <v>921</v>
      </c>
      <c r="F160" s="1" t="s">
        <v>922</v>
      </c>
      <c r="G160" s="1" t="s">
        <v>936</v>
      </c>
      <c r="H160" s="1" t="s">
        <v>929</v>
      </c>
      <c r="I160" s="1"/>
      <c r="J160" s="1"/>
      <c r="K160" s="1"/>
      <c r="L160" s="1"/>
      <c r="M160" s="1"/>
      <c r="N160" s="1"/>
      <c r="O160" s="1"/>
      <c r="P160" s="1"/>
      <c r="Q160" s="1"/>
    </row>
    <row r="161" spans="1:17" x14ac:dyDescent="0.25">
      <c r="A161" s="1" t="s">
        <v>918</v>
      </c>
      <c r="B161" s="1" t="s">
        <v>25</v>
      </c>
      <c r="C161" s="1" t="s">
        <v>919</v>
      </c>
      <c r="D161" s="1" t="s">
        <v>920</v>
      </c>
      <c r="E161" s="1" t="s">
        <v>921</v>
      </c>
      <c r="F161" s="1" t="s">
        <v>922</v>
      </c>
      <c r="G161" s="1" t="s">
        <v>923</v>
      </c>
      <c r="H161" s="1" t="s">
        <v>916</v>
      </c>
      <c r="I161" s="1" t="s">
        <v>924</v>
      </c>
      <c r="J161" s="1" t="s">
        <v>925</v>
      </c>
      <c r="K161" s="1" t="s">
        <v>926</v>
      </c>
      <c r="L161" s="1" t="s">
        <v>927</v>
      </c>
      <c r="M161" s="1" t="s">
        <v>928</v>
      </c>
      <c r="N161" s="1" t="s">
        <v>929</v>
      </c>
      <c r="O161" s="1" t="s">
        <v>10746</v>
      </c>
      <c r="P161" s="1" t="s">
        <v>930</v>
      </c>
      <c r="Q161" s="1" t="s">
        <v>10747</v>
      </c>
    </row>
    <row r="162" spans="1:17" x14ac:dyDescent="0.25">
      <c r="A162" s="1" t="s">
        <v>967</v>
      </c>
      <c r="B162" s="1" t="s">
        <v>969</v>
      </c>
      <c r="C162" s="1" t="s">
        <v>10706</v>
      </c>
      <c r="D162" s="1" t="s">
        <v>970</v>
      </c>
      <c r="E162" s="1" t="s">
        <v>948</v>
      </c>
      <c r="F162" s="1" t="s">
        <v>1069</v>
      </c>
      <c r="G162" s="1" t="s">
        <v>25</v>
      </c>
      <c r="H162" s="1" t="s">
        <v>1070</v>
      </c>
      <c r="I162" s="1"/>
      <c r="J162" s="1"/>
      <c r="K162" s="1"/>
      <c r="L162" s="1"/>
      <c r="M162" s="1"/>
      <c r="N162" s="1"/>
      <c r="O162" s="1"/>
      <c r="P162" s="1"/>
      <c r="Q162" s="1"/>
    </row>
    <row r="163" spans="1:17" x14ac:dyDescent="0.25">
      <c r="A163" s="1" t="s">
        <v>35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spans="1:17" x14ac:dyDescent="0.25">
      <c r="A164" s="1" t="s">
        <v>918</v>
      </c>
      <c r="B164" s="1" t="s">
        <v>25</v>
      </c>
      <c r="C164" s="1" t="s">
        <v>923</v>
      </c>
      <c r="D164" s="1" t="s">
        <v>919</v>
      </c>
      <c r="E164" s="1" t="s">
        <v>920</v>
      </c>
      <c r="F164" s="1" t="s">
        <v>933</v>
      </c>
      <c r="G164" s="1" t="s">
        <v>921</v>
      </c>
      <c r="H164" s="1" t="s">
        <v>924</v>
      </c>
      <c r="I164" s="1" t="s">
        <v>936</v>
      </c>
      <c r="J164" s="1" t="s">
        <v>929</v>
      </c>
      <c r="K164" s="1"/>
      <c r="L164" s="1"/>
      <c r="M164" s="1"/>
      <c r="N164" s="1"/>
      <c r="O164" s="1"/>
      <c r="P164" s="1"/>
      <c r="Q164" s="1"/>
    </row>
    <row r="165" spans="1:17" x14ac:dyDescent="0.25">
      <c r="A165" s="1" t="s">
        <v>916</v>
      </c>
      <c r="B165" s="1" t="s">
        <v>10748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spans="1:17" x14ac:dyDescent="0.25">
      <c r="A166" s="1" t="s">
        <v>25</v>
      </c>
      <c r="B166" s="1" t="s">
        <v>919</v>
      </c>
      <c r="C166" s="1" t="s">
        <v>920</v>
      </c>
      <c r="D166" s="1" t="s">
        <v>946</v>
      </c>
      <c r="E166" s="1" t="s">
        <v>921</v>
      </c>
      <c r="F166" s="1" t="s">
        <v>10749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spans="1:17" x14ac:dyDescent="0.25">
      <c r="A167" s="1" t="s">
        <v>10750</v>
      </c>
      <c r="B167" s="1" t="s">
        <v>10716</v>
      </c>
      <c r="C167" s="1" t="s">
        <v>8695</v>
      </c>
      <c r="D167" s="1" t="s">
        <v>918</v>
      </c>
      <c r="E167" s="1" t="s">
        <v>919</v>
      </c>
      <c r="F167" s="1" t="s">
        <v>929</v>
      </c>
      <c r="G167" s="1" t="s">
        <v>975</v>
      </c>
      <c r="H167" s="1" t="s">
        <v>90</v>
      </c>
      <c r="I167" s="1" t="s">
        <v>964</v>
      </c>
      <c r="J167" s="1" t="s">
        <v>10751</v>
      </c>
      <c r="K167" s="1"/>
      <c r="L167" s="1"/>
      <c r="M167" s="1"/>
      <c r="N167" s="1"/>
      <c r="O167" s="1"/>
      <c r="P167" s="1"/>
      <c r="Q167" s="1"/>
    </row>
    <row r="168" spans="1:17" x14ac:dyDescent="0.25">
      <c r="A168" s="1" t="s">
        <v>934</v>
      </c>
      <c r="B168" s="1" t="s">
        <v>918</v>
      </c>
      <c r="C168" s="1" t="s">
        <v>1110</v>
      </c>
      <c r="D168" s="1" t="s">
        <v>25</v>
      </c>
      <c r="E168" s="1" t="s">
        <v>923</v>
      </c>
      <c r="F168" s="1" t="s">
        <v>920</v>
      </c>
      <c r="G168" s="1" t="s">
        <v>924</v>
      </c>
      <c r="H168" s="1" t="s">
        <v>974</v>
      </c>
      <c r="I168" s="1" t="s">
        <v>921</v>
      </c>
      <c r="J168" s="1" t="s">
        <v>933</v>
      </c>
      <c r="K168" s="1" t="s">
        <v>954</v>
      </c>
      <c r="L168" s="1"/>
      <c r="M168" s="1"/>
      <c r="N168" s="1"/>
      <c r="O168" s="1"/>
      <c r="P168" s="1"/>
      <c r="Q168" s="1"/>
    </row>
    <row r="169" spans="1:17" x14ac:dyDescent="0.25">
      <c r="A169" s="1" t="s">
        <v>918</v>
      </c>
      <c r="B169" s="1" t="s">
        <v>25</v>
      </c>
      <c r="C169" s="1" t="s">
        <v>923</v>
      </c>
      <c r="D169" s="1" t="s">
        <v>919</v>
      </c>
      <c r="E169" s="1" t="s">
        <v>920</v>
      </c>
      <c r="F169" s="1" t="s">
        <v>921</v>
      </c>
      <c r="G169" s="1" t="s">
        <v>936</v>
      </c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1:17" x14ac:dyDescent="0.25">
      <c r="A170" s="1" t="s">
        <v>925</v>
      </c>
      <c r="B170" s="1" t="s">
        <v>937</v>
      </c>
      <c r="C170" s="1" t="s">
        <v>918</v>
      </c>
      <c r="D170" s="1" t="s">
        <v>938</v>
      </c>
      <c r="E170" s="1" t="s">
        <v>939</v>
      </c>
      <c r="F170" s="1" t="s">
        <v>928</v>
      </c>
      <c r="G170" s="1" t="s">
        <v>919</v>
      </c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1:17" x14ac:dyDescent="0.25">
      <c r="A171" s="1" t="s">
        <v>940</v>
      </c>
      <c r="B171" s="1" t="s">
        <v>916</v>
      </c>
      <c r="C171" s="1" t="s">
        <v>921</v>
      </c>
      <c r="D171" s="1" t="s">
        <v>929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1:17" x14ac:dyDescent="0.25">
      <c r="A172" s="1" t="s">
        <v>918</v>
      </c>
      <c r="B172" s="1" t="s">
        <v>25</v>
      </c>
      <c r="C172" s="1" t="s">
        <v>923</v>
      </c>
      <c r="D172" s="1" t="s">
        <v>919</v>
      </c>
      <c r="E172" s="1" t="s">
        <v>920</v>
      </c>
      <c r="F172" s="1" t="s">
        <v>933</v>
      </c>
      <c r="G172" s="1" t="s">
        <v>328</v>
      </c>
      <c r="H172" s="1" t="s">
        <v>921</v>
      </c>
      <c r="I172" s="1" t="s">
        <v>987</v>
      </c>
      <c r="J172" s="1"/>
      <c r="K172" s="1"/>
      <c r="L172" s="1"/>
      <c r="M172" s="1"/>
      <c r="N172" s="1"/>
      <c r="O172" s="1"/>
      <c r="P172" s="1"/>
      <c r="Q172" s="1"/>
    </row>
    <row r="173" spans="1:17" x14ac:dyDescent="0.25">
      <c r="A173" s="1" t="s">
        <v>941</v>
      </c>
      <c r="B173" s="1" t="s">
        <v>918</v>
      </c>
      <c r="C173" s="1" t="s">
        <v>942</v>
      </c>
      <c r="D173" s="1" t="s">
        <v>943</v>
      </c>
      <c r="E173" s="1" t="s">
        <v>930</v>
      </c>
      <c r="F173" s="1" t="s">
        <v>944</v>
      </c>
      <c r="G173" s="1" t="s">
        <v>945</v>
      </c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x14ac:dyDescent="0.25">
      <c r="A174" s="1" t="s">
        <v>25</v>
      </c>
      <c r="B174" s="1" t="s">
        <v>1136</v>
      </c>
      <c r="C174" s="1" t="s">
        <v>10752</v>
      </c>
      <c r="D174" s="1" t="s">
        <v>920</v>
      </c>
      <c r="E174" s="1" t="s">
        <v>328</v>
      </c>
      <c r="F174" s="1" t="s">
        <v>840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1:17" x14ac:dyDescent="0.25">
      <c r="A175" s="1" t="s">
        <v>50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1:17" x14ac:dyDescent="0.25">
      <c r="A176" s="1" t="s">
        <v>918</v>
      </c>
      <c r="B176" s="1" t="s">
        <v>25</v>
      </c>
      <c r="C176" s="1" t="s">
        <v>919</v>
      </c>
      <c r="D176" s="1" t="s">
        <v>920</v>
      </c>
      <c r="E176" s="1" t="s">
        <v>946</v>
      </c>
      <c r="F176" s="1" t="s">
        <v>921</v>
      </c>
      <c r="G176" s="1" t="s">
        <v>922</v>
      </c>
      <c r="H176" s="1" t="s">
        <v>923</v>
      </c>
      <c r="I176" s="1" t="s">
        <v>947</v>
      </c>
      <c r="J176" s="1" t="s">
        <v>933</v>
      </c>
      <c r="K176" s="1"/>
      <c r="L176" s="1"/>
      <c r="M176" s="1"/>
      <c r="N176" s="1"/>
      <c r="O176" s="1"/>
      <c r="P176" s="1"/>
      <c r="Q176" s="1"/>
    </row>
    <row r="177" spans="1:17" x14ac:dyDescent="0.25">
      <c r="A177" s="1" t="s">
        <v>25</v>
      </c>
      <c r="B177" s="1" t="s">
        <v>920</v>
      </c>
      <c r="C177" s="1" t="s">
        <v>921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1:17" x14ac:dyDescent="0.25">
      <c r="A178" s="1" t="s">
        <v>923</v>
      </c>
      <c r="B178" s="1" t="s">
        <v>961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1:17" x14ac:dyDescent="0.25">
      <c r="A179" s="1" t="s">
        <v>934</v>
      </c>
      <c r="B179" s="1" t="s">
        <v>948</v>
      </c>
      <c r="C179" s="1" t="s">
        <v>918</v>
      </c>
      <c r="D179" s="1" t="s">
        <v>949</v>
      </c>
      <c r="E179" s="1" t="s">
        <v>25</v>
      </c>
      <c r="F179" s="1" t="s">
        <v>916</v>
      </c>
      <c r="G179" s="1" t="s">
        <v>919</v>
      </c>
      <c r="H179" s="1" t="s">
        <v>920</v>
      </c>
      <c r="I179" s="1" t="s">
        <v>328</v>
      </c>
      <c r="J179" s="1" t="s">
        <v>950</v>
      </c>
      <c r="K179" s="1" t="s">
        <v>921</v>
      </c>
      <c r="L179" s="1"/>
      <c r="M179" s="1"/>
      <c r="N179" s="1"/>
      <c r="O179" s="1"/>
      <c r="P179" s="1"/>
      <c r="Q179" s="1"/>
    </row>
    <row r="180" spans="1:17" x14ac:dyDescent="0.25">
      <c r="A180" s="1" t="s">
        <v>25</v>
      </c>
      <c r="B180" s="1" t="s">
        <v>919</v>
      </c>
      <c r="C180" s="1" t="s">
        <v>920</v>
      </c>
      <c r="D180" s="1" t="s">
        <v>921</v>
      </c>
      <c r="E180" s="1" t="s">
        <v>918</v>
      </c>
      <c r="F180" s="1" t="s">
        <v>936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1:17" x14ac:dyDescent="0.25">
      <c r="A181" s="1" t="s">
        <v>25</v>
      </c>
      <c r="B181" s="1" t="s">
        <v>923</v>
      </c>
      <c r="C181" s="1" t="s">
        <v>916</v>
      </c>
      <c r="D181" s="1" t="s">
        <v>1078</v>
      </c>
      <c r="E181" s="1" t="s">
        <v>980</v>
      </c>
      <c r="F181" s="1" t="s">
        <v>919</v>
      </c>
      <c r="G181" s="1" t="s">
        <v>920</v>
      </c>
      <c r="H181" s="1" t="s">
        <v>921</v>
      </c>
      <c r="I181" s="1" t="s">
        <v>918</v>
      </c>
      <c r="J181" s="1" t="s">
        <v>930</v>
      </c>
      <c r="K181" s="1" t="s">
        <v>945</v>
      </c>
      <c r="L181" s="1"/>
      <c r="M181" s="1"/>
      <c r="N181" s="1"/>
      <c r="O181" s="1"/>
      <c r="P181" s="1"/>
      <c r="Q181" s="1"/>
    </row>
    <row r="182" spans="1:17" x14ac:dyDescent="0.25">
      <c r="A182" s="1" t="s">
        <v>50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1:17" x14ac:dyDescent="0.25">
      <c r="A183" s="1" t="s">
        <v>918</v>
      </c>
      <c r="B183" s="1" t="s">
        <v>25</v>
      </c>
      <c r="C183" s="1" t="s">
        <v>916</v>
      </c>
      <c r="D183" s="1" t="s">
        <v>919</v>
      </c>
      <c r="E183" s="1" t="s">
        <v>920</v>
      </c>
      <c r="F183" s="1" t="s">
        <v>921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1:17" x14ac:dyDescent="0.25">
      <c r="A184" s="1" t="s">
        <v>918</v>
      </c>
      <c r="B184" s="1" t="s">
        <v>25</v>
      </c>
      <c r="C184" s="1" t="s">
        <v>919</v>
      </c>
      <c r="D184" s="1" t="s">
        <v>920</v>
      </c>
      <c r="E184" s="1" t="s">
        <v>921</v>
      </c>
      <c r="F184" s="1" t="s">
        <v>922</v>
      </c>
      <c r="G184" s="1" t="s">
        <v>934</v>
      </c>
      <c r="H184" s="1" t="s">
        <v>924</v>
      </c>
      <c r="I184" s="1" t="s">
        <v>1083</v>
      </c>
      <c r="J184" s="1" t="s">
        <v>930</v>
      </c>
      <c r="K184" s="1" t="s">
        <v>1014</v>
      </c>
      <c r="L184" s="1" t="s">
        <v>956</v>
      </c>
      <c r="M184" s="1"/>
      <c r="N184" s="1"/>
      <c r="O184" s="1"/>
      <c r="P184" s="1"/>
      <c r="Q184" s="1"/>
    </row>
    <row r="185" spans="1:17" x14ac:dyDescent="0.25">
      <c r="A185" s="1" t="s">
        <v>90</v>
      </c>
      <c r="B185" s="1" t="s">
        <v>952</v>
      </c>
      <c r="C185" s="1" t="s">
        <v>10753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1:17" x14ac:dyDescent="0.25">
      <c r="A186" s="1" t="s">
        <v>979</v>
      </c>
      <c r="B186" s="1" t="s">
        <v>980</v>
      </c>
      <c r="C186" s="1" t="s">
        <v>1106</v>
      </c>
      <c r="D186" s="1" t="s">
        <v>10754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1:17" x14ac:dyDescent="0.25">
      <c r="A187" s="1" t="s">
        <v>951</v>
      </c>
      <c r="B187" s="1" t="s">
        <v>25</v>
      </c>
      <c r="C187" s="1" t="s">
        <v>919</v>
      </c>
      <c r="D187" s="1" t="s">
        <v>920</v>
      </c>
      <c r="E187" s="1" t="s">
        <v>921</v>
      </c>
      <c r="F187" s="1" t="s">
        <v>952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1:17" x14ac:dyDescent="0.25">
      <c r="A188" s="1" t="s">
        <v>918</v>
      </c>
      <c r="B188" s="1" t="s">
        <v>25</v>
      </c>
      <c r="C188" s="1" t="s">
        <v>923</v>
      </c>
      <c r="D188" s="1" t="s">
        <v>916</v>
      </c>
      <c r="E188" s="1" t="s">
        <v>919</v>
      </c>
      <c r="F188" s="1" t="s">
        <v>920</v>
      </c>
      <c r="G188" s="1" t="s">
        <v>924</v>
      </c>
      <c r="H188" s="1" t="s">
        <v>921</v>
      </c>
      <c r="I188" s="1" t="s">
        <v>922</v>
      </c>
      <c r="J188" s="1" t="s">
        <v>1097</v>
      </c>
      <c r="K188" s="1"/>
      <c r="L188" s="1"/>
      <c r="M188" s="1"/>
      <c r="N188" s="1"/>
      <c r="O188" s="1"/>
      <c r="P188" s="1"/>
      <c r="Q188" s="1"/>
    </row>
    <row r="189" spans="1:17" x14ac:dyDescent="0.25">
      <c r="A189" s="1" t="s">
        <v>964</v>
      </c>
      <c r="B189" s="1" t="s">
        <v>10751</v>
      </c>
      <c r="C189" s="1" t="s">
        <v>10755</v>
      </c>
      <c r="D189" s="1" t="s">
        <v>10724</v>
      </c>
      <c r="E189" s="1" t="s">
        <v>25</v>
      </c>
      <c r="F189" s="1" t="s">
        <v>4258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1:17" x14ac:dyDescent="0.25">
      <c r="A190" s="1" t="s">
        <v>925</v>
      </c>
      <c r="B190" s="1" t="s">
        <v>926</v>
      </c>
      <c r="C190" s="1" t="s">
        <v>918</v>
      </c>
      <c r="D190" s="1" t="s">
        <v>927</v>
      </c>
      <c r="E190" s="1" t="s">
        <v>928</v>
      </c>
      <c r="F190" s="1" t="s">
        <v>919</v>
      </c>
      <c r="G190" s="1" t="s">
        <v>929</v>
      </c>
      <c r="H190" s="1" t="s">
        <v>953</v>
      </c>
      <c r="I190" s="1"/>
      <c r="J190" s="1"/>
      <c r="K190" s="1"/>
      <c r="L190" s="1"/>
      <c r="M190" s="1"/>
      <c r="N190" s="1"/>
      <c r="O190" s="1"/>
      <c r="P190" s="1"/>
      <c r="Q190" s="1"/>
    </row>
    <row r="191" spans="1:17" x14ac:dyDescent="0.25">
      <c r="A191" s="1" t="s">
        <v>2214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1:17" x14ac:dyDescent="0.25">
      <c r="A192" s="1" t="s">
        <v>2214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1:17" x14ac:dyDescent="0.25">
      <c r="A193" s="1" t="s">
        <v>961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1:17" x14ac:dyDescent="0.25">
      <c r="A194" s="1" t="s">
        <v>961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1:17" x14ac:dyDescent="0.25">
      <c r="A195" s="1" t="s">
        <v>25</v>
      </c>
      <c r="B195" s="1" t="s">
        <v>998</v>
      </c>
      <c r="C195" s="1" t="s">
        <v>1086</v>
      </c>
      <c r="D195" s="1" t="s">
        <v>920</v>
      </c>
      <c r="E195" s="1" t="s">
        <v>933</v>
      </c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1:17" x14ac:dyDescent="0.25">
      <c r="A196" s="1" t="s">
        <v>1167</v>
      </c>
      <c r="B196" s="1" t="s">
        <v>998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1:17" x14ac:dyDescent="0.25">
      <c r="A197" s="1" t="s">
        <v>2927</v>
      </c>
      <c r="B197" s="1" t="s">
        <v>1069</v>
      </c>
      <c r="C197" s="1" t="s">
        <v>25</v>
      </c>
      <c r="D197" s="1" t="s">
        <v>923</v>
      </c>
      <c r="E197" s="1" t="s">
        <v>998</v>
      </c>
      <c r="F197" s="1" t="s">
        <v>1053</v>
      </c>
      <c r="G197" s="1" t="s">
        <v>1086</v>
      </c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1:17" x14ac:dyDescent="0.25">
      <c r="A198" s="1" t="s">
        <v>50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1:17" x14ac:dyDescent="0.25">
      <c r="A199" s="1" t="s">
        <v>1023</v>
      </c>
      <c r="B199" s="1" t="s">
        <v>10756</v>
      </c>
      <c r="C199" s="1" t="s">
        <v>10757</v>
      </c>
      <c r="D199" s="1" t="s">
        <v>10758</v>
      </c>
      <c r="E199" s="1" t="s">
        <v>983</v>
      </c>
      <c r="F199" s="1" t="s">
        <v>10759</v>
      </c>
      <c r="G199" s="1" t="s">
        <v>984</v>
      </c>
      <c r="H199" s="1" t="s">
        <v>10760</v>
      </c>
      <c r="I199" s="1"/>
      <c r="J199" s="1"/>
      <c r="K199" s="1"/>
      <c r="L199" s="1"/>
      <c r="M199" s="1"/>
      <c r="N199" s="1"/>
      <c r="O199" s="1"/>
      <c r="P199" s="1"/>
      <c r="Q199" s="1"/>
    </row>
    <row r="200" spans="1:17" x14ac:dyDescent="0.25">
      <c r="A200" s="1" t="s">
        <v>50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1:17" x14ac:dyDescent="0.25">
      <c r="A201" s="1" t="s">
        <v>1023</v>
      </c>
      <c r="B201" s="1" t="s">
        <v>10756</v>
      </c>
      <c r="C201" s="1" t="s">
        <v>10757</v>
      </c>
      <c r="D201" s="1" t="s">
        <v>10758</v>
      </c>
      <c r="E201" s="1" t="s">
        <v>983</v>
      </c>
      <c r="F201" s="1" t="s">
        <v>10759</v>
      </c>
      <c r="G201" s="1" t="s">
        <v>984</v>
      </c>
      <c r="H201" s="1" t="s">
        <v>10760</v>
      </c>
      <c r="I201" s="1"/>
      <c r="J201" s="1"/>
      <c r="K201" s="1"/>
      <c r="L201" s="1"/>
      <c r="M201" s="1"/>
      <c r="N201" s="1"/>
      <c r="O201" s="1"/>
      <c r="P201" s="1"/>
      <c r="Q201" s="1"/>
    </row>
    <row r="202" spans="1:17" x14ac:dyDescent="0.25">
      <c r="A202" s="1" t="s">
        <v>975</v>
      </c>
      <c r="B202" s="1" t="s">
        <v>923</v>
      </c>
      <c r="C202" s="1" t="s">
        <v>1058</v>
      </c>
      <c r="D202" s="1" t="s">
        <v>976</v>
      </c>
      <c r="E202" s="1" t="s">
        <v>1060</v>
      </c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1:17" x14ac:dyDescent="0.25">
      <c r="A203" s="1" t="s">
        <v>975</v>
      </c>
      <c r="B203" s="1" t="s">
        <v>923</v>
      </c>
      <c r="C203" s="1" t="s">
        <v>1058</v>
      </c>
      <c r="D203" s="1" t="s">
        <v>976</v>
      </c>
      <c r="E203" s="1" t="s">
        <v>1060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1:17" x14ac:dyDescent="0.25">
      <c r="A204" s="1" t="s">
        <v>975</v>
      </c>
      <c r="B204" s="1" t="s">
        <v>923</v>
      </c>
      <c r="C204" s="1" t="s">
        <v>1058</v>
      </c>
      <c r="D204" s="1" t="s">
        <v>976</v>
      </c>
      <c r="E204" s="1" t="s">
        <v>1060</v>
      </c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1:17" x14ac:dyDescent="0.25">
      <c r="A205" s="1" t="s">
        <v>975</v>
      </c>
      <c r="B205" s="1" t="s">
        <v>923</v>
      </c>
      <c r="C205" s="1" t="s">
        <v>1058</v>
      </c>
      <c r="D205" s="1" t="s">
        <v>976</v>
      </c>
      <c r="E205" s="1" t="s">
        <v>1060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1:17" x14ac:dyDescent="0.25">
      <c r="A206" s="1" t="s">
        <v>975</v>
      </c>
      <c r="B206" s="1" t="s">
        <v>923</v>
      </c>
      <c r="C206" s="1" t="s">
        <v>1058</v>
      </c>
      <c r="D206" s="1" t="s">
        <v>976</v>
      </c>
      <c r="E206" s="1" t="s">
        <v>1060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1:17" x14ac:dyDescent="0.25">
      <c r="A207" s="1" t="s">
        <v>975</v>
      </c>
      <c r="B207" s="1" t="s">
        <v>923</v>
      </c>
      <c r="C207" s="1" t="s">
        <v>1058</v>
      </c>
      <c r="D207" s="1" t="s">
        <v>976</v>
      </c>
      <c r="E207" s="1" t="s">
        <v>1060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1:17" x14ac:dyDescent="0.25">
      <c r="A208" s="1" t="s">
        <v>1013</v>
      </c>
      <c r="B208" s="1" t="s">
        <v>918</v>
      </c>
      <c r="C208" s="1" t="s">
        <v>927</v>
      </c>
      <c r="D208" s="1" t="s">
        <v>919</v>
      </c>
      <c r="E208" s="1" t="s">
        <v>936</v>
      </c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1:17" x14ac:dyDescent="0.25">
      <c r="A209" s="1" t="s">
        <v>939</v>
      </c>
      <c r="B209" s="1" t="s">
        <v>983</v>
      </c>
      <c r="C209" s="1" t="s">
        <v>919</v>
      </c>
      <c r="D209" s="1" t="s">
        <v>1020</v>
      </c>
      <c r="E209" s="1" t="s">
        <v>1013</v>
      </c>
      <c r="F209" s="1" t="s">
        <v>918</v>
      </c>
      <c r="G209" s="1" t="s">
        <v>927</v>
      </c>
      <c r="H209" s="1" t="s">
        <v>936</v>
      </c>
      <c r="I209" s="1"/>
      <c r="J209" s="1"/>
      <c r="K209" s="1"/>
      <c r="L209" s="1"/>
      <c r="M209" s="1"/>
      <c r="N209" s="1"/>
      <c r="O209" s="1"/>
      <c r="P209" s="1"/>
      <c r="Q209" s="1"/>
    </row>
    <row r="210" spans="1:17" x14ac:dyDescent="0.25">
      <c r="A210" s="1" t="s">
        <v>1013</v>
      </c>
      <c r="B210" s="1" t="s">
        <v>918</v>
      </c>
      <c r="C210" s="1" t="s">
        <v>927</v>
      </c>
      <c r="D210" s="1" t="s">
        <v>919</v>
      </c>
      <c r="E210" s="1" t="s">
        <v>936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1:17" x14ac:dyDescent="0.25">
      <c r="A211" s="1" t="s">
        <v>963</v>
      </c>
      <c r="B211" s="1" t="s">
        <v>951</v>
      </c>
      <c r="C211" s="1" t="s">
        <v>934</v>
      </c>
      <c r="D211" s="1" t="s">
        <v>918</v>
      </c>
      <c r="E211" s="1" t="s">
        <v>25</v>
      </c>
      <c r="F211" s="1" t="s">
        <v>923</v>
      </c>
      <c r="G211" s="1" t="s">
        <v>920</v>
      </c>
      <c r="H211" s="1" t="s">
        <v>954</v>
      </c>
      <c r="I211" s="1" t="s">
        <v>921</v>
      </c>
      <c r="J211" s="1" t="s">
        <v>10761</v>
      </c>
      <c r="K211" s="1" t="s">
        <v>916</v>
      </c>
      <c r="L211" s="1" t="s">
        <v>974</v>
      </c>
      <c r="M211" s="1"/>
      <c r="N211" s="1"/>
      <c r="O211" s="1"/>
      <c r="P211" s="1"/>
      <c r="Q211" s="1"/>
    </row>
    <row r="212" spans="1:17" x14ac:dyDescent="0.25">
      <c r="A212" s="1" t="s">
        <v>918</v>
      </c>
      <c r="B212" s="1" t="s">
        <v>919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1:17" x14ac:dyDescent="0.25">
      <c r="A213" s="1" t="s">
        <v>918</v>
      </c>
      <c r="B213" s="1" t="s">
        <v>919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1:17" x14ac:dyDescent="0.25">
      <c r="A214" s="1" t="s">
        <v>918</v>
      </c>
      <c r="B214" s="1" t="s">
        <v>919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1:17" x14ac:dyDescent="0.25">
      <c r="A215" s="1" t="s">
        <v>10762</v>
      </c>
      <c r="B215" s="1" t="s">
        <v>955</v>
      </c>
      <c r="C215" s="1" t="s">
        <v>1014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1:17" x14ac:dyDescent="0.25">
      <c r="A216" s="1" t="s">
        <v>10762</v>
      </c>
      <c r="B216" s="1" t="s">
        <v>955</v>
      </c>
      <c r="C216" s="1" t="s">
        <v>1014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1:17" x14ac:dyDescent="0.25">
      <c r="A217" s="1" t="s">
        <v>1111</v>
      </c>
      <c r="B217" s="1" t="s">
        <v>1112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1:17" x14ac:dyDescent="0.25">
      <c r="A218" s="1" t="s">
        <v>1111</v>
      </c>
      <c r="B218" s="1" t="s">
        <v>1112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1:17" x14ac:dyDescent="0.25">
      <c r="A219" s="1" t="s">
        <v>1111</v>
      </c>
      <c r="B219" s="1" t="s">
        <v>1112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1:17" x14ac:dyDescent="0.25">
      <c r="A220" s="1" t="s">
        <v>1111</v>
      </c>
      <c r="B220" s="1" t="s">
        <v>1112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1:17" x14ac:dyDescent="0.25">
      <c r="A221" s="1" t="s">
        <v>1111</v>
      </c>
      <c r="B221" s="1" t="s">
        <v>1112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1:17" x14ac:dyDescent="0.25">
      <c r="A222" s="1" t="s">
        <v>10763</v>
      </c>
      <c r="B222" s="1" t="s">
        <v>10764</v>
      </c>
      <c r="C222" s="1" t="s">
        <v>10765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1:17" x14ac:dyDescent="0.25">
      <c r="A223" s="1" t="s">
        <v>10763</v>
      </c>
      <c r="B223" s="1" t="s">
        <v>10764</v>
      </c>
      <c r="C223" s="1" t="s">
        <v>10765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1:17" x14ac:dyDescent="0.25">
      <c r="A224" s="1" t="s">
        <v>1111</v>
      </c>
      <c r="B224" s="1" t="s">
        <v>1112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1:17" x14ac:dyDescent="0.25">
      <c r="A225" s="1" t="s">
        <v>1069</v>
      </c>
      <c r="B225" s="1" t="s">
        <v>25</v>
      </c>
      <c r="C225" s="1" t="s">
        <v>923</v>
      </c>
      <c r="D225" s="1" t="s">
        <v>920</v>
      </c>
      <c r="E225" s="1" t="s">
        <v>933</v>
      </c>
      <c r="F225" s="1" t="s">
        <v>954</v>
      </c>
      <c r="G225" s="1" t="s">
        <v>974</v>
      </c>
      <c r="H225" s="1" t="s">
        <v>921</v>
      </c>
      <c r="I225" s="1" t="s">
        <v>961</v>
      </c>
      <c r="J225" s="1"/>
      <c r="K225" s="1"/>
      <c r="L225" s="1"/>
      <c r="M225" s="1"/>
      <c r="N225" s="1"/>
      <c r="O225" s="1"/>
      <c r="P225" s="1"/>
      <c r="Q225" s="1"/>
    </row>
    <row r="226" spans="1:17" x14ac:dyDescent="0.25">
      <c r="A226" s="1" t="s">
        <v>918</v>
      </c>
      <c r="B226" s="1" t="s">
        <v>25</v>
      </c>
      <c r="C226" s="1" t="s">
        <v>10766</v>
      </c>
      <c r="D226" s="1" t="s">
        <v>916</v>
      </c>
      <c r="E226" s="1" t="s">
        <v>920</v>
      </c>
      <c r="F226" s="1" t="s">
        <v>924</v>
      </c>
      <c r="G226" s="1" t="s">
        <v>921</v>
      </c>
      <c r="H226" s="1" t="s">
        <v>927</v>
      </c>
      <c r="I226" s="1" t="s">
        <v>919</v>
      </c>
      <c r="J226" s="1" t="s">
        <v>936</v>
      </c>
      <c r="K226" s="1" t="s">
        <v>1108</v>
      </c>
      <c r="L226" s="1" t="s">
        <v>960</v>
      </c>
      <c r="M226" s="1" t="s">
        <v>961</v>
      </c>
      <c r="N226" s="1"/>
      <c r="O226" s="1"/>
      <c r="P226" s="1"/>
      <c r="Q226" s="1"/>
    </row>
    <row r="227" spans="1:17" x14ac:dyDescent="0.25">
      <c r="A227" s="1" t="s">
        <v>919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1:17" x14ac:dyDescent="0.25">
      <c r="A228" s="1" t="s">
        <v>1001</v>
      </c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1:17" x14ac:dyDescent="0.25">
      <c r="A229" s="1" t="s">
        <v>979</v>
      </c>
      <c r="B229" s="1" t="s">
        <v>980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1:17" x14ac:dyDescent="0.25">
      <c r="A230" s="1" t="s">
        <v>25</v>
      </c>
      <c r="B230" s="1" t="s">
        <v>919</v>
      </c>
      <c r="C230" s="1" t="s">
        <v>920</v>
      </c>
      <c r="D230" s="1" t="s">
        <v>954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1:17" x14ac:dyDescent="0.25">
      <c r="A231" s="1" t="s">
        <v>25</v>
      </c>
      <c r="B231" s="1" t="s">
        <v>919</v>
      </c>
      <c r="C231" s="1" t="s">
        <v>920</v>
      </c>
      <c r="D231" s="1" t="s">
        <v>954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1:17" x14ac:dyDescent="0.25">
      <c r="A232" s="1" t="s">
        <v>25</v>
      </c>
      <c r="B232" s="1" t="s">
        <v>919</v>
      </c>
      <c r="C232" s="1" t="s">
        <v>920</v>
      </c>
      <c r="D232" s="1" t="s">
        <v>954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1:17" x14ac:dyDescent="0.25">
      <c r="A233" s="1" t="s">
        <v>25</v>
      </c>
      <c r="B233" s="1" t="s">
        <v>919</v>
      </c>
      <c r="C233" s="1" t="s">
        <v>920</v>
      </c>
      <c r="D233" s="1" t="s">
        <v>954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1:17" x14ac:dyDescent="0.25">
      <c r="A234" s="1" t="s">
        <v>25</v>
      </c>
      <c r="B234" s="1" t="s">
        <v>919</v>
      </c>
      <c r="C234" s="1" t="s">
        <v>920</v>
      </c>
      <c r="D234" s="1" t="s">
        <v>954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1:17" x14ac:dyDescent="0.25">
      <c r="A235" s="1" t="s">
        <v>25</v>
      </c>
      <c r="B235" s="1" t="s">
        <v>919</v>
      </c>
      <c r="C235" s="1" t="s">
        <v>920</v>
      </c>
      <c r="D235" s="1" t="s">
        <v>954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1:17" x14ac:dyDescent="0.25">
      <c r="A236" s="1" t="s">
        <v>25</v>
      </c>
      <c r="B236" s="1" t="s">
        <v>919</v>
      </c>
      <c r="C236" s="1" t="s">
        <v>920</v>
      </c>
      <c r="D236" s="1" t="s">
        <v>954</v>
      </c>
      <c r="E236" s="1" t="s">
        <v>955</v>
      </c>
      <c r="F236" s="1" t="s">
        <v>924</v>
      </c>
      <c r="G236" s="1" t="s">
        <v>930</v>
      </c>
      <c r="H236" s="1" t="s">
        <v>944</v>
      </c>
      <c r="I236" s="1" t="s">
        <v>956</v>
      </c>
      <c r="J236" s="1" t="s">
        <v>957</v>
      </c>
      <c r="K236" s="1" t="s">
        <v>958</v>
      </c>
      <c r="L236" s="1" t="s">
        <v>959</v>
      </c>
      <c r="M236" s="1"/>
      <c r="N236" s="1"/>
      <c r="O236" s="1"/>
      <c r="P236" s="1"/>
      <c r="Q236" s="1"/>
    </row>
    <row r="237" spans="1:17" x14ac:dyDescent="0.25">
      <c r="A237" s="1" t="s">
        <v>25</v>
      </c>
      <c r="B237" s="1" t="s">
        <v>919</v>
      </c>
      <c r="C237" s="1" t="s">
        <v>920</v>
      </c>
      <c r="D237" s="1" t="s">
        <v>954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spans="1:17" x14ac:dyDescent="0.25">
      <c r="A238" s="1" t="s">
        <v>25</v>
      </c>
      <c r="B238" s="1" t="s">
        <v>919</v>
      </c>
      <c r="C238" s="1" t="s">
        <v>920</v>
      </c>
      <c r="D238" s="1" t="s">
        <v>954</v>
      </c>
      <c r="E238" s="1" t="s">
        <v>960</v>
      </c>
      <c r="F238" s="1" t="s">
        <v>961</v>
      </c>
      <c r="G238" s="1" t="s">
        <v>962</v>
      </c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1:17" x14ac:dyDescent="0.25">
      <c r="A239" s="1" t="s">
        <v>25</v>
      </c>
      <c r="B239" s="1" t="s">
        <v>919</v>
      </c>
      <c r="C239" s="1" t="s">
        <v>920</v>
      </c>
      <c r="D239" s="1" t="s">
        <v>954</v>
      </c>
      <c r="E239" s="1" t="s">
        <v>10734</v>
      </c>
      <c r="F239" s="1" t="s">
        <v>955</v>
      </c>
      <c r="G239" s="1" t="s">
        <v>1014</v>
      </c>
      <c r="H239" s="1" t="s">
        <v>956</v>
      </c>
      <c r="I239" s="1"/>
      <c r="J239" s="1"/>
      <c r="K239" s="1"/>
      <c r="L239" s="1"/>
      <c r="M239" s="1"/>
      <c r="N239" s="1"/>
      <c r="O239" s="1"/>
      <c r="P239" s="1"/>
      <c r="Q239" s="1"/>
    </row>
    <row r="240" spans="1:17" x14ac:dyDescent="0.25">
      <c r="A240" s="1" t="s">
        <v>25</v>
      </c>
      <c r="B240" s="1" t="s">
        <v>919</v>
      </c>
      <c r="C240" s="1" t="s">
        <v>920</v>
      </c>
      <c r="D240" s="1" t="s">
        <v>954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1:17" x14ac:dyDescent="0.25">
      <c r="A241" s="1" t="s">
        <v>25</v>
      </c>
      <c r="B241" s="1" t="s">
        <v>919</v>
      </c>
      <c r="C241" s="1" t="s">
        <v>920</v>
      </c>
      <c r="D241" s="1" t="s">
        <v>954</v>
      </c>
      <c r="E241" s="1" t="s">
        <v>962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1:17" x14ac:dyDescent="0.25">
      <c r="A242" s="1" t="s">
        <v>25</v>
      </c>
      <c r="B242" s="1" t="s">
        <v>919</v>
      </c>
      <c r="C242" s="1" t="s">
        <v>920</v>
      </c>
      <c r="D242" s="1" t="s">
        <v>954</v>
      </c>
      <c r="E242" s="1" t="s">
        <v>1097</v>
      </c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1:17" x14ac:dyDescent="0.25">
      <c r="A243" s="1" t="s">
        <v>918</v>
      </c>
      <c r="B243" s="1" t="s">
        <v>25</v>
      </c>
      <c r="C243" s="1" t="s">
        <v>1148</v>
      </c>
      <c r="D243" s="1" t="s">
        <v>923</v>
      </c>
      <c r="E243" s="1" t="s">
        <v>927</v>
      </c>
      <c r="F243" s="1" t="s">
        <v>1086</v>
      </c>
      <c r="G243" s="1" t="s">
        <v>920</v>
      </c>
      <c r="H243" s="1" t="s">
        <v>933</v>
      </c>
      <c r="I243" s="1" t="s">
        <v>997</v>
      </c>
      <c r="J243" s="1"/>
      <c r="K243" s="1"/>
      <c r="L243" s="1"/>
      <c r="M243" s="1"/>
      <c r="N243" s="1"/>
      <c r="O243" s="1"/>
      <c r="P243" s="1"/>
      <c r="Q243" s="1"/>
    </row>
    <row r="244" spans="1:17" x14ac:dyDescent="0.25">
      <c r="A244" s="1" t="s">
        <v>25</v>
      </c>
      <c r="B244" s="1" t="s">
        <v>997</v>
      </c>
      <c r="C244" s="1" t="s">
        <v>927</v>
      </c>
      <c r="D244" s="1" t="s">
        <v>998</v>
      </c>
      <c r="E244" s="1" t="s">
        <v>920</v>
      </c>
      <c r="F244" s="1" t="s">
        <v>933</v>
      </c>
      <c r="G244" s="1" t="s">
        <v>994</v>
      </c>
      <c r="H244" s="1" t="s">
        <v>987</v>
      </c>
      <c r="I244" s="1" t="s">
        <v>1001</v>
      </c>
      <c r="J244" s="1" t="s">
        <v>992</v>
      </c>
      <c r="K244" s="1" t="s">
        <v>981</v>
      </c>
      <c r="L244" s="1" t="s">
        <v>939</v>
      </c>
      <c r="M244" s="1" t="s">
        <v>1066</v>
      </c>
      <c r="N244" s="1" t="s">
        <v>993</v>
      </c>
      <c r="O244" s="1"/>
      <c r="P244" s="1"/>
      <c r="Q244" s="1"/>
    </row>
    <row r="245" spans="1:17" x14ac:dyDescent="0.25">
      <c r="A245" s="1" t="s">
        <v>981</v>
      </c>
      <c r="B245" s="1" t="s">
        <v>1019</v>
      </c>
      <c r="C245" s="1" t="s">
        <v>983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1:17" x14ac:dyDescent="0.25">
      <c r="A246" s="1" t="s">
        <v>1137</v>
      </c>
      <c r="B246" s="1" t="s">
        <v>10767</v>
      </c>
      <c r="C246" s="1" t="s">
        <v>990</v>
      </c>
      <c r="D246" s="1" t="s">
        <v>961</v>
      </c>
      <c r="E246" s="1" t="s">
        <v>918</v>
      </c>
      <c r="F246" s="1" t="s">
        <v>25</v>
      </c>
      <c r="G246" s="1" t="s">
        <v>923</v>
      </c>
      <c r="H246" s="1" t="s">
        <v>919</v>
      </c>
      <c r="I246" s="1" t="s">
        <v>920</v>
      </c>
      <c r="J246" s="1" t="s">
        <v>921</v>
      </c>
      <c r="K246" s="1"/>
      <c r="L246" s="1"/>
      <c r="M246" s="1"/>
      <c r="N246" s="1"/>
      <c r="O246" s="1"/>
      <c r="P246" s="1"/>
      <c r="Q246" s="1"/>
    </row>
    <row r="247" spans="1:17" x14ac:dyDescent="0.25">
      <c r="A247" s="1" t="s">
        <v>25</v>
      </c>
      <c r="B247" s="1" t="s">
        <v>927</v>
      </c>
      <c r="C247" s="1" t="s">
        <v>998</v>
      </c>
      <c r="D247" s="1" t="s">
        <v>1086</v>
      </c>
      <c r="E247" s="1" t="s">
        <v>920</v>
      </c>
      <c r="F247" s="1" t="s">
        <v>933</v>
      </c>
      <c r="G247" s="1" t="s">
        <v>921</v>
      </c>
      <c r="H247" s="1" t="s">
        <v>919</v>
      </c>
      <c r="I247" s="1" t="s">
        <v>1149</v>
      </c>
      <c r="J247" s="1" t="s">
        <v>923</v>
      </c>
      <c r="K247" s="1" t="s">
        <v>1001</v>
      </c>
      <c r="L247" s="1" t="s">
        <v>981</v>
      </c>
      <c r="M247" s="1"/>
      <c r="N247" s="1"/>
      <c r="O247" s="1"/>
      <c r="P247" s="1"/>
      <c r="Q247" s="1"/>
    </row>
    <row r="248" spans="1:17" x14ac:dyDescent="0.25">
      <c r="A248" s="1" t="s">
        <v>50</v>
      </c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1:17" x14ac:dyDescent="0.25">
      <c r="A249" s="1" t="s">
        <v>996</v>
      </c>
      <c r="B249" s="1" t="s">
        <v>999</v>
      </c>
      <c r="C249" s="1" t="s">
        <v>921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1:17" x14ac:dyDescent="0.25">
      <c r="A250" s="1" t="s">
        <v>996</v>
      </c>
      <c r="B250" s="1" t="s">
        <v>999</v>
      </c>
      <c r="C250" s="1" t="s">
        <v>921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spans="1:17" x14ac:dyDescent="0.25">
      <c r="A251" s="1" t="s">
        <v>918</v>
      </c>
      <c r="B251" s="1" t="s">
        <v>919</v>
      </c>
      <c r="C251" s="1" t="s">
        <v>25</v>
      </c>
      <c r="D251" s="1" t="s">
        <v>923</v>
      </c>
      <c r="E251" s="1" t="s">
        <v>927</v>
      </c>
      <c r="F251" s="1" t="s">
        <v>10768</v>
      </c>
      <c r="G251" s="1" t="s">
        <v>920</v>
      </c>
      <c r="H251" s="1" t="s">
        <v>933</v>
      </c>
      <c r="I251" s="1" t="s">
        <v>921</v>
      </c>
      <c r="J251" s="1"/>
      <c r="K251" s="1"/>
      <c r="L251" s="1"/>
      <c r="M251" s="1"/>
      <c r="N251" s="1"/>
      <c r="O251" s="1"/>
      <c r="P251" s="1"/>
      <c r="Q251" s="1"/>
    </row>
    <row r="252" spans="1:17" x14ac:dyDescent="0.25">
      <c r="A252" s="1" t="s">
        <v>4058</v>
      </c>
      <c r="B252" s="1" t="s">
        <v>10769</v>
      </c>
      <c r="C252" s="1" t="s">
        <v>4037</v>
      </c>
      <c r="D252" s="1" t="s">
        <v>10770</v>
      </c>
      <c r="E252" s="1" t="s">
        <v>10771</v>
      </c>
      <c r="F252" s="1" t="s">
        <v>10772</v>
      </c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1:17" x14ac:dyDescent="0.25">
      <c r="A253" s="1" t="s">
        <v>4058</v>
      </c>
      <c r="B253" s="1" t="s">
        <v>10773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1:17" x14ac:dyDescent="0.25">
      <c r="A254" s="1" t="s">
        <v>4058</v>
      </c>
      <c r="B254" s="1" t="s">
        <v>10773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1:17" x14ac:dyDescent="0.25">
      <c r="A255" s="1" t="s">
        <v>84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1:17" x14ac:dyDescent="0.25">
      <c r="A256" s="1" t="s">
        <v>1090</v>
      </c>
      <c r="B256" s="1" t="s">
        <v>25</v>
      </c>
      <c r="C256" s="1" t="s">
        <v>920</v>
      </c>
      <c r="D256" s="1" t="s">
        <v>974</v>
      </c>
      <c r="E256" s="1" t="s">
        <v>950</v>
      </c>
      <c r="F256" s="1" t="s">
        <v>1109</v>
      </c>
      <c r="G256" s="1" t="s">
        <v>10698</v>
      </c>
      <c r="H256" s="1" t="s">
        <v>929</v>
      </c>
      <c r="I256" s="1"/>
      <c r="J256" s="1"/>
      <c r="K256" s="1"/>
      <c r="L256" s="1"/>
      <c r="M256" s="1"/>
      <c r="N256" s="1"/>
      <c r="O256" s="1"/>
      <c r="P256" s="1"/>
      <c r="Q256" s="1"/>
    </row>
    <row r="257" spans="1:17" x14ac:dyDescent="0.25">
      <c r="A257" s="1" t="s">
        <v>963</v>
      </c>
      <c r="B257" s="1" t="s">
        <v>951</v>
      </c>
      <c r="C257" s="1" t="s">
        <v>934</v>
      </c>
      <c r="D257" s="1" t="s">
        <v>918</v>
      </c>
      <c r="E257" s="1" t="s">
        <v>25</v>
      </c>
      <c r="F257" s="1" t="s">
        <v>923</v>
      </c>
      <c r="G257" s="1" t="s">
        <v>920</v>
      </c>
      <c r="H257" s="1" t="s">
        <v>954</v>
      </c>
      <c r="I257" s="1" t="s">
        <v>921</v>
      </c>
      <c r="J257" s="1" t="s">
        <v>964</v>
      </c>
      <c r="K257" s="1" t="s">
        <v>965</v>
      </c>
      <c r="L257" s="1" t="s">
        <v>840</v>
      </c>
      <c r="M257" s="1" t="s">
        <v>966</v>
      </c>
      <c r="N257" s="1" t="s">
        <v>35</v>
      </c>
      <c r="O257" s="1"/>
      <c r="P257" s="1"/>
      <c r="Q257" s="1"/>
    </row>
    <row r="258" spans="1:17" x14ac:dyDescent="0.25">
      <c r="A258" s="1" t="s">
        <v>90</v>
      </c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1:17" x14ac:dyDescent="0.25">
      <c r="A259" s="1" t="s">
        <v>967</v>
      </c>
      <c r="B259" s="1" t="s">
        <v>968</v>
      </c>
      <c r="C259" s="1" t="s">
        <v>969</v>
      </c>
      <c r="D259" s="1" t="s">
        <v>970</v>
      </c>
      <c r="E259" s="1" t="s">
        <v>918</v>
      </c>
      <c r="F259" s="1" t="s">
        <v>971</v>
      </c>
      <c r="G259" s="1" t="s">
        <v>940</v>
      </c>
      <c r="H259" s="1" t="s">
        <v>25</v>
      </c>
      <c r="I259" s="1" t="s">
        <v>947</v>
      </c>
      <c r="J259" s="1" t="s">
        <v>919</v>
      </c>
      <c r="K259" s="1" t="s">
        <v>920</v>
      </c>
      <c r="L259" s="1" t="s">
        <v>921</v>
      </c>
      <c r="M259" s="1"/>
      <c r="N259" s="1"/>
      <c r="O259" s="1"/>
      <c r="P259" s="1"/>
      <c r="Q259" s="1"/>
    </row>
    <row r="260" spans="1:17" x14ac:dyDescent="0.25">
      <c r="A260" s="1" t="s">
        <v>967</v>
      </c>
      <c r="B260" s="1" t="s">
        <v>968</v>
      </c>
      <c r="C260" s="1" t="s">
        <v>969</v>
      </c>
      <c r="D260" s="1" t="s">
        <v>970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1:17" x14ac:dyDescent="0.25">
      <c r="A261" s="1" t="s">
        <v>918</v>
      </c>
      <c r="B261" s="1" t="s">
        <v>25</v>
      </c>
      <c r="C261" s="1" t="s">
        <v>919</v>
      </c>
      <c r="D261" s="1" t="s">
        <v>920</v>
      </c>
      <c r="E261" s="1" t="s">
        <v>924</v>
      </c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1:17" x14ac:dyDescent="0.25">
      <c r="A262" s="1" t="s">
        <v>2331</v>
      </c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1:17" x14ac:dyDescent="0.25">
      <c r="A263" s="1" t="s">
        <v>2331</v>
      </c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1:17" x14ac:dyDescent="0.25">
      <c r="A264" s="1" t="s">
        <v>996</v>
      </c>
      <c r="B264" s="1" t="s">
        <v>997</v>
      </c>
      <c r="C264" s="1" t="s">
        <v>998</v>
      </c>
      <c r="D264" s="1" t="s">
        <v>994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1:17" x14ac:dyDescent="0.25">
      <c r="A265" s="1" t="s">
        <v>996</v>
      </c>
      <c r="B265" s="1" t="s">
        <v>10727</v>
      </c>
      <c r="C265" s="1" t="s">
        <v>1066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1:17" x14ac:dyDescent="0.25">
      <c r="A266" s="1" t="s">
        <v>25</v>
      </c>
      <c r="B266" s="1" t="s">
        <v>919</v>
      </c>
      <c r="C266" s="1" t="s">
        <v>920</v>
      </c>
      <c r="D266" s="1" t="s">
        <v>921</v>
      </c>
      <c r="E266" s="1" t="s">
        <v>1001</v>
      </c>
      <c r="F266" s="1" t="s">
        <v>918</v>
      </c>
      <c r="G266" s="1" t="s">
        <v>927</v>
      </c>
      <c r="H266" s="1" t="s">
        <v>936</v>
      </c>
      <c r="I266" s="1"/>
      <c r="J266" s="1"/>
      <c r="K266" s="1"/>
      <c r="L266" s="1"/>
      <c r="M266" s="1"/>
      <c r="N266" s="1"/>
      <c r="O266" s="1"/>
      <c r="P266" s="1"/>
      <c r="Q266" s="1"/>
    </row>
    <row r="267" spans="1:17" x14ac:dyDescent="0.25">
      <c r="A267" s="1" t="s">
        <v>918</v>
      </c>
      <c r="B267" s="1" t="s">
        <v>25</v>
      </c>
      <c r="C267" s="1" t="s">
        <v>923</v>
      </c>
      <c r="D267" s="1" t="s">
        <v>973</v>
      </c>
      <c r="E267" s="1" t="s">
        <v>916</v>
      </c>
      <c r="F267" s="1" t="s">
        <v>920</v>
      </c>
      <c r="G267" s="1" t="s">
        <v>954</v>
      </c>
      <c r="H267" s="1" t="s">
        <v>974</v>
      </c>
      <c r="I267" s="1" t="s">
        <v>921</v>
      </c>
      <c r="J267" s="1"/>
      <c r="K267" s="1"/>
      <c r="L267" s="1"/>
      <c r="M267" s="1"/>
      <c r="N267" s="1"/>
      <c r="O267" s="1"/>
      <c r="P267" s="1"/>
      <c r="Q267" s="1"/>
    </row>
    <row r="268" spans="1:17" x14ac:dyDescent="0.25">
      <c r="A268" s="1" t="s">
        <v>925</v>
      </c>
      <c r="B268" s="1" t="s">
        <v>1000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1:17" x14ac:dyDescent="0.25">
      <c r="A269" s="1" t="s">
        <v>923</v>
      </c>
      <c r="B269" s="1" t="s">
        <v>1113</v>
      </c>
      <c r="C269" s="1" t="s">
        <v>328</v>
      </c>
      <c r="D269" s="1" t="s">
        <v>928</v>
      </c>
      <c r="E269" s="1" t="s">
        <v>983</v>
      </c>
      <c r="F269" s="1" t="s">
        <v>919</v>
      </c>
      <c r="G269" s="1" t="s">
        <v>1020</v>
      </c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1:17" x14ac:dyDescent="0.25">
      <c r="A270" s="1" t="s">
        <v>964</v>
      </c>
      <c r="B270" s="1" t="s">
        <v>10751</v>
      </c>
      <c r="C270" s="1" t="s">
        <v>10755</v>
      </c>
      <c r="D270" s="1" t="s">
        <v>10724</v>
      </c>
      <c r="E270" s="1" t="s">
        <v>25</v>
      </c>
      <c r="F270" s="1" t="s">
        <v>925</v>
      </c>
      <c r="G270" s="1" t="s">
        <v>918</v>
      </c>
      <c r="H270" s="1" t="s">
        <v>927</v>
      </c>
      <c r="I270" s="1" t="s">
        <v>953</v>
      </c>
      <c r="J270" s="1" t="s">
        <v>10774</v>
      </c>
      <c r="K270" s="1" t="s">
        <v>939</v>
      </c>
      <c r="L270" s="1" t="s">
        <v>919</v>
      </c>
      <c r="M270" s="1"/>
      <c r="N270" s="1"/>
      <c r="O270" s="1"/>
      <c r="P270" s="1"/>
      <c r="Q270" s="1"/>
    </row>
    <row r="271" spans="1:17" x14ac:dyDescent="0.25">
      <c r="A271" s="1" t="s">
        <v>1019</v>
      </c>
      <c r="B271" s="1" t="s">
        <v>983</v>
      </c>
      <c r="C271" s="1" t="s">
        <v>984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1:17" x14ac:dyDescent="0.25">
      <c r="A272" s="1" t="s">
        <v>947</v>
      </c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1:17" x14ac:dyDescent="0.25">
      <c r="A273" s="1" t="s">
        <v>918</v>
      </c>
      <c r="B273" s="1" t="s">
        <v>927</v>
      </c>
      <c r="C273" s="1" t="s">
        <v>919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1:17" x14ac:dyDescent="0.25">
      <c r="A274" s="1" t="s">
        <v>932</v>
      </c>
      <c r="B274" s="1" t="s">
        <v>916</v>
      </c>
      <c r="C274" s="1" t="s">
        <v>920</v>
      </c>
      <c r="D274" s="1" t="s">
        <v>921</v>
      </c>
      <c r="E274" s="1" t="s">
        <v>922</v>
      </c>
      <c r="F274" s="1" t="s">
        <v>918</v>
      </c>
      <c r="G274" s="1" t="s">
        <v>25</v>
      </c>
      <c r="H274" s="1" t="s">
        <v>923</v>
      </c>
      <c r="I274" s="1" t="s">
        <v>919</v>
      </c>
      <c r="J274" s="1"/>
      <c r="K274" s="1"/>
      <c r="L274" s="1"/>
      <c r="M274" s="1"/>
      <c r="N274" s="1"/>
      <c r="O274" s="1"/>
      <c r="P274" s="1"/>
      <c r="Q274" s="1"/>
    </row>
    <row r="275" spans="1:17" x14ac:dyDescent="0.25">
      <c r="A275" s="1" t="s">
        <v>90</v>
      </c>
      <c r="B275" s="1" t="s">
        <v>996</v>
      </c>
      <c r="C275" s="1" t="s">
        <v>25</v>
      </c>
      <c r="D275" s="1" t="s">
        <v>923</v>
      </c>
      <c r="E275" s="1" t="s">
        <v>997</v>
      </c>
      <c r="F275" s="1" t="s">
        <v>927</v>
      </c>
      <c r="G275" s="1" t="s">
        <v>998</v>
      </c>
      <c r="H275" s="1" t="s">
        <v>1086</v>
      </c>
      <c r="I275" s="1" t="s">
        <v>994</v>
      </c>
      <c r="J275" s="1"/>
      <c r="K275" s="1"/>
      <c r="L275" s="1"/>
      <c r="M275" s="1"/>
      <c r="N275" s="1"/>
      <c r="O275" s="1"/>
      <c r="P275" s="1"/>
      <c r="Q275" s="1"/>
    </row>
    <row r="276" spans="1:17" x14ac:dyDescent="0.25">
      <c r="A276" s="1" t="s">
        <v>25</v>
      </c>
      <c r="B276" s="1" t="s">
        <v>997</v>
      </c>
      <c r="C276" s="1" t="s">
        <v>927</v>
      </c>
      <c r="D276" s="1" t="s">
        <v>998</v>
      </c>
      <c r="E276" s="1" t="s">
        <v>920</v>
      </c>
      <c r="F276" s="1" t="s">
        <v>933</v>
      </c>
      <c r="G276" s="1" t="s">
        <v>994</v>
      </c>
      <c r="H276" s="1" t="s">
        <v>923</v>
      </c>
      <c r="I276" s="1" t="s">
        <v>916</v>
      </c>
      <c r="J276" s="1"/>
      <c r="K276" s="1"/>
      <c r="L276" s="1"/>
      <c r="M276" s="1"/>
      <c r="N276" s="1"/>
      <c r="O276" s="1"/>
      <c r="P276" s="1"/>
      <c r="Q276" s="1"/>
    </row>
    <row r="277" spans="1:17" x14ac:dyDescent="0.25">
      <c r="A277" s="1" t="s">
        <v>1001</v>
      </c>
      <c r="B277" s="1" t="s">
        <v>927</v>
      </c>
      <c r="C277" s="1" t="s">
        <v>919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spans="1:17" x14ac:dyDescent="0.25">
      <c r="A278" s="1" t="s">
        <v>981</v>
      </c>
      <c r="B278" s="1" t="s">
        <v>983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spans="1:17" x14ac:dyDescent="0.25">
      <c r="A279" s="1" t="s">
        <v>981</v>
      </c>
      <c r="B279" s="1" t="s">
        <v>1019</v>
      </c>
      <c r="C279" s="1" t="s">
        <v>983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spans="1:17" x14ac:dyDescent="0.25">
      <c r="A280" s="1" t="s">
        <v>996</v>
      </c>
      <c r="B280" s="1" t="s">
        <v>25</v>
      </c>
      <c r="C280" s="1" t="s">
        <v>997</v>
      </c>
      <c r="D280" s="1" t="s">
        <v>927</v>
      </c>
      <c r="E280" s="1" t="s">
        <v>998</v>
      </c>
      <c r="F280" s="1" t="s">
        <v>933</v>
      </c>
      <c r="G280" s="1" t="s">
        <v>993</v>
      </c>
      <c r="H280" s="1" t="s">
        <v>994</v>
      </c>
      <c r="I280" s="1"/>
      <c r="J280" s="1"/>
      <c r="K280" s="1"/>
      <c r="L280" s="1"/>
      <c r="M280" s="1"/>
      <c r="N280" s="1"/>
      <c r="O280" s="1"/>
      <c r="P280" s="1"/>
      <c r="Q280" s="1"/>
    </row>
    <row r="281" spans="1:17" x14ac:dyDescent="0.25">
      <c r="A281" s="1" t="s">
        <v>934</v>
      </c>
      <c r="B281" s="1" t="s">
        <v>918</v>
      </c>
      <c r="C281" s="1" t="s">
        <v>25</v>
      </c>
      <c r="D281" s="1" t="s">
        <v>919</v>
      </c>
      <c r="E281" s="1" t="s">
        <v>920</v>
      </c>
      <c r="F281" s="1" t="s">
        <v>924</v>
      </c>
      <c r="G281" s="1" t="s">
        <v>946</v>
      </c>
      <c r="H281" s="1" t="s">
        <v>921</v>
      </c>
      <c r="I281" s="1" t="s">
        <v>922</v>
      </c>
      <c r="J281" s="1" t="s">
        <v>972</v>
      </c>
      <c r="K281" s="1" t="s">
        <v>929</v>
      </c>
      <c r="L281" s="1"/>
      <c r="M281" s="1"/>
      <c r="N281" s="1"/>
      <c r="O281" s="1"/>
      <c r="P281" s="1"/>
      <c r="Q281" s="1"/>
    </row>
    <row r="282" spans="1:17" x14ac:dyDescent="0.25">
      <c r="A282" s="1" t="s">
        <v>933</v>
      </c>
      <c r="B282" s="1" t="s">
        <v>1141</v>
      </c>
      <c r="C282" s="1" t="s">
        <v>1066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spans="1:17" x14ac:dyDescent="0.25">
      <c r="A283" s="1" t="s">
        <v>996</v>
      </c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spans="1:17" x14ac:dyDescent="0.25">
      <c r="A284" s="1" t="s">
        <v>50</v>
      </c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spans="1:17" x14ac:dyDescent="0.25">
      <c r="A285" s="1" t="s">
        <v>998</v>
      </c>
      <c r="B285" s="1" t="s">
        <v>933</v>
      </c>
      <c r="C285" s="1" t="s">
        <v>994</v>
      </c>
      <c r="D285" s="1" t="s">
        <v>927</v>
      </c>
      <c r="E285" s="1" t="s">
        <v>992</v>
      </c>
      <c r="F285" s="1" t="s">
        <v>981</v>
      </c>
      <c r="G285" s="1" t="s">
        <v>993</v>
      </c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spans="1:17" x14ac:dyDescent="0.25">
      <c r="A286" s="1" t="s">
        <v>50</v>
      </c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spans="1:17" x14ac:dyDescent="0.25">
      <c r="A287" s="1" t="s">
        <v>933</v>
      </c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</row>
    <row r="288" spans="1:17" x14ac:dyDescent="0.25">
      <c r="A288" s="1" t="s">
        <v>997</v>
      </c>
      <c r="B288" s="1" t="s">
        <v>10775</v>
      </c>
      <c r="C288" s="1" t="s">
        <v>994</v>
      </c>
      <c r="D288" s="1" t="s">
        <v>1066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spans="1:17" x14ac:dyDescent="0.25">
      <c r="A289" s="1" t="s">
        <v>10776</v>
      </c>
      <c r="B289" s="1" t="s">
        <v>10777</v>
      </c>
      <c r="C289" s="1" t="s">
        <v>10778</v>
      </c>
      <c r="D289" s="1" t="s">
        <v>999</v>
      </c>
      <c r="E289" s="1" t="s">
        <v>921</v>
      </c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spans="1:17" x14ac:dyDescent="0.25">
      <c r="A290" s="1" t="s">
        <v>50</v>
      </c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spans="1:17" x14ac:dyDescent="0.25">
      <c r="A291" s="1" t="s">
        <v>50</v>
      </c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1:17" x14ac:dyDescent="0.25">
      <c r="A292" s="1" t="s">
        <v>999</v>
      </c>
      <c r="B292" s="1" t="s">
        <v>993</v>
      </c>
      <c r="C292" s="1" t="s">
        <v>994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spans="1:17" x14ac:dyDescent="0.25">
      <c r="A293" s="1" t="s">
        <v>2331</v>
      </c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spans="1:17" x14ac:dyDescent="0.25">
      <c r="A294" s="1" t="s">
        <v>1001</v>
      </c>
      <c r="B294" s="1" t="s">
        <v>992</v>
      </c>
      <c r="C294" s="1" t="s">
        <v>981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spans="1:17" x14ac:dyDescent="0.25">
      <c r="A295" s="1" t="s">
        <v>994</v>
      </c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1:17" x14ac:dyDescent="0.25">
      <c r="A296" s="1" t="s">
        <v>50</v>
      </c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spans="1:17" x14ac:dyDescent="0.25">
      <c r="A297" s="1" t="s">
        <v>50</v>
      </c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spans="1:17" x14ac:dyDescent="0.25">
      <c r="A298" s="1" t="s">
        <v>934</v>
      </c>
      <c r="B298" s="1" t="s">
        <v>948</v>
      </c>
      <c r="C298" s="1" t="s">
        <v>918</v>
      </c>
      <c r="D298" s="1" t="s">
        <v>949</v>
      </c>
      <c r="E298" s="1" t="s">
        <v>25</v>
      </c>
      <c r="F298" s="1" t="s">
        <v>916</v>
      </c>
      <c r="G298" s="1" t="s">
        <v>919</v>
      </c>
      <c r="H298" s="1" t="s">
        <v>920</v>
      </c>
      <c r="I298" s="1" t="s">
        <v>328</v>
      </c>
      <c r="J298" s="1" t="s">
        <v>950</v>
      </c>
      <c r="K298" s="1" t="s">
        <v>921</v>
      </c>
      <c r="L298" s="1" t="s">
        <v>923</v>
      </c>
      <c r="M298" s="1" t="s">
        <v>973</v>
      </c>
      <c r="N298" s="1" t="s">
        <v>954</v>
      </c>
      <c r="O298" s="1" t="s">
        <v>974</v>
      </c>
      <c r="P298" s="1"/>
      <c r="Q298" s="1"/>
    </row>
    <row r="299" spans="1:17" x14ac:dyDescent="0.25">
      <c r="A299" s="1" t="s">
        <v>1002</v>
      </c>
      <c r="B299" s="1" t="s">
        <v>1003</v>
      </c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spans="1:17" x14ac:dyDescent="0.25">
      <c r="A300" s="1" t="s">
        <v>1002</v>
      </c>
      <c r="B300" s="1" t="s">
        <v>1003</v>
      </c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spans="1:17" x14ac:dyDescent="0.25">
      <c r="A301" s="1" t="s">
        <v>1002</v>
      </c>
      <c r="B301" s="1" t="s">
        <v>1003</v>
      </c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spans="1:17" x14ac:dyDescent="0.25">
      <c r="A302" s="1" t="s">
        <v>998</v>
      </c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spans="1:17" x14ac:dyDescent="0.25">
      <c r="A303" s="1" t="s">
        <v>918</v>
      </c>
      <c r="B303" s="1" t="s">
        <v>10779</v>
      </c>
      <c r="C303" s="1" t="s">
        <v>919</v>
      </c>
      <c r="D303" s="1" t="s">
        <v>936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spans="1:17" x14ac:dyDescent="0.25">
      <c r="A304" s="1" t="s">
        <v>918</v>
      </c>
      <c r="B304" s="1" t="s">
        <v>952</v>
      </c>
      <c r="C304" s="1" t="s">
        <v>919</v>
      </c>
      <c r="D304" s="1" t="s">
        <v>1020</v>
      </c>
      <c r="E304" s="1" t="s">
        <v>936</v>
      </c>
      <c r="F304" s="1" t="s">
        <v>1037</v>
      </c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spans="1:17" x14ac:dyDescent="0.25">
      <c r="A305" s="1" t="s">
        <v>975</v>
      </c>
      <c r="B305" s="1" t="s">
        <v>923</v>
      </c>
      <c r="C305" s="1" t="s">
        <v>976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spans="1:17" x14ac:dyDescent="0.25">
      <c r="A306" s="1" t="s">
        <v>975</v>
      </c>
      <c r="B306" s="1" t="s">
        <v>923</v>
      </c>
      <c r="C306" s="1" t="s">
        <v>976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spans="1:17" x14ac:dyDescent="0.25">
      <c r="A307" s="1" t="s">
        <v>975</v>
      </c>
      <c r="B307" s="1" t="s">
        <v>923</v>
      </c>
      <c r="C307" s="1" t="s">
        <v>976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spans="1:17" x14ac:dyDescent="0.25">
      <c r="A308" s="1" t="s">
        <v>975</v>
      </c>
      <c r="B308" s="1" t="s">
        <v>923</v>
      </c>
      <c r="C308" s="1" t="s">
        <v>976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</row>
    <row r="309" spans="1:17" x14ac:dyDescent="0.25">
      <c r="A309" s="1" t="s">
        <v>975</v>
      </c>
      <c r="B309" s="1" t="s">
        <v>923</v>
      </c>
      <c r="C309" s="1" t="s">
        <v>976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1:17" x14ac:dyDescent="0.25">
      <c r="A310" s="1" t="s">
        <v>975</v>
      </c>
      <c r="B310" s="1" t="s">
        <v>923</v>
      </c>
      <c r="C310" s="1" t="s">
        <v>976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spans="1:17" x14ac:dyDescent="0.25">
      <c r="A311" s="1" t="s">
        <v>975</v>
      </c>
      <c r="B311" s="1" t="s">
        <v>923</v>
      </c>
      <c r="C311" s="1" t="s">
        <v>976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spans="1:17" x14ac:dyDescent="0.25">
      <c r="A312" s="1" t="s">
        <v>975</v>
      </c>
      <c r="B312" s="1" t="s">
        <v>923</v>
      </c>
      <c r="C312" s="1" t="s">
        <v>976</v>
      </c>
      <c r="D312" s="1" t="s">
        <v>10724</v>
      </c>
      <c r="E312" s="1" t="s">
        <v>1058</v>
      </c>
      <c r="F312" s="1" t="s">
        <v>1041</v>
      </c>
      <c r="G312" s="1" t="s">
        <v>1087</v>
      </c>
      <c r="H312" s="1" t="s">
        <v>1091</v>
      </c>
      <c r="I312" s="1" t="s">
        <v>1060</v>
      </c>
      <c r="J312" s="1"/>
      <c r="K312" s="1"/>
      <c r="L312" s="1"/>
      <c r="M312" s="1"/>
      <c r="N312" s="1"/>
      <c r="O312" s="1"/>
      <c r="P312" s="1"/>
      <c r="Q312" s="1"/>
    </row>
    <row r="313" spans="1:17" x14ac:dyDescent="0.25">
      <c r="A313" s="1" t="s">
        <v>975</v>
      </c>
      <c r="B313" s="1" t="s">
        <v>923</v>
      </c>
      <c r="C313" s="1" t="s">
        <v>976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</row>
    <row r="314" spans="1:17" x14ac:dyDescent="0.25">
      <c r="A314" s="1" t="s">
        <v>975</v>
      </c>
      <c r="B314" s="1" t="s">
        <v>923</v>
      </c>
      <c r="C314" s="1" t="s">
        <v>976</v>
      </c>
      <c r="D314" s="1" t="s">
        <v>958</v>
      </c>
      <c r="E314" s="1" t="s">
        <v>977</v>
      </c>
      <c r="F314" s="1" t="s">
        <v>978</v>
      </c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spans="1:17" x14ac:dyDescent="0.25">
      <c r="A315" s="1" t="s">
        <v>975</v>
      </c>
      <c r="B315" s="1" t="s">
        <v>923</v>
      </c>
      <c r="C315" s="1" t="s">
        <v>976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spans="1:17" x14ac:dyDescent="0.25">
      <c r="A316" s="1" t="s">
        <v>975</v>
      </c>
      <c r="B316" s="1" t="s">
        <v>923</v>
      </c>
      <c r="C316" s="1" t="s">
        <v>976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spans="1:17" x14ac:dyDescent="0.25">
      <c r="A317" s="1" t="s">
        <v>918</v>
      </c>
      <c r="B317" s="1" t="s">
        <v>955</v>
      </c>
      <c r="C317" s="1" t="s">
        <v>943</v>
      </c>
      <c r="D317" s="1" t="s">
        <v>919</v>
      </c>
      <c r="E317" s="1" t="s">
        <v>924</v>
      </c>
      <c r="F317" s="1" t="s">
        <v>945</v>
      </c>
      <c r="G317" s="1" t="s">
        <v>10780</v>
      </c>
      <c r="H317" s="1" t="s">
        <v>1013</v>
      </c>
      <c r="I317" s="1"/>
      <c r="J317" s="1"/>
      <c r="K317" s="1"/>
      <c r="L317" s="1"/>
      <c r="M317" s="1"/>
      <c r="N317" s="1"/>
      <c r="O317" s="1"/>
      <c r="P317" s="1"/>
      <c r="Q317" s="1"/>
    </row>
    <row r="318" spans="1:17" x14ac:dyDescent="0.25">
      <c r="A318" s="1" t="s">
        <v>918</v>
      </c>
      <c r="B318" s="1" t="s">
        <v>25</v>
      </c>
      <c r="C318" s="1" t="s">
        <v>916</v>
      </c>
      <c r="D318" s="1" t="s">
        <v>920</v>
      </c>
      <c r="E318" s="1" t="s">
        <v>921</v>
      </c>
      <c r="F318" s="1" t="s">
        <v>922</v>
      </c>
      <c r="G318" s="1" t="s">
        <v>923</v>
      </c>
      <c r="H318" s="1" t="s">
        <v>973</v>
      </c>
      <c r="I318" s="1" t="s">
        <v>954</v>
      </c>
      <c r="J318" s="1" t="s">
        <v>974</v>
      </c>
      <c r="K318" s="1"/>
      <c r="L318" s="1"/>
      <c r="M318" s="1"/>
      <c r="N318" s="1"/>
      <c r="O318" s="1"/>
      <c r="P318" s="1"/>
      <c r="Q318" s="1"/>
    </row>
    <row r="319" spans="1:17" x14ac:dyDescent="0.25">
      <c r="A319" s="1" t="s">
        <v>918</v>
      </c>
      <c r="B319" s="1" t="s">
        <v>8695</v>
      </c>
      <c r="C319" s="1" t="s">
        <v>919</v>
      </c>
      <c r="D319" s="1" t="s">
        <v>1020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spans="1:17" x14ac:dyDescent="0.25">
      <c r="A320" s="1" t="s">
        <v>918</v>
      </c>
      <c r="B320" s="1" t="s">
        <v>955</v>
      </c>
      <c r="C320" s="1" t="s">
        <v>943</v>
      </c>
      <c r="D320" s="1" t="s">
        <v>919</v>
      </c>
      <c r="E320" s="1" t="s">
        <v>924</v>
      </c>
      <c r="F320" s="1" t="s">
        <v>945</v>
      </c>
      <c r="G320" s="1" t="s">
        <v>10780</v>
      </c>
      <c r="H320" s="1" t="s">
        <v>1013</v>
      </c>
      <c r="I320" s="1"/>
      <c r="J320" s="1"/>
      <c r="K320" s="1"/>
      <c r="L320" s="1"/>
      <c r="M320" s="1"/>
      <c r="N320" s="1"/>
      <c r="O320" s="1"/>
      <c r="P320" s="1"/>
      <c r="Q320" s="1"/>
    </row>
    <row r="321" spans="1:17" x14ac:dyDescent="0.25">
      <c r="A321" s="1" t="s">
        <v>918</v>
      </c>
      <c r="B321" s="1" t="s">
        <v>955</v>
      </c>
      <c r="C321" s="1" t="s">
        <v>943</v>
      </c>
      <c r="D321" s="1" t="s">
        <v>919</v>
      </c>
      <c r="E321" s="1" t="s">
        <v>924</v>
      </c>
      <c r="F321" s="1" t="s">
        <v>945</v>
      </c>
      <c r="G321" s="1" t="s">
        <v>8695</v>
      </c>
      <c r="H321" s="1" t="s">
        <v>1020</v>
      </c>
      <c r="I321" s="1"/>
      <c r="J321" s="1"/>
      <c r="K321" s="1"/>
      <c r="L321" s="1"/>
      <c r="M321" s="1"/>
      <c r="N321" s="1"/>
      <c r="O321" s="1"/>
      <c r="P321" s="1"/>
      <c r="Q321" s="1"/>
    </row>
    <row r="322" spans="1:17" x14ac:dyDescent="0.25">
      <c r="A322" s="1" t="s">
        <v>10780</v>
      </c>
      <c r="B322" s="1" t="s">
        <v>1013</v>
      </c>
      <c r="C322" s="1" t="s">
        <v>918</v>
      </c>
      <c r="D322" s="1" t="s">
        <v>919</v>
      </c>
      <c r="E322" s="1" t="s">
        <v>924</v>
      </c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spans="1:17" x14ac:dyDescent="0.25">
      <c r="A323" s="1" t="s">
        <v>10780</v>
      </c>
      <c r="B323" s="1" t="s">
        <v>1013</v>
      </c>
      <c r="C323" s="1" t="s">
        <v>918</v>
      </c>
      <c r="D323" s="1" t="s">
        <v>919</v>
      </c>
      <c r="E323" s="1" t="s">
        <v>924</v>
      </c>
      <c r="F323" s="1" t="s">
        <v>955</v>
      </c>
      <c r="G323" s="1" t="s">
        <v>943</v>
      </c>
      <c r="H323" s="1" t="s">
        <v>945</v>
      </c>
      <c r="I323" s="1"/>
      <c r="J323" s="1"/>
      <c r="K323" s="1"/>
      <c r="L323" s="1"/>
      <c r="M323" s="1"/>
      <c r="N323" s="1"/>
      <c r="O323" s="1"/>
      <c r="P323" s="1"/>
      <c r="Q323" s="1"/>
    </row>
    <row r="324" spans="1:17" x14ac:dyDescent="0.25">
      <c r="A324" s="1" t="s">
        <v>979</v>
      </c>
      <c r="B324" s="1" t="s">
        <v>980</v>
      </c>
      <c r="C324" s="1" t="s">
        <v>975</v>
      </c>
      <c r="D324" s="1" t="s">
        <v>25</v>
      </c>
      <c r="E324" s="1" t="s">
        <v>981</v>
      </c>
      <c r="F324" s="1" t="s">
        <v>982</v>
      </c>
      <c r="G324" s="1" t="s">
        <v>921</v>
      </c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spans="1:17" x14ac:dyDescent="0.25">
      <c r="A325" s="1" t="s">
        <v>935</v>
      </c>
      <c r="B325" s="1" t="s">
        <v>920</v>
      </c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spans="1:17" x14ac:dyDescent="0.25">
      <c r="A326" s="1" t="s">
        <v>1001</v>
      </c>
      <c r="B326" s="1" t="s">
        <v>328</v>
      </c>
      <c r="C326" s="1" t="s">
        <v>2541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spans="1:17" x14ac:dyDescent="0.25">
      <c r="A327" s="1" t="s">
        <v>964</v>
      </c>
      <c r="B327" s="1" t="s">
        <v>10751</v>
      </c>
      <c r="C327" s="1" t="s">
        <v>10755</v>
      </c>
      <c r="D327" s="1" t="s">
        <v>10724</v>
      </c>
      <c r="E327" s="1" t="s">
        <v>25</v>
      </c>
      <c r="F327" s="1" t="s">
        <v>4258</v>
      </c>
      <c r="G327" s="1" t="s">
        <v>931</v>
      </c>
      <c r="H327" s="1" t="s">
        <v>932</v>
      </c>
      <c r="I327" s="1" t="s">
        <v>923</v>
      </c>
      <c r="J327" s="1" t="s">
        <v>973</v>
      </c>
      <c r="K327" s="1" t="s">
        <v>916</v>
      </c>
      <c r="L327" s="1" t="s">
        <v>920</v>
      </c>
      <c r="M327" s="1" t="s">
        <v>974</v>
      </c>
      <c r="N327" s="1"/>
      <c r="O327" s="1"/>
      <c r="P327" s="1"/>
      <c r="Q327" s="1"/>
    </row>
    <row r="328" spans="1:17" x14ac:dyDescent="0.25">
      <c r="A328" s="1" t="s">
        <v>983</v>
      </c>
      <c r="B328" s="1" t="s">
        <v>984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spans="1:17" x14ac:dyDescent="0.25">
      <c r="A329" s="1" t="s">
        <v>1043</v>
      </c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spans="1:17" x14ac:dyDescent="0.25">
      <c r="A330" s="1" t="s">
        <v>1043</v>
      </c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spans="1:17" x14ac:dyDescent="0.25">
      <c r="A331" s="1" t="s">
        <v>1043</v>
      </c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spans="1:17" x14ac:dyDescent="0.25">
      <c r="A332" s="1" t="s">
        <v>1043</v>
      </c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spans="1:17" x14ac:dyDescent="0.25">
      <c r="A333" s="1" t="s">
        <v>1043</v>
      </c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1:17" x14ac:dyDescent="0.25">
      <c r="A334" s="1" t="s">
        <v>983</v>
      </c>
      <c r="B334" s="1" t="s">
        <v>919</v>
      </c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spans="1:17" x14ac:dyDescent="0.25">
      <c r="A335" s="1" t="s">
        <v>985</v>
      </c>
      <c r="B335" s="1" t="s">
        <v>986</v>
      </c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spans="1:17" x14ac:dyDescent="0.25">
      <c r="A336" s="1" t="s">
        <v>925</v>
      </c>
      <c r="B336" s="1" t="s">
        <v>927</v>
      </c>
      <c r="C336" s="1" t="s">
        <v>919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spans="1:17" x14ac:dyDescent="0.25">
      <c r="A337" s="1" t="s">
        <v>1001</v>
      </c>
      <c r="B337" s="1" t="s">
        <v>992</v>
      </c>
      <c r="C337" s="1" t="s">
        <v>981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spans="1:17" x14ac:dyDescent="0.25">
      <c r="A338" s="1" t="s">
        <v>1001</v>
      </c>
      <c r="B338" s="1" t="s">
        <v>992</v>
      </c>
      <c r="C338" s="1" t="s">
        <v>981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spans="1:17" x14ac:dyDescent="0.25">
      <c r="A339" s="1" t="s">
        <v>1001</v>
      </c>
      <c r="B339" s="1" t="s">
        <v>992</v>
      </c>
      <c r="C339" s="1" t="s">
        <v>981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spans="1:17" x14ac:dyDescent="0.25">
      <c r="A340" s="1" t="s">
        <v>1001</v>
      </c>
      <c r="B340" s="1" t="s">
        <v>992</v>
      </c>
      <c r="C340" s="1" t="s">
        <v>981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spans="1:17" x14ac:dyDescent="0.25">
      <c r="A341" s="1" t="s">
        <v>2476</v>
      </c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spans="1:17" x14ac:dyDescent="0.25">
      <c r="A342" s="1" t="s">
        <v>918</v>
      </c>
      <c r="B342" s="1" t="s">
        <v>25</v>
      </c>
      <c r="C342" s="1" t="s">
        <v>923</v>
      </c>
      <c r="D342" s="1" t="s">
        <v>973</v>
      </c>
      <c r="E342" s="1" t="s">
        <v>916</v>
      </c>
      <c r="F342" s="1" t="s">
        <v>920</v>
      </c>
      <c r="G342" s="1" t="s">
        <v>954</v>
      </c>
      <c r="H342" s="1" t="s">
        <v>974</v>
      </c>
      <c r="I342" s="1" t="s">
        <v>921</v>
      </c>
      <c r="J342" s="1" t="s">
        <v>298</v>
      </c>
      <c r="K342" s="1" t="s">
        <v>933</v>
      </c>
      <c r="L342" s="1" t="s">
        <v>1001</v>
      </c>
      <c r="M342" s="1" t="s">
        <v>937</v>
      </c>
      <c r="N342" s="1"/>
      <c r="O342" s="1"/>
      <c r="P342" s="1"/>
      <c r="Q342" s="1"/>
    </row>
    <row r="343" spans="1:17" x14ac:dyDescent="0.25">
      <c r="A343" s="1" t="s">
        <v>985</v>
      </c>
      <c r="B343" s="1" t="s">
        <v>995</v>
      </c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</row>
    <row r="344" spans="1:17" x14ac:dyDescent="0.25">
      <c r="A344" s="1" t="s">
        <v>967</v>
      </c>
      <c r="B344" s="1" t="s">
        <v>968</v>
      </c>
      <c r="C344" s="1" t="s">
        <v>969</v>
      </c>
      <c r="D344" s="1" t="s">
        <v>970</v>
      </c>
      <c r="E344" s="1" t="s">
        <v>10706</v>
      </c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spans="1:17" x14ac:dyDescent="0.25">
      <c r="A345" s="1" t="s">
        <v>918</v>
      </c>
      <c r="B345" s="1" t="s">
        <v>919</v>
      </c>
      <c r="C345" s="1" t="s">
        <v>936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1:17" x14ac:dyDescent="0.25">
      <c r="A346" s="1" t="s">
        <v>918</v>
      </c>
      <c r="B346" s="1" t="s">
        <v>919</v>
      </c>
      <c r="C346" s="1" t="s">
        <v>936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spans="1:17" x14ac:dyDescent="0.25">
      <c r="A347" s="1" t="s">
        <v>918</v>
      </c>
      <c r="B347" s="1" t="s">
        <v>919</v>
      </c>
      <c r="C347" s="1" t="s">
        <v>936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spans="1:17" x14ac:dyDescent="0.25">
      <c r="A348" s="1" t="s">
        <v>918</v>
      </c>
      <c r="B348" s="1" t="s">
        <v>919</v>
      </c>
      <c r="C348" s="1" t="s">
        <v>936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spans="1:17" x14ac:dyDescent="0.25">
      <c r="A349" s="1" t="s">
        <v>918</v>
      </c>
      <c r="B349" s="1" t="s">
        <v>919</v>
      </c>
      <c r="C349" s="1" t="s">
        <v>936</v>
      </c>
      <c r="D349" s="1" t="s">
        <v>10781</v>
      </c>
      <c r="E349" s="1" t="s">
        <v>1085</v>
      </c>
      <c r="F349" s="1" t="s">
        <v>955</v>
      </c>
      <c r="G349" s="1" t="s">
        <v>1014</v>
      </c>
      <c r="H349" s="1" t="s">
        <v>10740</v>
      </c>
      <c r="I349" s="1"/>
      <c r="J349" s="1"/>
      <c r="K349" s="1"/>
      <c r="L349" s="1"/>
      <c r="M349" s="1"/>
      <c r="N349" s="1"/>
      <c r="O349" s="1"/>
      <c r="P349" s="1"/>
      <c r="Q349" s="1"/>
    </row>
    <row r="350" spans="1:17" x14ac:dyDescent="0.25">
      <c r="A350" s="1" t="s">
        <v>918</v>
      </c>
      <c r="B350" s="1" t="s">
        <v>919</v>
      </c>
      <c r="C350" s="1" t="s">
        <v>936</v>
      </c>
      <c r="D350" s="1" t="s">
        <v>10741</v>
      </c>
      <c r="E350" s="1" t="s">
        <v>1014</v>
      </c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spans="1:17" x14ac:dyDescent="0.25">
      <c r="A351" s="1" t="s">
        <v>958</v>
      </c>
      <c r="B351" s="1" t="s">
        <v>918</v>
      </c>
      <c r="C351" s="1" t="s">
        <v>919</v>
      </c>
      <c r="D351" s="1" t="s">
        <v>924</v>
      </c>
      <c r="E351" s="1" t="s">
        <v>930</v>
      </c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spans="1:17" x14ac:dyDescent="0.25">
      <c r="A352" s="1" t="s">
        <v>918</v>
      </c>
      <c r="B352" s="1" t="s">
        <v>919</v>
      </c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spans="1:17" x14ac:dyDescent="0.25">
      <c r="A353" s="1" t="s">
        <v>918</v>
      </c>
      <c r="B353" s="1" t="s">
        <v>919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spans="1:17" x14ac:dyDescent="0.25">
      <c r="A354" s="1" t="s">
        <v>1001</v>
      </c>
      <c r="B354" s="1" t="s">
        <v>328</v>
      </c>
      <c r="C354" s="1" t="s">
        <v>2541</v>
      </c>
      <c r="D354" s="1" t="s">
        <v>996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spans="1:17" x14ac:dyDescent="0.25">
      <c r="A355" s="1" t="s">
        <v>981</v>
      </c>
      <c r="B355" s="1" t="s">
        <v>983</v>
      </c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spans="1:17" x14ac:dyDescent="0.25">
      <c r="A356" s="1" t="s">
        <v>981</v>
      </c>
      <c r="B356" s="1" t="s">
        <v>983</v>
      </c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spans="1:17" x14ac:dyDescent="0.25">
      <c r="A357" s="1" t="s">
        <v>981</v>
      </c>
      <c r="B357" s="1" t="s">
        <v>983</v>
      </c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spans="1:17" x14ac:dyDescent="0.25">
      <c r="A358" s="1" t="s">
        <v>298</v>
      </c>
      <c r="B358" s="1" t="s">
        <v>1086</v>
      </c>
      <c r="C358" s="1" t="s">
        <v>933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spans="1:17" x14ac:dyDescent="0.25">
      <c r="A359" s="1" t="s">
        <v>1150</v>
      </c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spans="1:17" x14ac:dyDescent="0.25">
      <c r="A360" s="1" t="s">
        <v>50</v>
      </c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spans="1:17" x14ac:dyDescent="0.25">
      <c r="A361" s="1" t="s">
        <v>983</v>
      </c>
      <c r="B361" s="1" t="s">
        <v>984</v>
      </c>
      <c r="C361" s="1" t="s">
        <v>935</v>
      </c>
      <c r="D361" s="1" t="s">
        <v>1000</v>
      </c>
      <c r="E361" s="1" t="s">
        <v>921</v>
      </c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spans="1:17" x14ac:dyDescent="0.25">
      <c r="A362" s="1" t="s">
        <v>987</v>
      </c>
      <c r="B362" s="1" t="s">
        <v>939</v>
      </c>
      <c r="C362" s="1" t="s">
        <v>988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spans="1:17" x14ac:dyDescent="0.25">
      <c r="A363" s="1" t="s">
        <v>918</v>
      </c>
      <c r="B363" s="1" t="s">
        <v>919</v>
      </c>
      <c r="C363" s="1" t="s">
        <v>930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spans="1:17" x14ac:dyDescent="0.25">
      <c r="A364" s="1" t="s">
        <v>25</v>
      </c>
      <c r="B364" s="1" t="s">
        <v>919</v>
      </c>
      <c r="C364" s="1" t="s">
        <v>920</v>
      </c>
      <c r="D364" s="1" t="s">
        <v>954</v>
      </c>
      <c r="E364" s="1" t="s">
        <v>989</v>
      </c>
      <c r="F364" s="1" t="s">
        <v>990</v>
      </c>
      <c r="G364" s="1" t="s">
        <v>991</v>
      </c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spans="1:17" x14ac:dyDescent="0.25">
      <c r="A365" s="1" t="s">
        <v>2517</v>
      </c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spans="1:17" x14ac:dyDescent="0.25">
      <c r="A366" s="1" t="s">
        <v>923</v>
      </c>
      <c r="B366" s="1" t="s">
        <v>1113</v>
      </c>
      <c r="C366" s="1" t="s">
        <v>328</v>
      </c>
      <c r="D366" s="1" t="s">
        <v>1108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spans="1:17" x14ac:dyDescent="0.25">
      <c r="A367" s="1" t="s">
        <v>996</v>
      </c>
      <c r="B367" s="1" t="s">
        <v>25</v>
      </c>
      <c r="C367" s="1" t="s">
        <v>997</v>
      </c>
      <c r="D367" s="1" t="s">
        <v>927</v>
      </c>
      <c r="E367" s="1" t="s">
        <v>998</v>
      </c>
      <c r="F367" s="1" t="s">
        <v>933</v>
      </c>
      <c r="G367" s="1" t="s">
        <v>993</v>
      </c>
      <c r="H367" s="1" t="s">
        <v>994</v>
      </c>
      <c r="I367" s="1" t="s">
        <v>10782</v>
      </c>
      <c r="J367" s="1"/>
      <c r="K367" s="1"/>
      <c r="L367" s="1"/>
      <c r="M367" s="1"/>
      <c r="N367" s="1"/>
      <c r="O367" s="1"/>
      <c r="P367" s="1"/>
      <c r="Q367" s="1"/>
    </row>
    <row r="368" spans="1:17" x14ac:dyDescent="0.25">
      <c r="A368" s="1" t="s">
        <v>992</v>
      </c>
      <c r="B368" s="1" t="s">
        <v>993</v>
      </c>
      <c r="C368" s="1" t="s">
        <v>994</v>
      </c>
      <c r="D368" s="1" t="s">
        <v>927</v>
      </c>
      <c r="E368" s="1" t="s">
        <v>981</v>
      </c>
      <c r="F368" s="1" t="s">
        <v>933</v>
      </c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spans="1:17" x14ac:dyDescent="0.25">
      <c r="A369" s="1" t="s">
        <v>927</v>
      </c>
      <c r="B369" s="1" t="s">
        <v>992</v>
      </c>
      <c r="C369" s="1" t="s">
        <v>981</v>
      </c>
      <c r="D369" s="1" t="s">
        <v>933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  <row r="370" spans="1:17" x14ac:dyDescent="0.25">
      <c r="A370" s="1" t="s">
        <v>918</v>
      </c>
      <c r="B370" s="1" t="s">
        <v>919</v>
      </c>
      <c r="C370" s="1" t="s">
        <v>981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</row>
    <row r="371" spans="1:17" x14ac:dyDescent="0.25">
      <c r="A371" s="1" t="s">
        <v>918</v>
      </c>
      <c r="B371" s="1" t="s">
        <v>919</v>
      </c>
      <c r="C371" s="1" t="s">
        <v>985</v>
      </c>
      <c r="D371" s="1" t="s">
        <v>995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spans="1:17" x14ac:dyDescent="0.25">
      <c r="A372" s="1" t="s">
        <v>10783</v>
      </c>
      <c r="B372" s="1" t="s">
        <v>989</v>
      </c>
      <c r="C372" s="1" t="s">
        <v>984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</row>
    <row r="373" spans="1:17" x14ac:dyDescent="0.25">
      <c r="A373" s="1" t="s">
        <v>10781</v>
      </c>
      <c r="B373" s="1" t="s">
        <v>1085</v>
      </c>
      <c r="C373" s="1" t="s">
        <v>955</v>
      </c>
      <c r="D373" s="1" t="s">
        <v>1014</v>
      </c>
      <c r="E373" s="1" t="s">
        <v>10740</v>
      </c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</row>
    <row r="374" spans="1:17" x14ac:dyDescent="0.25">
      <c r="A374" s="1" t="s">
        <v>918</v>
      </c>
      <c r="B374" s="1" t="s">
        <v>1143</v>
      </c>
      <c r="C374" s="1" t="s">
        <v>955</v>
      </c>
      <c r="D374" s="1" t="s">
        <v>995</v>
      </c>
      <c r="E374" s="1" t="s">
        <v>919</v>
      </c>
      <c r="F374" s="1" t="s">
        <v>924</v>
      </c>
      <c r="G374" s="1" t="s">
        <v>1014</v>
      </c>
      <c r="H374" s="1" t="s">
        <v>944</v>
      </c>
      <c r="I374" s="1" t="s">
        <v>956</v>
      </c>
      <c r="J374" s="1" t="s">
        <v>1107</v>
      </c>
      <c r="K374" s="1" t="s">
        <v>945</v>
      </c>
      <c r="L374" s="1" t="s">
        <v>1083</v>
      </c>
      <c r="M374" s="1" t="s">
        <v>930</v>
      </c>
      <c r="N374" s="1"/>
      <c r="O374" s="1"/>
      <c r="P374" s="1"/>
      <c r="Q374" s="1"/>
    </row>
    <row r="375" spans="1:17" x14ac:dyDescent="0.25">
      <c r="A375" s="1" t="s">
        <v>2541</v>
      </c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</row>
    <row r="376" spans="1:17" x14ac:dyDescent="0.25">
      <c r="A376" s="1" t="s">
        <v>10781</v>
      </c>
      <c r="B376" s="1" t="s">
        <v>1085</v>
      </c>
      <c r="C376" s="1" t="s">
        <v>955</v>
      </c>
      <c r="D376" s="1" t="s">
        <v>1014</v>
      </c>
      <c r="E376" s="1" t="s">
        <v>10740</v>
      </c>
      <c r="F376" s="1" t="s">
        <v>10762</v>
      </c>
      <c r="G376" s="1" t="s">
        <v>8695</v>
      </c>
      <c r="H376" s="1"/>
      <c r="I376" s="1"/>
      <c r="J376" s="1"/>
      <c r="K376" s="1"/>
      <c r="L376" s="1"/>
      <c r="M376" s="1"/>
      <c r="N376" s="1"/>
      <c r="O376" s="1"/>
      <c r="P376" s="1"/>
      <c r="Q376" s="1"/>
    </row>
    <row r="377" spans="1:17" x14ac:dyDescent="0.25">
      <c r="A377" s="1" t="s">
        <v>1002</v>
      </c>
      <c r="B377" s="1" t="s">
        <v>1003</v>
      </c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</row>
    <row r="378" spans="1:17" x14ac:dyDescent="0.25">
      <c r="A378" s="1" t="s">
        <v>1002</v>
      </c>
      <c r="B378" s="1" t="s">
        <v>1003</v>
      </c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</row>
    <row r="379" spans="1:17" x14ac:dyDescent="0.25">
      <c r="A379" s="1" t="s">
        <v>1002</v>
      </c>
      <c r="B379" s="1" t="s">
        <v>1003</v>
      </c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</row>
    <row r="380" spans="1:17" x14ac:dyDescent="0.25">
      <c r="A380" s="1" t="s">
        <v>1001</v>
      </c>
      <c r="B380" s="1" t="s">
        <v>927</v>
      </c>
      <c r="C380" s="1" t="s">
        <v>919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</row>
    <row r="381" spans="1:17" x14ac:dyDescent="0.25">
      <c r="A381" s="1" t="s">
        <v>50</v>
      </c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</row>
    <row r="382" spans="1:17" x14ac:dyDescent="0.25">
      <c r="A382" s="1" t="s">
        <v>138</v>
      </c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</row>
    <row r="383" spans="1:17" x14ac:dyDescent="0.25">
      <c r="A383" s="1" t="s">
        <v>50</v>
      </c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</row>
    <row r="384" spans="1:17" x14ac:dyDescent="0.25">
      <c r="A384" s="1" t="s">
        <v>50</v>
      </c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</row>
    <row r="385" spans="1:17" x14ac:dyDescent="0.25">
      <c r="A385" s="1" t="s">
        <v>50</v>
      </c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</row>
    <row r="386" spans="1:17" x14ac:dyDescent="0.25">
      <c r="A386" s="1" t="s">
        <v>50</v>
      </c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</row>
    <row r="387" spans="1:17" x14ac:dyDescent="0.25">
      <c r="A387" s="1" t="s">
        <v>50</v>
      </c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</row>
    <row r="388" spans="1:17" x14ac:dyDescent="0.25">
      <c r="A388" s="1" t="s">
        <v>2927</v>
      </c>
      <c r="B388" s="1" t="s">
        <v>1086</v>
      </c>
      <c r="C388" s="1" t="s">
        <v>10784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</row>
    <row r="389" spans="1:17" x14ac:dyDescent="0.25">
      <c r="A389" s="1" t="s">
        <v>923</v>
      </c>
      <c r="B389" s="1" t="s">
        <v>1011</v>
      </c>
      <c r="C389" s="1" t="s">
        <v>965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</row>
    <row r="390" spans="1:17" x14ac:dyDescent="0.25">
      <c r="A390" s="1" t="s">
        <v>2927</v>
      </c>
      <c r="B390" s="1" t="s">
        <v>1051</v>
      </c>
      <c r="C390" s="1" t="s">
        <v>25</v>
      </c>
      <c r="D390" s="1" t="s">
        <v>1053</v>
      </c>
      <c r="E390" s="1" t="s">
        <v>1086</v>
      </c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</row>
    <row r="391" spans="1:17" x14ac:dyDescent="0.25">
      <c r="A391" s="1" t="s">
        <v>918</v>
      </c>
      <c r="B391" s="1" t="s">
        <v>25</v>
      </c>
      <c r="C391" s="1" t="s">
        <v>919</v>
      </c>
      <c r="D391" s="1" t="s">
        <v>920</v>
      </c>
      <c r="E391" s="1" t="s">
        <v>946</v>
      </c>
      <c r="F391" s="1" t="s">
        <v>921</v>
      </c>
      <c r="G391" s="1" t="s">
        <v>922</v>
      </c>
      <c r="H391" s="1" t="s">
        <v>923</v>
      </c>
      <c r="I391" s="1"/>
      <c r="J391" s="1"/>
      <c r="K391" s="1"/>
      <c r="L391" s="1"/>
      <c r="M391" s="1"/>
      <c r="N391" s="1"/>
      <c r="O391" s="1"/>
      <c r="P391" s="1"/>
      <c r="Q391" s="1"/>
    </row>
    <row r="392" spans="1:17" x14ac:dyDescent="0.25">
      <c r="A392" s="1" t="s">
        <v>996</v>
      </c>
      <c r="B392" s="1" t="s">
        <v>25</v>
      </c>
      <c r="C392" s="1" t="s">
        <v>997</v>
      </c>
      <c r="D392" s="1" t="s">
        <v>927</v>
      </c>
      <c r="E392" s="1" t="s">
        <v>998</v>
      </c>
      <c r="F392" s="1" t="s">
        <v>933</v>
      </c>
      <c r="G392" s="1" t="s">
        <v>993</v>
      </c>
      <c r="H392" s="1" t="s">
        <v>994</v>
      </c>
      <c r="I392" s="1" t="s">
        <v>992</v>
      </c>
      <c r="J392" s="1" t="s">
        <v>981</v>
      </c>
      <c r="K392" s="1"/>
      <c r="L392" s="1"/>
      <c r="M392" s="1"/>
      <c r="N392" s="1"/>
      <c r="O392" s="1"/>
      <c r="P392" s="1"/>
      <c r="Q392" s="1"/>
    </row>
    <row r="393" spans="1:17" x14ac:dyDescent="0.25">
      <c r="A393" s="1" t="s">
        <v>981</v>
      </c>
      <c r="B393" s="1" t="s">
        <v>1019</v>
      </c>
      <c r="C393" s="1" t="s">
        <v>983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</row>
    <row r="394" spans="1:17" x14ac:dyDescent="0.25">
      <c r="A394" s="1" t="s">
        <v>996</v>
      </c>
      <c r="B394" s="1" t="s">
        <v>933</v>
      </c>
      <c r="C394" s="1" t="s">
        <v>994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</row>
    <row r="395" spans="1:17" x14ac:dyDescent="0.25">
      <c r="A395" s="1" t="s">
        <v>1001</v>
      </c>
      <c r="B395" s="1" t="s">
        <v>10722</v>
      </c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</row>
    <row r="396" spans="1:17" x14ac:dyDescent="0.25">
      <c r="A396" s="1" t="s">
        <v>996</v>
      </c>
      <c r="B396" s="1" t="s">
        <v>25</v>
      </c>
      <c r="C396" s="1" t="s">
        <v>997</v>
      </c>
      <c r="D396" s="1" t="s">
        <v>927</v>
      </c>
      <c r="E396" s="1" t="s">
        <v>998</v>
      </c>
      <c r="F396" s="1" t="s">
        <v>992</v>
      </c>
      <c r="G396" s="1" t="s">
        <v>933</v>
      </c>
      <c r="H396" s="1" t="s">
        <v>994</v>
      </c>
      <c r="I396" s="1"/>
      <c r="J396" s="1"/>
      <c r="K396" s="1"/>
      <c r="L396" s="1"/>
      <c r="M396" s="1"/>
      <c r="N396" s="1"/>
      <c r="O396" s="1"/>
      <c r="P396" s="1"/>
      <c r="Q396" s="1"/>
    </row>
    <row r="397" spans="1:17" x14ac:dyDescent="0.25">
      <c r="A397" s="1" t="s">
        <v>10770</v>
      </c>
      <c r="B397" s="1" t="s">
        <v>10785</v>
      </c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</row>
    <row r="398" spans="1:17" x14ac:dyDescent="0.25">
      <c r="A398" s="1" t="s">
        <v>934</v>
      </c>
      <c r="B398" s="1" t="s">
        <v>1090</v>
      </c>
      <c r="C398" s="1" t="s">
        <v>25</v>
      </c>
      <c r="D398" s="1" t="s">
        <v>923</v>
      </c>
      <c r="E398" s="1" t="s">
        <v>920</v>
      </c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</row>
    <row r="399" spans="1:17" x14ac:dyDescent="0.25">
      <c r="A399" s="1" t="s">
        <v>919</v>
      </c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</row>
    <row r="400" spans="1:17" x14ac:dyDescent="0.25">
      <c r="A400" s="1" t="s">
        <v>933</v>
      </c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</row>
    <row r="401" spans="1:17" x14ac:dyDescent="0.25">
      <c r="A401" s="1" t="s">
        <v>1086</v>
      </c>
      <c r="B401" s="1" t="s">
        <v>933</v>
      </c>
      <c r="C401" s="1" t="s">
        <v>2541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</row>
    <row r="402" spans="1:17" x14ac:dyDescent="0.25">
      <c r="A402" s="1" t="s">
        <v>10786</v>
      </c>
      <c r="B402" s="1" t="s">
        <v>10787</v>
      </c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</row>
    <row r="403" spans="1:17" x14ac:dyDescent="0.25">
      <c r="A403" s="1" t="s">
        <v>1119</v>
      </c>
      <c r="B403" s="1" t="s">
        <v>1121</v>
      </c>
      <c r="C403" s="1" t="s">
        <v>837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</row>
    <row r="404" spans="1:17" x14ac:dyDescent="0.25">
      <c r="A404" s="1" t="s">
        <v>1126</v>
      </c>
      <c r="B404" s="1" t="s">
        <v>917</v>
      </c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</row>
    <row r="405" spans="1:17" x14ac:dyDescent="0.25">
      <c r="A405" s="1" t="s">
        <v>1129</v>
      </c>
      <c r="B405" s="1" t="s">
        <v>1140</v>
      </c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</row>
    <row r="406" spans="1:17" x14ac:dyDescent="0.25">
      <c r="A406" s="1" t="s">
        <v>50</v>
      </c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</row>
    <row r="407" spans="1:17" x14ac:dyDescent="0.25">
      <c r="A407" s="1" t="s">
        <v>1000</v>
      </c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</row>
    <row r="408" spans="1:17" x14ac:dyDescent="0.25">
      <c r="A408" s="1" t="s">
        <v>1001</v>
      </c>
      <c r="B408" s="1" t="s">
        <v>10697</v>
      </c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</row>
    <row r="409" spans="1:17" x14ac:dyDescent="0.25">
      <c r="A409" s="1" t="s">
        <v>996</v>
      </c>
      <c r="B409" s="1" t="s">
        <v>948</v>
      </c>
      <c r="C409" s="1" t="s">
        <v>10788</v>
      </c>
      <c r="D409" s="1" t="s">
        <v>25</v>
      </c>
      <c r="E409" s="1" t="s">
        <v>923</v>
      </c>
      <c r="F409" s="1" t="s">
        <v>997</v>
      </c>
      <c r="G409" s="1" t="s">
        <v>1086</v>
      </c>
      <c r="H409" s="1" t="s">
        <v>920</v>
      </c>
      <c r="I409" s="1" t="s">
        <v>1149</v>
      </c>
      <c r="J409" s="1" t="s">
        <v>1150</v>
      </c>
      <c r="K409" s="1"/>
      <c r="L409" s="1"/>
      <c r="M409" s="1"/>
      <c r="N409" s="1"/>
      <c r="O409" s="1"/>
      <c r="P409" s="1"/>
      <c r="Q409" s="1"/>
    </row>
    <row r="410" spans="1:17" x14ac:dyDescent="0.25">
      <c r="A410" s="1" t="s">
        <v>1109</v>
      </c>
      <c r="B410" s="1" t="s">
        <v>10789</v>
      </c>
      <c r="C410" s="1" t="s">
        <v>927</v>
      </c>
      <c r="D410" s="1" t="s">
        <v>8195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</row>
    <row r="411" spans="1:17" x14ac:dyDescent="0.25">
      <c r="A411" s="1" t="s">
        <v>10762</v>
      </c>
      <c r="B411" s="1" t="s">
        <v>955</v>
      </c>
      <c r="C411" s="1" t="s">
        <v>1014</v>
      </c>
      <c r="D411" s="1" t="s">
        <v>1020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</row>
    <row r="412" spans="1:17" x14ac:dyDescent="0.25">
      <c r="A412" s="1" t="s">
        <v>10734</v>
      </c>
      <c r="B412" s="1" t="s">
        <v>1085</v>
      </c>
      <c r="C412" s="1" t="s">
        <v>955</v>
      </c>
      <c r="D412" s="1" t="s">
        <v>924</v>
      </c>
      <c r="E412" s="1" t="s">
        <v>1079</v>
      </c>
      <c r="F412" s="1" t="s">
        <v>1014</v>
      </c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</row>
    <row r="413" spans="1:17" x14ac:dyDescent="0.25">
      <c r="A413" s="1" t="s">
        <v>919</v>
      </c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</row>
    <row r="414" spans="1:17" x14ac:dyDescent="0.25">
      <c r="A414" s="1" t="s">
        <v>918</v>
      </c>
      <c r="B414" s="1" t="s">
        <v>25</v>
      </c>
      <c r="C414" s="1" t="s">
        <v>923</v>
      </c>
      <c r="D414" s="1" t="s">
        <v>916</v>
      </c>
      <c r="E414" s="1" t="s">
        <v>919</v>
      </c>
      <c r="F414" s="1" t="s">
        <v>924</v>
      </c>
      <c r="G414" s="1" t="s">
        <v>974</v>
      </c>
      <c r="H414" s="1" t="s">
        <v>922</v>
      </c>
      <c r="I414" s="1" t="s">
        <v>929</v>
      </c>
      <c r="J414" s="1"/>
      <c r="K414" s="1"/>
      <c r="L414" s="1"/>
      <c r="M414" s="1"/>
      <c r="N414" s="1"/>
      <c r="O414" s="1"/>
      <c r="P414" s="1"/>
      <c r="Q414" s="1"/>
    </row>
    <row r="415" spans="1:17" x14ac:dyDescent="0.25">
      <c r="A415" s="1" t="s">
        <v>918</v>
      </c>
      <c r="B415" s="1" t="s">
        <v>25</v>
      </c>
      <c r="C415" s="1" t="s">
        <v>923</v>
      </c>
      <c r="D415" s="1" t="s">
        <v>916</v>
      </c>
      <c r="E415" s="1" t="s">
        <v>919</v>
      </c>
      <c r="F415" s="1" t="s">
        <v>924</v>
      </c>
      <c r="G415" s="1" t="s">
        <v>974</v>
      </c>
      <c r="H415" s="1" t="s">
        <v>922</v>
      </c>
      <c r="I415" s="1"/>
      <c r="J415" s="1"/>
      <c r="K415" s="1"/>
      <c r="L415" s="1"/>
      <c r="M415" s="1"/>
      <c r="N415" s="1"/>
      <c r="O415" s="1"/>
      <c r="P415" s="1"/>
      <c r="Q415" s="1"/>
    </row>
    <row r="416" spans="1:17" x14ac:dyDescent="0.25">
      <c r="A416" s="1" t="s">
        <v>919</v>
      </c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</row>
    <row r="417" spans="1:17" x14ac:dyDescent="0.25">
      <c r="A417" s="1" t="s">
        <v>152</v>
      </c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</row>
    <row r="418" spans="1:17" x14ac:dyDescent="0.25">
      <c r="A418" s="1" t="s">
        <v>152</v>
      </c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</row>
    <row r="419" spans="1:17" x14ac:dyDescent="0.25">
      <c r="A419" s="1" t="s">
        <v>981</v>
      </c>
      <c r="B419" s="1" t="s">
        <v>983</v>
      </c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</row>
    <row r="420" spans="1:17" x14ac:dyDescent="0.25">
      <c r="A420" s="1" t="s">
        <v>928</v>
      </c>
      <c r="B420" s="1" t="s">
        <v>983</v>
      </c>
      <c r="C420" s="1" t="s">
        <v>919</v>
      </c>
      <c r="D420" s="1" t="s">
        <v>1020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</row>
    <row r="421" spans="1:17" x14ac:dyDescent="0.25">
      <c r="A421" s="1" t="s">
        <v>1001</v>
      </c>
      <c r="B421" s="1" t="s">
        <v>10722</v>
      </c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</row>
    <row r="422" spans="1:17" x14ac:dyDescent="0.25">
      <c r="A422" s="1" t="s">
        <v>1001</v>
      </c>
      <c r="B422" s="1" t="s">
        <v>328</v>
      </c>
      <c r="C422" s="1" t="s">
        <v>2541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</row>
    <row r="423" spans="1:17" x14ac:dyDescent="0.25">
      <c r="A423" s="1" t="s">
        <v>25</v>
      </c>
      <c r="B423" s="1" t="s">
        <v>927</v>
      </c>
      <c r="C423" s="1" t="s">
        <v>998</v>
      </c>
      <c r="D423" s="1" t="s">
        <v>1086</v>
      </c>
      <c r="E423" s="1" t="s">
        <v>920</v>
      </c>
      <c r="F423" s="1" t="s">
        <v>933</v>
      </c>
      <c r="G423" s="1" t="s">
        <v>921</v>
      </c>
      <c r="H423" s="1" t="s">
        <v>919</v>
      </c>
      <c r="I423" s="1" t="s">
        <v>1001</v>
      </c>
      <c r="J423" s="1" t="s">
        <v>981</v>
      </c>
      <c r="K423" s="1"/>
      <c r="L423" s="1"/>
      <c r="M423" s="1"/>
      <c r="N423" s="1"/>
      <c r="O423" s="1"/>
      <c r="P423" s="1"/>
      <c r="Q423" s="1"/>
    </row>
    <row r="424" spans="1:17" x14ac:dyDescent="0.25">
      <c r="A424" s="1" t="s">
        <v>1002</v>
      </c>
      <c r="B424" s="1" t="s">
        <v>1003</v>
      </c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</row>
    <row r="425" spans="1:17" x14ac:dyDescent="0.25">
      <c r="A425" s="1" t="s">
        <v>964</v>
      </c>
      <c r="B425" s="1" t="s">
        <v>10751</v>
      </c>
      <c r="C425" s="1" t="s">
        <v>10755</v>
      </c>
      <c r="D425" s="1" t="s">
        <v>10724</v>
      </c>
      <c r="E425" s="1" t="s">
        <v>25</v>
      </c>
      <c r="F425" s="1" t="s">
        <v>925</v>
      </c>
      <c r="G425" s="1" t="s">
        <v>939</v>
      </c>
      <c r="H425" s="1"/>
      <c r="I425" s="1"/>
      <c r="J425" s="1"/>
      <c r="K425" s="1"/>
      <c r="L425" s="1"/>
      <c r="M425" s="1"/>
      <c r="N425" s="1"/>
      <c r="O425" s="1"/>
      <c r="P425" s="1"/>
      <c r="Q425" s="1"/>
    </row>
    <row r="426" spans="1:17" x14ac:dyDescent="0.25">
      <c r="A426" s="1" t="s">
        <v>964</v>
      </c>
      <c r="B426" s="1" t="s">
        <v>10751</v>
      </c>
      <c r="C426" s="1" t="s">
        <v>10755</v>
      </c>
      <c r="D426" s="1" t="s">
        <v>10724</v>
      </c>
      <c r="E426" s="1" t="s">
        <v>25</v>
      </c>
      <c r="F426" s="1" t="s">
        <v>978</v>
      </c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</row>
    <row r="427" spans="1:17" x14ac:dyDescent="0.25">
      <c r="A427" s="1" t="s">
        <v>25</v>
      </c>
      <c r="B427" s="1" t="s">
        <v>923</v>
      </c>
      <c r="C427" s="1" t="s">
        <v>920</v>
      </c>
      <c r="D427" s="1" t="s">
        <v>933</v>
      </c>
      <c r="E427" s="1" t="s">
        <v>954</v>
      </c>
      <c r="F427" s="1" t="s">
        <v>921</v>
      </c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</row>
    <row r="428" spans="1:17" x14ac:dyDescent="0.25">
      <c r="A428" s="1" t="s">
        <v>1030</v>
      </c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</row>
    <row r="429" spans="1:17" x14ac:dyDescent="0.25">
      <c r="A429" s="1" t="s">
        <v>1053</v>
      </c>
      <c r="B429" s="1" t="s">
        <v>328</v>
      </c>
      <c r="C429" s="1" t="s">
        <v>933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</row>
    <row r="430" spans="1:17" x14ac:dyDescent="0.25">
      <c r="A430" s="1" t="s">
        <v>25</v>
      </c>
      <c r="B430" s="1" t="s">
        <v>1053</v>
      </c>
      <c r="C430" s="1" t="s">
        <v>256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</row>
    <row r="431" spans="1:17" x14ac:dyDescent="0.25">
      <c r="A431" s="1" t="s">
        <v>1004</v>
      </c>
      <c r="B431" s="1" t="s">
        <v>1006</v>
      </c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</row>
    <row r="432" spans="1:17" x14ac:dyDescent="0.25">
      <c r="A432" s="1" t="s">
        <v>1004</v>
      </c>
      <c r="B432" s="1" t="s">
        <v>1006</v>
      </c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</row>
    <row r="433" spans="1:17" x14ac:dyDescent="0.25">
      <c r="A433" s="1" t="s">
        <v>1004</v>
      </c>
      <c r="B433" s="1" t="s">
        <v>1006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</row>
    <row r="434" spans="1:17" x14ac:dyDescent="0.25">
      <c r="A434" s="1" t="s">
        <v>1004</v>
      </c>
      <c r="B434" s="1" t="s">
        <v>1006</v>
      </c>
      <c r="C434" s="1" t="s">
        <v>1007</v>
      </c>
      <c r="D434" s="1" t="s">
        <v>1005</v>
      </c>
      <c r="E434" s="1" t="s">
        <v>1008</v>
      </c>
      <c r="F434" s="1" t="s">
        <v>1009</v>
      </c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</row>
    <row r="435" spans="1:17" x14ac:dyDescent="0.25">
      <c r="A435" s="1" t="s">
        <v>1004</v>
      </c>
      <c r="B435" s="1" t="s">
        <v>1006</v>
      </c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</row>
    <row r="436" spans="1:17" x14ac:dyDescent="0.25">
      <c r="A436" s="1" t="s">
        <v>1004</v>
      </c>
      <c r="B436" s="1" t="s">
        <v>1006</v>
      </c>
      <c r="C436" s="1" t="s">
        <v>1010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</row>
    <row r="437" spans="1:17" x14ac:dyDescent="0.25">
      <c r="A437" s="1" t="s">
        <v>1004</v>
      </c>
      <c r="B437" s="1" t="s">
        <v>1006</v>
      </c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</row>
    <row r="438" spans="1:17" x14ac:dyDescent="0.25">
      <c r="A438" s="1" t="s">
        <v>1004</v>
      </c>
      <c r="B438" s="1" t="s">
        <v>1006</v>
      </c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</row>
    <row r="439" spans="1:17" x14ac:dyDescent="0.25">
      <c r="A439" s="1" t="s">
        <v>1004</v>
      </c>
      <c r="B439" s="1" t="s">
        <v>1006</v>
      </c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</row>
    <row r="440" spans="1:17" x14ac:dyDescent="0.25">
      <c r="A440" s="1" t="s">
        <v>1017</v>
      </c>
      <c r="B440" s="1" t="s">
        <v>952</v>
      </c>
      <c r="C440" s="1" t="s">
        <v>1037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</row>
    <row r="441" spans="1:17" x14ac:dyDescent="0.25">
      <c r="A441" s="1" t="s">
        <v>50</v>
      </c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</row>
    <row r="442" spans="1:17" x14ac:dyDescent="0.25">
      <c r="A442" s="1" t="s">
        <v>918</v>
      </c>
      <c r="B442" s="1" t="s">
        <v>919</v>
      </c>
      <c r="C442" s="1" t="s">
        <v>924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</row>
    <row r="443" spans="1:17" x14ac:dyDescent="0.25">
      <c r="A443" s="1" t="s">
        <v>918</v>
      </c>
      <c r="B443" s="1" t="s">
        <v>919</v>
      </c>
      <c r="C443" s="1" t="s">
        <v>924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</row>
    <row r="444" spans="1:17" x14ac:dyDescent="0.25">
      <c r="A444" s="1" t="s">
        <v>918</v>
      </c>
      <c r="B444" s="1" t="s">
        <v>949</v>
      </c>
      <c r="C444" s="1" t="s">
        <v>25</v>
      </c>
      <c r="D444" s="1" t="s">
        <v>923</v>
      </c>
      <c r="E444" s="1" t="s">
        <v>919</v>
      </c>
      <c r="F444" s="1" t="s">
        <v>920</v>
      </c>
      <c r="G444" s="1" t="s">
        <v>974</v>
      </c>
      <c r="H444" s="1" t="s">
        <v>921</v>
      </c>
      <c r="I444" s="1" t="s">
        <v>927</v>
      </c>
      <c r="J444" s="1" t="s">
        <v>936</v>
      </c>
      <c r="K444" s="1" t="s">
        <v>934</v>
      </c>
      <c r="L444" s="1" t="s">
        <v>940</v>
      </c>
      <c r="M444" s="1" t="s">
        <v>1011</v>
      </c>
      <c r="N444" s="1" t="s">
        <v>916</v>
      </c>
      <c r="O444" s="1" t="s">
        <v>933</v>
      </c>
      <c r="P444" s="1"/>
      <c r="Q444" s="1"/>
    </row>
    <row r="445" spans="1:17" x14ac:dyDescent="0.25">
      <c r="A445" s="1" t="s">
        <v>918</v>
      </c>
      <c r="B445" s="1" t="s">
        <v>919</v>
      </c>
      <c r="C445" s="1" t="s">
        <v>924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</row>
    <row r="446" spans="1:17" x14ac:dyDescent="0.25">
      <c r="A446" s="1" t="s">
        <v>1001</v>
      </c>
      <c r="B446" s="1" t="s">
        <v>992</v>
      </c>
      <c r="C446" s="1" t="s">
        <v>981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</row>
    <row r="447" spans="1:17" x14ac:dyDescent="0.25">
      <c r="A447" s="1" t="s">
        <v>1001</v>
      </c>
      <c r="B447" s="1" t="s">
        <v>927</v>
      </c>
      <c r="C447" s="1" t="s">
        <v>981</v>
      </c>
      <c r="D447" s="1" t="s">
        <v>919</v>
      </c>
      <c r="E447" s="1" t="s">
        <v>921</v>
      </c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</row>
    <row r="448" spans="1:17" x14ac:dyDescent="0.25">
      <c r="A448" s="1" t="s">
        <v>1012</v>
      </c>
      <c r="B448" s="1" t="s">
        <v>1013</v>
      </c>
      <c r="C448" s="1" t="s">
        <v>955</v>
      </c>
      <c r="D448" s="1" t="s">
        <v>1014</v>
      </c>
      <c r="E448" s="1" t="s">
        <v>1015</v>
      </c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</row>
    <row r="449" spans="1:17" x14ac:dyDescent="0.25">
      <c r="A449" s="1" t="s">
        <v>1012</v>
      </c>
      <c r="B449" s="1" t="s">
        <v>10726</v>
      </c>
      <c r="C449" s="1" t="s">
        <v>948</v>
      </c>
      <c r="D449" s="1" t="s">
        <v>298</v>
      </c>
      <c r="E449" s="1" t="s">
        <v>1149</v>
      </c>
      <c r="F449" s="1" t="s">
        <v>25</v>
      </c>
      <c r="G449" s="1" t="s">
        <v>923</v>
      </c>
      <c r="H449" s="1" t="s">
        <v>997</v>
      </c>
      <c r="I449" s="1" t="s">
        <v>954</v>
      </c>
      <c r="J449" s="1" t="s">
        <v>994</v>
      </c>
      <c r="K449" s="1"/>
      <c r="L449" s="1"/>
      <c r="M449" s="1"/>
      <c r="N449" s="1"/>
      <c r="O449" s="1"/>
      <c r="P449" s="1"/>
      <c r="Q449" s="1"/>
    </row>
    <row r="450" spans="1:17" x14ac:dyDescent="0.25">
      <c r="A450" s="1" t="s">
        <v>50</v>
      </c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</row>
    <row r="451" spans="1:17" x14ac:dyDescent="0.25">
      <c r="A451" s="1" t="s">
        <v>10711</v>
      </c>
      <c r="B451" s="1" t="s">
        <v>10790</v>
      </c>
      <c r="C451" s="1" t="s">
        <v>10791</v>
      </c>
      <c r="D451" s="1" t="s">
        <v>10792</v>
      </c>
      <c r="E451" s="1" t="s">
        <v>10793</v>
      </c>
      <c r="F451" s="1" t="s">
        <v>10794</v>
      </c>
      <c r="G451" s="1" t="s">
        <v>984</v>
      </c>
      <c r="H451" s="1"/>
      <c r="I451" s="1"/>
      <c r="J451" s="1"/>
      <c r="K451" s="1"/>
      <c r="L451" s="1"/>
      <c r="M451" s="1"/>
      <c r="N451" s="1"/>
      <c r="O451" s="1"/>
      <c r="P451" s="1"/>
      <c r="Q451" s="1"/>
    </row>
    <row r="452" spans="1:17" x14ac:dyDescent="0.25">
      <c r="A452" s="1" t="s">
        <v>10711</v>
      </c>
      <c r="B452" s="1" t="s">
        <v>10790</v>
      </c>
      <c r="C452" s="1" t="s">
        <v>10791</v>
      </c>
      <c r="D452" s="1" t="s">
        <v>10792</v>
      </c>
      <c r="E452" s="1" t="s">
        <v>10793</v>
      </c>
      <c r="F452" s="1" t="s">
        <v>10794</v>
      </c>
      <c r="G452" s="1" t="s">
        <v>984</v>
      </c>
      <c r="H452" s="1"/>
      <c r="I452" s="1"/>
      <c r="J452" s="1"/>
      <c r="K452" s="1"/>
      <c r="L452" s="1"/>
      <c r="M452" s="1"/>
      <c r="N452" s="1"/>
      <c r="O452" s="1"/>
      <c r="P452" s="1"/>
      <c r="Q452" s="1"/>
    </row>
    <row r="453" spans="1:17" x14ac:dyDescent="0.25">
      <c r="A453" s="1" t="s">
        <v>10711</v>
      </c>
      <c r="B453" s="1" t="s">
        <v>10790</v>
      </c>
      <c r="C453" s="1" t="s">
        <v>10791</v>
      </c>
      <c r="D453" s="1" t="s">
        <v>10792</v>
      </c>
      <c r="E453" s="1" t="s">
        <v>10793</v>
      </c>
      <c r="F453" s="1" t="s">
        <v>10794</v>
      </c>
      <c r="G453" s="1" t="s">
        <v>984</v>
      </c>
      <c r="H453" s="1"/>
      <c r="I453" s="1"/>
      <c r="J453" s="1"/>
      <c r="K453" s="1"/>
      <c r="L453" s="1"/>
      <c r="M453" s="1"/>
      <c r="N453" s="1"/>
      <c r="O453" s="1"/>
      <c r="P453" s="1"/>
      <c r="Q453" s="1"/>
    </row>
    <row r="454" spans="1:17" x14ac:dyDescent="0.25">
      <c r="A454" s="1" t="s">
        <v>176</v>
      </c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</row>
    <row r="455" spans="1:17" x14ac:dyDescent="0.25">
      <c r="A455" s="1" t="s">
        <v>1016</v>
      </c>
      <c r="B455" s="1" t="s">
        <v>1017</v>
      </c>
      <c r="C455" s="1" t="s">
        <v>992</v>
      </c>
      <c r="D455" s="1" t="s">
        <v>981</v>
      </c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</row>
    <row r="456" spans="1:17" x14ac:dyDescent="0.25">
      <c r="A456" s="1" t="s">
        <v>50</v>
      </c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</row>
    <row r="457" spans="1:17" x14ac:dyDescent="0.25">
      <c r="A457" s="1" t="s">
        <v>50</v>
      </c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</row>
    <row r="458" spans="1:17" x14ac:dyDescent="0.25">
      <c r="A458" s="1" t="s">
        <v>50</v>
      </c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</row>
    <row r="459" spans="1:17" x14ac:dyDescent="0.25">
      <c r="A459" s="1" t="s">
        <v>50</v>
      </c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</row>
    <row r="460" spans="1:17" x14ac:dyDescent="0.25">
      <c r="A460" s="1" t="s">
        <v>933</v>
      </c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</row>
    <row r="461" spans="1:17" x14ac:dyDescent="0.25">
      <c r="A461" s="1" t="s">
        <v>2541</v>
      </c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</row>
    <row r="462" spans="1:17" x14ac:dyDescent="0.25">
      <c r="A462" s="1" t="s">
        <v>2696</v>
      </c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</row>
    <row r="463" spans="1:17" x14ac:dyDescent="0.25">
      <c r="A463" s="1" t="s">
        <v>1086</v>
      </c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</row>
    <row r="464" spans="1:17" x14ac:dyDescent="0.25">
      <c r="A464" s="1" t="s">
        <v>987</v>
      </c>
      <c r="B464" s="1" t="s">
        <v>994</v>
      </c>
      <c r="C464" s="1" t="s">
        <v>926</v>
      </c>
      <c r="D464" s="1" t="s">
        <v>918</v>
      </c>
      <c r="E464" s="1" t="s">
        <v>25</v>
      </c>
      <c r="F464" s="1" t="s">
        <v>927</v>
      </c>
      <c r="G464" s="1" t="s">
        <v>928</v>
      </c>
      <c r="H464" s="1" t="s">
        <v>919</v>
      </c>
      <c r="I464" s="1" t="s">
        <v>920</v>
      </c>
      <c r="J464" s="1" t="s">
        <v>960</v>
      </c>
      <c r="K464" s="1" t="s">
        <v>1147</v>
      </c>
      <c r="L464" s="1" t="s">
        <v>934</v>
      </c>
      <c r="M464" s="1" t="s">
        <v>923</v>
      </c>
      <c r="N464" s="1" t="s">
        <v>1141</v>
      </c>
      <c r="O464" s="1"/>
      <c r="P464" s="1"/>
      <c r="Q464" s="1"/>
    </row>
    <row r="465" spans="1:17" x14ac:dyDescent="0.25">
      <c r="A465" s="1" t="s">
        <v>1016</v>
      </c>
      <c r="B465" s="1" t="s">
        <v>1017</v>
      </c>
      <c r="C465" s="1" t="s">
        <v>992</v>
      </c>
      <c r="D465" s="1" t="s">
        <v>981</v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</row>
    <row r="466" spans="1:17" x14ac:dyDescent="0.25">
      <c r="A466" s="1" t="s">
        <v>996</v>
      </c>
      <c r="B466" s="1" t="s">
        <v>2541</v>
      </c>
      <c r="C466" s="1" t="s">
        <v>10795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</row>
    <row r="467" spans="1:17" x14ac:dyDescent="0.25">
      <c r="A467" s="1" t="s">
        <v>2541</v>
      </c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</row>
    <row r="468" spans="1:17" x14ac:dyDescent="0.25">
      <c r="A468" s="1" t="s">
        <v>10796</v>
      </c>
      <c r="B468" s="1" t="s">
        <v>952</v>
      </c>
      <c r="C468" s="1" t="s">
        <v>919</v>
      </c>
      <c r="D468" s="1" t="s">
        <v>1037</v>
      </c>
      <c r="E468" s="1" t="s">
        <v>10726</v>
      </c>
      <c r="F468" s="1" t="s">
        <v>924</v>
      </c>
      <c r="G468" s="1" t="s">
        <v>10797</v>
      </c>
      <c r="H468" s="1"/>
      <c r="I468" s="1"/>
      <c r="J468" s="1"/>
      <c r="K468" s="1"/>
      <c r="L468" s="1"/>
      <c r="M468" s="1"/>
      <c r="N468" s="1"/>
      <c r="O468" s="1"/>
      <c r="P468" s="1"/>
      <c r="Q468" s="1"/>
    </row>
    <row r="469" spans="1:17" x14ac:dyDescent="0.25">
      <c r="A469" s="1" t="s">
        <v>998</v>
      </c>
      <c r="B469" s="1" t="s">
        <v>1086</v>
      </c>
      <c r="C469" s="1" t="s">
        <v>933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</row>
    <row r="470" spans="1:17" x14ac:dyDescent="0.25">
      <c r="A470" s="1" t="s">
        <v>1018</v>
      </c>
      <c r="B470" s="1" t="s">
        <v>1019</v>
      </c>
      <c r="C470" s="1" t="s">
        <v>983</v>
      </c>
      <c r="D470" s="1" t="s">
        <v>1020</v>
      </c>
      <c r="E470" s="1" t="s">
        <v>984</v>
      </c>
      <c r="F470" s="1" t="s">
        <v>1021</v>
      </c>
      <c r="G470" s="1" t="s">
        <v>1022</v>
      </c>
      <c r="H470" s="1" t="s">
        <v>1023</v>
      </c>
      <c r="I470" s="1" t="s">
        <v>1024</v>
      </c>
      <c r="J470" s="1" t="s">
        <v>1025</v>
      </c>
      <c r="K470" s="1" t="s">
        <v>1026</v>
      </c>
      <c r="L470" s="1" t="s">
        <v>1027</v>
      </c>
      <c r="M470" s="1" t="s">
        <v>1028</v>
      </c>
      <c r="N470" s="1"/>
      <c r="O470" s="1"/>
      <c r="P470" s="1"/>
      <c r="Q470" s="1"/>
    </row>
    <row r="471" spans="1:17" x14ac:dyDescent="0.25">
      <c r="A471" s="1" t="s">
        <v>934</v>
      </c>
      <c r="B471" s="1" t="s">
        <v>918</v>
      </c>
      <c r="C471" s="1" t="s">
        <v>1110</v>
      </c>
      <c r="D471" s="1" t="s">
        <v>25</v>
      </c>
      <c r="E471" s="1" t="s">
        <v>923</v>
      </c>
      <c r="F471" s="1" t="s">
        <v>920</v>
      </c>
      <c r="G471" s="1" t="s">
        <v>924</v>
      </c>
      <c r="H471" s="1" t="s">
        <v>974</v>
      </c>
      <c r="I471" s="1" t="s">
        <v>921</v>
      </c>
      <c r="J471" s="1"/>
      <c r="K471" s="1"/>
      <c r="L471" s="1"/>
      <c r="M471" s="1"/>
      <c r="N471" s="1"/>
      <c r="O471" s="1"/>
      <c r="P471" s="1"/>
      <c r="Q471" s="1"/>
    </row>
    <row r="472" spans="1:17" x14ac:dyDescent="0.25">
      <c r="A472" s="1" t="s">
        <v>926</v>
      </c>
      <c r="B472" s="1" t="s">
        <v>10798</v>
      </c>
      <c r="C472" s="1" t="s">
        <v>10767</v>
      </c>
      <c r="D472" s="1" t="s">
        <v>989</v>
      </c>
      <c r="E472" s="1" t="s">
        <v>10799</v>
      </c>
      <c r="F472" s="1" t="s">
        <v>984</v>
      </c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</row>
    <row r="473" spans="1:17" x14ac:dyDescent="0.25">
      <c r="A473" s="1" t="s">
        <v>926</v>
      </c>
      <c r="B473" s="1" t="s">
        <v>10798</v>
      </c>
      <c r="C473" s="1" t="s">
        <v>10767</v>
      </c>
      <c r="D473" s="1" t="s">
        <v>989</v>
      </c>
      <c r="E473" s="1" t="s">
        <v>10799</v>
      </c>
      <c r="F473" s="1" t="s">
        <v>984</v>
      </c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</row>
    <row r="474" spans="1:17" x14ac:dyDescent="0.25">
      <c r="A474" s="1" t="s">
        <v>25</v>
      </c>
      <c r="B474" s="1" t="s">
        <v>1136</v>
      </c>
      <c r="C474" s="1" t="s">
        <v>10752</v>
      </c>
      <c r="D474" s="1" t="s">
        <v>920</v>
      </c>
      <c r="E474" s="1" t="s">
        <v>328</v>
      </c>
      <c r="F474" s="1" t="s">
        <v>918</v>
      </c>
      <c r="G474" s="1" t="s">
        <v>1110</v>
      </c>
      <c r="H474" s="1" t="s">
        <v>923</v>
      </c>
      <c r="I474" s="1" t="s">
        <v>919</v>
      </c>
      <c r="J474" s="1" t="s">
        <v>954</v>
      </c>
      <c r="K474" s="1" t="s">
        <v>921</v>
      </c>
      <c r="L474" s="1" t="s">
        <v>964</v>
      </c>
      <c r="M474" s="1" t="s">
        <v>934</v>
      </c>
      <c r="N474" s="1" t="s">
        <v>965</v>
      </c>
      <c r="O474" s="1" t="s">
        <v>840</v>
      </c>
      <c r="P474" s="1"/>
      <c r="Q474" s="1"/>
    </row>
    <row r="475" spans="1:17" x14ac:dyDescent="0.25">
      <c r="A475" s="1" t="s">
        <v>25</v>
      </c>
      <c r="B475" s="1" t="s">
        <v>923</v>
      </c>
      <c r="C475" s="1" t="s">
        <v>920</v>
      </c>
      <c r="D475" s="1" t="s">
        <v>933</v>
      </c>
      <c r="E475" s="1" t="s">
        <v>921</v>
      </c>
      <c r="F475" s="1" t="s">
        <v>981</v>
      </c>
      <c r="G475" s="1" t="s">
        <v>983</v>
      </c>
      <c r="H475" s="1"/>
      <c r="I475" s="1"/>
      <c r="J475" s="1"/>
      <c r="K475" s="1"/>
      <c r="L475" s="1"/>
      <c r="M475" s="1"/>
      <c r="N475" s="1"/>
      <c r="O475" s="1"/>
      <c r="P475" s="1"/>
      <c r="Q475" s="1"/>
    </row>
    <row r="476" spans="1:17" x14ac:dyDescent="0.25">
      <c r="A476" s="1" t="s">
        <v>90</v>
      </c>
      <c r="B476" s="1" t="s">
        <v>996</v>
      </c>
      <c r="C476" s="1" t="s">
        <v>25</v>
      </c>
      <c r="D476" s="1" t="s">
        <v>923</v>
      </c>
      <c r="E476" s="1" t="s">
        <v>997</v>
      </c>
      <c r="F476" s="1" t="s">
        <v>927</v>
      </c>
      <c r="G476" s="1" t="s">
        <v>998</v>
      </c>
      <c r="H476" s="1" t="s">
        <v>1086</v>
      </c>
      <c r="I476" s="1" t="s">
        <v>994</v>
      </c>
      <c r="J476" s="1" t="s">
        <v>1081</v>
      </c>
      <c r="K476" s="1" t="s">
        <v>10800</v>
      </c>
      <c r="L476" s="1"/>
      <c r="M476" s="1"/>
      <c r="N476" s="1"/>
      <c r="O476" s="1"/>
      <c r="P476" s="1"/>
      <c r="Q476" s="1"/>
    </row>
    <row r="477" spans="1:17" x14ac:dyDescent="0.25">
      <c r="A477" s="1" t="s">
        <v>928</v>
      </c>
      <c r="B477" s="1" t="s">
        <v>983</v>
      </c>
      <c r="C477" s="1" t="s">
        <v>919</v>
      </c>
      <c r="D477" s="1" t="s">
        <v>1020</v>
      </c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</row>
    <row r="478" spans="1:17" x14ac:dyDescent="0.25">
      <c r="A478" s="1" t="s">
        <v>50</v>
      </c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</row>
    <row r="479" spans="1:17" x14ac:dyDescent="0.25">
      <c r="A479" s="1" t="s">
        <v>4058</v>
      </c>
      <c r="B479" s="1" t="s">
        <v>10801</v>
      </c>
      <c r="C479" s="1" t="s">
        <v>4037</v>
      </c>
      <c r="D479" s="1" t="s">
        <v>10802</v>
      </c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</row>
    <row r="480" spans="1:17" x14ac:dyDescent="0.25">
      <c r="A480" s="1" t="s">
        <v>1070</v>
      </c>
      <c r="B480" s="1" t="s">
        <v>976</v>
      </c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</row>
    <row r="481" spans="1:17" x14ac:dyDescent="0.25">
      <c r="A481" s="1" t="s">
        <v>1070</v>
      </c>
      <c r="B481" s="1" t="s">
        <v>976</v>
      </c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</row>
    <row r="482" spans="1:17" x14ac:dyDescent="0.25">
      <c r="A482" s="1" t="s">
        <v>25</v>
      </c>
      <c r="B482" s="1" t="s">
        <v>923</v>
      </c>
      <c r="C482" s="1" t="s">
        <v>920</v>
      </c>
      <c r="D482" s="1" t="s">
        <v>933</v>
      </c>
      <c r="E482" s="1" t="s">
        <v>954</v>
      </c>
      <c r="F482" s="1" t="s">
        <v>921</v>
      </c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</row>
    <row r="483" spans="1:17" x14ac:dyDescent="0.25">
      <c r="A483" s="1" t="s">
        <v>918</v>
      </c>
      <c r="B483" s="1" t="s">
        <v>1137</v>
      </c>
      <c r="C483" s="1" t="s">
        <v>919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</row>
    <row r="484" spans="1:17" x14ac:dyDescent="0.25">
      <c r="A484" s="1" t="s">
        <v>918</v>
      </c>
      <c r="B484" s="1" t="s">
        <v>1137</v>
      </c>
      <c r="C484" s="1" t="s">
        <v>919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</row>
    <row r="485" spans="1:17" x14ac:dyDescent="0.25">
      <c r="A485" s="1" t="s">
        <v>918</v>
      </c>
      <c r="B485" s="1" t="s">
        <v>1137</v>
      </c>
      <c r="C485" s="1" t="s">
        <v>919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</row>
    <row r="486" spans="1:17" x14ac:dyDescent="0.25">
      <c r="A486" s="1" t="s">
        <v>918</v>
      </c>
      <c r="B486" s="1" t="s">
        <v>1137</v>
      </c>
      <c r="C486" s="1" t="s">
        <v>919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</row>
    <row r="487" spans="1:17" x14ac:dyDescent="0.25">
      <c r="A487" s="1" t="s">
        <v>934</v>
      </c>
      <c r="B487" s="1" t="s">
        <v>918</v>
      </c>
      <c r="C487" s="1" t="s">
        <v>1110</v>
      </c>
      <c r="D487" s="1" t="s">
        <v>25</v>
      </c>
      <c r="E487" s="1" t="s">
        <v>923</v>
      </c>
      <c r="F487" s="1" t="s">
        <v>920</v>
      </c>
      <c r="G487" s="1" t="s">
        <v>924</v>
      </c>
      <c r="H487" s="1" t="s">
        <v>974</v>
      </c>
      <c r="I487" s="1" t="s">
        <v>921</v>
      </c>
      <c r="J487" s="1" t="s">
        <v>933</v>
      </c>
      <c r="K487" s="1" t="s">
        <v>328</v>
      </c>
      <c r="L487" s="1"/>
      <c r="M487" s="1"/>
      <c r="N487" s="1"/>
      <c r="O487" s="1"/>
      <c r="P487" s="1"/>
      <c r="Q487" s="1"/>
    </row>
    <row r="488" spans="1:17" x14ac:dyDescent="0.25">
      <c r="A488" s="1" t="s">
        <v>25</v>
      </c>
      <c r="B488" s="1" t="s">
        <v>919</v>
      </c>
      <c r="C488" s="1" t="s">
        <v>920</v>
      </c>
      <c r="D488" s="1" t="s">
        <v>954</v>
      </c>
      <c r="E488" s="1" t="s">
        <v>1030</v>
      </c>
      <c r="F488" s="1" t="s">
        <v>1013</v>
      </c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</row>
    <row r="489" spans="1:17" x14ac:dyDescent="0.25">
      <c r="A489" s="1" t="s">
        <v>934</v>
      </c>
      <c r="B489" s="1" t="s">
        <v>918</v>
      </c>
      <c r="C489" s="1" t="s">
        <v>1110</v>
      </c>
      <c r="D489" s="1" t="s">
        <v>25</v>
      </c>
      <c r="E489" s="1" t="s">
        <v>923</v>
      </c>
      <c r="F489" s="1" t="s">
        <v>920</v>
      </c>
      <c r="G489" s="1" t="s">
        <v>924</v>
      </c>
      <c r="H489" s="1" t="s">
        <v>974</v>
      </c>
      <c r="I489" s="1" t="s">
        <v>921</v>
      </c>
      <c r="J489" s="1" t="s">
        <v>933</v>
      </c>
      <c r="K489" s="1" t="s">
        <v>328</v>
      </c>
      <c r="L489" s="1"/>
      <c r="M489" s="1"/>
      <c r="N489" s="1"/>
      <c r="O489" s="1"/>
      <c r="P489" s="1"/>
      <c r="Q489" s="1"/>
    </row>
    <row r="490" spans="1:17" x14ac:dyDescent="0.25">
      <c r="A490" s="1" t="s">
        <v>948</v>
      </c>
      <c r="B490" s="1" t="s">
        <v>298</v>
      </c>
      <c r="C490" s="1" t="s">
        <v>25</v>
      </c>
      <c r="D490" s="1" t="s">
        <v>923</v>
      </c>
      <c r="E490" s="1" t="s">
        <v>1166</v>
      </c>
      <c r="F490" s="1" t="s">
        <v>1149</v>
      </c>
      <c r="G490" s="1" t="s">
        <v>997</v>
      </c>
      <c r="H490" s="1" t="s">
        <v>1150</v>
      </c>
      <c r="I490" s="1" t="s">
        <v>1053</v>
      </c>
      <c r="J490" s="1" t="s">
        <v>1086</v>
      </c>
      <c r="K490" s="1"/>
      <c r="L490" s="1"/>
      <c r="M490" s="1"/>
      <c r="N490" s="1"/>
      <c r="O490" s="1"/>
      <c r="P490" s="1"/>
      <c r="Q490" s="1"/>
    </row>
    <row r="491" spans="1:17" x14ac:dyDescent="0.25">
      <c r="A491" s="1" t="s">
        <v>25</v>
      </c>
      <c r="B491" s="1" t="s">
        <v>919</v>
      </c>
      <c r="C491" s="1" t="s">
        <v>920</v>
      </c>
      <c r="D491" s="1" t="s">
        <v>954</v>
      </c>
      <c r="E491" s="1" t="s">
        <v>1030</v>
      </c>
      <c r="F491" s="1" t="s">
        <v>1013</v>
      </c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</row>
    <row r="492" spans="1:17" x14ac:dyDescent="0.25">
      <c r="A492" s="1" t="s">
        <v>1004</v>
      </c>
      <c r="B492" s="1" t="s">
        <v>1006</v>
      </c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</row>
    <row r="493" spans="1:17" x14ac:dyDescent="0.25">
      <c r="A493" s="1" t="s">
        <v>918</v>
      </c>
      <c r="B493" s="1" t="s">
        <v>25</v>
      </c>
      <c r="C493" s="1" t="s">
        <v>919</v>
      </c>
      <c r="D493" s="1" t="s">
        <v>920</v>
      </c>
      <c r="E493" s="1" t="s">
        <v>921</v>
      </c>
      <c r="F493" s="1" t="s">
        <v>922</v>
      </c>
      <c r="G493" s="1" t="s">
        <v>10803</v>
      </c>
      <c r="H493" s="1" t="s">
        <v>936</v>
      </c>
      <c r="I493" s="1"/>
      <c r="J493" s="1"/>
      <c r="K493" s="1"/>
      <c r="L493" s="1"/>
      <c r="M493" s="1"/>
      <c r="N493" s="1"/>
      <c r="O493" s="1"/>
      <c r="P493" s="1"/>
      <c r="Q493" s="1"/>
    </row>
    <row r="494" spans="1:17" x14ac:dyDescent="0.25">
      <c r="A494" s="1" t="s">
        <v>25</v>
      </c>
      <c r="B494" s="1" t="s">
        <v>919</v>
      </c>
      <c r="C494" s="1" t="s">
        <v>920</v>
      </c>
      <c r="D494" s="1" t="s">
        <v>954</v>
      </c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</row>
    <row r="495" spans="1:17" x14ac:dyDescent="0.25">
      <c r="A495" s="1" t="s">
        <v>918</v>
      </c>
      <c r="B495" s="1" t="s">
        <v>25</v>
      </c>
      <c r="C495" s="1" t="s">
        <v>923</v>
      </c>
      <c r="D495" s="1" t="s">
        <v>973</v>
      </c>
      <c r="E495" s="1" t="s">
        <v>916</v>
      </c>
      <c r="F495" s="1" t="s">
        <v>920</v>
      </c>
      <c r="G495" s="1" t="s">
        <v>954</v>
      </c>
      <c r="H495" s="1" t="s">
        <v>974</v>
      </c>
      <c r="I495" s="1" t="s">
        <v>921</v>
      </c>
      <c r="J495" s="1"/>
      <c r="K495" s="1"/>
      <c r="L495" s="1"/>
      <c r="M495" s="1"/>
      <c r="N495" s="1"/>
      <c r="O495" s="1"/>
      <c r="P495" s="1"/>
      <c r="Q495" s="1"/>
    </row>
    <row r="496" spans="1:17" x14ac:dyDescent="0.25">
      <c r="A496" s="1" t="s">
        <v>996</v>
      </c>
      <c r="B496" s="1" t="s">
        <v>10804</v>
      </c>
      <c r="C496" s="1" t="s">
        <v>961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</row>
    <row r="497" spans="1:17" x14ac:dyDescent="0.25">
      <c r="A497" s="1" t="s">
        <v>948</v>
      </c>
      <c r="B497" s="1" t="s">
        <v>298</v>
      </c>
      <c r="C497" s="1" t="s">
        <v>1149</v>
      </c>
      <c r="D497" s="1" t="s">
        <v>25</v>
      </c>
      <c r="E497" s="1" t="s">
        <v>923</v>
      </c>
      <c r="F497" s="1" t="s">
        <v>997</v>
      </c>
      <c r="G497" s="1" t="s">
        <v>954</v>
      </c>
      <c r="H497" s="1" t="s">
        <v>994</v>
      </c>
      <c r="I497" s="1" t="s">
        <v>10766</v>
      </c>
      <c r="J497" s="1"/>
      <c r="K497" s="1"/>
      <c r="L497" s="1"/>
      <c r="M497" s="1"/>
      <c r="N497" s="1"/>
      <c r="O497" s="1"/>
      <c r="P497" s="1"/>
      <c r="Q497" s="1"/>
    </row>
    <row r="498" spans="1:17" x14ac:dyDescent="0.25">
      <c r="A498" s="1" t="s">
        <v>1149</v>
      </c>
      <c r="B498" s="1" t="s">
        <v>25</v>
      </c>
      <c r="C498" s="1" t="s">
        <v>923</v>
      </c>
      <c r="D498" s="1" t="s">
        <v>998</v>
      </c>
      <c r="E498" s="1" t="s">
        <v>1086</v>
      </c>
      <c r="F498" s="1" t="s">
        <v>920</v>
      </c>
      <c r="G498" s="1" t="s">
        <v>933</v>
      </c>
      <c r="H498" s="1" t="s">
        <v>10719</v>
      </c>
      <c r="I498" s="1" t="s">
        <v>974</v>
      </c>
      <c r="J498" s="1" t="s">
        <v>10805</v>
      </c>
      <c r="K498" s="1"/>
      <c r="L498" s="1"/>
      <c r="M498" s="1"/>
      <c r="N498" s="1"/>
      <c r="O498" s="1"/>
      <c r="P498" s="1"/>
      <c r="Q498" s="1"/>
    </row>
    <row r="499" spans="1:17" x14ac:dyDescent="0.25">
      <c r="A499" s="1" t="s">
        <v>50</v>
      </c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</row>
    <row r="500" spans="1:17" x14ac:dyDescent="0.25">
      <c r="A500" s="1" t="s">
        <v>2772</v>
      </c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</row>
    <row r="501" spans="1:17" x14ac:dyDescent="0.25">
      <c r="A501" s="1" t="s">
        <v>934</v>
      </c>
      <c r="B501" s="1" t="s">
        <v>25</v>
      </c>
      <c r="C501" s="1" t="s">
        <v>923</v>
      </c>
      <c r="D501" s="1" t="s">
        <v>920</v>
      </c>
      <c r="E501" s="1" t="s">
        <v>933</v>
      </c>
      <c r="F501" s="1" t="s">
        <v>954</v>
      </c>
      <c r="G501" s="1" t="s">
        <v>1141</v>
      </c>
      <c r="H501" s="1"/>
      <c r="I501" s="1"/>
      <c r="J501" s="1"/>
      <c r="K501" s="1"/>
      <c r="L501" s="1"/>
      <c r="M501" s="1"/>
      <c r="N501" s="1"/>
      <c r="O501" s="1"/>
      <c r="P501" s="1"/>
      <c r="Q501" s="1"/>
    </row>
    <row r="502" spans="1:17" x14ac:dyDescent="0.25">
      <c r="A502" s="1" t="s">
        <v>1030</v>
      </c>
      <c r="B502" s="1" t="s">
        <v>10806</v>
      </c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</row>
    <row r="503" spans="1:17" x14ac:dyDescent="0.25">
      <c r="A503" s="1" t="s">
        <v>933</v>
      </c>
      <c r="B503" s="1" t="s">
        <v>954</v>
      </c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</row>
    <row r="504" spans="1:17" x14ac:dyDescent="0.25">
      <c r="A504" s="1" t="s">
        <v>10807</v>
      </c>
      <c r="B504" s="1" t="s">
        <v>996</v>
      </c>
      <c r="C504" s="1" t="s">
        <v>2541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</row>
    <row r="505" spans="1:17" x14ac:dyDescent="0.25">
      <c r="A505" s="1" t="s">
        <v>2927</v>
      </c>
      <c r="B505" s="1" t="s">
        <v>1086</v>
      </c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</row>
    <row r="506" spans="1:17" x14ac:dyDescent="0.25">
      <c r="A506" s="1" t="s">
        <v>918</v>
      </c>
      <c r="B506" s="1" t="s">
        <v>952</v>
      </c>
      <c r="C506" s="1" t="s">
        <v>919</v>
      </c>
      <c r="D506" s="1" t="s">
        <v>936</v>
      </c>
      <c r="E506" s="1" t="s">
        <v>972</v>
      </c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</row>
    <row r="507" spans="1:17" x14ac:dyDescent="0.25">
      <c r="A507" s="1" t="s">
        <v>918</v>
      </c>
      <c r="B507" s="1" t="s">
        <v>25</v>
      </c>
      <c r="C507" s="1" t="s">
        <v>916</v>
      </c>
      <c r="D507" s="1" t="s">
        <v>920</v>
      </c>
      <c r="E507" s="1" t="s">
        <v>921</v>
      </c>
      <c r="F507" s="1" t="s">
        <v>922</v>
      </c>
      <c r="G507" s="1" t="s">
        <v>1031</v>
      </c>
      <c r="H507" s="1" t="s">
        <v>1032</v>
      </c>
      <c r="I507" s="1" t="s">
        <v>1033</v>
      </c>
      <c r="J507" s="1"/>
      <c r="K507" s="1"/>
      <c r="L507" s="1"/>
      <c r="M507" s="1"/>
      <c r="N507" s="1"/>
      <c r="O507" s="1"/>
      <c r="P507" s="1"/>
      <c r="Q507" s="1"/>
    </row>
    <row r="508" spans="1:17" x14ac:dyDescent="0.25">
      <c r="A508" s="1" t="s">
        <v>967</v>
      </c>
      <c r="B508" s="1" t="s">
        <v>969</v>
      </c>
      <c r="C508" s="1" t="s">
        <v>970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</row>
    <row r="509" spans="1:17" x14ac:dyDescent="0.25">
      <c r="A509" s="1" t="s">
        <v>1030</v>
      </c>
      <c r="B509" s="1" t="s">
        <v>1013</v>
      </c>
      <c r="C509" s="1" t="s">
        <v>919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</row>
    <row r="510" spans="1:17" x14ac:dyDescent="0.25">
      <c r="A510" s="1" t="s">
        <v>989</v>
      </c>
      <c r="B510" s="1" t="s">
        <v>919</v>
      </c>
      <c r="C510" s="1" t="s">
        <v>10808</v>
      </c>
      <c r="D510" s="1" t="s">
        <v>10809</v>
      </c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</row>
    <row r="511" spans="1:17" x14ac:dyDescent="0.25">
      <c r="A511" s="1" t="s">
        <v>256</v>
      </c>
      <c r="B511" s="1" t="s">
        <v>1049</v>
      </c>
      <c r="C511" s="1" t="s">
        <v>25</v>
      </c>
      <c r="D511" s="1" t="s">
        <v>927</v>
      </c>
      <c r="E511" s="1" t="s">
        <v>981</v>
      </c>
      <c r="F511" s="1" t="s">
        <v>920</v>
      </c>
      <c r="G511" s="1" t="s">
        <v>933</v>
      </c>
      <c r="H511" s="1" t="s">
        <v>921</v>
      </c>
      <c r="I511" s="1"/>
      <c r="J511" s="1"/>
      <c r="K511" s="1"/>
      <c r="L511" s="1"/>
      <c r="M511" s="1"/>
      <c r="N511" s="1"/>
      <c r="O511" s="1"/>
      <c r="P511" s="1"/>
      <c r="Q511" s="1"/>
    </row>
    <row r="512" spans="1:17" x14ac:dyDescent="0.25">
      <c r="A512" s="1" t="s">
        <v>992</v>
      </c>
      <c r="B512" s="1" t="s">
        <v>993</v>
      </c>
      <c r="C512" s="1" t="s">
        <v>994</v>
      </c>
      <c r="D512" s="1" t="s">
        <v>927</v>
      </c>
      <c r="E512" s="1" t="s">
        <v>981</v>
      </c>
      <c r="F512" s="1" t="s">
        <v>999</v>
      </c>
      <c r="G512" s="1" t="s">
        <v>921</v>
      </c>
      <c r="H512" s="1"/>
      <c r="I512" s="1"/>
      <c r="J512" s="1"/>
      <c r="K512" s="1"/>
      <c r="L512" s="1"/>
      <c r="M512" s="1"/>
      <c r="N512" s="1"/>
      <c r="O512" s="1"/>
      <c r="P512" s="1"/>
      <c r="Q512" s="1"/>
    </row>
    <row r="513" spans="1:17" x14ac:dyDescent="0.25">
      <c r="A513" s="1" t="s">
        <v>10724</v>
      </c>
      <c r="B513" s="1" t="s">
        <v>10810</v>
      </c>
      <c r="C513" s="1" t="s">
        <v>939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</row>
    <row r="514" spans="1:17" x14ac:dyDescent="0.25">
      <c r="A514" s="1" t="s">
        <v>50</v>
      </c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</row>
    <row r="515" spans="1:17" x14ac:dyDescent="0.25">
      <c r="A515" s="1" t="s">
        <v>10770</v>
      </c>
      <c r="B515" s="1" t="s">
        <v>10771</v>
      </c>
      <c r="C515" s="1" t="s">
        <v>10785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</row>
    <row r="516" spans="1:17" x14ac:dyDescent="0.25">
      <c r="A516" s="1" t="s">
        <v>2809</v>
      </c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</row>
    <row r="517" spans="1:17" x14ac:dyDescent="0.25">
      <c r="A517" s="1" t="s">
        <v>934</v>
      </c>
      <c r="B517" s="1" t="s">
        <v>25</v>
      </c>
      <c r="C517" s="1" t="s">
        <v>923</v>
      </c>
      <c r="D517" s="1" t="s">
        <v>920</v>
      </c>
      <c r="E517" s="1" t="s">
        <v>933</v>
      </c>
      <c r="F517" s="1" t="s">
        <v>954</v>
      </c>
      <c r="G517" s="1" t="s">
        <v>974</v>
      </c>
      <c r="H517" s="1" t="s">
        <v>1141</v>
      </c>
      <c r="I517" s="1" t="s">
        <v>960</v>
      </c>
      <c r="J517" s="1" t="s">
        <v>298</v>
      </c>
      <c r="K517" s="1"/>
      <c r="L517" s="1"/>
      <c r="M517" s="1"/>
      <c r="N517" s="1"/>
      <c r="O517" s="1"/>
      <c r="P517" s="1"/>
      <c r="Q517" s="1"/>
    </row>
    <row r="518" spans="1:17" x14ac:dyDescent="0.25">
      <c r="A518" s="1" t="s">
        <v>996</v>
      </c>
      <c r="B518" s="1" t="s">
        <v>1167</v>
      </c>
      <c r="C518" s="1" t="s">
        <v>998</v>
      </c>
      <c r="D518" s="1" t="s">
        <v>1086</v>
      </c>
      <c r="E518" s="1" t="s">
        <v>2541</v>
      </c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</row>
    <row r="519" spans="1:17" x14ac:dyDescent="0.25">
      <c r="A519" s="1" t="s">
        <v>1069</v>
      </c>
      <c r="B519" s="1" t="s">
        <v>923</v>
      </c>
      <c r="C519" s="1" t="s">
        <v>998</v>
      </c>
      <c r="D519" s="1" t="s">
        <v>1053</v>
      </c>
      <c r="E519" s="1" t="s">
        <v>1086</v>
      </c>
      <c r="F519" s="1" t="s">
        <v>10731</v>
      </c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</row>
    <row r="520" spans="1:17" x14ac:dyDescent="0.25">
      <c r="A520" s="1" t="s">
        <v>1149</v>
      </c>
      <c r="B520" s="1" t="s">
        <v>25</v>
      </c>
      <c r="C520" s="1" t="s">
        <v>923</v>
      </c>
      <c r="D520" s="1" t="s">
        <v>997</v>
      </c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</row>
    <row r="521" spans="1:17" x14ac:dyDescent="0.25">
      <c r="A521" s="1" t="s">
        <v>732</v>
      </c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</row>
    <row r="522" spans="1:17" x14ac:dyDescent="0.25">
      <c r="A522" s="1" t="s">
        <v>996</v>
      </c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</row>
    <row r="523" spans="1:17" x14ac:dyDescent="0.25">
      <c r="A523" s="1" t="s">
        <v>10811</v>
      </c>
      <c r="B523" s="1" t="s">
        <v>1001</v>
      </c>
      <c r="C523" s="1" t="s">
        <v>918</v>
      </c>
      <c r="D523" s="1" t="s">
        <v>927</v>
      </c>
      <c r="E523" s="1" t="s">
        <v>919</v>
      </c>
      <c r="F523" s="1" t="s">
        <v>936</v>
      </c>
      <c r="G523" s="1" t="s">
        <v>10808</v>
      </c>
      <c r="H523" s="1" t="s">
        <v>981</v>
      </c>
      <c r="I523" s="1" t="s">
        <v>256</v>
      </c>
      <c r="J523" s="1" t="s">
        <v>1049</v>
      </c>
      <c r="K523" s="1"/>
      <c r="L523" s="1"/>
      <c r="M523" s="1"/>
      <c r="N523" s="1"/>
      <c r="O523" s="1"/>
      <c r="P523" s="1"/>
      <c r="Q523" s="1"/>
    </row>
    <row r="524" spans="1:17" x14ac:dyDescent="0.25">
      <c r="A524" s="1" t="s">
        <v>933</v>
      </c>
      <c r="B524" s="1" t="s">
        <v>1016</v>
      </c>
      <c r="C524" s="1" t="s">
        <v>10812</v>
      </c>
      <c r="D524" s="1" t="s">
        <v>996</v>
      </c>
      <c r="E524" s="1" t="s">
        <v>1053</v>
      </c>
      <c r="F524" s="1" t="s">
        <v>1086</v>
      </c>
      <c r="G524" s="1" t="s">
        <v>2541</v>
      </c>
      <c r="H524" s="1"/>
      <c r="I524" s="1"/>
      <c r="J524" s="1"/>
      <c r="K524" s="1"/>
      <c r="L524" s="1"/>
      <c r="M524" s="1"/>
      <c r="N524" s="1"/>
      <c r="O524" s="1"/>
      <c r="P524" s="1"/>
      <c r="Q524" s="1"/>
    </row>
    <row r="525" spans="1:17" x14ac:dyDescent="0.25">
      <c r="A525" s="1" t="s">
        <v>10731</v>
      </c>
      <c r="B525" s="1" t="s">
        <v>992</v>
      </c>
      <c r="C525" s="1" t="s">
        <v>256</v>
      </c>
      <c r="D525" s="1" t="s">
        <v>1049</v>
      </c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</row>
    <row r="526" spans="1:17" x14ac:dyDescent="0.25">
      <c r="A526" s="1" t="s">
        <v>1034</v>
      </c>
      <c r="B526" s="1" t="s">
        <v>924</v>
      </c>
      <c r="C526" s="1" t="s">
        <v>1014</v>
      </c>
      <c r="D526" s="1" t="s">
        <v>328</v>
      </c>
      <c r="E526" s="1" t="s">
        <v>918</v>
      </c>
      <c r="F526" s="1" t="s">
        <v>25</v>
      </c>
      <c r="G526" s="1" t="s">
        <v>923</v>
      </c>
      <c r="H526" s="1" t="s">
        <v>920</v>
      </c>
      <c r="I526" s="1" t="s">
        <v>921</v>
      </c>
      <c r="J526" s="1"/>
      <c r="K526" s="1"/>
      <c r="L526" s="1"/>
      <c r="M526" s="1"/>
      <c r="N526" s="1"/>
      <c r="O526" s="1"/>
      <c r="P526" s="1"/>
      <c r="Q526" s="1"/>
    </row>
    <row r="527" spans="1:17" x14ac:dyDescent="0.25">
      <c r="A527" s="1" t="s">
        <v>918</v>
      </c>
      <c r="B527" s="1" t="s">
        <v>919</v>
      </c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</row>
    <row r="528" spans="1:17" x14ac:dyDescent="0.25">
      <c r="A528" s="1" t="s">
        <v>1035</v>
      </c>
      <c r="B528" s="1" t="s">
        <v>1034</v>
      </c>
      <c r="C528" s="1" t="s">
        <v>1014</v>
      </c>
      <c r="D528" s="1" t="s">
        <v>955</v>
      </c>
      <c r="E528" s="1" t="s">
        <v>919</v>
      </c>
      <c r="F528" s="1" t="s">
        <v>924</v>
      </c>
      <c r="G528" s="1" t="s">
        <v>930</v>
      </c>
      <c r="H528" s="1" t="s">
        <v>944</v>
      </c>
      <c r="I528" s="1" t="s">
        <v>956</v>
      </c>
      <c r="J528" s="1" t="s">
        <v>957</v>
      </c>
      <c r="K528" s="1"/>
      <c r="L528" s="1"/>
      <c r="M528" s="1"/>
      <c r="N528" s="1"/>
      <c r="O528" s="1"/>
      <c r="P528" s="1"/>
      <c r="Q528" s="1"/>
    </row>
    <row r="529" spans="1:17" x14ac:dyDescent="0.25">
      <c r="A529" s="1" t="s">
        <v>10813</v>
      </c>
      <c r="B529" s="1" t="s">
        <v>919</v>
      </c>
      <c r="C529" s="1" t="s">
        <v>1108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</row>
    <row r="530" spans="1:17" x14ac:dyDescent="0.25">
      <c r="A530" s="1" t="s">
        <v>918</v>
      </c>
      <c r="B530" s="1" t="s">
        <v>955</v>
      </c>
      <c r="C530" s="1" t="s">
        <v>1036</v>
      </c>
      <c r="D530" s="1" t="s">
        <v>924</v>
      </c>
      <c r="E530" s="1" t="s">
        <v>1014</v>
      </c>
      <c r="F530" s="1" t="s">
        <v>944</v>
      </c>
      <c r="G530" s="1" t="s">
        <v>956</v>
      </c>
      <c r="H530" s="1" t="s">
        <v>919</v>
      </c>
      <c r="I530" s="1" t="s">
        <v>1037</v>
      </c>
      <c r="J530" s="1"/>
      <c r="K530" s="1"/>
      <c r="L530" s="1"/>
      <c r="M530" s="1"/>
      <c r="N530" s="1"/>
      <c r="O530" s="1"/>
      <c r="P530" s="1"/>
      <c r="Q530" s="1"/>
    </row>
    <row r="531" spans="1:17" x14ac:dyDescent="0.25">
      <c r="A531" s="1" t="s">
        <v>1038</v>
      </c>
      <c r="B531" s="1" t="s">
        <v>928</v>
      </c>
      <c r="C531" s="1" t="s">
        <v>983</v>
      </c>
      <c r="D531" s="1" t="s">
        <v>1020</v>
      </c>
      <c r="E531" s="1" t="s">
        <v>1039</v>
      </c>
      <c r="F531" s="1" t="s">
        <v>958</v>
      </c>
      <c r="G531" s="1" t="s">
        <v>925</v>
      </c>
      <c r="H531" s="1" t="s">
        <v>941</v>
      </c>
      <c r="I531" s="1" t="s">
        <v>918</v>
      </c>
      <c r="J531" s="1" t="s">
        <v>927</v>
      </c>
      <c r="K531" s="1" t="s">
        <v>953</v>
      </c>
      <c r="L531" s="1" t="s">
        <v>1040</v>
      </c>
      <c r="M531" s="1" t="s">
        <v>919</v>
      </c>
      <c r="N531" s="1" t="s">
        <v>930</v>
      </c>
      <c r="O531" s="1" t="s">
        <v>945</v>
      </c>
      <c r="P531" s="1"/>
      <c r="Q531" s="1"/>
    </row>
    <row r="532" spans="1:17" x14ac:dyDescent="0.25">
      <c r="A532" s="1" t="s">
        <v>919</v>
      </c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</row>
    <row r="533" spans="1:17" x14ac:dyDescent="0.25">
      <c r="A533" s="1" t="s">
        <v>1109</v>
      </c>
      <c r="B533" s="1" t="s">
        <v>919</v>
      </c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</row>
    <row r="534" spans="1:17" x14ac:dyDescent="0.25">
      <c r="A534" s="1" t="s">
        <v>2848</v>
      </c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</row>
    <row r="535" spans="1:17" x14ac:dyDescent="0.25">
      <c r="A535" s="1" t="s">
        <v>2848</v>
      </c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</row>
    <row r="536" spans="1:17" x14ac:dyDescent="0.25">
      <c r="A536" s="1" t="s">
        <v>2848</v>
      </c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</row>
    <row r="537" spans="1:17" x14ac:dyDescent="0.25">
      <c r="A537" s="1" t="s">
        <v>1001</v>
      </c>
      <c r="B537" s="1" t="s">
        <v>328</v>
      </c>
      <c r="C537" s="1" t="s">
        <v>2541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</row>
    <row r="538" spans="1:17" x14ac:dyDescent="0.25">
      <c r="A538" s="1" t="s">
        <v>920</v>
      </c>
      <c r="B538" s="1" t="s">
        <v>933</v>
      </c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</row>
    <row r="539" spans="1:17" x14ac:dyDescent="0.25">
      <c r="A539" s="1" t="s">
        <v>923</v>
      </c>
      <c r="B539" s="1" t="s">
        <v>1053</v>
      </c>
      <c r="C539" s="1" t="s">
        <v>1086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</row>
    <row r="540" spans="1:17" x14ac:dyDescent="0.25">
      <c r="A540" s="1" t="s">
        <v>996</v>
      </c>
      <c r="B540" s="1" t="s">
        <v>2541</v>
      </c>
      <c r="C540" s="1" t="s">
        <v>1019</v>
      </c>
      <c r="D540" s="1" t="s">
        <v>1097</v>
      </c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</row>
    <row r="541" spans="1:17" x14ac:dyDescent="0.25">
      <c r="A541" s="1" t="s">
        <v>1053</v>
      </c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</row>
    <row r="542" spans="1:17" x14ac:dyDescent="0.25">
      <c r="A542" s="1" t="s">
        <v>1017</v>
      </c>
      <c r="B542" s="1" t="s">
        <v>1037</v>
      </c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</row>
    <row r="543" spans="1:17" x14ac:dyDescent="0.25">
      <c r="A543" s="1" t="s">
        <v>50</v>
      </c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</row>
    <row r="544" spans="1:17" x14ac:dyDescent="0.25">
      <c r="A544" s="1" t="s">
        <v>996</v>
      </c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</row>
    <row r="545" spans="1:17" x14ac:dyDescent="0.25">
      <c r="A545" s="1" t="s">
        <v>918</v>
      </c>
      <c r="B545" s="1" t="s">
        <v>25</v>
      </c>
      <c r="C545" s="1" t="s">
        <v>927</v>
      </c>
      <c r="D545" s="1" t="s">
        <v>919</v>
      </c>
      <c r="E545" s="1" t="s">
        <v>920</v>
      </c>
      <c r="F545" s="1" t="s">
        <v>921</v>
      </c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</row>
    <row r="546" spans="1:17" x14ac:dyDescent="0.25">
      <c r="A546" s="1" t="s">
        <v>974</v>
      </c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</row>
    <row r="547" spans="1:17" x14ac:dyDescent="0.25">
      <c r="A547" s="1" t="s">
        <v>918</v>
      </c>
      <c r="B547" s="1" t="s">
        <v>25</v>
      </c>
      <c r="C547" s="1" t="s">
        <v>927</v>
      </c>
      <c r="D547" s="1" t="s">
        <v>919</v>
      </c>
      <c r="E547" s="1" t="s">
        <v>920</v>
      </c>
      <c r="F547" s="1" t="s">
        <v>921</v>
      </c>
      <c r="G547" s="1" t="s">
        <v>922</v>
      </c>
      <c r="H547" s="1"/>
      <c r="I547" s="1"/>
      <c r="J547" s="1"/>
      <c r="K547" s="1"/>
      <c r="L547" s="1"/>
      <c r="M547" s="1"/>
      <c r="N547" s="1"/>
      <c r="O547" s="1"/>
      <c r="P547" s="1"/>
      <c r="Q547" s="1"/>
    </row>
    <row r="548" spans="1:17" x14ac:dyDescent="0.25">
      <c r="A548" s="1" t="s">
        <v>933</v>
      </c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</row>
    <row r="549" spans="1:17" x14ac:dyDescent="0.25">
      <c r="A549" s="1" t="s">
        <v>2927</v>
      </c>
      <c r="B549" s="1" t="s">
        <v>1069</v>
      </c>
      <c r="C549" s="1" t="s">
        <v>25</v>
      </c>
      <c r="D549" s="1" t="s">
        <v>923</v>
      </c>
      <c r="E549" s="1" t="s">
        <v>998</v>
      </c>
      <c r="F549" s="1" t="s">
        <v>1053</v>
      </c>
      <c r="G549" s="1" t="s">
        <v>1086</v>
      </c>
      <c r="H549" s="1"/>
      <c r="I549" s="1"/>
      <c r="J549" s="1"/>
      <c r="K549" s="1"/>
      <c r="L549" s="1"/>
      <c r="M549" s="1"/>
      <c r="N549" s="1"/>
      <c r="O549" s="1"/>
      <c r="P549" s="1"/>
      <c r="Q549" s="1"/>
    </row>
    <row r="550" spans="1:17" x14ac:dyDescent="0.25">
      <c r="A550" s="1" t="s">
        <v>996</v>
      </c>
      <c r="B550" s="1" t="s">
        <v>997</v>
      </c>
      <c r="C550" s="1" t="s">
        <v>2541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</row>
    <row r="551" spans="1:17" x14ac:dyDescent="0.25">
      <c r="A551" s="1" t="s">
        <v>933</v>
      </c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</row>
    <row r="552" spans="1:17" x14ac:dyDescent="0.25">
      <c r="A552" s="1" t="s">
        <v>997</v>
      </c>
      <c r="B552" s="1" t="s">
        <v>927</v>
      </c>
      <c r="C552" s="1" t="s">
        <v>998</v>
      </c>
      <c r="D552" s="1" t="s">
        <v>1086</v>
      </c>
      <c r="E552" s="1" t="s">
        <v>933</v>
      </c>
      <c r="F552" s="1" t="s">
        <v>994</v>
      </c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</row>
    <row r="553" spans="1:17" x14ac:dyDescent="0.25">
      <c r="A553" s="1" t="s">
        <v>918</v>
      </c>
      <c r="B553" s="1" t="s">
        <v>927</v>
      </c>
      <c r="C553" s="1" t="s">
        <v>1056</v>
      </c>
      <c r="D553" s="1" t="s">
        <v>981</v>
      </c>
      <c r="E553" s="1" t="s">
        <v>919</v>
      </c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</row>
    <row r="554" spans="1:17" x14ac:dyDescent="0.25">
      <c r="A554" s="1" t="s">
        <v>964</v>
      </c>
      <c r="B554" s="1" t="s">
        <v>1109</v>
      </c>
      <c r="C554" s="1" t="s">
        <v>918</v>
      </c>
      <c r="D554" s="1" t="s">
        <v>927</v>
      </c>
      <c r="E554" s="1" t="s">
        <v>1136</v>
      </c>
      <c r="F554" s="1" t="s">
        <v>1137</v>
      </c>
      <c r="G554" s="1" t="s">
        <v>10767</v>
      </c>
      <c r="H554" s="1" t="s">
        <v>919</v>
      </c>
      <c r="I554" s="1"/>
      <c r="J554" s="1"/>
      <c r="K554" s="1"/>
      <c r="L554" s="1"/>
      <c r="M554" s="1"/>
      <c r="N554" s="1"/>
      <c r="O554" s="1"/>
      <c r="P554" s="1"/>
      <c r="Q554" s="1"/>
    </row>
    <row r="555" spans="1:17" x14ac:dyDescent="0.25">
      <c r="A555" s="1" t="s">
        <v>1031</v>
      </c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</row>
    <row r="556" spans="1:17" x14ac:dyDescent="0.25">
      <c r="A556" s="1" t="s">
        <v>25</v>
      </c>
      <c r="B556" s="1" t="s">
        <v>923</v>
      </c>
      <c r="C556" s="1" t="s">
        <v>920</v>
      </c>
      <c r="D556" s="1" t="s">
        <v>954</v>
      </c>
      <c r="E556" s="1" t="s">
        <v>921</v>
      </c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</row>
    <row r="557" spans="1:17" x14ac:dyDescent="0.25">
      <c r="A557" s="1" t="s">
        <v>1041</v>
      </c>
      <c r="B557" s="1" t="s">
        <v>1042</v>
      </c>
      <c r="C557" s="1" t="s">
        <v>999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</row>
    <row r="558" spans="1:17" x14ac:dyDescent="0.25">
      <c r="A558" s="1" t="s">
        <v>1041</v>
      </c>
      <c r="B558" s="1" t="s">
        <v>1042</v>
      </c>
      <c r="C558" s="1" t="s">
        <v>999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</row>
    <row r="559" spans="1:17" x14ac:dyDescent="0.25">
      <c r="A559" s="1" t="s">
        <v>1001</v>
      </c>
      <c r="B559" s="1" t="s">
        <v>996</v>
      </c>
      <c r="C559" s="1" t="s">
        <v>933</v>
      </c>
      <c r="D559" s="1" t="s">
        <v>2541</v>
      </c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</row>
    <row r="560" spans="1:17" x14ac:dyDescent="0.25">
      <c r="A560" s="1" t="s">
        <v>1001</v>
      </c>
      <c r="B560" s="1" t="s">
        <v>996</v>
      </c>
      <c r="C560" s="1" t="s">
        <v>933</v>
      </c>
      <c r="D560" s="1" t="s">
        <v>2541</v>
      </c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</row>
    <row r="561" spans="1:17" x14ac:dyDescent="0.25">
      <c r="A561" s="1" t="s">
        <v>1001</v>
      </c>
      <c r="B561" s="1" t="s">
        <v>996</v>
      </c>
      <c r="C561" s="1" t="s">
        <v>933</v>
      </c>
      <c r="D561" s="1" t="s">
        <v>2541</v>
      </c>
      <c r="E561" s="1" t="s">
        <v>999</v>
      </c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</row>
    <row r="562" spans="1:17" x14ac:dyDescent="0.25">
      <c r="A562" s="1" t="s">
        <v>1001</v>
      </c>
      <c r="B562" s="1" t="s">
        <v>918</v>
      </c>
      <c r="C562" s="1" t="s">
        <v>927</v>
      </c>
      <c r="D562" s="1" t="s">
        <v>1000</v>
      </c>
      <c r="E562" s="1" t="s">
        <v>919</v>
      </c>
      <c r="F562" s="1" t="s">
        <v>936</v>
      </c>
      <c r="G562" s="1" t="s">
        <v>921</v>
      </c>
      <c r="H562" s="1" t="s">
        <v>981</v>
      </c>
      <c r="I562" s="1"/>
      <c r="J562" s="1"/>
      <c r="K562" s="1"/>
      <c r="L562" s="1"/>
      <c r="M562" s="1"/>
      <c r="N562" s="1"/>
      <c r="O562" s="1"/>
      <c r="P562" s="1"/>
      <c r="Q562" s="1"/>
    </row>
    <row r="563" spans="1:17" x14ac:dyDescent="0.25">
      <c r="A563" s="1" t="s">
        <v>918</v>
      </c>
      <c r="B563" s="1" t="s">
        <v>25</v>
      </c>
      <c r="C563" s="1" t="s">
        <v>923</v>
      </c>
      <c r="D563" s="1" t="s">
        <v>919</v>
      </c>
      <c r="E563" s="1" t="s">
        <v>920</v>
      </c>
      <c r="F563" s="1" t="s">
        <v>921</v>
      </c>
      <c r="G563" s="1" t="s">
        <v>933</v>
      </c>
      <c r="H563" s="1" t="s">
        <v>10764</v>
      </c>
      <c r="I563" s="1"/>
      <c r="J563" s="1"/>
      <c r="K563" s="1"/>
      <c r="L563" s="1"/>
      <c r="M563" s="1"/>
      <c r="N563" s="1"/>
      <c r="O563" s="1"/>
      <c r="P563" s="1"/>
      <c r="Q563" s="1"/>
    </row>
    <row r="564" spans="1:17" x14ac:dyDescent="0.25">
      <c r="A564" s="1" t="s">
        <v>948</v>
      </c>
      <c r="B564" s="1" t="s">
        <v>25</v>
      </c>
      <c r="C564" s="1" t="s">
        <v>923</v>
      </c>
      <c r="D564" s="1" t="s">
        <v>1053</v>
      </c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</row>
    <row r="565" spans="1:17" x14ac:dyDescent="0.25">
      <c r="A565" s="1" t="s">
        <v>2927</v>
      </c>
      <c r="B565" s="1" t="s">
        <v>1086</v>
      </c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</row>
    <row r="566" spans="1:17" x14ac:dyDescent="0.25">
      <c r="A566" s="1" t="s">
        <v>1045</v>
      </c>
      <c r="B566" s="1" t="s">
        <v>1004</v>
      </c>
      <c r="C566" s="1" t="s">
        <v>1005</v>
      </c>
      <c r="D566" s="1" t="s">
        <v>1009</v>
      </c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</row>
    <row r="567" spans="1:17" x14ac:dyDescent="0.25">
      <c r="A567" s="1" t="s">
        <v>1045</v>
      </c>
      <c r="B567" s="1" t="s">
        <v>1004</v>
      </c>
      <c r="C567" s="1" t="s">
        <v>1005</v>
      </c>
      <c r="D567" s="1" t="s">
        <v>1047</v>
      </c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</row>
    <row r="568" spans="1:17" x14ac:dyDescent="0.25">
      <c r="A568" s="1" t="s">
        <v>1004</v>
      </c>
      <c r="B568" s="1" t="s">
        <v>1043</v>
      </c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</row>
    <row r="569" spans="1:17" x14ac:dyDescent="0.25">
      <c r="A569" s="1" t="s">
        <v>1004</v>
      </c>
      <c r="B569" s="1" t="s">
        <v>1043</v>
      </c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</row>
    <row r="570" spans="1:17" x14ac:dyDescent="0.25">
      <c r="A570" s="1" t="s">
        <v>750</v>
      </c>
      <c r="B570" s="1" t="s">
        <v>761</v>
      </c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</row>
    <row r="571" spans="1:17" x14ac:dyDescent="0.25">
      <c r="A571" s="1" t="s">
        <v>2927</v>
      </c>
      <c r="B571" s="1" t="s">
        <v>1069</v>
      </c>
      <c r="C571" s="1" t="s">
        <v>25</v>
      </c>
      <c r="D571" s="1" t="s">
        <v>923</v>
      </c>
      <c r="E571" s="1" t="s">
        <v>1053</v>
      </c>
      <c r="F571" s="1" t="s">
        <v>10814</v>
      </c>
      <c r="G571" s="1" t="s">
        <v>1086</v>
      </c>
      <c r="H571" s="1"/>
      <c r="I571" s="1"/>
      <c r="J571" s="1"/>
      <c r="K571" s="1"/>
      <c r="L571" s="1"/>
      <c r="M571" s="1"/>
      <c r="N571" s="1"/>
      <c r="O571" s="1"/>
      <c r="P571" s="1"/>
      <c r="Q571" s="1"/>
    </row>
    <row r="572" spans="1:17" x14ac:dyDescent="0.25">
      <c r="A572" s="1" t="s">
        <v>2927</v>
      </c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</row>
    <row r="573" spans="1:17" x14ac:dyDescent="0.25">
      <c r="A573" s="1" t="s">
        <v>298</v>
      </c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</row>
    <row r="574" spans="1:17" x14ac:dyDescent="0.25">
      <c r="A574" s="1" t="s">
        <v>933</v>
      </c>
      <c r="B574" s="1" t="s">
        <v>10815</v>
      </c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</row>
    <row r="575" spans="1:17" x14ac:dyDescent="0.25">
      <c r="A575" s="1" t="s">
        <v>998</v>
      </c>
      <c r="B575" s="1" t="s">
        <v>1086</v>
      </c>
      <c r="C575" s="1" t="s">
        <v>933</v>
      </c>
      <c r="D575" s="1" t="s">
        <v>1001</v>
      </c>
      <c r="E575" s="1" t="s">
        <v>927</v>
      </c>
      <c r="F575" s="1" t="s">
        <v>992</v>
      </c>
      <c r="G575" s="1" t="s">
        <v>978</v>
      </c>
      <c r="H575" s="1" t="s">
        <v>25</v>
      </c>
      <c r="I575" s="1" t="s">
        <v>920</v>
      </c>
      <c r="J575" s="1"/>
      <c r="K575" s="1"/>
      <c r="L575" s="1"/>
      <c r="M575" s="1"/>
      <c r="N575" s="1"/>
      <c r="O575" s="1"/>
      <c r="P575" s="1"/>
      <c r="Q575" s="1"/>
    </row>
    <row r="576" spans="1:17" x14ac:dyDescent="0.25">
      <c r="A576" s="1" t="s">
        <v>50</v>
      </c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</row>
    <row r="577" spans="1:17" x14ac:dyDescent="0.25">
      <c r="A577" s="1" t="s">
        <v>996</v>
      </c>
      <c r="B577" s="1" t="s">
        <v>2541</v>
      </c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</row>
    <row r="578" spans="1:17" x14ac:dyDescent="0.25">
      <c r="A578" s="1" t="s">
        <v>25</v>
      </c>
      <c r="B578" s="1" t="s">
        <v>923</v>
      </c>
      <c r="C578" s="1" t="s">
        <v>920</v>
      </c>
      <c r="D578" s="1" t="s">
        <v>933</v>
      </c>
      <c r="E578" s="1" t="s">
        <v>954</v>
      </c>
      <c r="F578" s="1" t="s">
        <v>921</v>
      </c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</row>
    <row r="579" spans="1:17" x14ac:dyDescent="0.25">
      <c r="A579" s="1" t="s">
        <v>1004</v>
      </c>
      <c r="B579" s="1" t="s">
        <v>1005</v>
      </c>
      <c r="C579" s="1" t="s">
        <v>1009</v>
      </c>
      <c r="D579" s="1" t="s">
        <v>2809</v>
      </c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</row>
    <row r="580" spans="1:17" x14ac:dyDescent="0.25">
      <c r="A580" s="1" t="s">
        <v>1002</v>
      </c>
      <c r="B580" s="1" t="s">
        <v>1048</v>
      </c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</row>
    <row r="581" spans="1:17" x14ac:dyDescent="0.25">
      <c r="A581" s="1" t="s">
        <v>1002</v>
      </c>
      <c r="B581" s="1" t="s">
        <v>1048</v>
      </c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</row>
    <row r="582" spans="1:17" x14ac:dyDescent="0.25">
      <c r="A582" s="1" t="s">
        <v>1002</v>
      </c>
      <c r="B582" s="1" t="s">
        <v>1048</v>
      </c>
      <c r="C582" s="1" t="s">
        <v>1007</v>
      </c>
      <c r="D582" s="1" t="s">
        <v>1004</v>
      </c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</row>
    <row r="583" spans="1:17" x14ac:dyDescent="0.25">
      <c r="A583" s="1" t="s">
        <v>1045</v>
      </c>
      <c r="B583" s="1" t="s">
        <v>1004</v>
      </c>
      <c r="C583" s="1" t="s">
        <v>1005</v>
      </c>
      <c r="D583" s="1" t="s">
        <v>1009</v>
      </c>
      <c r="E583" s="1" t="s">
        <v>1042</v>
      </c>
      <c r="F583" s="1" t="s">
        <v>1006</v>
      </c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</row>
    <row r="584" spans="1:17" x14ac:dyDescent="0.25">
      <c r="A584" s="1" t="s">
        <v>1045</v>
      </c>
      <c r="B584" s="1" t="s">
        <v>1004</v>
      </c>
      <c r="C584" s="1" t="s">
        <v>1005</v>
      </c>
      <c r="D584" s="1" t="s">
        <v>1009</v>
      </c>
      <c r="E584" s="1" t="s">
        <v>1047</v>
      </c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</row>
    <row r="585" spans="1:17" x14ac:dyDescent="0.25">
      <c r="A585" s="1" t="s">
        <v>1045</v>
      </c>
      <c r="B585" s="1" t="s">
        <v>1004</v>
      </c>
      <c r="C585" s="1" t="s">
        <v>1005</v>
      </c>
      <c r="D585" s="1" t="s">
        <v>1009</v>
      </c>
      <c r="E585" s="1" t="s">
        <v>1047</v>
      </c>
      <c r="F585" s="1" t="s">
        <v>1006</v>
      </c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</row>
    <row r="586" spans="1:17" x14ac:dyDescent="0.25">
      <c r="A586" s="1" t="s">
        <v>1007</v>
      </c>
      <c r="B586" s="1" t="s">
        <v>1004</v>
      </c>
      <c r="C586" s="1" t="s">
        <v>1005</v>
      </c>
      <c r="D586" s="1" t="s">
        <v>1008</v>
      </c>
      <c r="E586" s="1" t="s">
        <v>1006</v>
      </c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</row>
    <row r="587" spans="1:17" x14ac:dyDescent="0.25">
      <c r="A587" s="1" t="s">
        <v>1007</v>
      </c>
      <c r="B587" s="1" t="s">
        <v>1004</v>
      </c>
      <c r="C587" s="1" t="s">
        <v>1005</v>
      </c>
      <c r="D587" s="1" t="s">
        <v>1008</v>
      </c>
      <c r="E587" s="1" t="s">
        <v>1006</v>
      </c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</row>
    <row r="588" spans="1:17" x14ac:dyDescent="0.25">
      <c r="A588" s="1" t="s">
        <v>1004</v>
      </c>
      <c r="B588" s="1" t="s">
        <v>1005</v>
      </c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</row>
    <row r="589" spans="1:17" x14ac:dyDescent="0.25">
      <c r="A589" s="1" t="s">
        <v>1004</v>
      </c>
      <c r="B589" s="1" t="s">
        <v>1010</v>
      </c>
      <c r="C589" s="1" t="s">
        <v>1006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</row>
    <row r="590" spans="1:17" x14ac:dyDescent="0.25">
      <c r="A590" s="1" t="s">
        <v>1004</v>
      </c>
      <c r="B590" s="1" t="s">
        <v>1010</v>
      </c>
      <c r="C590" s="1" t="s">
        <v>1006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</row>
    <row r="591" spans="1:17" x14ac:dyDescent="0.25">
      <c r="A591" s="1" t="s">
        <v>1004</v>
      </c>
      <c r="B591" s="1" t="s">
        <v>1010</v>
      </c>
      <c r="C591" s="1" t="s">
        <v>1006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</row>
    <row r="592" spans="1:17" x14ac:dyDescent="0.25">
      <c r="A592" s="1" t="s">
        <v>1004</v>
      </c>
      <c r="B592" s="1" t="s">
        <v>1010</v>
      </c>
      <c r="C592" s="1" t="s">
        <v>1006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</row>
    <row r="593" spans="1:17" x14ac:dyDescent="0.25">
      <c r="A593" s="1" t="s">
        <v>1004</v>
      </c>
      <c r="B593" s="1" t="s">
        <v>1010</v>
      </c>
      <c r="C593" s="1" t="s">
        <v>1006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</row>
    <row r="594" spans="1:17" x14ac:dyDescent="0.25">
      <c r="A594" s="1" t="s">
        <v>1004</v>
      </c>
      <c r="B594" s="1" t="s">
        <v>1010</v>
      </c>
      <c r="C594" s="1" t="s">
        <v>1006</v>
      </c>
      <c r="D594" s="1" t="s">
        <v>1002</v>
      </c>
      <c r="E594" s="1" t="s">
        <v>1003</v>
      </c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</row>
    <row r="595" spans="1:17" x14ac:dyDescent="0.25">
      <c r="A595" s="1" t="s">
        <v>1004</v>
      </c>
      <c r="B595" s="1" t="s">
        <v>1010</v>
      </c>
      <c r="C595" s="1" t="s">
        <v>1006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</row>
    <row r="596" spans="1:17" x14ac:dyDescent="0.25">
      <c r="A596" s="1" t="s">
        <v>1045</v>
      </c>
      <c r="B596" s="1" t="s">
        <v>1047</v>
      </c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</row>
    <row r="597" spans="1:17" x14ac:dyDescent="0.25">
      <c r="A597" s="1" t="s">
        <v>1045</v>
      </c>
      <c r="B597" s="1" t="s">
        <v>1004</v>
      </c>
      <c r="C597" s="1" t="s">
        <v>1005</v>
      </c>
      <c r="D597" s="1" t="s">
        <v>1009</v>
      </c>
      <c r="E597" s="1" t="s">
        <v>1047</v>
      </c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</row>
    <row r="598" spans="1:17" x14ac:dyDescent="0.25">
      <c r="A598" s="1" t="s">
        <v>1045</v>
      </c>
      <c r="B598" s="1" t="s">
        <v>1047</v>
      </c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</row>
    <row r="599" spans="1:17" x14ac:dyDescent="0.25">
      <c r="A599" s="1" t="s">
        <v>1044</v>
      </c>
      <c r="B599" s="1" t="s">
        <v>1045</v>
      </c>
      <c r="C599" s="1" t="s">
        <v>1042</v>
      </c>
      <c r="D599" s="1" t="s">
        <v>1046</v>
      </c>
      <c r="E599" s="1" t="s">
        <v>1004</v>
      </c>
      <c r="F599" s="1" t="s">
        <v>1047</v>
      </c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</row>
    <row r="600" spans="1:17" x14ac:dyDescent="0.25">
      <c r="A600" s="1" t="s">
        <v>1044</v>
      </c>
      <c r="B600" s="1" t="s">
        <v>1045</v>
      </c>
      <c r="C600" s="1" t="s">
        <v>1042</v>
      </c>
      <c r="D600" s="1" t="s">
        <v>1046</v>
      </c>
      <c r="E600" s="1" t="s">
        <v>918</v>
      </c>
      <c r="F600" s="1" t="s">
        <v>1031</v>
      </c>
      <c r="G600" s="1" t="s">
        <v>25</v>
      </c>
      <c r="H600" s="1" t="s">
        <v>923</v>
      </c>
      <c r="I600" s="1" t="s">
        <v>976</v>
      </c>
      <c r="J600" s="1" t="s">
        <v>920</v>
      </c>
      <c r="K600" s="1" t="s">
        <v>921</v>
      </c>
      <c r="L600" s="1" t="s">
        <v>1033</v>
      </c>
      <c r="M600" s="1"/>
      <c r="N600" s="1"/>
      <c r="O600" s="1"/>
      <c r="P600" s="1"/>
      <c r="Q600" s="1"/>
    </row>
    <row r="601" spans="1:17" x14ac:dyDescent="0.25">
      <c r="A601" s="1" t="s">
        <v>1044</v>
      </c>
      <c r="B601" s="1" t="s">
        <v>1045</v>
      </c>
      <c r="C601" s="1" t="s">
        <v>1042</v>
      </c>
      <c r="D601" s="1" t="s">
        <v>1046</v>
      </c>
      <c r="E601" s="1" t="s">
        <v>10816</v>
      </c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</row>
    <row r="602" spans="1:17" x14ac:dyDescent="0.25">
      <c r="A602" s="1" t="s">
        <v>918</v>
      </c>
      <c r="B602" s="1" t="s">
        <v>1031</v>
      </c>
      <c r="C602" s="1" t="s">
        <v>25</v>
      </c>
      <c r="D602" s="1" t="s">
        <v>923</v>
      </c>
      <c r="E602" s="1" t="s">
        <v>976</v>
      </c>
      <c r="F602" s="1" t="s">
        <v>920</v>
      </c>
      <c r="G602" s="1" t="s">
        <v>921</v>
      </c>
      <c r="H602" s="1" t="s">
        <v>1033</v>
      </c>
      <c r="I602" s="1"/>
      <c r="J602" s="1"/>
      <c r="K602" s="1"/>
      <c r="L602" s="1"/>
      <c r="M602" s="1"/>
      <c r="N602" s="1"/>
      <c r="O602" s="1"/>
      <c r="P602" s="1"/>
      <c r="Q602" s="1"/>
    </row>
    <row r="603" spans="1:17" x14ac:dyDescent="0.25">
      <c r="A603" s="1" t="s">
        <v>918</v>
      </c>
      <c r="B603" s="1" t="s">
        <v>1031</v>
      </c>
      <c r="C603" s="1" t="s">
        <v>25</v>
      </c>
      <c r="D603" s="1" t="s">
        <v>923</v>
      </c>
      <c r="E603" s="1" t="s">
        <v>976</v>
      </c>
      <c r="F603" s="1" t="s">
        <v>920</v>
      </c>
      <c r="G603" s="1" t="s">
        <v>921</v>
      </c>
      <c r="H603" s="1" t="s">
        <v>1033</v>
      </c>
      <c r="I603" s="1"/>
      <c r="J603" s="1"/>
      <c r="K603" s="1"/>
      <c r="L603" s="1"/>
      <c r="M603" s="1"/>
      <c r="N603" s="1"/>
      <c r="O603" s="1"/>
      <c r="P603" s="1"/>
      <c r="Q603" s="1"/>
    </row>
    <row r="604" spans="1:17" x14ac:dyDescent="0.25">
      <c r="A604" s="1" t="s">
        <v>10743</v>
      </c>
      <c r="B604" s="1" t="s">
        <v>84</v>
      </c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</row>
    <row r="605" spans="1:17" x14ac:dyDescent="0.25">
      <c r="A605" s="1" t="s">
        <v>10743</v>
      </c>
      <c r="B605" s="1" t="s">
        <v>84</v>
      </c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</row>
    <row r="606" spans="1:17" x14ac:dyDescent="0.25">
      <c r="A606" s="1" t="s">
        <v>10743</v>
      </c>
      <c r="B606" s="1" t="s">
        <v>84</v>
      </c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</row>
    <row r="607" spans="1:17" x14ac:dyDescent="0.25">
      <c r="A607" s="1" t="s">
        <v>918</v>
      </c>
      <c r="B607" s="1" t="s">
        <v>1031</v>
      </c>
      <c r="C607" s="1" t="s">
        <v>25</v>
      </c>
      <c r="D607" s="1" t="s">
        <v>923</v>
      </c>
      <c r="E607" s="1" t="s">
        <v>976</v>
      </c>
      <c r="F607" s="1" t="s">
        <v>920</v>
      </c>
      <c r="G607" s="1" t="s">
        <v>921</v>
      </c>
      <c r="H607" s="1" t="s">
        <v>1033</v>
      </c>
      <c r="I607" s="1" t="s">
        <v>84</v>
      </c>
      <c r="J607" s="1" t="s">
        <v>10743</v>
      </c>
      <c r="K607" s="1"/>
      <c r="L607" s="1"/>
      <c r="M607" s="1"/>
      <c r="N607" s="1"/>
      <c r="O607" s="1"/>
      <c r="P607" s="1"/>
      <c r="Q607" s="1"/>
    </row>
    <row r="608" spans="1:17" x14ac:dyDescent="0.25">
      <c r="A608" s="1" t="s">
        <v>1002</v>
      </c>
      <c r="B608" s="1" t="s">
        <v>1048</v>
      </c>
      <c r="C608" s="1" t="s">
        <v>1007</v>
      </c>
      <c r="D608" s="1" t="s">
        <v>1004</v>
      </c>
      <c r="E608" s="1" t="s">
        <v>1005</v>
      </c>
      <c r="F608" s="1" t="s">
        <v>1008</v>
      </c>
      <c r="G608" s="1" t="s">
        <v>1006</v>
      </c>
      <c r="H608" s="1"/>
      <c r="I608" s="1"/>
      <c r="J608" s="1"/>
      <c r="K608" s="1"/>
      <c r="L608" s="1"/>
      <c r="M608" s="1"/>
      <c r="N608" s="1"/>
      <c r="O608" s="1"/>
      <c r="P608" s="1"/>
      <c r="Q608" s="1"/>
    </row>
    <row r="609" spans="1:17" x14ac:dyDescent="0.25">
      <c r="A609" s="1" t="s">
        <v>25</v>
      </c>
      <c r="B609" s="1" t="s">
        <v>919</v>
      </c>
      <c r="C609" s="1" t="s">
        <v>920</v>
      </c>
      <c r="D609" s="1" t="s">
        <v>921</v>
      </c>
      <c r="E609" s="1" t="s">
        <v>918</v>
      </c>
      <c r="F609" s="1" t="s">
        <v>945</v>
      </c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</row>
    <row r="610" spans="1:17" x14ac:dyDescent="0.25">
      <c r="A610" s="1" t="s">
        <v>918</v>
      </c>
      <c r="B610" s="1" t="s">
        <v>919</v>
      </c>
      <c r="C610" s="1" t="s">
        <v>996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</row>
    <row r="611" spans="1:17" x14ac:dyDescent="0.25">
      <c r="A611" s="1" t="s">
        <v>983</v>
      </c>
      <c r="B611" s="1" t="s">
        <v>984</v>
      </c>
      <c r="C611" s="1" t="s">
        <v>256</v>
      </c>
      <c r="D611" s="1" t="s">
        <v>1049</v>
      </c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</row>
    <row r="612" spans="1:17" x14ac:dyDescent="0.25">
      <c r="A612" s="1" t="s">
        <v>981</v>
      </c>
      <c r="B612" s="1" t="s">
        <v>1019</v>
      </c>
      <c r="C612" s="1" t="s">
        <v>983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</row>
    <row r="613" spans="1:17" x14ac:dyDescent="0.25">
      <c r="A613" s="1" t="s">
        <v>1149</v>
      </c>
      <c r="B613" s="1" t="s">
        <v>923</v>
      </c>
      <c r="C613" s="1" t="s">
        <v>996</v>
      </c>
      <c r="D613" s="1" t="s">
        <v>1053</v>
      </c>
      <c r="E613" s="1" t="s">
        <v>1086</v>
      </c>
      <c r="F613" s="1" t="s">
        <v>933</v>
      </c>
      <c r="G613" s="1" t="s">
        <v>2541</v>
      </c>
      <c r="H613" s="1"/>
      <c r="I613" s="1"/>
      <c r="J613" s="1"/>
      <c r="K613" s="1"/>
      <c r="L613" s="1"/>
      <c r="M613" s="1"/>
      <c r="N613" s="1"/>
      <c r="O613" s="1"/>
      <c r="P613" s="1"/>
      <c r="Q613" s="1"/>
    </row>
    <row r="614" spans="1:17" x14ac:dyDescent="0.25">
      <c r="A614" s="1" t="s">
        <v>1001</v>
      </c>
      <c r="B614" s="1" t="s">
        <v>10722</v>
      </c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</row>
    <row r="615" spans="1:17" x14ac:dyDescent="0.25">
      <c r="A615" s="1" t="s">
        <v>964</v>
      </c>
      <c r="B615" s="1" t="s">
        <v>1109</v>
      </c>
      <c r="C615" s="1" t="s">
        <v>919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</row>
    <row r="616" spans="1:17" x14ac:dyDescent="0.25">
      <c r="A616" s="1" t="s">
        <v>1001</v>
      </c>
      <c r="B616" s="1" t="s">
        <v>328</v>
      </c>
      <c r="C616" s="1" t="s">
        <v>2541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</row>
    <row r="617" spans="1:17" x14ac:dyDescent="0.25">
      <c r="A617" s="1" t="s">
        <v>50</v>
      </c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</row>
    <row r="618" spans="1:17" x14ac:dyDescent="0.25">
      <c r="A618" s="1" t="s">
        <v>25</v>
      </c>
      <c r="B618" s="1" t="s">
        <v>1086</v>
      </c>
      <c r="C618" s="1" t="s">
        <v>919</v>
      </c>
      <c r="D618" s="1" t="s">
        <v>920</v>
      </c>
      <c r="E618" s="1" t="s">
        <v>921</v>
      </c>
      <c r="F618" s="1" t="s">
        <v>10746</v>
      </c>
      <c r="G618" s="1" t="s">
        <v>924</v>
      </c>
      <c r="H618" s="1" t="s">
        <v>1034</v>
      </c>
      <c r="I618" s="1" t="s">
        <v>1014</v>
      </c>
      <c r="J618" s="1" t="s">
        <v>956</v>
      </c>
      <c r="K618" s="1"/>
      <c r="L618" s="1"/>
      <c r="M618" s="1"/>
      <c r="N618" s="1"/>
      <c r="O618" s="1"/>
      <c r="P618" s="1"/>
      <c r="Q618" s="1"/>
    </row>
    <row r="619" spans="1:17" x14ac:dyDescent="0.25">
      <c r="A619" s="1" t="s">
        <v>981</v>
      </c>
      <c r="B619" s="1" t="s">
        <v>1019</v>
      </c>
      <c r="C619" s="1" t="s">
        <v>983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</row>
    <row r="620" spans="1:17" x14ac:dyDescent="0.25">
      <c r="A620" s="1" t="s">
        <v>2927</v>
      </c>
      <c r="B620" s="1" t="s">
        <v>25</v>
      </c>
      <c r="C620" s="1" t="s">
        <v>1167</v>
      </c>
      <c r="D620" s="1" t="s">
        <v>998</v>
      </c>
      <c r="E620" s="1" t="s">
        <v>1086</v>
      </c>
      <c r="F620" s="1" t="s">
        <v>920</v>
      </c>
      <c r="G620" s="1" t="s">
        <v>933</v>
      </c>
      <c r="H620" s="1"/>
      <c r="I620" s="1"/>
      <c r="J620" s="1"/>
      <c r="K620" s="1"/>
      <c r="L620" s="1"/>
      <c r="M620" s="1"/>
      <c r="N620" s="1"/>
      <c r="O620" s="1"/>
      <c r="P620" s="1"/>
      <c r="Q620" s="1"/>
    </row>
    <row r="621" spans="1:17" x14ac:dyDescent="0.25">
      <c r="A621" s="1" t="s">
        <v>996</v>
      </c>
      <c r="B621" s="1" t="s">
        <v>1053</v>
      </c>
      <c r="C621" s="1" t="s">
        <v>1086</v>
      </c>
      <c r="D621" s="1" t="s">
        <v>933</v>
      </c>
      <c r="E621" s="1" t="s">
        <v>2541</v>
      </c>
      <c r="F621" s="1" t="s">
        <v>25</v>
      </c>
      <c r="G621" s="1" t="s">
        <v>923</v>
      </c>
      <c r="H621" s="1" t="s">
        <v>1066</v>
      </c>
      <c r="I621" s="1"/>
      <c r="J621" s="1"/>
      <c r="K621" s="1"/>
      <c r="L621" s="1"/>
      <c r="M621" s="1"/>
      <c r="N621" s="1"/>
      <c r="O621" s="1"/>
      <c r="P621" s="1"/>
      <c r="Q621" s="1"/>
    </row>
    <row r="622" spans="1:17" x14ac:dyDescent="0.25">
      <c r="A622" s="1" t="s">
        <v>996</v>
      </c>
      <c r="B622" s="1" t="s">
        <v>2541</v>
      </c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</row>
    <row r="623" spans="1:17" x14ac:dyDescent="0.25">
      <c r="A623" s="1" t="s">
        <v>1001</v>
      </c>
      <c r="B623" s="1" t="s">
        <v>996</v>
      </c>
      <c r="C623" s="1" t="s">
        <v>933</v>
      </c>
      <c r="D623" s="1" t="s">
        <v>2541</v>
      </c>
      <c r="E623" s="1" t="s">
        <v>1149</v>
      </c>
      <c r="F623" s="1" t="s">
        <v>1053</v>
      </c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</row>
    <row r="624" spans="1:17" x14ac:dyDescent="0.25">
      <c r="A624" s="1" t="s">
        <v>996</v>
      </c>
      <c r="B624" s="1" t="s">
        <v>2541</v>
      </c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</row>
    <row r="625" spans="1:17" x14ac:dyDescent="0.25">
      <c r="A625" s="1" t="s">
        <v>996</v>
      </c>
      <c r="B625" s="1" t="s">
        <v>25</v>
      </c>
      <c r="C625" s="1" t="s">
        <v>997</v>
      </c>
      <c r="D625" s="1" t="s">
        <v>927</v>
      </c>
      <c r="E625" s="1" t="s">
        <v>998</v>
      </c>
      <c r="F625" s="1" t="s">
        <v>992</v>
      </c>
      <c r="G625" s="1" t="s">
        <v>933</v>
      </c>
      <c r="H625" s="1" t="s">
        <v>994</v>
      </c>
      <c r="I625" s="1"/>
      <c r="J625" s="1"/>
      <c r="K625" s="1"/>
      <c r="L625" s="1"/>
      <c r="M625" s="1"/>
      <c r="N625" s="1"/>
      <c r="O625" s="1"/>
      <c r="P625" s="1"/>
      <c r="Q625" s="1"/>
    </row>
    <row r="626" spans="1:17" x14ac:dyDescent="0.25">
      <c r="A626" s="1" t="s">
        <v>1053</v>
      </c>
      <c r="B626" s="1" t="s">
        <v>328</v>
      </c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</row>
    <row r="627" spans="1:17" x14ac:dyDescent="0.25">
      <c r="A627" s="1" t="s">
        <v>50</v>
      </c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</row>
    <row r="628" spans="1:17" x14ac:dyDescent="0.25">
      <c r="A628" s="1" t="s">
        <v>996</v>
      </c>
      <c r="B628" s="1" t="s">
        <v>2541</v>
      </c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</row>
    <row r="629" spans="1:17" x14ac:dyDescent="0.25">
      <c r="A629" s="1" t="s">
        <v>927</v>
      </c>
      <c r="B629" s="1" t="s">
        <v>919</v>
      </c>
      <c r="C629" s="1" t="s">
        <v>924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</row>
    <row r="630" spans="1:17" x14ac:dyDescent="0.25">
      <c r="A630" s="1" t="s">
        <v>918</v>
      </c>
      <c r="B630" s="1" t="s">
        <v>1110</v>
      </c>
      <c r="C630" s="1" t="s">
        <v>25</v>
      </c>
      <c r="D630" s="1" t="s">
        <v>923</v>
      </c>
      <c r="E630" s="1" t="s">
        <v>919</v>
      </c>
      <c r="F630" s="1" t="s">
        <v>920</v>
      </c>
      <c r="G630" s="1" t="s">
        <v>954</v>
      </c>
      <c r="H630" s="1" t="s">
        <v>328</v>
      </c>
      <c r="I630" s="1" t="s">
        <v>921</v>
      </c>
      <c r="J630" s="1" t="s">
        <v>934</v>
      </c>
      <c r="K630" s="1"/>
      <c r="L630" s="1"/>
      <c r="M630" s="1"/>
      <c r="N630" s="1"/>
      <c r="O630" s="1"/>
      <c r="P630" s="1"/>
      <c r="Q630" s="1"/>
    </row>
    <row r="631" spans="1:17" x14ac:dyDescent="0.25">
      <c r="A631" s="1" t="s">
        <v>1053</v>
      </c>
      <c r="B631" s="1" t="s">
        <v>1086</v>
      </c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</row>
    <row r="632" spans="1:17" x14ac:dyDescent="0.25">
      <c r="A632" s="1" t="s">
        <v>996</v>
      </c>
      <c r="B632" s="1" t="s">
        <v>997</v>
      </c>
      <c r="C632" s="1" t="s">
        <v>998</v>
      </c>
      <c r="D632" s="1" t="s">
        <v>992</v>
      </c>
      <c r="E632" s="1" t="s">
        <v>933</v>
      </c>
      <c r="F632" s="1" t="s">
        <v>994</v>
      </c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</row>
    <row r="633" spans="1:17" x14ac:dyDescent="0.25">
      <c r="A633" s="1" t="s">
        <v>50</v>
      </c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</row>
    <row r="634" spans="1:17" x14ac:dyDescent="0.25">
      <c r="A634" s="1" t="s">
        <v>50</v>
      </c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</row>
    <row r="635" spans="1:17" x14ac:dyDescent="0.25">
      <c r="A635" s="1" t="s">
        <v>948</v>
      </c>
      <c r="B635" s="1" t="s">
        <v>25</v>
      </c>
      <c r="C635" s="1" t="s">
        <v>923</v>
      </c>
      <c r="D635" s="1" t="s">
        <v>1053</v>
      </c>
      <c r="E635" s="1" t="s">
        <v>1086</v>
      </c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</row>
    <row r="636" spans="1:17" x14ac:dyDescent="0.25">
      <c r="A636" s="1" t="s">
        <v>989</v>
      </c>
      <c r="B636" s="1" t="s">
        <v>990</v>
      </c>
      <c r="C636" s="1" t="s">
        <v>991</v>
      </c>
      <c r="D636" s="1" t="s">
        <v>10817</v>
      </c>
      <c r="E636" s="1" t="s">
        <v>10818</v>
      </c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</row>
    <row r="637" spans="1:17" x14ac:dyDescent="0.25">
      <c r="A637" s="1" t="s">
        <v>4058</v>
      </c>
      <c r="B637" s="1" t="s">
        <v>10769</v>
      </c>
      <c r="C637" s="1" t="s">
        <v>4037</v>
      </c>
      <c r="D637" s="1" t="s">
        <v>10770</v>
      </c>
      <c r="E637" s="1" t="s">
        <v>10771</v>
      </c>
      <c r="F637" s="1" t="s">
        <v>10772</v>
      </c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</row>
    <row r="638" spans="1:17" x14ac:dyDescent="0.25">
      <c r="A638" s="1" t="s">
        <v>1045</v>
      </c>
      <c r="B638" s="1" t="s">
        <v>1042</v>
      </c>
      <c r="C638" s="1" t="s">
        <v>1006</v>
      </c>
      <c r="D638" s="1" t="s">
        <v>921</v>
      </c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</row>
    <row r="639" spans="1:17" x14ac:dyDescent="0.25">
      <c r="A639" s="1" t="s">
        <v>90</v>
      </c>
      <c r="B639" s="1" t="s">
        <v>25</v>
      </c>
      <c r="C639" s="1" t="s">
        <v>987</v>
      </c>
      <c r="D639" s="1" t="s">
        <v>916</v>
      </c>
      <c r="E639" s="1" t="s">
        <v>920</v>
      </c>
      <c r="F639" s="1" t="s">
        <v>921</v>
      </c>
      <c r="G639" s="1" t="s">
        <v>922</v>
      </c>
      <c r="H639" s="1"/>
      <c r="I639" s="1"/>
      <c r="J639" s="1"/>
      <c r="K639" s="1"/>
      <c r="L639" s="1"/>
      <c r="M639" s="1"/>
      <c r="N639" s="1"/>
      <c r="O639" s="1"/>
      <c r="P639" s="1"/>
      <c r="Q639" s="1"/>
    </row>
    <row r="640" spans="1:17" x14ac:dyDescent="0.25">
      <c r="A640" s="1" t="s">
        <v>992</v>
      </c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</row>
    <row r="641" spans="1:17" x14ac:dyDescent="0.25">
      <c r="A641" s="1" t="s">
        <v>971</v>
      </c>
      <c r="B641" s="1" t="s">
        <v>1011</v>
      </c>
      <c r="C641" s="1" t="s">
        <v>10819</v>
      </c>
      <c r="D641" s="1" t="s">
        <v>920</v>
      </c>
      <c r="E641" s="1" t="s">
        <v>921</v>
      </c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</row>
    <row r="642" spans="1:17" x14ac:dyDescent="0.25">
      <c r="A642" s="1" t="s">
        <v>928</v>
      </c>
      <c r="B642" s="1" t="s">
        <v>983</v>
      </c>
      <c r="C642" s="1" t="s">
        <v>919</v>
      </c>
      <c r="D642" s="1" t="s">
        <v>1020</v>
      </c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</row>
    <row r="643" spans="1:17" x14ac:dyDescent="0.25">
      <c r="A643" s="1" t="s">
        <v>1043</v>
      </c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</row>
    <row r="644" spans="1:17" x14ac:dyDescent="0.25">
      <c r="A644" s="1" t="s">
        <v>998</v>
      </c>
      <c r="B644" s="1" t="s">
        <v>993</v>
      </c>
      <c r="C644" s="1" t="s">
        <v>994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</row>
    <row r="645" spans="1:17" x14ac:dyDescent="0.25">
      <c r="A645" s="1" t="s">
        <v>918</v>
      </c>
      <c r="B645" s="1" t="s">
        <v>25</v>
      </c>
      <c r="C645" s="1" t="s">
        <v>987</v>
      </c>
      <c r="D645" s="1" t="s">
        <v>919</v>
      </c>
      <c r="E645" s="1" t="s">
        <v>920</v>
      </c>
      <c r="F645" s="1" t="s">
        <v>921</v>
      </c>
      <c r="G645" s="1" t="s">
        <v>923</v>
      </c>
      <c r="H645" s="1"/>
      <c r="I645" s="1"/>
      <c r="J645" s="1"/>
      <c r="K645" s="1"/>
      <c r="L645" s="1"/>
      <c r="M645" s="1"/>
      <c r="N645" s="1"/>
      <c r="O645" s="1"/>
      <c r="P645" s="1"/>
      <c r="Q645" s="1"/>
    </row>
    <row r="646" spans="1:17" x14ac:dyDescent="0.25">
      <c r="A646" s="1" t="s">
        <v>1001</v>
      </c>
      <c r="B646" s="1" t="s">
        <v>996</v>
      </c>
      <c r="C646" s="1" t="s">
        <v>933</v>
      </c>
      <c r="D646" s="1" t="s">
        <v>2541</v>
      </c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</row>
    <row r="647" spans="1:17" x14ac:dyDescent="0.25">
      <c r="A647" s="1" t="s">
        <v>1085</v>
      </c>
      <c r="B647" s="1" t="s">
        <v>955</v>
      </c>
      <c r="C647" s="1" t="s">
        <v>1014</v>
      </c>
      <c r="D647" s="1" t="s">
        <v>944</v>
      </c>
      <c r="E647" s="1" t="s">
        <v>956</v>
      </c>
      <c r="F647" s="1" t="s">
        <v>10820</v>
      </c>
      <c r="G647" s="1" t="s">
        <v>25</v>
      </c>
      <c r="H647" s="1" t="s">
        <v>927</v>
      </c>
      <c r="I647" s="1" t="s">
        <v>981</v>
      </c>
      <c r="J647" s="1" t="s">
        <v>920</v>
      </c>
      <c r="K647" s="1" t="s">
        <v>933</v>
      </c>
      <c r="L647" s="1" t="s">
        <v>921</v>
      </c>
      <c r="M647" s="1" t="s">
        <v>256</v>
      </c>
      <c r="N647" s="1" t="s">
        <v>1049</v>
      </c>
      <c r="O647" s="1"/>
      <c r="P647" s="1"/>
      <c r="Q647" s="1"/>
    </row>
    <row r="648" spans="1:17" x14ac:dyDescent="0.25">
      <c r="A648" s="1" t="s">
        <v>996</v>
      </c>
      <c r="B648" s="1" t="s">
        <v>948</v>
      </c>
      <c r="C648" s="1" t="s">
        <v>25</v>
      </c>
      <c r="D648" s="1" t="s">
        <v>923</v>
      </c>
      <c r="E648" s="1" t="s">
        <v>997</v>
      </c>
      <c r="F648" s="1" t="s">
        <v>920</v>
      </c>
      <c r="G648" s="1" t="s">
        <v>298</v>
      </c>
      <c r="H648" s="1" t="s">
        <v>1149</v>
      </c>
      <c r="I648" s="1" t="s">
        <v>954</v>
      </c>
      <c r="J648" s="1" t="s">
        <v>994</v>
      </c>
      <c r="K648" s="1"/>
      <c r="L648" s="1"/>
      <c r="M648" s="1"/>
      <c r="N648" s="1"/>
      <c r="O648" s="1"/>
      <c r="P648" s="1"/>
      <c r="Q648" s="1"/>
    </row>
    <row r="649" spans="1:17" x14ac:dyDescent="0.25">
      <c r="A649" s="1" t="s">
        <v>50</v>
      </c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</row>
    <row r="650" spans="1:17" x14ac:dyDescent="0.25">
      <c r="A650" s="1" t="s">
        <v>1001</v>
      </c>
      <c r="B650" s="1" t="s">
        <v>927</v>
      </c>
      <c r="C650" s="1" t="s">
        <v>987</v>
      </c>
      <c r="D650" s="1" t="s">
        <v>981</v>
      </c>
      <c r="E650" s="1" t="s">
        <v>919</v>
      </c>
      <c r="F650" s="1" t="s">
        <v>975</v>
      </c>
      <c r="G650" s="1" t="s">
        <v>925</v>
      </c>
      <c r="H650" s="1" t="s">
        <v>979</v>
      </c>
      <c r="I650" s="1" t="s">
        <v>10810</v>
      </c>
      <c r="J650" s="1" t="s">
        <v>939</v>
      </c>
      <c r="K650" s="1" t="s">
        <v>928</v>
      </c>
      <c r="L650" s="1" t="s">
        <v>10821</v>
      </c>
      <c r="M650" s="1"/>
      <c r="N650" s="1"/>
      <c r="O650" s="1"/>
      <c r="P650" s="1"/>
      <c r="Q650" s="1"/>
    </row>
    <row r="651" spans="1:17" x14ac:dyDescent="0.25">
      <c r="A651" s="1" t="s">
        <v>934</v>
      </c>
      <c r="B651" s="1" t="s">
        <v>918</v>
      </c>
      <c r="C651" s="1" t="s">
        <v>25</v>
      </c>
      <c r="D651" s="1" t="s">
        <v>919</v>
      </c>
      <c r="E651" s="1" t="s">
        <v>920</v>
      </c>
      <c r="F651" s="1" t="s">
        <v>924</v>
      </c>
      <c r="G651" s="1" t="s">
        <v>923</v>
      </c>
      <c r="H651" s="1" t="s">
        <v>954</v>
      </c>
      <c r="I651" s="1" t="s">
        <v>10743</v>
      </c>
      <c r="J651" s="1" t="s">
        <v>10822</v>
      </c>
      <c r="K651" s="1" t="s">
        <v>10823</v>
      </c>
      <c r="L651" s="1"/>
      <c r="M651" s="1"/>
      <c r="N651" s="1"/>
      <c r="O651" s="1"/>
      <c r="P651" s="1"/>
      <c r="Q651" s="1"/>
    </row>
    <row r="652" spans="1:17" x14ac:dyDescent="0.25">
      <c r="A652" s="1" t="s">
        <v>1001</v>
      </c>
      <c r="B652" s="1" t="s">
        <v>25</v>
      </c>
      <c r="C652" s="1" t="s">
        <v>927</v>
      </c>
      <c r="D652" s="1" t="s">
        <v>998</v>
      </c>
      <c r="E652" s="1" t="s">
        <v>992</v>
      </c>
      <c r="F652" s="1" t="s">
        <v>981</v>
      </c>
      <c r="G652" s="1" t="s">
        <v>939</v>
      </c>
      <c r="H652" s="1" t="s">
        <v>1066</v>
      </c>
      <c r="I652" s="1" t="s">
        <v>993</v>
      </c>
      <c r="J652" s="1" t="s">
        <v>994</v>
      </c>
      <c r="K652" s="1"/>
      <c r="L652" s="1"/>
      <c r="M652" s="1"/>
      <c r="N652" s="1"/>
      <c r="O652" s="1"/>
      <c r="P652" s="1"/>
      <c r="Q652" s="1"/>
    </row>
    <row r="653" spans="1:17" x14ac:dyDescent="0.25">
      <c r="A653" s="1" t="s">
        <v>50</v>
      </c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</row>
    <row r="654" spans="1:17" x14ac:dyDescent="0.25">
      <c r="A654" s="1" t="s">
        <v>918</v>
      </c>
      <c r="B654" s="1" t="s">
        <v>25</v>
      </c>
      <c r="C654" s="1" t="s">
        <v>923</v>
      </c>
      <c r="D654" s="1" t="s">
        <v>840</v>
      </c>
      <c r="E654" s="1" t="s">
        <v>920</v>
      </c>
      <c r="F654" s="1" t="s">
        <v>328</v>
      </c>
      <c r="G654" s="1" t="s">
        <v>921</v>
      </c>
      <c r="H654" s="1"/>
      <c r="I654" s="1"/>
      <c r="J654" s="1"/>
      <c r="K654" s="1"/>
      <c r="L654" s="1"/>
      <c r="M654" s="1"/>
      <c r="N654" s="1"/>
      <c r="O654" s="1"/>
      <c r="P654" s="1"/>
      <c r="Q654" s="1"/>
    </row>
    <row r="655" spans="1:17" x14ac:dyDescent="0.25">
      <c r="A655" s="1" t="s">
        <v>981</v>
      </c>
      <c r="B655" s="1" t="s">
        <v>983</v>
      </c>
      <c r="C655" s="1" t="s">
        <v>1019</v>
      </c>
      <c r="D655" s="1" t="s">
        <v>984</v>
      </c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</row>
    <row r="656" spans="1:17" x14ac:dyDescent="0.25">
      <c r="A656" s="1" t="s">
        <v>1001</v>
      </c>
      <c r="B656" s="1" t="s">
        <v>927</v>
      </c>
      <c r="C656" s="1" t="s">
        <v>919</v>
      </c>
      <c r="D656" s="1" t="s">
        <v>936</v>
      </c>
      <c r="E656" s="1" t="s">
        <v>961</v>
      </c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</row>
    <row r="657" spans="1:17" x14ac:dyDescent="0.25">
      <c r="A657" s="1" t="s">
        <v>10698</v>
      </c>
      <c r="B657" s="1" t="s">
        <v>983</v>
      </c>
      <c r="C657" s="1" t="s">
        <v>919</v>
      </c>
      <c r="D657" s="1" t="s">
        <v>1020</v>
      </c>
      <c r="E657" s="1" t="s">
        <v>929</v>
      </c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</row>
    <row r="658" spans="1:17" x14ac:dyDescent="0.25">
      <c r="A658" s="1" t="s">
        <v>1053</v>
      </c>
      <c r="B658" s="1" t="s">
        <v>328</v>
      </c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</row>
    <row r="659" spans="1:17" x14ac:dyDescent="0.25">
      <c r="A659" s="1" t="s">
        <v>934</v>
      </c>
      <c r="B659" s="1" t="s">
        <v>25</v>
      </c>
      <c r="C659" s="1" t="s">
        <v>923</v>
      </c>
      <c r="D659" s="1" t="s">
        <v>6421</v>
      </c>
      <c r="E659" s="1" t="s">
        <v>920</v>
      </c>
      <c r="F659" s="1" t="s">
        <v>328</v>
      </c>
      <c r="G659" s="1" t="s">
        <v>921</v>
      </c>
      <c r="H659" s="1" t="s">
        <v>918</v>
      </c>
      <c r="I659" s="1" t="s">
        <v>935</v>
      </c>
      <c r="J659" s="1"/>
      <c r="K659" s="1"/>
      <c r="L659" s="1"/>
      <c r="M659" s="1"/>
      <c r="N659" s="1"/>
      <c r="O659" s="1"/>
      <c r="P659" s="1"/>
      <c r="Q659" s="1"/>
    </row>
    <row r="660" spans="1:17" x14ac:dyDescent="0.25">
      <c r="A660" s="1" t="s">
        <v>928</v>
      </c>
      <c r="B660" s="1" t="s">
        <v>983</v>
      </c>
      <c r="C660" s="1" t="s">
        <v>919</v>
      </c>
      <c r="D660" s="1" t="s">
        <v>1020</v>
      </c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</row>
    <row r="661" spans="1:17" x14ac:dyDescent="0.25">
      <c r="A661" s="1" t="s">
        <v>2476</v>
      </c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</row>
    <row r="662" spans="1:17" x14ac:dyDescent="0.25">
      <c r="A662" s="1" t="s">
        <v>50</v>
      </c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</row>
    <row r="663" spans="1:17" x14ac:dyDescent="0.25">
      <c r="A663" s="1" t="s">
        <v>50</v>
      </c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</row>
    <row r="664" spans="1:17" x14ac:dyDescent="0.25">
      <c r="A664" s="1" t="s">
        <v>50</v>
      </c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</row>
    <row r="665" spans="1:17" x14ac:dyDescent="0.25">
      <c r="A665" s="1" t="s">
        <v>50</v>
      </c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</row>
    <row r="666" spans="1:17" x14ac:dyDescent="0.25">
      <c r="A666" s="1" t="s">
        <v>1066</v>
      </c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</row>
    <row r="667" spans="1:17" x14ac:dyDescent="0.25">
      <c r="A667" s="1" t="s">
        <v>10824</v>
      </c>
      <c r="B667" s="1" t="s">
        <v>2927</v>
      </c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</row>
    <row r="668" spans="1:17" x14ac:dyDescent="0.25">
      <c r="A668" s="1" t="s">
        <v>50</v>
      </c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</row>
    <row r="669" spans="1:17" x14ac:dyDescent="0.25">
      <c r="A669" s="1" t="s">
        <v>25</v>
      </c>
      <c r="B669" s="1" t="s">
        <v>1148</v>
      </c>
      <c r="C669" s="1" t="s">
        <v>997</v>
      </c>
      <c r="D669" s="1" t="s">
        <v>998</v>
      </c>
      <c r="E669" s="1" t="s">
        <v>920</v>
      </c>
      <c r="F669" s="1" t="s">
        <v>933</v>
      </c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</row>
    <row r="670" spans="1:17" x14ac:dyDescent="0.25">
      <c r="A670" s="1" t="s">
        <v>25</v>
      </c>
      <c r="B670" s="1" t="s">
        <v>923</v>
      </c>
      <c r="C670" s="1" t="s">
        <v>954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</row>
    <row r="671" spans="1:17" x14ac:dyDescent="0.25">
      <c r="A671" s="1" t="s">
        <v>2927</v>
      </c>
      <c r="B671" s="1" t="s">
        <v>1052</v>
      </c>
      <c r="C671" s="1" t="s">
        <v>923</v>
      </c>
      <c r="D671" s="1" t="s">
        <v>1086</v>
      </c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</row>
    <row r="672" spans="1:17" x14ac:dyDescent="0.25">
      <c r="A672" s="1" t="s">
        <v>996</v>
      </c>
      <c r="B672" s="1" t="s">
        <v>997</v>
      </c>
      <c r="C672" s="1" t="s">
        <v>918</v>
      </c>
      <c r="D672" s="1" t="s">
        <v>927</v>
      </c>
      <c r="E672" s="1" t="s">
        <v>919</v>
      </c>
      <c r="F672" s="1" t="s">
        <v>936</v>
      </c>
      <c r="G672" s="1" t="s">
        <v>1037</v>
      </c>
      <c r="H672" s="1"/>
      <c r="I672" s="1"/>
      <c r="J672" s="1"/>
      <c r="K672" s="1"/>
      <c r="L672" s="1"/>
      <c r="M672" s="1"/>
      <c r="N672" s="1"/>
      <c r="O672" s="1"/>
      <c r="P672" s="1"/>
      <c r="Q672" s="1"/>
    </row>
    <row r="673" spans="1:17" x14ac:dyDescent="0.25">
      <c r="A673" s="1" t="s">
        <v>50</v>
      </c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</row>
    <row r="674" spans="1:17" x14ac:dyDescent="0.25">
      <c r="A674" s="1" t="s">
        <v>2541</v>
      </c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</row>
    <row r="675" spans="1:17" x14ac:dyDescent="0.25">
      <c r="A675" s="1" t="s">
        <v>918</v>
      </c>
      <c r="B675" s="1" t="s">
        <v>919</v>
      </c>
      <c r="C675" s="1" t="s">
        <v>924</v>
      </c>
      <c r="D675" s="1" t="s">
        <v>967</v>
      </c>
      <c r="E675" s="1" t="s">
        <v>1050</v>
      </c>
      <c r="F675" s="1" t="s">
        <v>969</v>
      </c>
      <c r="G675" s="1" t="s">
        <v>970</v>
      </c>
      <c r="H675" s="1"/>
      <c r="I675" s="1"/>
      <c r="J675" s="1"/>
      <c r="K675" s="1"/>
      <c r="L675" s="1"/>
      <c r="M675" s="1"/>
      <c r="N675" s="1"/>
      <c r="O675" s="1"/>
      <c r="P675" s="1"/>
      <c r="Q675" s="1"/>
    </row>
    <row r="676" spans="1:17" x14ac:dyDescent="0.25">
      <c r="A676" s="1" t="s">
        <v>1053</v>
      </c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</row>
    <row r="677" spans="1:17" x14ac:dyDescent="0.25">
      <c r="A677" s="1" t="s">
        <v>2927</v>
      </c>
      <c r="B677" s="1" t="s">
        <v>25</v>
      </c>
      <c r="C677" s="1" t="s">
        <v>923</v>
      </c>
      <c r="D677" s="1" t="s">
        <v>1053</v>
      </c>
      <c r="E677" s="1" t="s">
        <v>1086</v>
      </c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</row>
    <row r="678" spans="1:17" x14ac:dyDescent="0.25">
      <c r="A678" s="1" t="s">
        <v>10825</v>
      </c>
      <c r="B678" s="1" t="s">
        <v>10826</v>
      </c>
      <c r="C678" s="1" t="s">
        <v>955</v>
      </c>
      <c r="D678" s="1" t="s">
        <v>995</v>
      </c>
      <c r="E678" s="1" t="s">
        <v>1014</v>
      </c>
      <c r="F678" s="1" t="s">
        <v>10797</v>
      </c>
      <c r="G678" s="1" t="s">
        <v>958</v>
      </c>
      <c r="H678" s="1" t="s">
        <v>10738</v>
      </c>
      <c r="I678" s="1" t="s">
        <v>977</v>
      </c>
      <c r="J678" s="1" t="s">
        <v>256</v>
      </c>
      <c r="K678" s="1" t="s">
        <v>1049</v>
      </c>
      <c r="L678" s="1"/>
      <c r="M678" s="1"/>
      <c r="N678" s="1"/>
      <c r="O678" s="1"/>
      <c r="P678" s="1"/>
      <c r="Q678" s="1"/>
    </row>
    <row r="679" spans="1:17" x14ac:dyDescent="0.25">
      <c r="A679" s="1" t="s">
        <v>964</v>
      </c>
      <c r="B679" s="1" t="s">
        <v>1109</v>
      </c>
      <c r="C679" s="1" t="s">
        <v>919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</row>
    <row r="680" spans="1:17" x14ac:dyDescent="0.25">
      <c r="A680" s="1" t="s">
        <v>1001</v>
      </c>
      <c r="B680" s="1" t="s">
        <v>328</v>
      </c>
      <c r="C680" s="1" t="s">
        <v>2541</v>
      </c>
      <c r="D680" s="1" t="s">
        <v>10827</v>
      </c>
      <c r="E680" s="1" t="s">
        <v>84</v>
      </c>
      <c r="F680" s="1" t="s">
        <v>25</v>
      </c>
      <c r="G680" s="1" t="s">
        <v>920</v>
      </c>
      <c r="H680" s="1"/>
      <c r="I680" s="1"/>
      <c r="J680" s="1"/>
      <c r="K680" s="1"/>
      <c r="L680" s="1"/>
      <c r="M680" s="1"/>
      <c r="N680" s="1"/>
      <c r="O680" s="1"/>
      <c r="P680" s="1"/>
      <c r="Q680" s="1"/>
    </row>
    <row r="681" spans="1:17" x14ac:dyDescent="0.25">
      <c r="A681" s="1" t="s">
        <v>996</v>
      </c>
      <c r="B681" s="1" t="s">
        <v>2541</v>
      </c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</row>
    <row r="682" spans="1:17" x14ac:dyDescent="0.25">
      <c r="A682" s="1" t="s">
        <v>927</v>
      </c>
      <c r="B682" s="1" t="s">
        <v>998</v>
      </c>
      <c r="C682" s="1" t="s">
        <v>992</v>
      </c>
      <c r="D682" s="1" t="s">
        <v>1086</v>
      </c>
      <c r="E682" s="1" t="s">
        <v>933</v>
      </c>
      <c r="F682" s="1" t="s">
        <v>993</v>
      </c>
      <c r="G682" s="1" t="s">
        <v>994</v>
      </c>
      <c r="H682" s="1" t="s">
        <v>25</v>
      </c>
      <c r="I682" s="1" t="s">
        <v>997</v>
      </c>
      <c r="J682" s="1" t="s">
        <v>920</v>
      </c>
      <c r="K682" s="1"/>
      <c r="L682" s="1"/>
      <c r="M682" s="1"/>
      <c r="N682" s="1"/>
      <c r="O682" s="1"/>
      <c r="P682" s="1"/>
      <c r="Q682" s="1"/>
    </row>
    <row r="683" spans="1:17" x14ac:dyDescent="0.25">
      <c r="A683" s="1" t="s">
        <v>1001</v>
      </c>
      <c r="B683" s="1" t="s">
        <v>10697</v>
      </c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</row>
    <row r="684" spans="1:17" x14ac:dyDescent="0.25">
      <c r="A684" s="1" t="s">
        <v>996</v>
      </c>
      <c r="B684" s="1" t="s">
        <v>25</v>
      </c>
      <c r="C684" s="1" t="s">
        <v>997</v>
      </c>
      <c r="D684" s="1" t="s">
        <v>927</v>
      </c>
      <c r="E684" s="1" t="s">
        <v>998</v>
      </c>
      <c r="F684" s="1" t="s">
        <v>992</v>
      </c>
      <c r="G684" s="1" t="s">
        <v>933</v>
      </c>
      <c r="H684" s="1" t="s">
        <v>994</v>
      </c>
      <c r="I684" s="1" t="s">
        <v>1001</v>
      </c>
      <c r="J684" s="1"/>
      <c r="K684" s="1"/>
      <c r="L684" s="1"/>
      <c r="M684" s="1"/>
      <c r="N684" s="1"/>
      <c r="O684" s="1"/>
      <c r="P684" s="1"/>
      <c r="Q684" s="1"/>
    </row>
    <row r="685" spans="1:17" x14ac:dyDescent="0.25">
      <c r="A685" s="1" t="s">
        <v>985</v>
      </c>
      <c r="B685" s="1" t="s">
        <v>924</v>
      </c>
      <c r="C685" s="1" t="s">
        <v>1099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</row>
    <row r="686" spans="1:17" x14ac:dyDescent="0.25">
      <c r="A686" s="1" t="s">
        <v>25</v>
      </c>
      <c r="B686" s="1" t="s">
        <v>1086</v>
      </c>
      <c r="C686" s="1" t="s">
        <v>919</v>
      </c>
      <c r="D686" s="1" t="s">
        <v>920</v>
      </c>
      <c r="E686" s="1" t="s">
        <v>921</v>
      </c>
      <c r="F686" s="1" t="s">
        <v>1066</v>
      </c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</row>
    <row r="687" spans="1:17" x14ac:dyDescent="0.25">
      <c r="A687" s="1" t="s">
        <v>992</v>
      </c>
      <c r="B687" s="1" t="s">
        <v>933</v>
      </c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</row>
    <row r="688" spans="1:17" x14ac:dyDescent="0.25">
      <c r="A688" s="1" t="s">
        <v>2927</v>
      </c>
      <c r="B688" s="1" t="s">
        <v>1086</v>
      </c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</row>
    <row r="689" spans="1:17" x14ac:dyDescent="0.25">
      <c r="A689" s="1" t="s">
        <v>918</v>
      </c>
      <c r="B689" s="1" t="s">
        <v>932</v>
      </c>
      <c r="C689" s="1" t="s">
        <v>25</v>
      </c>
      <c r="D689" s="1" t="s">
        <v>923</v>
      </c>
      <c r="E689" s="1" t="s">
        <v>916</v>
      </c>
      <c r="F689" s="1" t="s">
        <v>920</v>
      </c>
      <c r="G689" s="1" t="s">
        <v>933</v>
      </c>
      <c r="H689" s="1" t="s">
        <v>921</v>
      </c>
      <c r="I689" s="1" t="s">
        <v>1001</v>
      </c>
      <c r="J689" s="1" t="s">
        <v>927</v>
      </c>
      <c r="K689" s="1" t="s">
        <v>919</v>
      </c>
      <c r="L689" s="1" t="s">
        <v>936</v>
      </c>
      <c r="M689" s="1" t="s">
        <v>961</v>
      </c>
      <c r="N689" s="1"/>
      <c r="O689" s="1"/>
      <c r="P689" s="1"/>
      <c r="Q689" s="1"/>
    </row>
    <row r="690" spans="1:17" x14ac:dyDescent="0.25">
      <c r="A690" s="1" t="s">
        <v>983</v>
      </c>
      <c r="B690" s="1" t="s">
        <v>984</v>
      </c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</row>
    <row r="691" spans="1:17" x14ac:dyDescent="0.25">
      <c r="A691" s="1" t="s">
        <v>983</v>
      </c>
      <c r="B691" s="1" t="s">
        <v>984</v>
      </c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</row>
    <row r="692" spans="1:17" x14ac:dyDescent="0.25">
      <c r="A692" s="1" t="s">
        <v>983</v>
      </c>
      <c r="B692" s="1" t="s">
        <v>984</v>
      </c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</row>
    <row r="693" spans="1:17" x14ac:dyDescent="0.25">
      <c r="A693" s="1" t="s">
        <v>983</v>
      </c>
      <c r="B693" s="1" t="s">
        <v>984</v>
      </c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</row>
    <row r="694" spans="1:17" x14ac:dyDescent="0.25">
      <c r="A694" s="1" t="s">
        <v>983</v>
      </c>
      <c r="B694" s="1" t="s">
        <v>984</v>
      </c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</row>
    <row r="695" spans="1:17" x14ac:dyDescent="0.25">
      <c r="A695" s="1" t="s">
        <v>983</v>
      </c>
      <c r="B695" s="1" t="s">
        <v>984</v>
      </c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</row>
    <row r="696" spans="1:17" x14ac:dyDescent="0.25">
      <c r="A696" s="1" t="s">
        <v>918</v>
      </c>
      <c r="B696" s="1" t="s">
        <v>25</v>
      </c>
      <c r="C696" s="1" t="s">
        <v>927</v>
      </c>
      <c r="D696" s="1" t="s">
        <v>939</v>
      </c>
      <c r="E696" s="1" t="s">
        <v>928</v>
      </c>
      <c r="F696" s="1" t="s">
        <v>919</v>
      </c>
      <c r="G696" s="1" t="s">
        <v>929</v>
      </c>
      <c r="H696" s="1" t="s">
        <v>923</v>
      </c>
      <c r="I696" s="1" t="s">
        <v>916</v>
      </c>
      <c r="J696" s="1" t="s">
        <v>1078</v>
      </c>
      <c r="K696" s="1" t="s">
        <v>980</v>
      </c>
      <c r="L696" s="1" t="s">
        <v>920</v>
      </c>
      <c r="M696" s="1" t="s">
        <v>921</v>
      </c>
      <c r="N696" s="1" t="s">
        <v>1034</v>
      </c>
      <c r="O696" s="1" t="s">
        <v>956</v>
      </c>
      <c r="P696" s="1"/>
      <c r="Q696" s="1"/>
    </row>
    <row r="697" spans="1:17" x14ac:dyDescent="0.25">
      <c r="A697" s="1" t="s">
        <v>918</v>
      </c>
      <c r="B697" s="1" t="s">
        <v>25</v>
      </c>
      <c r="C697" s="1" t="s">
        <v>923</v>
      </c>
      <c r="D697" s="1" t="s">
        <v>916</v>
      </c>
      <c r="E697" s="1" t="s">
        <v>919</v>
      </c>
      <c r="F697" s="1" t="s">
        <v>924</v>
      </c>
      <c r="G697" s="1" t="s">
        <v>974</v>
      </c>
      <c r="H697" s="1" t="s">
        <v>922</v>
      </c>
      <c r="I697" s="1" t="s">
        <v>927</v>
      </c>
      <c r="J697" s="1" t="s">
        <v>939</v>
      </c>
      <c r="K697" s="1" t="s">
        <v>928</v>
      </c>
      <c r="L697" s="1" t="s">
        <v>929</v>
      </c>
      <c r="M697" s="1"/>
      <c r="N697" s="1"/>
      <c r="O697" s="1"/>
      <c r="P697" s="1"/>
      <c r="Q697" s="1"/>
    </row>
    <row r="698" spans="1:17" x14ac:dyDescent="0.25">
      <c r="A698" s="1" t="s">
        <v>918</v>
      </c>
      <c r="B698" s="1" t="s">
        <v>25</v>
      </c>
      <c r="C698" s="1" t="s">
        <v>923</v>
      </c>
      <c r="D698" s="1" t="s">
        <v>916</v>
      </c>
      <c r="E698" s="1" t="s">
        <v>919</v>
      </c>
      <c r="F698" s="1" t="s">
        <v>924</v>
      </c>
      <c r="G698" s="1" t="s">
        <v>974</v>
      </c>
      <c r="H698" s="1" t="s">
        <v>922</v>
      </c>
      <c r="I698" s="1" t="s">
        <v>927</v>
      </c>
      <c r="J698" s="1" t="s">
        <v>939</v>
      </c>
      <c r="K698" s="1" t="s">
        <v>928</v>
      </c>
      <c r="L698" s="1" t="s">
        <v>929</v>
      </c>
      <c r="M698" s="1"/>
      <c r="N698" s="1"/>
      <c r="O698" s="1"/>
      <c r="P698" s="1"/>
      <c r="Q698" s="1"/>
    </row>
    <row r="699" spans="1:17" x14ac:dyDescent="0.25">
      <c r="A699" s="1" t="s">
        <v>918</v>
      </c>
      <c r="B699" s="1" t="s">
        <v>25</v>
      </c>
      <c r="C699" s="1" t="s">
        <v>927</v>
      </c>
      <c r="D699" s="1" t="s">
        <v>939</v>
      </c>
      <c r="E699" s="1" t="s">
        <v>928</v>
      </c>
      <c r="F699" s="1" t="s">
        <v>919</v>
      </c>
      <c r="G699" s="1" t="s">
        <v>929</v>
      </c>
      <c r="H699" s="1" t="s">
        <v>10828</v>
      </c>
      <c r="I699" s="1" t="s">
        <v>10733</v>
      </c>
      <c r="J699" s="1" t="s">
        <v>948</v>
      </c>
      <c r="K699" s="1" t="s">
        <v>923</v>
      </c>
      <c r="L699" s="1" t="s">
        <v>997</v>
      </c>
      <c r="M699" s="1" t="s">
        <v>10775</v>
      </c>
      <c r="N699" s="1"/>
      <c r="O699" s="1"/>
      <c r="P699" s="1"/>
      <c r="Q699" s="1"/>
    </row>
    <row r="700" spans="1:17" x14ac:dyDescent="0.25">
      <c r="A700" s="1" t="s">
        <v>918</v>
      </c>
      <c r="B700" s="1" t="s">
        <v>25</v>
      </c>
      <c r="C700" s="1" t="s">
        <v>927</v>
      </c>
      <c r="D700" s="1" t="s">
        <v>939</v>
      </c>
      <c r="E700" s="1" t="s">
        <v>928</v>
      </c>
      <c r="F700" s="1" t="s">
        <v>919</v>
      </c>
      <c r="G700" s="1" t="s">
        <v>929</v>
      </c>
      <c r="H700" s="1"/>
      <c r="I700" s="1"/>
      <c r="J700" s="1"/>
      <c r="K700" s="1"/>
      <c r="L700" s="1"/>
      <c r="M700" s="1"/>
      <c r="N700" s="1"/>
      <c r="O700" s="1"/>
      <c r="P700" s="1"/>
      <c r="Q700" s="1"/>
    </row>
    <row r="701" spans="1:17" x14ac:dyDescent="0.25">
      <c r="A701" s="1" t="s">
        <v>10829</v>
      </c>
      <c r="B701" s="1" t="s">
        <v>976</v>
      </c>
      <c r="C701" s="1" t="s">
        <v>1041</v>
      </c>
      <c r="D701" s="1" t="s">
        <v>1087</v>
      </c>
      <c r="E701" s="1" t="s">
        <v>10830</v>
      </c>
      <c r="F701" s="1" t="s">
        <v>999</v>
      </c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</row>
    <row r="702" spans="1:17" x14ac:dyDescent="0.25">
      <c r="A702" s="1" t="s">
        <v>50</v>
      </c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</row>
    <row r="703" spans="1:17" x14ac:dyDescent="0.25">
      <c r="A703" s="1" t="s">
        <v>948</v>
      </c>
      <c r="B703" s="1" t="s">
        <v>3439</v>
      </c>
      <c r="C703" s="1" t="s">
        <v>25</v>
      </c>
      <c r="D703" s="1" t="s">
        <v>923</v>
      </c>
      <c r="E703" s="1" t="s">
        <v>1053</v>
      </c>
      <c r="F703" s="1" t="s">
        <v>10814</v>
      </c>
      <c r="G703" s="1" t="s">
        <v>256</v>
      </c>
      <c r="H703" s="1" t="s">
        <v>10831</v>
      </c>
      <c r="I703" s="1"/>
      <c r="J703" s="1"/>
      <c r="K703" s="1"/>
      <c r="L703" s="1"/>
      <c r="M703" s="1"/>
      <c r="N703" s="1"/>
      <c r="O703" s="1"/>
      <c r="P703" s="1"/>
      <c r="Q703" s="1"/>
    </row>
    <row r="704" spans="1:17" x14ac:dyDescent="0.25">
      <c r="A704" s="1" t="s">
        <v>2927</v>
      </c>
      <c r="B704" s="1" t="s">
        <v>998</v>
      </c>
      <c r="C704" s="1" t="s">
        <v>1086</v>
      </c>
      <c r="D704" s="1" t="s">
        <v>933</v>
      </c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</row>
    <row r="705" spans="1:17" x14ac:dyDescent="0.25">
      <c r="A705" s="1" t="s">
        <v>983</v>
      </c>
      <c r="B705" s="1" t="s">
        <v>984</v>
      </c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</row>
    <row r="706" spans="1:17" x14ac:dyDescent="0.25">
      <c r="A706" s="1" t="s">
        <v>4058</v>
      </c>
      <c r="B706" s="1" t="s">
        <v>10769</v>
      </c>
      <c r="C706" s="1" t="s">
        <v>10773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</row>
    <row r="707" spans="1:17" x14ac:dyDescent="0.25">
      <c r="A707" s="1" t="s">
        <v>732</v>
      </c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</row>
    <row r="708" spans="1:17" x14ac:dyDescent="0.25">
      <c r="A708" s="1" t="s">
        <v>948</v>
      </c>
      <c r="B708" s="1" t="s">
        <v>3439</v>
      </c>
      <c r="C708" s="1" t="s">
        <v>25</v>
      </c>
      <c r="D708" s="1" t="s">
        <v>923</v>
      </c>
      <c r="E708" s="1" t="s">
        <v>1053</v>
      </c>
      <c r="F708" s="1" t="s">
        <v>10814</v>
      </c>
      <c r="G708" s="1" t="s">
        <v>256</v>
      </c>
      <c r="H708" s="1" t="s">
        <v>10831</v>
      </c>
      <c r="I708" s="1" t="s">
        <v>732</v>
      </c>
      <c r="J708" s="1"/>
      <c r="K708" s="1"/>
      <c r="L708" s="1"/>
      <c r="M708" s="1"/>
      <c r="N708" s="1"/>
      <c r="O708" s="1"/>
      <c r="P708" s="1"/>
      <c r="Q708" s="1"/>
    </row>
    <row r="709" spans="1:17" x14ac:dyDescent="0.25">
      <c r="A709" s="1" t="s">
        <v>948</v>
      </c>
      <c r="B709" s="1" t="s">
        <v>3439</v>
      </c>
      <c r="C709" s="1" t="s">
        <v>25</v>
      </c>
      <c r="D709" s="1" t="s">
        <v>923</v>
      </c>
      <c r="E709" s="1" t="s">
        <v>1053</v>
      </c>
      <c r="F709" s="1" t="s">
        <v>10814</v>
      </c>
      <c r="G709" s="1" t="s">
        <v>256</v>
      </c>
      <c r="H709" s="1"/>
      <c r="I709" s="1"/>
      <c r="J709" s="1"/>
      <c r="K709" s="1"/>
      <c r="L709" s="1"/>
      <c r="M709" s="1"/>
      <c r="N709" s="1"/>
      <c r="O709" s="1"/>
      <c r="P709" s="1"/>
      <c r="Q709" s="1"/>
    </row>
    <row r="710" spans="1:17" x14ac:dyDescent="0.25">
      <c r="A710" s="1" t="s">
        <v>948</v>
      </c>
      <c r="B710" s="1" t="s">
        <v>3439</v>
      </c>
      <c r="C710" s="1" t="s">
        <v>25</v>
      </c>
      <c r="D710" s="1" t="s">
        <v>923</v>
      </c>
      <c r="E710" s="1" t="s">
        <v>1053</v>
      </c>
      <c r="F710" s="1" t="s">
        <v>10814</v>
      </c>
      <c r="G710" s="1" t="s">
        <v>256</v>
      </c>
      <c r="H710" s="1"/>
      <c r="I710" s="1"/>
      <c r="J710" s="1"/>
      <c r="K710" s="1"/>
      <c r="L710" s="1"/>
      <c r="M710" s="1"/>
      <c r="N710" s="1"/>
      <c r="O710" s="1"/>
      <c r="P710" s="1"/>
      <c r="Q710" s="1"/>
    </row>
    <row r="711" spans="1:17" x14ac:dyDescent="0.25">
      <c r="A711" s="1" t="s">
        <v>1140</v>
      </c>
      <c r="B711" s="1" t="s">
        <v>761</v>
      </c>
      <c r="C711" s="1" t="s">
        <v>837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</row>
    <row r="712" spans="1:17" x14ac:dyDescent="0.25">
      <c r="A712" s="1" t="s">
        <v>931</v>
      </c>
      <c r="B712" s="1" t="s">
        <v>10832</v>
      </c>
      <c r="C712" s="1" t="s">
        <v>25</v>
      </c>
      <c r="D712" s="1" t="s">
        <v>923</v>
      </c>
      <c r="E712" s="1" t="s">
        <v>916</v>
      </c>
      <c r="F712" s="1" t="s">
        <v>998</v>
      </c>
      <c r="G712" s="1" t="s">
        <v>933</v>
      </c>
      <c r="H712" s="1" t="s">
        <v>994</v>
      </c>
      <c r="I712" s="1"/>
      <c r="J712" s="1"/>
      <c r="K712" s="1"/>
      <c r="L712" s="1"/>
      <c r="M712" s="1"/>
      <c r="N712" s="1"/>
      <c r="O712" s="1"/>
      <c r="P712" s="1"/>
      <c r="Q712" s="1"/>
    </row>
    <row r="713" spans="1:17" x14ac:dyDescent="0.25">
      <c r="A713" s="1" t="s">
        <v>25</v>
      </c>
      <c r="B713" s="1" t="s">
        <v>927</v>
      </c>
      <c r="C713" s="1" t="s">
        <v>998</v>
      </c>
      <c r="D713" s="1" t="s">
        <v>1086</v>
      </c>
      <c r="E713" s="1" t="s">
        <v>920</v>
      </c>
      <c r="F713" s="1" t="s">
        <v>933</v>
      </c>
      <c r="G713" s="1" t="s">
        <v>921</v>
      </c>
      <c r="H713" s="1" t="s">
        <v>1019</v>
      </c>
      <c r="I713" s="1" t="s">
        <v>983</v>
      </c>
      <c r="J713" s="1" t="s">
        <v>10833</v>
      </c>
      <c r="K713" s="1" t="s">
        <v>10834</v>
      </c>
      <c r="L713" s="1" t="s">
        <v>10835</v>
      </c>
      <c r="M713" s="1" t="s">
        <v>1020</v>
      </c>
      <c r="N713" s="1" t="s">
        <v>984</v>
      </c>
      <c r="O713" s="1" t="s">
        <v>10836</v>
      </c>
      <c r="P713" s="1"/>
      <c r="Q713" s="1"/>
    </row>
    <row r="714" spans="1:17" x14ac:dyDescent="0.25">
      <c r="A714" s="1" t="s">
        <v>996</v>
      </c>
      <c r="B714" s="1" t="s">
        <v>2541</v>
      </c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</row>
    <row r="715" spans="1:17" x14ac:dyDescent="0.25">
      <c r="A715" s="1" t="s">
        <v>25</v>
      </c>
      <c r="B715" s="1" t="s">
        <v>927</v>
      </c>
      <c r="C715" s="1" t="s">
        <v>10837</v>
      </c>
      <c r="D715" s="1" t="s">
        <v>981</v>
      </c>
      <c r="E715" s="1" t="s">
        <v>994</v>
      </c>
      <c r="F715" s="1" t="s">
        <v>10825</v>
      </c>
      <c r="G715" s="1" t="s">
        <v>1071</v>
      </c>
      <c r="H715" s="1" t="s">
        <v>10797</v>
      </c>
      <c r="I715" s="1" t="s">
        <v>1075</v>
      </c>
      <c r="J715" s="1" t="s">
        <v>10838</v>
      </c>
      <c r="K715" s="1" t="s">
        <v>10839</v>
      </c>
      <c r="L715" s="1" t="s">
        <v>10840</v>
      </c>
      <c r="M715" s="1"/>
      <c r="N715" s="1"/>
      <c r="O715" s="1"/>
      <c r="P715" s="1"/>
      <c r="Q715" s="1"/>
    </row>
    <row r="716" spans="1:17" x14ac:dyDescent="0.25">
      <c r="A716" s="1" t="s">
        <v>25</v>
      </c>
      <c r="B716" s="1" t="s">
        <v>1053</v>
      </c>
      <c r="C716" s="1" t="s">
        <v>256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</row>
    <row r="717" spans="1:17" x14ac:dyDescent="0.25">
      <c r="A717" s="1" t="s">
        <v>1001</v>
      </c>
      <c r="B717" s="1" t="s">
        <v>918</v>
      </c>
      <c r="C717" s="1" t="s">
        <v>25</v>
      </c>
      <c r="D717" s="1" t="s">
        <v>923</v>
      </c>
      <c r="E717" s="1" t="s">
        <v>927</v>
      </c>
      <c r="F717" s="1" t="s">
        <v>919</v>
      </c>
      <c r="G717" s="1" t="s">
        <v>920</v>
      </c>
      <c r="H717" s="1" t="s">
        <v>921</v>
      </c>
      <c r="I717" s="1" t="s">
        <v>10815</v>
      </c>
      <c r="J717" s="1" t="s">
        <v>981</v>
      </c>
      <c r="K717" s="1" t="s">
        <v>1019</v>
      </c>
      <c r="L717" s="1" t="s">
        <v>983</v>
      </c>
      <c r="M717" s="1" t="s">
        <v>1020</v>
      </c>
      <c r="N717" s="1"/>
      <c r="O717" s="1"/>
      <c r="P717" s="1"/>
      <c r="Q717" s="1"/>
    </row>
    <row r="718" spans="1:17" x14ac:dyDescent="0.25">
      <c r="A718" s="1" t="s">
        <v>1001</v>
      </c>
      <c r="B718" s="1" t="s">
        <v>927</v>
      </c>
      <c r="C718" s="1" t="s">
        <v>992</v>
      </c>
      <c r="D718" s="1" t="s">
        <v>981</v>
      </c>
      <c r="E718" s="1" t="s">
        <v>993</v>
      </c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</row>
    <row r="719" spans="1:17" x14ac:dyDescent="0.25">
      <c r="A719" s="1" t="s">
        <v>1001</v>
      </c>
      <c r="B719" s="1" t="s">
        <v>328</v>
      </c>
      <c r="C719" s="1" t="s">
        <v>2541</v>
      </c>
      <c r="D719" s="1" t="s">
        <v>920</v>
      </c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</row>
    <row r="720" spans="1:17" x14ac:dyDescent="0.25">
      <c r="A720" s="1" t="s">
        <v>996</v>
      </c>
      <c r="B720" s="1" t="s">
        <v>25</v>
      </c>
      <c r="C720" s="1" t="s">
        <v>997</v>
      </c>
      <c r="D720" s="1" t="s">
        <v>927</v>
      </c>
      <c r="E720" s="1" t="s">
        <v>998</v>
      </c>
      <c r="F720" s="1" t="s">
        <v>933</v>
      </c>
      <c r="G720" s="1" t="s">
        <v>993</v>
      </c>
      <c r="H720" s="1" t="s">
        <v>994</v>
      </c>
      <c r="I720" s="1" t="s">
        <v>10782</v>
      </c>
      <c r="J720" s="1"/>
      <c r="K720" s="1"/>
      <c r="L720" s="1"/>
      <c r="M720" s="1"/>
      <c r="N720" s="1"/>
      <c r="O720" s="1"/>
      <c r="P720" s="1"/>
      <c r="Q720" s="1"/>
    </row>
    <row r="721" spans="1:17" x14ac:dyDescent="0.25">
      <c r="A721" s="1" t="s">
        <v>1001</v>
      </c>
      <c r="B721" s="1" t="s">
        <v>927</v>
      </c>
      <c r="C721" s="1" t="s">
        <v>919</v>
      </c>
      <c r="D721" s="1" t="s">
        <v>10841</v>
      </c>
      <c r="E721" s="1" t="s">
        <v>948</v>
      </c>
      <c r="F721" s="1" t="s">
        <v>298</v>
      </c>
      <c r="G721" s="1" t="s">
        <v>1149</v>
      </c>
      <c r="H721" s="1" t="s">
        <v>25</v>
      </c>
      <c r="I721" s="1" t="s">
        <v>923</v>
      </c>
      <c r="J721" s="1" t="s">
        <v>997</v>
      </c>
      <c r="K721" s="1" t="s">
        <v>954</v>
      </c>
      <c r="L721" s="1" t="s">
        <v>994</v>
      </c>
      <c r="M721" s="1"/>
      <c r="N721" s="1"/>
      <c r="O721" s="1"/>
      <c r="P721" s="1"/>
      <c r="Q721" s="1"/>
    </row>
    <row r="722" spans="1:17" x14ac:dyDescent="0.25">
      <c r="A722" s="1" t="s">
        <v>923</v>
      </c>
      <c r="B722" s="1" t="s">
        <v>1001</v>
      </c>
      <c r="C722" s="1" t="s">
        <v>927</v>
      </c>
      <c r="D722" s="1" t="s">
        <v>919</v>
      </c>
      <c r="E722" s="1" t="s">
        <v>961</v>
      </c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</row>
    <row r="723" spans="1:17" x14ac:dyDescent="0.25">
      <c r="A723" s="1" t="s">
        <v>50</v>
      </c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</row>
    <row r="724" spans="1:17" x14ac:dyDescent="0.25">
      <c r="A724" s="1" t="s">
        <v>50</v>
      </c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</row>
    <row r="725" spans="1:17" x14ac:dyDescent="0.25">
      <c r="A725" s="1" t="s">
        <v>3248</v>
      </c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</row>
    <row r="726" spans="1:17" x14ac:dyDescent="0.25">
      <c r="A726" s="1" t="s">
        <v>918</v>
      </c>
      <c r="B726" s="1" t="s">
        <v>919</v>
      </c>
      <c r="C726" s="1" t="s">
        <v>936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</row>
    <row r="727" spans="1:17" x14ac:dyDescent="0.25">
      <c r="A727" s="1" t="s">
        <v>979</v>
      </c>
      <c r="B727" s="1" t="s">
        <v>980</v>
      </c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</row>
    <row r="728" spans="1:17" x14ac:dyDescent="0.25">
      <c r="A728" s="1" t="s">
        <v>979</v>
      </c>
      <c r="B728" s="1" t="s">
        <v>980</v>
      </c>
      <c r="C728" s="1" t="s">
        <v>1066</v>
      </c>
      <c r="D728" s="1" t="s">
        <v>90</v>
      </c>
      <c r="E728" s="1" t="s">
        <v>927</v>
      </c>
      <c r="F728" s="1" t="s">
        <v>939</v>
      </c>
      <c r="G728" s="1" t="s">
        <v>983</v>
      </c>
      <c r="H728" s="1" t="s">
        <v>993</v>
      </c>
      <c r="I728" s="1"/>
      <c r="J728" s="1"/>
      <c r="K728" s="1"/>
      <c r="L728" s="1"/>
      <c r="M728" s="1"/>
      <c r="N728" s="1"/>
      <c r="O728" s="1"/>
      <c r="P728" s="1"/>
      <c r="Q728" s="1"/>
    </row>
    <row r="729" spans="1:17" x14ac:dyDescent="0.25">
      <c r="A729" s="1" t="s">
        <v>979</v>
      </c>
      <c r="B729" s="1" t="s">
        <v>980</v>
      </c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</row>
    <row r="730" spans="1:17" x14ac:dyDescent="0.25">
      <c r="A730" s="1" t="s">
        <v>2927</v>
      </c>
      <c r="B730" s="1" t="s">
        <v>1051</v>
      </c>
      <c r="C730" s="1" t="s">
        <v>25</v>
      </c>
      <c r="D730" s="1" t="s">
        <v>1053</v>
      </c>
      <c r="E730" s="1" t="s">
        <v>1086</v>
      </c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</row>
    <row r="731" spans="1:17" x14ac:dyDescent="0.25">
      <c r="A731" s="1" t="s">
        <v>918</v>
      </c>
      <c r="B731" s="1" t="s">
        <v>25</v>
      </c>
      <c r="C731" s="1" t="s">
        <v>919</v>
      </c>
      <c r="D731" s="1" t="s">
        <v>920</v>
      </c>
      <c r="E731" s="1" t="s">
        <v>924</v>
      </c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</row>
    <row r="732" spans="1:17" x14ac:dyDescent="0.25">
      <c r="A732" s="1" t="s">
        <v>918</v>
      </c>
      <c r="B732" s="1" t="s">
        <v>25</v>
      </c>
      <c r="C732" s="1" t="s">
        <v>919</v>
      </c>
      <c r="D732" s="1" t="s">
        <v>920</v>
      </c>
      <c r="E732" s="1" t="s">
        <v>924</v>
      </c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</row>
    <row r="733" spans="1:17" x14ac:dyDescent="0.25">
      <c r="A733" s="1" t="s">
        <v>918</v>
      </c>
      <c r="B733" s="1" t="s">
        <v>25</v>
      </c>
      <c r="C733" s="1" t="s">
        <v>919</v>
      </c>
      <c r="D733" s="1" t="s">
        <v>920</v>
      </c>
      <c r="E733" s="1" t="s">
        <v>924</v>
      </c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</row>
    <row r="734" spans="1:17" x14ac:dyDescent="0.25">
      <c r="A734" s="1" t="s">
        <v>2927</v>
      </c>
      <c r="B734" s="1" t="s">
        <v>933</v>
      </c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</row>
    <row r="735" spans="1:17" x14ac:dyDescent="0.25">
      <c r="A735" s="1" t="s">
        <v>1053</v>
      </c>
      <c r="B735" s="1" t="s">
        <v>1066</v>
      </c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</row>
    <row r="736" spans="1:17" x14ac:dyDescent="0.25">
      <c r="A736" s="1" t="s">
        <v>50</v>
      </c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</row>
    <row r="737" spans="1:17" x14ac:dyDescent="0.25">
      <c r="A737" s="1" t="s">
        <v>996</v>
      </c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</row>
    <row r="738" spans="1:17" x14ac:dyDescent="0.25">
      <c r="A738" s="1" t="s">
        <v>2927</v>
      </c>
      <c r="B738" s="1" t="s">
        <v>1069</v>
      </c>
      <c r="C738" s="1" t="s">
        <v>25</v>
      </c>
      <c r="D738" s="1" t="s">
        <v>923</v>
      </c>
      <c r="E738" s="1" t="s">
        <v>998</v>
      </c>
      <c r="F738" s="1" t="s">
        <v>1053</v>
      </c>
      <c r="G738" s="1" t="s">
        <v>1086</v>
      </c>
      <c r="H738" s="1" t="s">
        <v>933</v>
      </c>
      <c r="I738" s="1" t="s">
        <v>929</v>
      </c>
      <c r="J738" s="1"/>
      <c r="K738" s="1"/>
      <c r="L738" s="1"/>
      <c r="M738" s="1"/>
      <c r="N738" s="1"/>
      <c r="O738" s="1"/>
      <c r="P738" s="1"/>
      <c r="Q738" s="1"/>
    </row>
    <row r="739" spans="1:17" x14ac:dyDescent="0.25">
      <c r="A739" s="1" t="s">
        <v>998</v>
      </c>
      <c r="B739" s="1" t="s">
        <v>1086</v>
      </c>
      <c r="C739" s="1" t="s">
        <v>933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</row>
    <row r="740" spans="1:17" x14ac:dyDescent="0.25">
      <c r="A740" s="1" t="s">
        <v>954</v>
      </c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</row>
    <row r="741" spans="1:17" x14ac:dyDescent="0.25">
      <c r="A741" s="1" t="s">
        <v>994</v>
      </c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</row>
    <row r="742" spans="1:17" x14ac:dyDescent="0.25">
      <c r="A742" s="1" t="s">
        <v>750</v>
      </c>
      <c r="B742" s="1" t="s">
        <v>1129</v>
      </c>
      <c r="C742" s="1" t="s">
        <v>761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</row>
    <row r="743" spans="1:17" x14ac:dyDescent="0.25">
      <c r="A743" s="1" t="s">
        <v>998</v>
      </c>
      <c r="B743" s="1" t="s">
        <v>1086</v>
      </c>
      <c r="C743" s="1" t="s">
        <v>933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</row>
    <row r="744" spans="1:17" x14ac:dyDescent="0.25">
      <c r="A744" s="1" t="s">
        <v>998</v>
      </c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</row>
    <row r="745" spans="1:17" x14ac:dyDescent="0.25">
      <c r="A745" s="1" t="s">
        <v>256</v>
      </c>
      <c r="B745" s="1" t="s">
        <v>1013</v>
      </c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</row>
    <row r="746" spans="1:17" x14ac:dyDescent="0.25">
      <c r="A746" s="1" t="s">
        <v>256</v>
      </c>
      <c r="B746" s="1" t="s">
        <v>1013</v>
      </c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</row>
    <row r="747" spans="1:17" x14ac:dyDescent="0.25">
      <c r="A747" s="1" t="s">
        <v>256</v>
      </c>
      <c r="B747" s="1" t="s">
        <v>10842</v>
      </c>
      <c r="C747" s="1" t="s">
        <v>10843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</row>
    <row r="748" spans="1:17" x14ac:dyDescent="0.25">
      <c r="A748" s="1" t="s">
        <v>256</v>
      </c>
      <c r="B748" s="1" t="s">
        <v>10837</v>
      </c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</row>
    <row r="749" spans="1:17" x14ac:dyDescent="0.25">
      <c r="A749" s="1" t="s">
        <v>256</v>
      </c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</row>
    <row r="750" spans="1:17" x14ac:dyDescent="0.25">
      <c r="A750" s="1" t="s">
        <v>986</v>
      </c>
      <c r="B750" s="1" t="s">
        <v>919</v>
      </c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</row>
    <row r="751" spans="1:17" x14ac:dyDescent="0.25">
      <c r="A751" s="1" t="s">
        <v>986</v>
      </c>
      <c r="B751" s="1" t="s">
        <v>919</v>
      </c>
      <c r="C751" s="1" t="s">
        <v>1082</v>
      </c>
      <c r="D751" s="1" t="s">
        <v>1083</v>
      </c>
      <c r="E751" s="1" t="s">
        <v>1014</v>
      </c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</row>
    <row r="752" spans="1:17" x14ac:dyDescent="0.25">
      <c r="A752" s="1" t="s">
        <v>10844</v>
      </c>
      <c r="B752" s="1" t="s">
        <v>25</v>
      </c>
      <c r="C752" s="1" t="s">
        <v>997</v>
      </c>
      <c r="D752" s="1" t="s">
        <v>927</v>
      </c>
      <c r="E752" s="1" t="s">
        <v>998</v>
      </c>
      <c r="F752" s="1" t="s">
        <v>920</v>
      </c>
      <c r="G752" s="1" t="s">
        <v>933</v>
      </c>
      <c r="H752" s="1" t="s">
        <v>994</v>
      </c>
      <c r="I752" s="1"/>
      <c r="J752" s="1"/>
      <c r="K752" s="1"/>
      <c r="L752" s="1"/>
      <c r="M752" s="1"/>
      <c r="N752" s="1"/>
      <c r="O752" s="1"/>
      <c r="P752" s="1"/>
      <c r="Q752" s="1"/>
    </row>
    <row r="753" spans="1:17" x14ac:dyDescent="0.25">
      <c r="A753" s="1" t="s">
        <v>256</v>
      </c>
      <c r="B753" s="1" t="s">
        <v>1049</v>
      </c>
      <c r="C753" s="1" t="s">
        <v>10833</v>
      </c>
      <c r="D753" s="1" t="s">
        <v>10845</v>
      </c>
      <c r="E753" s="1" t="s">
        <v>10835</v>
      </c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</row>
    <row r="754" spans="1:17" x14ac:dyDescent="0.25">
      <c r="A754" s="1" t="s">
        <v>983</v>
      </c>
      <c r="B754" s="1" t="s">
        <v>984</v>
      </c>
      <c r="C754" s="1" t="s">
        <v>955</v>
      </c>
      <c r="D754" s="1" t="s">
        <v>1014</v>
      </c>
      <c r="E754" s="1" t="s">
        <v>10797</v>
      </c>
      <c r="F754" s="1" t="s">
        <v>256</v>
      </c>
      <c r="G754" s="1" t="s">
        <v>1049</v>
      </c>
      <c r="H754" s="1"/>
      <c r="I754" s="1"/>
      <c r="J754" s="1"/>
      <c r="K754" s="1"/>
      <c r="L754" s="1"/>
      <c r="M754" s="1"/>
      <c r="N754" s="1"/>
      <c r="O754" s="1"/>
      <c r="P754" s="1"/>
      <c r="Q754" s="1"/>
    </row>
    <row r="755" spans="1:17" x14ac:dyDescent="0.25">
      <c r="A755" s="1" t="s">
        <v>50</v>
      </c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</row>
    <row r="756" spans="1:17" x14ac:dyDescent="0.25">
      <c r="A756" s="1" t="s">
        <v>10723</v>
      </c>
      <c r="B756" s="1" t="s">
        <v>10724</v>
      </c>
      <c r="C756" s="1" t="s">
        <v>1058</v>
      </c>
      <c r="D756" s="1" t="s">
        <v>10725</v>
      </c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</row>
    <row r="757" spans="1:17" x14ac:dyDescent="0.25">
      <c r="A757" s="1" t="s">
        <v>2927</v>
      </c>
      <c r="B757" s="1" t="s">
        <v>958</v>
      </c>
      <c r="C757" s="1" t="s">
        <v>10738</v>
      </c>
      <c r="D757" s="1" t="s">
        <v>992</v>
      </c>
      <c r="E757" s="1" t="s">
        <v>993</v>
      </c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</row>
    <row r="758" spans="1:17" x14ac:dyDescent="0.25">
      <c r="A758" s="1" t="s">
        <v>933</v>
      </c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</row>
    <row r="759" spans="1:17" x14ac:dyDescent="0.25">
      <c r="A759" s="1" t="s">
        <v>1053</v>
      </c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</row>
    <row r="760" spans="1:17" x14ac:dyDescent="0.25">
      <c r="A760" s="1" t="s">
        <v>922</v>
      </c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</row>
    <row r="761" spans="1:17" x14ac:dyDescent="0.25">
      <c r="A761" s="1" t="s">
        <v>1053</v>
      </c>
      <c r="B761" s="1" t="s">
        <v>933</v>
      </c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</row>
    <row r="762" spans="1:17" x14ac:dyDescent="0.25">
      <c r="A762" s="1" t="s">
        <v>1051</v>
      </c>
      <c r="B762" s="1" t="s">
        <v>923</v>
      </c>
      <c r="C762" s="1" t="s">
        <v>998</v>
      </c>
      <c r="D762" s="1" t="s">
        <v>1053</v>
      </c>
      <c r="E762" s="1" t="s">
        <v>1086</v>
      </c>
      <c r="F762" s="1" t="s">
        <v>933</v>
      </c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</row>
    <row r="763" spans="1:17" x14ac:dyDescent="0.25">
      <c r="A763" s="1" t="s">
        <v>1053</v>
      </c>
      <c r="B763" s="1" t="s">
        <v>2541</v>
      </c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</row>
    <row r="764" spans="1:17" x14ac:dyDescent="0.25">
      <c r="A764" s="1" t="s">
        <v>1001</v>
      </c>
      <c r="B764" s="1" t="s">
        <v>927</v>
      </c>
      <c r="C764" s="1" t="s">
        <v>992</v>
      </c>
      <c r="D764" s="1" t="s">
        <v>981</v>
      </c>
      <c r="E764" s="1" t="s">
        <v>993</v>
      </c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</row>
    <row r="765" spans="1:17" x14ac:dyDescent="0.25">
      <c r="A765" s="1" t="s">
        <v>50</v>
      </c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</row>
    <row r="766" spans="1:17" x14ac:dyDescent="0.25">
      <c r="A766" s="1" t="s">
        <v>921</v>
      </c>
      <c r="B766" s="1" t="s">
        <v>922</v>
      </c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</row>
    <row r="767" spans="1:17" x14ac:dyDescent="0.25">
      <c r="A767" s="1" t="s">
        <v>998</v>
      </c>
      <c r="B767" s="1" t="s">
        <v>994</v>
      </c>
      <c r="C767" s="1" t="s">
        <v>1053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</row>
    <row r="768" spans="1:17" x14ac:dyDescent="0.25">
      <c r="A768" s="1" t="s">
        <v>998</v>
      </c>
      <c r="B768" s="1" t="s">
        <v>992</v>
      </c>
      <c r="C768" s="1" t="s">
        <v>933</v>
      </c>
      <c r="D768" s="1" t="s">
        <v>994</v>
      </c>
      <c r="E768" s="1" t="s">
        <v>1053</v>
      </c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</row>
    <row r="769" spans="1:17" x14ac:dyDescent="0.25">
      <c r="A769" s="1" t="s">
        <v>996</v>
      </c>
      <c r="B769" s="1" t="s">
        <v>997</v>
      </c>
      <c r="C769" s="1" t="s">
        <v>998</v>
      </c>
      <c r="D769" s="1" t="s">
        <v>994</v>
      </c>
      <c r="E769" s="1" t="s">
        <v>1053</v>
      </c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</row>
    <row r="770" spans="1:17" x14ac:dyDescent="0.25">
      <c r="A770" s="1" t="s">
        <v>958</v>
      </c>
      <c r="B770" s="1" t="s">
        <v>927</v>
      </c>
      <c r="C770" s="1" t="s">
        <v>992</v>
      </c>
      <c r="D770" s="1" t="s">
        <v>981</v>
      </c>
      <c r="E770" s="1" t="s">
        <v>10830</v>
      </c>
      <c r="F770" s="1" t="s">
        <v>993</v>
      </c>
      <c r="G770" s="1" t="s">
        <v>994</v>
      </c>
      <c r="H770" s="1"/>
      <c r="I770" s="1"/>
      <c r="J770" s="1"/>
      <c r="K770" s="1"/>
      <c r="L770" s="1"/>
      <c r="M770" s="1"/>
      <c r="N770" s="1"/>
      <c r="O770" s="1"/>
      <c r="P770" s="1"/>
      <c r="Q770" s="1"/>
    </row>
    <row r="771" spans="1:17" x14ac:dyDescent="0.25">
      <c r="A771" s="1" t="s">
        <v>923</v>
      </c>
      <c r="B771" s="1" t="s">
        <v>998</v>
      </c>
      <c r="C771" s="1" t="s">
        <v>1053</v>
      </c>
      <c r="D771" s="1" t="s">
        <v>1086</v>
      </c>
      <c r="E771" s="1" t="s">
        <v>933</v>
      </c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</row>
    <row r="772" spans="1:17" x14ac:dyDescent="0.25">
      <c r="A772" s="1" t="s">
        <v>1001</v>
      </c>
      <c r="B772" s="1" t="s">
        <v>10751</v>
      </c>
      <c r="C772" s="1" t="s">
        <v>927</v>
      </c>
      <c r="D772" s="1" t="s">
        <v>919</v>
      </c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</row>
    <row r="773" spans="1:17" x14ac:dyDescent="0.25">
      <c r="A773" s="1" t="s">
        <v>90</v>
      </c>
      <c r="B773" s="1" t="s">
        <v>25</v>
      </c>
      <c r="C773" s="1" t="s">
        <v>1148</v>
      </c>
      <c r="D773" s="1" t="s">
        <v>923</v>
      </c>
      <c r="E773" s="1" t="s">
        <v>997</v>
      </c>
      <c r="F773" s="1" t="s">
        <v>927</v>
      </c>
      <c r="G773" s="1" t="s">
        <v>953</v>
      </c>
      <c r="H773" s="1" t="s">
        <v>939</v>
      </c>
      <c r="I773" s="1" t="s">
        <v>994</v>
      </c>
      <c r="J773" s="1" t="s">
        <v>998</v>
      </c>
      <c r="K773" s="1" t="s">
        <v>1066</v>
      </c>
      <c r="L773" s="1" t="s">
        <v>1086</v>
      </c>
      <c r="M773" s="1" t="s">
        <v>2541</v>
      </c>
      <c r="N773" s="1"/>
      <c r="O773" s="1"/>
      <c r="P773" s="1"/>
      <c r="Q773" s="1"/>
    </row>
    <row r="774" spans="1:17" x14ac:dyDescent="0.25">
      <c r="A774" s="1" t="s">
        <v>998</v>
      </c>
      <c r="B774" s="1" t="s">
        <v>1086</v>
      </c>
      <c r="C774" s="1" t="s">
        <v>933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</row>
    <row r="775" spans="1:17" x14ac:dyDescent="0.25">
      <c r="A775" s="1" t="s">
        <v>998</v>
      </c>
      <c r="B775" s="1" t="s">
        <v>1066</v>
      </c>
      <c r="C775" s="1" t="s">
        <v>1086</v>
      </c>
      <c r="D775" s="1" t="s">
        <v>2541</v>
      </c>
      <c r="E775" s="1" t="s">
        <v>994</v>
      </c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</row>
    <row r="776" spans="1:17" x14ac:dyDescent="0.25">
      <c r="A776" s="1" t="s">
        <v>25</v>
      </c>
      <c r="B776" s="1" t="s">
        <v>920</v>
      </c>
      <c r="C776" s="1" t="s">
        <v>933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</row>
    <row r="777" spans="1:17" x14ac:dyDescent="0.25">
      <c r="A777" s="1" t="s">
        <v>25</v>
      </c>
      <c r="B777" s="1" t="s">
        <v>998</v>
      </c>
      <c r="C777" s="1" t="s">
        <v>1086</v>
      </c>
      <c r="D777" s="1" t="s">
        <v>920</v>
      </c>
      <c r="E777" s="1" t="s">
        <v>933</v>
      </c>
      <c r="F777" s="1" t="s">
        <v>1066</v>
      </c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</row>
    <row r="778" spans="1:17" x14ac:dyDescent="0.25">
      <c r="A778" s="1" t="s">
        <v>10846</v>
      </c>
      <c r="B778" s="1" t="s">
        <v>2927</v>
      </c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</row>
    <row r="779" spans="1:17" x14ac:dyDescent="0.25">
      <c r="A779" s="1" t="s">
        <v>989</v>
      </c>
      <c r="B779" s="1" t="s">
        <v>919</v>
      </c>
      <c r="C779" s="1" t="s">
        <v>25</v>
      </c>
      <c r="D779" s="1" t="s">
        <v>920</v>
      </c>
      <c r="E779" s="1" t="s">
        <v>954</v>
      </c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</row>
    <row r="780" spans="1:17" x14ac:dyDescent="0.25">
      <c r="A780" s="1" t="s">
        <v>25</v>
      </c>
      <c r="B780" s="1" t="s">
        <v>919</v>
      </c>
      <c r="C780" s="1" t="s">
        <v>920</v>
      </c>
      <c r="D780" s="1" t="s">
        <v>954</v>
      </c>
      <c r="E780" s="1" t="s">
        <v>955</v>
      </c>
      <c r="F780" s="1" t="s">
        <v>924</v>
      </c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</row>
    <row r="781" spans="1:17" x14ac:dyDescent="0.25">
      <c r="A781" s="1" t="s">
        <v>918</v>
      </c>
      <c r="B781" s="1" t="s">
        <v>919</v>
      </c>
      <c r="C781" s="1" t="s">
        <v>924</v>
      </c>
      <c r="D781" s="1" t="s">
        <v>926</v>
      </c>
      <c r="E781" s="1" t="s">
        <v>10731</v>
      </c>
      <c r="F781" s="1" t="s">
        <v>927</v>
      </c>
      <c r="G781" s="1" t="s">
        <v>953</v>
      </c>
      <c r="H781" s="1" t="s">
        <v>936</v>
      </c>
      <c r="I781" s="1"/>
      <c r="J781" s="1"/>
      <c r="K781" s="1"/>
      <c r="L781" s="1"/>
      <c r="M781" s="1"/>
      <c r="N781" s="1"/>
      <c r="O781" s="1"/>
      <c r="P781" s="1"/>
      <c r="Q781" s="1"/>
    </row>
    <row r="782" spans="1:17" x14ac:dyDescent="0.25">
      <c r="A782" s="1" t="s">
        <v>918</v>
      </c>
      <c r="B782" s="1" t="s">
        <v>919</v>
      </c>
      <c r="C782" s="1" t="s">
        <v>924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</row>
    <row r="783" spans="1:17" x14ac:dyDescent="0.25">
      <c r="A783" s="1" t="s">
        <v>918</v>
      </c>
      <c r="B783" s="1" t="s">
        <v>919</v>
      </c>
      <c r="C783" s="1" t="s">
        <v>924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</row>
    <row r="784" spans="1:17" x14ac:dyDescent="0.25">
      <c r="A784" s="1" t="s">
        <v>918</v>
      </c>
      <c r="B784" s="1" t="s">
        <v>919</v>
      </c>
      <c r="C784" s="1" t="s">
        <v>924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</row>
    <row r="785" spans="1:17" x14ac:dyDescent="0.25">
      <c r="A785" s="1" t="s">
        <v>918</v>
      </c>
      <c r="B785" s="1" t="s">
        <v>919</v>
      </c>
      <c r="C785" s="1" t="s">
        <v>924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</row>
    <row r="786" spans="1:17" x14ac:dyDescent="0.25">
      <c r="A786" s="1" t="s">
        <v>918</v>
      </c>
      <c r="B786" s="1" t="s">
        <v>919</v>
      </c>
      <c r="C786" s="1" t="s">
        <v>924</v>
      </c>
      <c r="D786" s="1" t="s">
        <v>967</v>
      </c>
      <c r="E786" s="1" t="s">
        <v>969</v>
      </c>
      <c r="F786" s="1" t="s">
        <v>10706</v>
      </c>
      <c r="G786" s="1" t="s">
        <v>970</v>
      </c>
      <c r="H786" s="1"/>
      <c r="I786" s="1"/>
      <c r="J786" s="1"/>
      <c r="K786" s="1"/>
      <c r="L786" s="1"/>
      <c r="M786" s="1"/>
      <c r="N786" s="1"/>
      <c r="O786" s="1"/>
      <c r="P786" s="1"/>
      <c r="Q786" s="1"/>
    </row>
    <row r="787" spans="1:17" x14ac:dyDescent="0.25">
      <c r="A787" s="1" t="s">
        <v>918</v>
      </c>
      <c r="B787" s="1" t="s">
        <v>919</v>
      </c>
      <c r="C787" s="1" t="s">
        <v>924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</row>
    <row r="788" spans="1:17" x14ac:dyDescent="0.25">
      <c r="A788" s="1" t="s">
        <v>918</v>
      </c>
      <c r="B788" s="1" t="s">
        <v>919</v>
      </c>
      <c r="C788" s="1" t="s">
        <v>924</v>
      </c>
      <c r="D788" s="1" t="s">
        <v>995</v>
      </c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</row>
    <row r="789" spans="1:17" x14ac:dyDescent="0.25">
      <c r="A789" s="1" t="s">
        <v>918</v>
      </c>
      <c r="B789" s="1" t="s">
        <v>919</v>
      </c>
      <c r="C789" s="1" t="s">
        <v>924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</row>
    <row r="790" spans="1:17" x14ac:dyDescent="0.25">
      <c r="A790" s="1" t="s">
        <v>918</v>
      </c>
      <c r="B790" s="1" t="s">
        <v>919</v>
      </c>
      <c r="C790" s="1" t="s">
        <v>924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</row>
    <row r="791" spans="1:17" x14ac:dyDescent="0.25">
      <c r="A791" s="1" t="s">
        <v>983</v>
      </c>
      <c r="B791" s="1" t="s">
        <v>10833</v>
      </c>
      <c r="C791" s="1" t="s">
        <v>10835</v>
      </c>
      <c r="D791" s="1" t="s">
        <v>1020</v>
      </c>
      <c r="E791" s="1" t="s">
        <v>936</v>
      </c>
      <c r="F791" s="1" t="s">
        <v>10847</v>
      </c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</row>
    <row r="792" spans="1:17" x14ac:dyDescent="0.25">
      <c r="A792" s="1" t="s">
        <v>918</v>
      </c>
      <c r="B792" s="1" t="s">
        <v>1136</v>
      </c>
      <c r="C792" s="1" t="s">
        <v>1157</v>
      </c>
      <c r="D792" s="1" t="s">
        <v>10752</v>
      </c>
      <c r="E792" s="1" t="s">
        <v>920</v>
      </c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</row>
    <row r="793" spans="1:17" x14ac:dyDescent="0.25">
      <c r="A793" s="1" t="s">
        <v>10848</v>
      </c>
      <c r="B793" s="1" t="s">
        <v>4146</v>
      </c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</row>
    <row r="794" spans="1:17" x14ac:dyDescent="0.25">
      <c r="A794" s="1" t="s">
        <v>1107</v>
      </c>
      <c r="B794" s="1" t="s">
        <v>918</v>
      </c>
      <c r="C794" s="1" t="s">
        <v>936</v>
      </c>
      <c r="D794" s="1" t="s">
        <v>945</v>
      </c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</row>
    <row r="795" spans="1:17" x14ac:dyDescent="0.25">
      <c r="A795" s="1" t="s">
        <v>918</v>
      </c>
      <c r="B795" s="1" t="s">
        <v>10849</v>
      </c>
      <c r="C795" s="1" t="s">
        <v>919</v>
      </c>
      <c r="D795" s="1" t="s">
        <v>924</v>
      </c>
      <c r="E795" s="1" t="s">
        <v>964</v>
      </c>
      <c r="F795" s="1" t="s">
        <v>1109</v>
      </c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</row>
    <row r="796" spans="1:17" x14ac:dyDescent="0.25">
      <c r="A796" s="1" t="s">
        <v>25</v>
      </c>
      <c r="B796" s="1" t="s">
        <v>1086</v>
      </c>
      <c r="C796" s="1" t="s">
        <v>919</v>
      </c>
      <c r="D796" s="1" t="s">
        <v>920</v>
      </c>
      <c r="E796" s="1" t="s">
        <v>921</v>
      </c>
      <c r="F796" s="1" t="s">
        <v>927</v>
      </c>
      <c r="G796" s="1" t="s">
        <v>998</v>
      </c>
      <c r="H796" s="1" t="s">
        <v>933</v>
      </c>
      <c r="I796" s="1"/>
      <c r="J796" s="1"/>
      <c r="K796" s="1"/>
      <c r="L796" s="1"/>
      <c r="M796" s="1"/>
      <c r="N796" s="1"/>
      <c r="O796" s="1"/>
      <c r="P796" s="1"/>
      <c r="Q796" s="1"/>
    </row>
    <row r="797" spans="1:17" x14ac:dyDescent="0.25">
      <c r="A797" s="1" t="s">
        <v>25</v>
      </c>
      <c r="B797" s="1" t="s">
        <v>1086</v>
      </c>
      <c r="C797" s="1" t="s">
        <v>919</v>
      </c>
      <c r="D797" s="1" t="s">
        <v>920</v>
      </c>
      <c r="E797" s="1" t="s">
        <v>921</v>
      </c>
      <c r="F797" s="1" t="s">
        <v>933</v>
      </c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</row>
    <row r="798" spans="1:17" x14ac:dyDescent="0.25">
      <c r="A798" s="1" t="s">
        <v>25</v>
      </c>
      <c r="B798" s="1" t="s">
        <v>1086</v>
      </c>
      <c r="C798" s="1" t="s">
        <v>919</v>
      </c>
      <c r="D798" s="1" t="s">
        <v>920</v>
      </c>
      <c r="E798" s="1" t="s">
        <v>921</v>
      </c>
      <c r="F798" s="1" t="s">
        <v>981</v>
      </c>
      <c r="G798" s="1" t="s">
        <v>983</v>
      </c>
      <c r="H798" s="1" t="s">
        <v>1020</v>
      </c>
      <c r="I798" s="1"/>
      <c r="J798" s="1"/>
      <c r="K798" s="1"/>
      <c r="L798" s="1"/>
      <c r="M798" s="1"/>
      <c r="N798" s="1"/>
      <c r="O798" s="1"/>
      <c r="P798" s="1"/>
      <c r="Q798" s="1"/>
    </row>
    <row r="799" spans="1:17" x14ac:dyDescent="0.25">
      <c r="A799" s="1" t="s">
        <v>25</v>
      </c>
      <c r="B799" s="1" t="s">
        <v>1086</v>
      </c>
      <c r="C799" s="1" t="s">
        <v>919</v>
      </c>
      <c r="D799" s="1" t="s">
        <v>920</v>
      </c>
      <c r="E799" s="1" t="s">
        <v>921</v>
      </c>
      <c r="F799" s="1" t="s">
        <v>918</v>
      </c>
      <c r="G799" s="1" t="s">
        <v>948</v>
      </c>
      <c r="H799" s="1" t="s">
        <v>1069</v>
      </c>
      <c r="I799" s="1" t="s">
        <v>1149</v>
      </c>
      <c r="J799" s="1" t="s">
        <v>923</v>
      </c>
      <c r="K799" s="1" t="s">
        <v>998</v>
      </c>
      <c r="L799" s="1" t="s">
        <v>1150</v>
      </c>
      <c r="M799" s="1"/>
      <c r="N799" s="1"/>
      <c r="O799" s="1"/>
      <c r="P799" s="1"/>
      <c r="Q799" s="1"/>
    </row>
    <row r="800" spans="1:17" x14ac:dyDescent="0.25">
      <c r="A800" s="1" t="s">
        <v>1022</v>
      </c>
      <c r="B800" s="1" t="s">
        <v>1026</v>
      </c>
      <c r="C800" s="1" t="s">
        <v>1027</v>
      </c>
      <c r="D800" s="1" t="s">
        <v>10850</v>
      </c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</row>
    <row r="801" spans="1:17" x14ac:dyDescent="0.25">
      <c r="A801" s="1" t="s">
        <v>1022</v>
      </c>
      <c r="B801" s="1" t="s">
        <v>1026</v>
      </c>
      <c r="C801" s="1" t="s">
        <v>1027</v>
      </c>
      <c r="D801" s="1" t="s">
        <v>10850</v>
      </c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</row>
    <row r="802" spans="1:17" x14ac:dyDescent="0.25">
      <c r="A802" s="1" t="s">
        <v>1001</v>
      </c>
      <c r="B802" s="1" t="s">
        <v>328</v>
      </c>
      <c r="C802" s="1" t="s">
        <v>2541</v>
      </c>
      <c r="D802" s="1" t="s">
        <v>840</v>
      </c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</row>
    <row r="803" spans="1:17" x14ac:dyDescent="0.25">
      <c r="A803" s="1" t="s">
        <v>1001</v>
      </c>
      <c r="B803" s="1" t="s">
        <v>328</v>
      </c>
      <c r="C803" s="1" t="s">
        <v>2541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</row>
    <row r="804" spans="1:17" x14ac:dyDescent="0.25">
      <c r="A804" s="1" t="s">
        <v>1001</v>
      </c>
      <c r="B804" s="1" t="s">
        <v>328</v>
      </c>
      <c r="C804" s="1" t="s">
        <v>2541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</row>
    <row r="805" spans="1:17" x14ac:dyDescent="0.25">
      <c r="A805" s="1" t="s">
        <v>1001</v>
      </c>
      <c r="B805" s="1" t="s">
        <v>328</v>
      </c>
      <c r="C805" s="1" t="s">
        <v>2541</v>
      </c>
      <c r="D805" s="1" t="s">
        <v>10827</v>
      </c>
      <c r="E805" s="1" t="s">
        <v>84</v>
      </c>
      <c r="F805" s="1" t="s">
        <v>25</v>
      </c>
      <c r="G805" s="1" t="s">
        <v>920</v>
      </c>
      <c r="H805" s="1"/>
      <c r="I805" s="1"/>
      <c r="J805" s="1"/>
      <c r="K805" s="1"/>
      <c r="L805" s="1"/>
      <c r="M805" s="1"/>
      <c r="N805" s="1"/>
      <c r="O805" s="1"/>
      <c r="P805" s="1"/>
      <c r="Q805" s="1"/>
    </row>
    <row r="806" spans="1:17" x14ac:dyDescent="0.25">
      <c r="A806" s="1" t="s">
        <v>50</v>
      </c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</row>
    <row r="807" spans="1:17" x14ac:dyDescent="0.25">
      <c r="A807" s="1" t="s">
        <v>298</v>
      </c>
      <c r="B807" s="1" t="s">
        <v>1053</v>
      </c>
      <c r="C807" s="1" t="s">
        <v>10851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</row>
    <row r="808" spans="1:17" x14ac:dyDescent="0.25">
      <c r="A808" s="1" t="s">
        <v>923</v>
      </c>
      <c r="B808" s="1" t="s">
        <v>1053</v>
      </c>
      <c r="C808" s="1" t="s">
        <v>4037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</row>
    <row r="809" spans="1:17" x14ac:dyDescent="0.25">
      <c r="A809" s="1" t="s">
        <v>2927</v>
      </c>
      <c r="B809" s="1" t="s">
        <v>923</v>
      </c>
      <c r="C809" s="1" t="s">
        <v>998</v>
      </c>
      <c r="D809" s="1" t="s">
        <v>1053</v>
      </c>
      <c r="E809" s="1" t="s">
        <v>1086</v>
      </c>
      <c r="F809" s="1" t="s">
        <v>10731</v>
      </c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</row>
    <row r="810" spans="1:17" x14ac:dyDescent="0.25">
      <c r="A810" s="1" t="s">
        <v>954</v>
      </c>
      <c r="B810" s="1" t="s">
        <v>1054</v>
      </c>
      <c r="C810" s="1" t="s">
        <v>1055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</row>
    <row r="811" spans="1:17" x14ac:dyDescent="0.25">
      <c r="A811" s="1" t="s">
        <v>3439</v>
      </c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</row>
    <row r="812" spans="1:17" x14ac:dyDescent="0.25">
      <c r="A812" s="1" t="s">
        <v>1149</v>
      </c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</row>
    <row r="813" spans="1:17" x14ac:dyDescent="0.25">
      <c r="A813" s="1" t="s">
        <v>996</v>
      </c>
      <c r="B813" s="1" t="s">
        <v>998</v>
      </c>
      <c r="C813" s="1" t="s">
        <v>933</v>
      </c>
      <c r="D813" s="1" t="s">
        <v>2541</v>
      </c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</row>
    <row r="814" spans="1:17" x14ac:dyDescent="0.25">
      <c r="A814" s="1" t="s">
        <v>2927</v>
      </c>
      <c r="B814" s="1" t="s">
        <v>1051</v>
      </c>
      <c r="C814" s="1" t="s">
        <v>1052</v>
      </c>
      <c r="D814" s="1" t="s">
        <v>10852</v>
      </c>
      <c r="E814" s="1" t="s">
        <v>1100</v>
      </c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</row>
    <row r="815" spans="1:17" x14ac:dyDescent="0.25">
      <c r="A815" s="1" t="s">
        <v>2927</v>
      </c>
      <c r="B815" s="1" t="s">
        <v>1051</v>
      </c>
      <c r="C815" s="1" t="s">
        <v>1052</v>
      </c>
      <c r="D815" s="1" t="s">
        <v>10852</v>
      </c>
      <c r="E815" s="1" t="s">
        <v>1100</v>
      </c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</row>
    <row r="816" spans="1:17" x14ac:dyDescent="0.25">
      <c r="A816" s="1" t="s">
        <v>2927</v>
      </c>
      <c r="B816" s="1" t="s">
        <v>1051</v>
      </c>
      <c r="C816" s="1" t="s">
        <v>1052</v>
      </c>
      <c r="D816" s="1" t="s">
        <v>10852</v>
      </c>
      <c r="E816" s="1" t="s">
        <v>1100</v>
      </c>
      <c r="F816" s="1" t="s">
        <v>10853</v>
      </c>
      <c r="G816" s="1" t="s">
        <v>10854</v>
      </c>
      <c r="H816" s="1" t="s">
        <v>10855</v>
      </c>
      <c r="I816" s="1"/>
      <c r="J816" s="1"/>
      <c r="K816" s="1"/>
      <c r="L816" s="1"/>
      <c r="M816" s="1"/>
      <c r="N816" s="1"/>
      <c r="O816" s="1"/>
      <c r="P816" s="1"/>
      <c r="Q816" s="1"/>
    </row>
    <row r="817" spans="1:17" x14ac:dyDescent="0.25">
      <c r="A817" s="1" t="s">
        <v>2927</v>
      </c>
      <c r="B817" s="1" t="s">
        <v>1051</v>
      </c>
      <c r="C817" s="1" t="s">
        <v>1052</v>
      </c>
      <c r="D817" s="1" t="s">
        <v>10852</v>
      </c>
      <c r="E817" s="1" t="s">
        <v>1100</v>
      </c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</row>
    <row r="818" spans="1:17" x14ac:dyDescent="0.25">
      <c r="A818" s="1" t="s">
        <v>2927</v>
      </c>
      <c r="B818" s="1" t="s">
        <v>1051</v>
      </c>
      <c r="C818" s="1" t="s">
        <v>1052</v>
      </c>
      <c r="D818" s="1" t="s">
        <v>10852</v>
      </c>
      <c r="E818" s="1" t="s">
        <v>1100</v>
      </c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</row>
    <row r="819" spans="1:17" x14ac:dyDescent="0.25">
      <c r="A819" s="1" t="s">
        <v>2927</v>
      </c>
      <c r="B819" s="1" t="s">
        <v>1051</v>
      </c>
      <c r="C819" s="1" t="s">
        <v>1052</v>
      </c>
      <c r="D819" s="1" t="s">
        <v>10852</v>
      </c>
      <c r="E819" s="1" t="s">
        <v>1100</v>
      </c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</row>
    <row r="820" spans="1:17" x14ac:dyDescent="0.25">
      <c r="A820" s="1" t="s">
        <v>2927</v>
      </c>
      <c r="B820" s="1" t="s">
        <v>1051</v>
      </c>
      <c r="C820" s="1" t="s">
        <v>1052</v>
      </c>
      <c r="D820" s="1" t="s">
        <v>10852</v>
      </c>
      <c r="E820" s="1" t="s">
        <v>1100</v>
      </c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</row>
    <row r="821" spans="1:17" x14ac:dyDescent="0.25">
      <c r="A821" s="1" t="s">
        <v>2927</v>
      </c>
      <c r="B821" s="1" t="s">
        <v>1051</v>
      </c>
      <c r="C821" s="1" t="s">
        <v>1052</v>
      </c>
      <c r="D821" s="1" t="s">
        <v>10852</v>
      </c>
      <c r="E821" s="1" t="s">
        <v>1100</v>
      </c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</row>
    <row r="822" spans="1:17" x14ac:dyDescent="0.25">
      <c r="A822" s="1" t="s">
        <v>2927</v>
      </c>
      <c r="B822" s="1" t="s">
        <v>1051</v>
      </c>
      <c r="C822" s="1" t="s">
        <v>1052</v>
      </c>
      <c r="D822" s="1" t="s">
        <v>10852</v>
      </c>
      <c r="E822" s="1" t="s">
        <v>1100</v>
      </c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</row>
    <row r="823" spans="1:17" x14ac:dyDescent="0.25">
      <c r="A823" s="1" t="s">
        <v>2927</v>
      </c>
      <c r="B823" s="1" t="s">
        <v>1051</v>
      </c>
      <c r="C823" s="1" t="s">
        <v>1052</v>
      </c>
      <c r="D823" s="1" t="s">
        <v>10852</v>
      </c>
      <c r="E823" s="1" t="s">
        <v>1100</v>
      </c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</row>
    <row r="824" spans="1:17" x14ac:dyDescent="0.25">
      <c r="A824" s="1" t="s">
        <v>2927</v>
      </c>
      <c r="B824" s="1" t="s">
        <v>1051</v>
      </c>
      <c r="C824" s="1" t="s">
        <v>1052</v>
      </c>
      <c r="D824" s="1" t="s">
        <v>10852</v>
      </c>
      <c r="E824" s="1" t="s">
        <v>1100</v>
      </c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</row>
    <row r="825" spans="1:17" x14ac:dyDescent="0.25">
      <c r="A825" s="1" t="s">
        <v>2927</v>
      </c>
      <c r="B825" s="1" t="s">
        <v>1051</v>
      </c>
      <c r="C825" s="1" t="s">
        <v>1052</v>
      </c>
      <c r="D825" s="1" t="s">
        <v>10852</v>
      </c>
      <c r="E825" s="1" t="s">
        <v>1100</v>
      </c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</row>
    <row r="826" spans="1:17" x14ac:dyDescent="0.25">
      <c r="A826" s="1" t="s">
        <v>2927</v>
      </c>
      <c r="B826" s="1" t="s">
        <v>1051</v>
      </c>
      <c r="C826" s="1" t="s">
        <v>1052</v>
      </c>
      <c r="D826" s="1" t="s">
        <v>10852</v>
      </c>
      <c r="E826" s="1" t="s">
        <v>1100</v>
      </c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</row>
    <row r="827" spans="1:17" x14ac:dyDescent="0.25">
      <c r="A827" s="1" t="s">
        <v>2927</v>
      </c>
      <c r="B827" s="1" t="s">
        <v>1051</v>
      </c>
      <c r="C827" s="1" t="s">
        <v>1052</v>
      </c>
      <c r="D827" s="1" t="s">
        <v>10852</v>
      </c>
      <c r="E827" s="1" t="s">
        <v>1100</v>
      </c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</row>
    <row r="828" spans="1:17" x14ac:dyDescent="0.25">
      <c r="A828" s="1" t="s">
        <v>2927</v>
      </c>
      <c r="B828" s="1" t="s">
        <v>1051</v>
      </c>
      <c r="C828" s="1" t="s">
        <v>1052</v>
      </c>
      <c r="D828" s="1" t="s">
        <v>10852</v>
      </c>
      <c r="E828" s="1" t="s">
        <v>1100</v>
      </c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</row>
    <row r="829" spans="1:17" x14ac:dyDescent="0.25">
      <c r="A829" s="1" t="s">
        <v>2927</v>
      </c>
      <c r="B829" s="1" t="s">
        <v>1051</v>
      </c>
      <c r="C829" s="1" t="s">
        <v>1052</v>
      </c>
      <c r="D829" s="1" t="s">
        <v>10852</v>
      </c>
      <c r="E829" s="1" t="s">
        <v>1100</v>
      </c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</row>
    <row r="830" spans="1:17" x14ac:dyDescent="0.25">
      <c r="A830" s="1" t="s">
        <v>2927</v>
      </c>
      <c r="B830" s="1" t="s">
        <v>1051</v>
      </c>
      <c r="C830" s="1" t="s">
        <v>1052</v>
      </c>
      <c r="D830" s="1" t="s">
        <v>10852</v>
      </c>
      <c r="E830" s="1" t="s">
        <v>1100</v>
      </c>
      <c r="F830" s="1" t="s">
        <v>1053</v>
      </c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</row>
    <row r="831" spans="1:17" x14ac:dyDescent="0.25">
      <c r="A831" s="1" t="s">
        <v>2927</v>
      </c>
      <c r="B831" s="1" t="s">
        <v>1051</v>
      </c>
      <c r="C831" s="1" t="s">
        <v>1052</v>
      </c>
      <c r="D831" s="1" t="s">
        <v>10852</v>
      </c>
      <c r="E831" s="1" t="s">
        <v>1100</v>
      </c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</row>
    <row r="832" spans="1:17" x14ac:dyDescent="0.25">
      <c r="A832" s="1" t="s">
        <v>996</v>
      </c>
      <c r="B832" s="1" t="s">
        <v>948</v>
      </c>
      <c r="C832" s="1" t="s">
        <v>10788</v>
      </c>
      <c r="D832" s="1" t="s">
        <v>25</v>
      </c>
      <c r="E832" s="1" t="s">
        <v>923</v>
      </c>
      <c r="F832" s="1" t="s">
        <v>997</v>
      </c>
      <c r="G832" s="1" t="s">
        <v>1086</v>
      </c>
      <c r="H832" s="1" t="s">
        <v>920</v>
      </c>
      <c r="I832" s="1" t="s">
        <v>2927</v>
      </c>
      <c r="J832" s="1" t="s">
        <v>1051</v>
      </c>
      <c r="K832" s="1" t="s">
        <v>1052</v>
      </c>
      <c r="L832" s="1" t="s">
        <v>10852</v>
      </c>
      <c r="M832" s="1" t="s">
        <v>1100</v>
      </c>
      <c r="N832" s="1"/>
      <c r="O832" s="1"/>
      <c r="P832" s="1"/>
      <c r="Q832" s="1"/>
    </row>
    <row r="833" spans="1:17" x14ac:dyDescent="0.25">
      <c r="A833" s="1" t="s">
        <v>2927</v>
      </c>
      <c r="B833" s="1" t="s">
        <v>1051</v>
      </c>
      <c r="C833" s="1" t="s">
        <v>1052</v>
      </c>
      <c r="D833" s="1" t="s">
        <v>10852</v>
      </c>
      <c r="E833" s="1" t="s">
        <v>1100</v>
      </c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</row>
    <row r="834" spans="1:17" x14ac:dyDescent="0.25">
      <c r="A834" s="1" t="s">
        <v>948</v>
      </c>
      <c r="B834" s="1" t="s">
        <v>1052</v>
      </c>
      <c r="C834" s="1" t="s">
        <v>25</v>
      </c>
      <c r="D834" s="1" t="s">
        <v>923</v>
      </c>
      <c r="E834" s="1" t="s">
        <v>996</v>
      </c>
      <c r="F834" s="1" t="s">
        <v>1149</v>
      </c>
      <c r="G834" s="1" t="s">
        <v>997</v>
      </c>
      <c r="H834" s="1" t="s">
        <v>1053</v>
      </c>
      <c r="I834" s="1" t="s">
        <v>2927</v>
      </c>
      <c r="J834" s="1" t="s">
        <v>1051</v>
      </c>
      <c r="K834" s="1" t="s">
        <v>10852</v>
      </c>
      <c r="L834" s="1" t="s">
        <v>1100</v>
      </c>
      <c r="M834" s="1"/>
      <c r="N834" s="1"/>
      <c r="O834" s="1"/>
      <c r="P834" s="1"/>
      <c r="Q834" s="1"/>
    </row>
    <row r="835" spans="1:17" x14ac:dyDescent="0.25">
      <c r="A835" s="1" t="s">
        <v>2927</v>
      </c>
      <c r="B835" s="1" t="s">
        <v>1051</v>
      </c>
      <c r="C835" s="1" t="s">
        <v>1052</v>
      </c>
      <c r="D835" s="1" t="s">
        <v>10852</v>
      </c>
      <c r="E835" s="1" t="s">
        <v>1100</v>
      </c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</row>
    <row r="836" spans="1:17" x14ac:dyDescent="0.25">
      <c r="A836" s="1" t="s">
        <v>2927</v>
      </c>
      <c r="B836" s="1" t="s">
        <v>1051</v>
      </c>
      <c r="C836" s="1" t="s">
        <v>1052</v>
      </c>
      <c r="D836" s="1" t="s">
        <v>10852</v>
      </c>
      <c r="E836" s="1" t="s">
        <v>1100</v>
      </c>
      <c r="F836" s="1" t="s">
        <v>10856</v>
      </c>
      <c r="G836" s="1" t="s">
        <v>10857</v>
      </c>
      <c r="H836" s="1"/>
      <c r="I836" s="1"/>
      <c r="J836" s="1"/>
      <c r="K836" s="1"/>
      <c r="L836" s="1"/>
      <c r="M836" s="1"/>
      <c r="N836" s="1"/>
      <c r="O836" s="1"/>
      <c r="P836" s="1"/>
      <c r="Q836" s="1"/>
    </row>
    <row r="837" spans="1:17" x14ac:dyDescent="0.25">
      <c r="A837" s="1" t="s">
        <v>923</v>
      </c>
      <c r="B837" s="1" t="s">
        <v>935</v>
      </c>
      <c r="C837" s="1" t="s">
        <v>920</v>
      </c>
      <c r="D837" s="1" t="s">
        <v>1001</v>
      </c>
      <c r="E837" s="1" t="s">
        <v>927</v>
      </c>
      <c r="F837" s="1" t="s">
        <v>919</v>
      </c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</row>
    <row r="838" spans="1:17" x14ac:dyDescent="0.25">
      <c r="A838" s="1" t="s">
        <v>981</v>
      </c>
      <c r="B838" s="1" t="s">
        <v>983</v>
      </c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</row>
    <row r="839" spans="1:17" x14ac:dyDescent="0.25">
      <c r="A839" s="1" t="s">
        <v>1001</v>
      </c>
      <c r="B839" s="1" t="s">
        <v>927</v>
      </c>
      <c r="C839" s="1" t="s">
        <v>981</v>
      </c>
      <c r="D839" s="1" t="s">
        <v>919</v>
      </c>
      <c r="E839" s="1" t="s">
        <v>921</v>
      </c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</row>
    <row r="840" spans="1:17" x14ac:dyDescent="0.25">
      <c r="A840" s="1" t="s">
        <v>918</v>
      </c>
      <c r="B840" s="1" t="s">
        <v>919</v>
      </c>
      <c r="C840" s="1" t="s">
        <v>929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</row>
    <row r="841" spans="1:17" x14ac:dyDescent="0.25">
      <c r="A841" s="1" t="s">
        <v>918</v>
      </c>
      <c r="B841" s="1" t="s">
        <v>919</v>
      </c>
      <c r="C841" s="1" t="s">
        <v>929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</row>
    <row r="842" spans="1:17" x14ac:dyDescent="0.25">
      <c r="A842" s="1" t="s">
        <v>918</v>
      </c>
      <c r="B842" s="1" t="s">
        <v>919</v>
      </c>
      <c r="C842" s="1" t="s">
        <v>929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</row>
    <row r="843" spans="1:17" x14ac:dyDescent="0.25">
      <c r="A843" s="1" t="s">
        <v>931</v>
      </c>
      <c r="B843" s="1" t="s">
        <v>932</v>
      </c>
      <c r="C843" s="1" t="s">
        <v>25</v>
      </c>
      <c r="D843" s="1" t="s">
        <v>923</v>
      </c>
      <c r="E843" s="1" t="s">
        <v>916</v>
      </c>
      <c r="F843" s="1" t="s">
        <v>920</v>
      </c>
      <c r="G843" s="1" t="s">
        <v>974</v>
      </c>
      <c r="H843" s="1" t="s">
        <v>921</v>
      </c>
      <c r="I843" s="1"/>
      <c r="J843" s="1"/>
      <c r="K843" s="1"/>
      <c r="L843" s="1"/>
      <c r="M843" s="1"/>
      <c r="N843" s="1"/>
      <c r="O843" s="1"/>
      <c r="P843" s="1"/>
      <c r="Q843" s="1"/>
    </row>
    <row r="844" spans="1:17" x14ac:dyDescent="0.25">
      <c r="A844" s="1" t="s">
        <v>1001</v>
      </c>
      <c r="B844" s="1" t="s">
        <v>918</v>
      </c>
      <c r="C844" s="1" t="s">
        <v>927</v>
      </c>
      <c r="D844" s="1" t="s">
        <v>919</v>
      </c>
      <c r="E844" s="1" t="s">
        <v>936</v>
      </c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</row>
    <row r="845" spans="1:17" x14ac:dyDescent="0.25">
      <c r="A845" s="1" t="s">
        <v>996</v>
      </c>
      <c r="B845" s="1" t="s">
        <v>2541</v>
      </c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</row>
    <row r="846" spans="1:17" x14ac:dyDescent="0.25">
      <c r="A846" s="1" t="s">
        <v>1053</v>
      </c>
      <c r="B846" s="1" t="s">
        <v>328</v>
      </c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</row>
    <row r="847" spans="1:17" x14ac:dyDescent="0.25">
      <c r="A847" s="1" t="s">
        <v>989</v>
      </c>
      <c r="B847" s="1" t="s">
        <v>919</v>
      </c>
      <c r="C847" s="1" t="s">
        <v>918</v>
      </c>
      <c r="D847" s="1" t="s">
        <v>936</v>
      </c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</row>
    <row r="848" spans="1:17" x14ac:dyDescent="0.25">
      <c r="A848" s="1" t="s">
        <v>981</v>
      </c>
      <c r="B848" s="1" t="s">
        <v>1019</v>
      </c>
      <c r="C848" s="1" t="s">
        <v>983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</row>
    <row r="849" spans="1:17" x14ac:dyDescent="0.25">
      <c r="A849" s="1" t="s">
        <v>25</v>
      </c>
      <c r="B849" s="1" t="s">
        <v>919</v>
      </c>
      <c r="C849" s="1" t="s">
        <v>920</v>
      </c>
      <c r="D849" s="1" t="s">
        <v>921</v>
      </c>
      <c r="E849" s="1" t="s">
        <v>1019</v>
      </c>
      <c r="F849" s="1" t="s">
        <v>983</v>
      </c>
      <c r="G849" s="1" t="s">
        <v>924</v>
      </c>
      <c r="H849" s="1" t="s">
        <v>1020</v>
      </c>
      <c r="I849" s="1" t="s">
        <v>984</v>
      </c>
      <c r="J849" s="1" t="s">
        <v>1021</v>
      </c>
      <c r="K849" s="1"/>
      <c r="L849" s="1"/>
      <c r="M849" s="1"/>
      <c r="N849" s="1"/>
      <c r="O849" s="1"/>
      <c r="P849" s="1"/>
      <c r="Q849" s="1"/>
    </row>
    <row r="850" spans="1:17" x14ac:dyDescent="0.25">
      <c r="A850" s="1" t="s">
        <v>298</v>
      </c>
      <c r="B850" s="1" t="s">
        <v>25</v>
      </c>
      <c r="C850" s="1" t="s">
        <v>927</v>
      </c>
      <c r="D850" s="1" t="s">
        <v>998</v>
      </c>
      <c r="E850" s="1" t="s">
        <v>1086</v>
      </c>
      <c r="F850" s="1" t="s">
        <v>920</v>
      </c>
      <c r="G850" s="1" t="s">
        <v>933</v>
      </c>
      <c r="H850" s="1" t="s">
        <v>992</v>
      </c>
      <c r="I850" s="1" t="s">
        <v>10858</v>
      </c>
      <c r="J850" s="1"/>
      <c r="K850" s="1"/>
      <c r="L850" s="1"/>
      <c r="M850" s="1"/>
      <c r="N850" s="1"/>
      <c r="O850" s="1"/>
      <c r="P850" s="1"/>
      <c r="Q850" s="1"/>
    </row>
    <row r="851" spans="1:17" x14ac:dyDescent="0.25">
      <c r="A851" s="1" t="s">
        <v>50</v>
      </c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</row>
    <row r="852" spans="1:17" x14ac:dyDescent="0.25">
      <c r="A852" s="1" t="s">
        <v>25</v>
      </c>
      <c r="B852" s="1" t="s">
        <v>1086</v>
      </c>
      <c r="C852" s="1" t="s">
        <v>919</v>
      </c>
      <c r="D852" s="1" t="s">
        <v>920</v>
      </c>
      <c r="E852" s="1" t="s">
        <v>921</v>
      </c>
      <c r="F852" s="1" t="s">
        <v>983</v>
      </c>
      <c r="G852" s="1" t="s">
        <v>1027</v>
      </c>
      <c r="H852" s="1" t="s">
        <v>984</v>
      </c>
      <c r="I852" s="1"/>
      <c r="J852" s="1"/>
      <c r="K852" s="1"/>
      <c r="L852" s="1"/>
      <c r="M852" s="1"/>
      <c r="N852" s="1"/>
      <c r="O852" s="1"/>
      <c r="P852" s="1"/>
      <c r="Q852" s="1"/>
    </row>
    <row r="853" spans="1:17" x14ac:dyDescent="0.25">
      <c r="A853" s="1" t="s">
        <v>925</v>
      </c>
      <c r="B853" s="1" t="s">
        <v>927</v>
      </c>
      <c r="C853" s="1" t="s">
        <v>919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</row>
    <row r="854" spans="1:17" x14ac:dyDescent="0.25">
      <c r="A854" s="1" t="s">
        <v>50</v>
      </c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</row>
    <row r="855" spans="1:17" x14ac:dyDescent="0.25">
      <c r="A855" s="1" t="s">
        <v>997</v>
      </c>
      <c r="B855" s="1" t="s">
        <v>994</v>
      </c>
      <c r="C855" s="1" t="s">
        <v>10859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</row>
    <row r="856" spans="1:17" x14ac:dyDescent="0.25">
      <c r="A856" s="1" t="s">
        <v>50</v>
      </c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</row>
    <row r="857" spans="1:17" x14ac:dyDescent="0.25">
      <c r="A857" s="1" t="s">
        <v>3528</v>
      </c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</row>
    <row r="858" spans="1:17" x14ac:dyDescent="0.25">
      <c r="A858" s="1" t="s">
        <v>994</v>
      </c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</row>
    <row r="859" spans="1:17" x14ac:dyDescent="0.25">
      <c r="A859" s="1" t="s">
        <v>992</v>
      </c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</row>
    <row r="860" spans="1:17" x14ac:dyDescent="0.25">
      <c r="A860" s="1" t="s">
        <v>25</v>
      </c>
      <c r="B860" s="1" t="s">
        <v>923</v>
      </c>
      <c r="C860" s="1" t="s">
        <v>997</v>
      </c>
      <c r="D860" s="1" t="s">
        <v>927</v>
      </c>
      <c r="E860" s="1" t="s">
        <v>998</v>
      </c>
      <c r="F860" s="1" t="s">
        <v>1086</v>
      </c>
      <c r="G860" s="1" t="s">
        <v>933</v>
      </c>
      <c r="H860" s="1" t="s">
        <v>994</v>
      </c>
      <c r="I860" s="1"/>
      <c r="J860" s="1"/>
      <c r="K860" s="1"/>
      <c r="L860" s="1"/>
      <c r="M860" s="1"/>
      <c r="N860" s="1"/>
      <c r="O860" s="1"/>
      <c r="P860" s="1"/>
      <c r="Q860" s="1"/>
    </row>
    <row r="861" spans="1:17" x14ac:dyDescent="0.25">
      <c r="A861" s="1" t="s">
        <v>973</v>
      </c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</row>
    <row r="862" spans="1:17" x14ac:dyDescent="0.25">
      <c r="A862" s="1" t="s">
        <v>996</v>
      </c>
      <c r="B862" s="1" t="s">
        <v>25</v>
      </c>
      <c r="C862" s="1" t="s">
        <v>1053</v>
      </c>
      <c r="D862" s="1" t="s">
        <v>2541</v>
      </c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</row>
    <row r="863" spans="1:17" x14ac:dyDescent="0.25">
      <c r="A863" s="1" t="s">
        <v>2927</v>
      </c>
      <c r="B863" s="1" t="s">
        <v>1069</v>
      </c>
      <c r="C863" s="1" t="s">
        <v>25</v>
      </c>
      <c r="D863" s="1" t="s">
        <v>923</v>
      </c>
      <c r="E863" s="1" t="s">
        <v>1167</v>
      </c>
      <c r="F863" s="1" t="s">
        <v>998</v>
      </c>
      <c r="G863" s="1" t="s">
        <v>1053</v>
      </c>
      <c r="H863" s="1" t="s">
        <v>1086</v>
      </c>
      <c r="I863" s="1" t="s">
        <v>933</v>
      </c>
      <c r="J863" s="1" t="s">
        <v>994</v>
      </c>
      <c r="K863" s="1" t="s">
        <v>1001</v>
      </c>
      <c r="L863" s="1" t="s">
        <v>927</v>
      </c>
      <c r="M863" s="1" t="s">
        <v>992</v>
      </c>
      <c r="N863" s="1" t="s">
        <v>981</v>
      </c>
      <c r="O863" s="1"/>
      <c r="P863" s="1"/>
      <c r="Q863" s="1"/>
    </row>
    <row r="864" spans="1:17" x14ac:dyDescent="0.25">
      <c r="A864" s="1" t="s">
        <v>998</v>
      </c>
      <c r="B864" s="1" t="s">
        <v>933</v>
      </c>
      <c r="C864" s="1" t="s">
        <v>994</v>
      </c>
      <c r="D864" s="1" t="s">
        <v>927</v>
      </c>
      <c r="E864" s="1" t="s">
        <v>992</v>
      </c>
      <c r="F864" s="1" t="s">
        <v>981</v>
      </c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</row>
    <row r="865" spans="1:17" x14ac:dyDescent="0.25">
      <c r="A865" s="1" t="s">
        <v>918</v>
      </c>
      <c r="B865" s="1" t="s">
        <v>927</v>
      </c>
      <c r="C865" s="1" t="s">
        <v>1056</v>
      </c>
      <c r="D865" s="1" t="s">
        <v>981</v>
      </c>
      <c r="E865" s="1" t="s">
        <v>919</v>
      </c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</row>
    <row r="866" spans="1:17" x14ac:dyDescent="0.25">
      <c r="A866" s="1" t="s">
        <v>918</v>
      </c>
      <c r="B866" s="1" t="s">
        <v>927</v>
      </c>
      <c r="C866" s="1" t="s">
        <v>1056</v>
      </c>
      <c r="D866" s="1" t="s">
        <v>981</v>
      </c>
      <c r="E866" s="1" t="s">
        <v>919</v>
      </c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</row>
    <row r="867" spans="1:17" x14ac:dyDescent="0.25">
      <c r="A867" s="1" t="s">
        <v>996</v>
      </c>
      <c r="B867" s="1" t="s">
        <v>997</v>
      </c>
      <c r="C867" s="1" t="s">
        <v>998</v>
      </c>
      <c r="D867" s="1" t="s">
        <v>992</v>
      </c>
      <c r="E867" s="1" t="s">
        <v>933</v>
      </c>
      <c r="F867" s="1" t="s">
        <v>994</v>
      </c>
      <c r="G867" s="1" t="s">
        <v>1001</v>
      </c>
      <c r="H867" s="1" t="s">
        <v>1013</v>
      </c>
      <c r="I867" s="1" t="s">
        <v>10835</v>
      </c>
      <c r="J867" s="1"/>
      <c r="K867" s="1"/>
      <c r="L867" s="1"/>
      <c r="M867" s="1"/>
      <c r="N867" s="1"/>
      <c r="O867" s="1"/>
      <c r="P867" s="1"/>
      <c r="Q867" s="1"/>
    </row>
    <row r="868" spans="1:17" x14ac:dyDescent="0.25">
      <c r="A868" s="1" t="s">
        <v>996</v>
      </c>
      <c r="B868" s="1" t="s">
        <v>997</v>
      </c>
      <c r="C868" s="1" t="s">
        <v>998</v>
      </c>
      <c r="D868" s="1" t="s">
        <v>992</v>
      </c>
      <c r="E868" s="1" t="s">
        <v>933</v>
      </c>
      <c r="F868" s="1" t="s">
        <v>994</v>
      </c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</row>
    <row r="869" spans="1:17" x14ac:dyDescent="0.25">
      <c r="A869" s="1" t="s">
        <v>996</v>
      </c>
      <c r="B869" s="1" t="s">
        <v>997</v>
      </c>
      <c r="C869" s="1" t="s">
        <v>998</v>
      </c>
      <c r="D869" s="1" t="s">
        <v>992</v>
      </c>
      <c r="E869" s="1" t="s">
        <v>933</v>
      </c>
      <c r="F869" s="1" t="s">
        <v>994</v>
      </c>
      <c r="G869" s="1" t="s">
        <v>937</v>
      </c>
      <c r="H869" s="1" t="s">
        <v>10860</v>
      </c>
      <c r="I869" s="1"/>
      <c r="J869" s="1"/>
      <c r="K869" s="1"/>
      <c r="L869" s="1"/>
      <c r="M869" s="1"/>
      <c r="N869" s="1"/>
      <c r="O869" s="1"/>
      <c r="P869" s="1"/>
      <c r="Q869" s="1"/>
    </row>
    <row r="870" spans="1:17" x14ac:dyDescent="0.25">
      <c r="A870" s="1" t="s">
        <v>1018</v>
      </c>
      <c r="B870" s="1" t="s">
        <v>1019</v>
      </c>
      <c r="C870" s="1" t="s">
        <v>983</v>
      </c>
      <c r="D870" s="1" t="s">
        <v>1020</v>
      </c>
      <c r="E870" s="1" t="s">
        <v>984</v>
      </c>
      <c r="F870" s="1" t="s">
        <v>940</v>
      </c>
      <c r="G870" s="1" t="s">
        <v>1011</v>
      </c>
      <c r="H870" s="1" t="s">
        <v>25</v>
      </c>
      <c r="I870" s="1" t="s">
        <v>927</v>
      </c>
      <c r="J870" s="1" t="s">
        <v>916</v>
      </c>
      <c r="K870" s="1" t="s">
        <v>981</v>
      </c>
      <c r="L870" s="1" t="s">
        <v>982</v>
      </c>
      <c r="M870" s="1" t="s">
        <v>920</v>
      </c>
      <c r="N870" s="1" t="s">
        <v>933</v>
      </c>
      <c r="O870" s="1" t="s">
        <v>921</v>
      </c>
      <c r="P870" s="1" t="s">
        <v>993</v>
      </c>
      <c r="Q870" s="1" t="s">
        <v>994</v>
      </c>
    </row>
    <row r="871" spans="1:17" x14ac:dyDescent="0.25">
      <c r="A871" s="1" t="s">
        <v>918</v>
      </c>
      <c r="B871" s="1" t="s">
        <v>949</v>
      </c>
      <c r="C871" s="1" t="s">
        <v>25</v>
      </c>
      <c r="D871" s="1" t="s">
        <v>923</v>
      </c>
      <c r="E871" s="1" t="s">
        <v>919</v>
      </c>
      <c r="F871" s="1" t="s">
        <v>920</v>
      </c>
      <c r="G871" s="1" t="s">
        <v>974</v>
      </c>
      <c r="H871" s="1" t="s">
        <v>921</v>
      </c>
      <c r="I871" s="1" t="s">
        <v>933</v>
      </c>
      <c r="J871" s="1" t="s">
        <v>954</v>
      </c>
      <c r="K871" s="1" t="s">
        <v>1141</v>
      </c>
      <c r="L871" s="1" t="s">
        <v>10766</v>
      </c>
      <c r="M871" s="1" t="s">
        <v>916</v>
      </c>
      <c r="N871" s="1" t="s">
        <v>924</v>
      </c>
      <c r="O871" s="1"/>
      <c r="P871" s="1"/>
      <c r="Q871" s="1"/>
    </row>
    <row r="872" spans="1:17" x14ac:dyDescent="0.25">
      <c r="A872" s="1" t="s">
        <v>50</v>
      </c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</row>
    <row r="873" spans="1:17" x14ac:dyDescent="0.25">
      <c r="A873" s="1" t="s">
        <v>981</v>
      </c>
      <c r="B873" s="1" t="s">
        <v>1019</v>
      </c>
      <c r="C873" s="1" t="s">
        <v>983</v>
      </c>
      <c r="D873" s="1" t="s">
        <v>10697</v>
      </c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</row>
    <row r="874" spans="1:17" x14ac:dyDescent="0.25">
      <c r="A874" s="1" t="s">
        <v>1001</v>
      </c>
      <c r="B874" s="1" t="s">
        <v>1019</v>
      </c>
      <c r="C874" s="1" t="s">
        <v>2541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</row>
    <row r="875" spans="1:17" x14ac:dyDescent="0.25">
      <c r="A875" s="1" t="s">
        <v>10698</v>
      </c>
      <c r="B875" s="1" t="s">
        <v>983</v>
      </c>
      <c r="C875" s="1" t="s">
        <v>919</v>
      </c>
      <c r="D875" s="1" t="s">
        <v>1020</v>
      </c>
      <c r="E875" s="1" t="s">
        <v>929</v>
      </c>
      <c r="F875" s="1" t="s">
        <v>1081</v>
      </c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</row>
    <row r="876" spans="1:17" x14ac:dyDescent="0.25">
      <c r="A876" s="1" t="s">
        <v>948</v>
      </c>
      <c r="B876" s="1" t="s">
        <v>1149</v>
      </c>
      <c r="C876" s="1" t="s">
        <v>25</v>
      </c>
      <c r="D876" s="1" t="s">
        <v>997</v>
      </c>
      <c r="E876" s="1" t="s">
        <v>1150</v>
      </c>
      <c r="F876" s="1" t="s">
        <v>1086</v>
      </c>
      <c r="G876" s="1" t="s">
        <v>2927</v>
      </c>
      <c r="H876" s="1" t="s">
        <v>923</v>
      </c>
      <c r="I876" s="1" t="s">
        <v>998</v>
      </c>
      <c r="J876" s="1" t="s">
        <v>1053</v>
      </c>
      <c r="K876" s="1" t="s">
        <v>920</v>
      </c>
      <c r="L876" s="1" t="s">
        <v>933</v>
      </c>
      <c r="M876" s="1" t="s">
        <v>1022</v>
      </c>
      <c r="N876" s="1" t="s">
        <v>1027</v>
      </c>
      <c r="O876" s="1"/>
      <c r="P876" s="1"/>
      <c r="Q876" s="1"/>
    </row>
    <row r="877" spans="1:17" x14ac:dyDescent="0.25">
      <c r="A877" s="1" t="s">
        <v>10861</v>
      </c>
      <c r="B877" s="1" t="s">
        <v>925</v>
      </c>
      <c r="C877" s="1" t="s">
        <v>918</v>
      </c>
      <c r="D877" s="1" t="s">
        <v>10862</v>
      </c>
      <c r="E877" s="1" t="s">
        <v>953</v>
      </c>
      <c r="F877" s="1" t="s">
        <v>10863</v>
      </c>
      <c r="G877" s="1" t="s">
        <v>10864</v>
      </c>
      <c r="H877" s="1" t="s">
        <v>919</v>
      </c>
      <c r="I877" s="1" t="s">
        <v>964</v>
      </c>
      <c r="J877" s="1" t="s">
        <v>1109</v>
      </c>
      <c r="K877" s="1"/>
      <c r="L877" s="1"/>
      <c r="M877" s="1"/>
      <c r="N877" s="1"/>
      <c r="O877" s="1"/>
      <c r="P877" s="1"/>
      <c r="Q877" s="1"/>
    </row>
    <row r="878" spans="1:17" x14ac:dyDescent="0.25">
      <c r="A878" s="1" t="s">
        <v>981</v>
      </c>
      <c r="B878" s="1" t="s">
        <v>1019</v>
      </c>
      <c r="C878" s="1" t="s">
        <v>983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</row>
    <row r="879" spans="1:17" x14ac:dyDescent="0.25">
      <c r="A879" s="1" t="s">
        <v>10762</v>
      </c>
      <c r="B879" s="1" t="s">
        <v>955</v>
      </c>
      <c r="C879" s="1" t="s">
        <v>1014</v>
      </c>
      <c r="D879" s="1" t="s">
        <v>10741</v>
      </c>
      <c r="E879" s="1" t="s">
        <v>1034</v>
      </c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</row>
    <row r="880" spans="1:17" x14ac:dyDescent="0.25">
      <c r="A880" s="1" t="s">
        <v>10762</v>
      </c>
      <c r="B880" s="1" t="s">
        <v>955</v>
      </c>
      <c r="C880" s="1" t="s">
        <v>1014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</row>
    <row r="881" spans="1:17" x14ac:dyDescent="0.25">
      <c r="A881" s="1" t="s">
        <v>1053</v>
      </c>
      <c r="B881" s="1" t="s">
        <v>933</v>
      </c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</row>
    <row r="882" spans="1:17" x14ac:dyDescent="0.25">
      <c r="A882" s="1" t="s">
        <v>927</v>
      </c>
      <c r="B882" s="1" t="s">
        <v>919</v>
      </c>
      <c r="C882" s="1" t="s">
        <v>1001</v>
      </c>
      <c r="D882" s="1" t="s">
        <v>981</v>
      </c>
      <c r="E882" s="1" t="s">
        <v>921</v>
      </c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</row>
    <row r="883" spans="1:17" x14ac:dyDescent="0.25">
      <c r="A883" s="1" t="s">
        <v>50</v>
      </c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</row>
    <row r="884" spans="1:17" x14ac:dyDescent="0.25">
      <c r="A884" s="1" t="s">
        <v>10746</v>
      </c>
      <c r="B884" s="1" t="s">
        <v>924</v>
      </c>
      <c r="C884" s="1" t="s">
        <v>1034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</row>
    <row r="885" spans="1:17" x14ac:dyDescent="0.25">
      <c r="A885" s="1" t="s">
        <v>918</v>
      </c>
      <c r="B885" s="1" t="s">
        <v>919</v>
      </c>
      <c r="C885" s="1" t="s">
        <v>924</v>
      </c>
      <c r="D885" s="1" t="s">
        <v>1064</v>
      </c>
      <c r="E885" s="1" t="s">
        <v>967</v>
      </c>
      <c r="F885" s="1" t="s">
        <v>1065</v>
      </c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</row>
    <row r="886" spans="1:17" x14ac:dyDescent="0.25">
      <c r="A886" s="1" t="s">
        <v>940</v>
      </c>
      <c r="B886" s="1" t="s">
        <v>1011</v>
      </c>
      <c r="C886" s="1" t="s">
        <v>25</v>
      </c>
      <c r="D886" s="1" t="s">
        <v>923</v>
      </c>
      <c r="E886" s="1" t="s">
        <v>920</v>
      </c>
      <c r="F886" s="1" t="s">
        <v>933</v>
      </c>
      <c r="G886" s="1" t="s">
        <v>921</v>
      </c>
      <c r="H886" s="1"/>
      <c r="I886" s="1"/>
      <c r="J886" s="1"/>
      <c r="K886" s="1"/>
      <c r="L886" s="1"/>
      <c r="M886" s="1"/>
      <c r="N886" s="1"/>
      <c r="O886" s="1"/>
      <c r="P886" s="1"/>
      <c r="Q886" s="1"/>
    </row>
    <row r="887" spans="1:17" x14ac:dyDescent="0.25">
      <c r="A887" s="1" t="s">
        <v>50</v>
      </c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</row>
    <row r="888" spans="1:17" x14ac:dyDescent="0.25">
      <c r="A888" s="1" t="s">
        <v>50</v>
      </c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</row>
    <row r="889" spans="1:17" x14ac:dyDescent="0.25">
      <c r="A889" s="1" t="s">
        <v>2927</v>
      </c>
      <c r="B889" s="1" t="s">
        <v>1069</v>
      </c>
      <c r="C889" s="1" t="s">
        <v>25</v>
      </c>
      <c r="D889" s="1" t="s">
        <v>923</v>
      </c>
      <c r="E889" s="1" t="s">
        <v>1053</v>
      </c>
      <c r="F889" s="1" t="s">
        <v>1086</v>
      </c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</row>
    <row r="890" spans="1:17" x14ac:dyDescent="0.25">
      <c r="A890" s="1" t="s">
        <v>940</v>
      </c>
      <c r="B890" s="1" t="s">
        <v>1011</v>
      </c>
      <c r="C890" s="1" t="s">
        <v>25</v>
      </c>
      <c r="D890" s="1" t="s">
        <v>999</v>
      </c>
      <c r="E890" s="1" t="s">
        <v>920</v>
      </c>
      <c r="F890" s="1" t="s">
        <v>933</v>
      </c>
      <c r="G890" s="1" t="s">
        <v>921</v>
      </c>
      <c r="H890" s="1"/>
      <c r="I890" s="1"/>
      <c r="J890" s="1"/>
      <c r="K890" s="1"/>
      <c r="L890" s="1"/>
      <c r="M890" s="1"/>
      <c r="N890" s="1"/>
      <c r="O890" s="1"/>
      <c r="P890" s="1"/>
      <c r="Q890" s="1"/>
    </row>
    <row r="891" spans="1:17" x14ac:dyDescent="0.25">
      <c r="A891" s="1" t="s">
        <v>996</v>
      </c>
      <c r="B891" s="1" t="s">
        <v>923</v>
      </c>
      <c r="C891" s="1" t="s">
        <v>1053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</row>
    <row r="892" spans="1:17" x14ac:dyDescent="0.25">
      <c r="A892" s="1" t="s">
        <v>90</v>
      </c>
      <c r="B892" s="1" t="s">
        <v>2541</v>
      </c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</row>
    <row r="893" spans="1:17" x14ac:dyDescent="0.25">
      <c r="A893" s="1" t="s">
        <v>996</v>
      </c>
      <c r="B893" s="1" t="s">
        <v>2541</v>
      </c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</row>
    <row r="894" spans="1:17" x14ac:dyDescent="0.25">
      <c r="A894" s="1" t="s">
        <v>25</v>
      </c>
      <c r="B894" s="1" t="s">
        <v>923</v>
      </c>
      <c r="C894" s="1" t="s">
        <v>998</v>
      </c>
      <c r="D894" s="1" t="s">
        <v>1053</v>
      </c>
      <c r="E894" s="1" t="s">
        <v>933</v>
      </c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</row>
    <row r="895" spans="1:17" x14ac:dyDescent="0.25">
      <c r="A895" s="1" t="s">
        <v>50</v>
      </c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</row>
    <row r="896" spans="1:17" x14ac:dyDescent="0.25">
      <c r="A896" s="1" t="s">
        <v>933</v>
      </c>
      <c r="B896" s="1" t="s">
        <v>328</v>
      </c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</row>
    <row r="897" spans="1:17" x14ac:dyDescent="0.25">
      <c r="A897" s="1" t="s">
        <v>996</v>
      </c>
      <c r="B897" s="1" t="s">
        <v>1053</v>
      </c>
      <c r="C897" s="1" t="s">
        <v>1086</v>
      </c>
      <c r="D897" s="1" t="s">
        <v>933</v>
      </c>
      <c r="E897" s="1" t="s">
        <v>2541</v>
      </c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</row>
    <row r="898" spans="1:17" x14ac:dyDescent="0.25">
      <c r="A898" s="1" t="s">
        <v>933</v>
      </c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</row>
    <row r="899" spans="1:17" x14ac:dyDescent="0.25">
      <c r="A899" s="1" t="s">
        <v>933</v>
      </c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</row>
    <row r="900" spans="1:17" x14ac:dyDescent="0.25">
      <c r="A900" s="1" t="s">
        <v>933</v>
      </c>
      <c r="B900" s="1" t="s">
        <v>1001</v>
      </c>
      <c r="C900" s="1" t="s">
        <v>927</v>
      </c>
      <c r="D900" s="1" t="s">
        <v>992</v>
      </c>
      <c r="E900" s="1" t="s">
        <v>981</v>
      </c>
      <c r="F900" s="1" t="s">
        <v>978</v>
      </c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</row>
    <row r="901" spans="1:17" x14ac:dyDescent="0.25">
      <c r="A901" s="1" t="s">
        <v>25</v>
      </c>
      <c r="B901" s="1" t="s">
        <v>998</v>
      </c>
      <c r="C901" s="1" t="s">
        <v>1086</v>
      </c>
      <c r="D901" s="1" t="s">
        <v>920</v>
      </c>
      <c r="E901" s="1" t="s">
        <v>933</v>
      </c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</row>
    <row r="902" spans="1:17" x14ac:dyDescent="0.25">
      <c r="A902" s="1" t="s">
        <v>1001</v>
      </c>
      <c r="B902" s="1" t="s">
        <v>927</v>
      </c>
      <c r="C902" s="1" t="s">
        <v>992</v>
      </c>
      <c r="D902" s="1" t="s">
        <v>981</v>
      </c>
      <c r="E902" s="1" t="s">
        <v>919</v>
      </c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</row>
    <row r="903" spans="1:17" x14ac:dyDescent="0.25">
      <c r="A903" s="1" t="s">
        <v>981</v>
      </c>
      <c r="B903" s="1" t="s">
        <v>983</v>
      </c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</row>
    <row r="904" spans="1:17" x14ac:dyDescent="0.25">
      <c r="A904" s="1" t="s">
        <v>90</v>
      </c>
      <c r="B904" s="1" t="s">
        <v>996</v>
      </c>
      <c r="C904" s="1" t="s">
        <v>25</v>
      </c>
      <c r="D904" s="1" t="s">
        <v>923</v>
      </c>
      <c r="E904" s="1" t="s">
        <v>997</v>
      </c>
      <c r="F904" s="1" t="s">
        <v>927</v>
      </c>
      <c r="G904" s="1" t="s">
        <v>998</v>
      </c>
      <c r="H904" s="1" t="s">
        <v>1086</v>
      </c>
      <c r="I904" s="1" t="s">
        <v>994</v>
      </c>
      <c r="J904" s="1"/>
      <c r="K904" s="1"/>
      <c r="L904" s="1"/>
      <c r="M904" s="1"/>
      <c r="N904" s="1"/>
      <c r="O904" s="1"/>
      <c r="P904" s="1"/>
      <c r="Q904" s="1"/>
    </row>
    <row r="905" spans="1:17" x14ac:dyDescent="0.25">
      <c r="A905" s="1" t="s">
        <v>925</v>
      </c>
      <c r="B905" s="1" t="s">
        <v>927</v>
      </c>
      <c r="C905" s="1" t="s">
        <v>919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</row>
    <row r="906" spans="1:17" x14ac:dyDescent="0.25">
      <c r="A906" s="1" t="s">
        <v>256</v>
      </c>
      <c r="B906" s="1" t="s">
        <v>1013</v>
      </c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</row>
    <row r="907" spans="1:17" x14ac:dyDescent="0.25">
      <c r="A907" s="1" t="s">
        <v>918</v>
      </c>
      <c r="B907" s="1" t="s">
        <v>25</v>
      </c>
      <c r="C907" s="1" t="s">
        <v>923</v>
      </c>
      <c r="D907" s="1" t="s">
        <v>919</v>
      </c>
      <c r="E907" s="1" t="s">
        <v>920</v>
      </c>
      <c r="F907" s="1" t="s">
        <v>921</v>
      </c>
      <c r="G907" s="1" t="s">
        <v>942</v>
      </c>
      <c r="H907" s="1" t="s">
        <v>936</v>
      </c>
      <c r="I907" s="1" t="s">
        <v>972</v>
      </c>
      <c r="J907" s="1" t="s">
        <v>929</v>
      </c>
      <c r="K907" s="1" t="s">
        <v>934</v>
      </c>
      <c r="L907" s="1" t="s">
        <v>924</v>
      </c>
      <c r="M907" s="1"/>
      <c r="N907" s="1"/>
      <c r="O907" s="1"/>
      <c r="P907" s="1"/>
      <c r="Q907" s="1"/>
    </row>
    <row r="908" spans="1:17" x14ac:dyDescent="0.25">
      <c r="A908" s="1" t="s">
        <v>298</v>
      </c>
      <c r="B908" s="1" t="s">
        <v>25</v>
      </c>
      <c r="C908" s="1" t="s">
        <v>923</v>
      </c>
      <c r="D908" s="1" t="s">
        <v>997</v>
      </c>
      <c r="E908" s="1" t="s">
        <v>927</v>
      </c>
      <c r="F908" s="1" t="s">
        <v>998</v>
      </c>
      <c r="G908" s="1" t="s">
        <v>992</v>
      </c>
      <c r="H908" s="1" t="s">
        <v>1086</v>
      </c>
      <c r="I908" s="1" t="s">
        <v>920</v>
      </c>
      <c r="J908" s="1" t="s">
        <v>933</v>
      </c>
      <c r="K908" s="1" t="s">
        <v>994</v>
      </c>
      <c r="L908" s="1" t="s">
        <v>10865</v>
      </c>
      <c r="M908" s="1" t="s">
        <v>10866</v>
      </c>
      <c r="N908" s="1" t="s">
        <v>961</v>
      </c>
      <c r="O908" s="1" t="s">
        <v>10867</v>
      </c>
      <c r="P908" s="1" t="s">
        <v>10868</v>
      </c>
      <c r="Q908" s="1" t="s">
        <v>10869</v>
      </c>
    </row>
    <row r="909" spans="1:17" x14ac:dyDescent="0.25">
      <c r="A909" s="1" t="s">
        <v>1019</v>
      </c>
      <c r="B909" s="1" t="s">
        <v>983</v>
      </c>
      <c r="C909" s="1" t="s">
        <v>984</v>
      </c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</row>
    <row r="910" spans="1:17" x14ac:dyDescent="0.25">
      <c r="A910" s="1" t="s">
        <v>10739</v>
      </c>
      <c r="B910" s="1" t="s">
        <v>10870</v>
      </c>
      <c r="C910" s="1" t="s">
        <v>955</v>
      </c>
      <c r="D910" s="1" t="s">
        <v>924</v>
      </c>
      <c r="E910" s="1" t="s">
        <v>1014</v>
      </c>
      <c r="F910" s="1" t="s">
        <v>10871</v>
      </c>
      <c r="G910" s="1" t="s">
        <v>956</v>
      </c>
      <c r="H910" s="1" t="s">
        <v>1085</v>
      </c>
      <c r="I910" s="1" t="s">
        <v>944</v>
      </c>
      <c r="J910" s="1" t="s">
        <v>10797</v>
      </c>
      <c r="K910" s="1"/>
      <c r="L910" s="1"/>
      <c r="M910" s="1"/>
      <c r="N910" s="1"/>
      <c r="O910" s="1"/>
      <c r="P910" s="1"/>
      <c r="Q910" s="1"/>
    </row>
    <row r="911" spans="1:17" x14ac:dyDescent="0.25">
      <c r="A911" s="1" t="s">
        <v>996</v>
      </c>
      <c r="B911" s="1" t="s">
        <v>933</v>
      </c>
      <c r="C911" s="1" t="s">
        <v>994</v>
      </c>
      <c r="D911" s="1" t="s">
        <v>1017</v>
      </c>
      <c r="E911" s="1" t="s">
        <v>1037</v>
      </c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</row>
    <row r="912" spans="1:17" x14ac:dyDescent="0.25">
      <c r="A912" s="1" t="s">
        <v>918</v>
      </c>
      <c r="B912" s="1" t="s">
        <v>927</v>
      </c>
      <c r="C912" s="1" t="s">
        <v>1056</v>
      </c>
      <c r="D912" s="1" t="s">
        <v>981</v>
      </c>
      <c r="E912" s="1" t="s">
        <v>919</v>
      </c>
      <c r="F912" s="1" t="s">
        <v>975</v>
      </c>
      <c r="G912" s="1" t="s">
        <v>925</v>
      </c>
      <c r="H912" s="1" t="s">
        <v>1057</v>
      </c>
      <c r="I912" s="1" t="s">
        <v>1058</v>
      </c>
      <c r="J912" s="1" t="s">
        <v>976</v>
      </c>
      <c r="K912" s="1" t="s">
        <v>1029</v>
      </c>
      <c r="L912" s="1" t="s">
        <v>939</v>
      </c>
      <c r="M912" s="1" t="s">
        <v>983</v>
      </c>
      <c r="N912" s="1" t="s">
        <v>1059</v>
      </c>
      <c r="O912" s="1" t="s">
        <v>1060</v>
      </c>
      <c r="P912" s="1"/>
      <c r="Q912" s="1"/>
    </row>
    <row r="913" spans="1:17" x14ac:dyDescent="0.25">
      <c r="A913" s="1" t="s">
        <v>8695</v>
      </c>
      <c r="B913" s="1" t="s">
        <v>10741</v>
      </c>
      <c r="C913" s="1" t="s">
        <v>10746</v>
      </c>
      <c r="D913" s="1" t="s">
        <v>924</v>
      </c>
      <c r="E913" s="1" t="s">
        <v>1014</v>
      </c>
      <c r="F913" s="1" t="s">
        <v>10872</v>
      </c>
      <c r="G913" s="1" t="s">
        <v>944</v>
      </c>
      <c r="H913" s="1" t="s">
        <v>956</v>
      </c>
      <c r="I913" s="1" t="s">
        <v>10762</v>
      </c>
      <c r="J913" s="1" t="s">
        <v>955</v>
      </c>
      <c r="K913" s="1"/>
      <c r="L913" s="1"/>
      <c r="M913" s="1"/>
      <c r="N913" s="1"/>
      <c r="O913" s="1"/>
      <c r="P913" s="1"/>
      <c r="Q913" s="1"/>
    </row>
    <row r="914" spans="1:17" x14ac:dyDescent="0.25">
      <c r="A914" s="1" t="s">
        <v>996</v>
      </c>
      <c r="B914" s="1" t="s">
        <v>997</v>
      </c>
      <c r="C914" s="1" t="s">
        <v>998</v>
      </c>
      <c r="D914" s="1" t="s">
        <v>992</v>
      </c>
      <c r="E914" s="1" t="s">
        <v>933</v>
      </c>
      <c r="F914" s="1" t="s">
        <v>994</v>
      </c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</row>
    <row r="915" spans="1:17" x14ac:dyDescent="0.25">
      <c r="A915" s="1" t="s">
        <v>1001</v>
      </c>
      <c r="B915" s="1" t="s">
        <v>927</v>
      </c>
      <c r="C915" s="1" t="s">
        <v>981</v>
      </c>
      <c r="D915" s="1" t="s">
        <v>919</v>
      </c>
      <c r="E915" s="1" t="s">
        <v>921</v>
      </c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</row>
    <row r="916" spans="1:17" x14ac:dyDescent="0.25">
      <c r="A916" s="1" t="s">
        <v>732</v>
      </c>
      <c r="B916" s="1" t="s">
        <v>1149</v>
      </c>
      <c r="C916" s="1" t="s">
        <v>25</v>
      </c>
      <c r="D916" s="1" t="s">
        <v>998</v>
      </c>
      <c r="E916" s="1" t="s">
        <v>1086</v>
      </c>
      <c r="F916" s="1" t="s">
        <v>920</v>
      </c>
      <c r="G916" s="1" t="s">
        <v>933</v>
      </c>
      <c r="H916" s="1" t="s">
        <v>974</v>
      </c>
      <c r="I916" s="1" t="s">
        <v>10719</v>
      </c>
      <c r="J916" s="1" t="s">
        <v>948</v>
      </c>
      <c r="K916" s="1" t="s">
        <v>923</v>
      </c>
      <c r="L916" s="1" t="s">
        <v>997</v>
      </c>
      <c r="M916" s="1" t="s">
        <v>10873</v>
      </c>
      <c r="N916" s="1" t="s">
        <v>2927</v>
      </c>
      <c r="O916" s="1" t="s">
        <v>1053</v>
      </c>
      <c r="P916" s="1" t="s">
        <v>1150</v>
      </c>
      <c r="Q916" s="1"/>
    </row>
    <row r="917" spans="1:17" x14ac:dyDescent="0.25">
      <c r="A917" s="1" t="s">
        <v>1053</v>
      </c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</row>
    <row r="918" spans="1:17" x14ac:dyDescent="0.25">
      <c r="A918" s="1" t="s">
        <v>1053</v>
      </c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</row>
    <row r="919" spans="1:17" x14ac:dyDescent="0.25">
      <c r="A919" s="1" t="s">
        <v>1053</v>
      </c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</row>
    <row r="920" spans="1:17" x14ac:dyDescent="0.25">
      <c r="A920" s="1" t="s">
        <v>10762</v>
      </c>
      <c r="B920" s="1" t="s">
        <v>955</v>
      </c>
      <c r="C920" s="1" t="s">
        <v>1014</v>
      </c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</row>
    <row r="921" spans="1:17" x14ac:dyDescent="0.25">
      <c r="A921" s="1" t="s">
        <v>256</v>
      </c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</row>
    <row r="922" spans="1:17" x14ac:dyDescent="0.25">
      <c r="A922" s="1" t="s">
        <v>50</v>
      </c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</row>
    <row r="923" spans="1:17" x14ac:dyDescent="0.25">
      <c r="A923" s="1" t="s">
        <v>933</v>
      </c>
      <c r="B923" s="1" t="s">
        <v>10731</v>
      </c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</row>
    <row r="924" spans="1:17" x14ac:dyDescent="0.25">
      <c r="A924" s="1" t="s">
        <v>3679</v>
      </c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</row>
    <row r="925" spans="1:17" x14ac:dyDescent="0.25">
      <c r="A925" s="1" t="s">
        <v>1053</v>
      </c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</row>
    <row r="926" spans="1:17" x14ac:dyDescent="0.25">
      <c r="A926" s="1" t="s">
        <v>932</v>
      </c>
      <c r="B926" s="1" t="s">
        <v>916</v>
      </c>
      <c r="C926" s="1" t="s">
        <v>933</v>
      </c>
      <c r="D926" s="1" t="s">
        <v>923</v>
      </c>
      <c r="E926" s="1" t="s">
        <v>920</v>
      </c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</row>
    <row r="927" spans="1:17" x14ac:dyDescent="0.25">
      <c r="A927" s="1" t="s">
        <v>50</v>
      </c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</row>
    <row r="928" spans="1:17" x14ac:dyDescent="0.25">
      <c r="A928" s="1" t="s">
        <v>927</v>
      </c>
      <c r="B928" s="1" t="s">
        <v>996</v>
      </c>
      <c r="C928" s="1" t="s">
        <v>998</v>
      </c>
      <c r="D928" s="1" t="s">
        <v>933</v>
      </c>
      <c r="E928" s="1" t="s">
        <v>2541</v>
      </c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</row>
    <row r="929" spans="1:17" x14ac:dyDescent="0.25">
      <c r="A929" s="1" t="s">
        <v>50</v>
      </c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</row>
    <row r="930" spans="1:17" x14ac:dyDescent="0.25">
      <c r="A930" s="1" t="s">
        <v>931</v>
      </c>
      <c r="B930" s="1" t="s">
        <v>1149</v>
      </c>
      <c r="C930" s="1" t="s">
        <v>25</v>
      </c>
      <c r="D930" s="1" t="s">
        <v>923</v>
      </c>
      <c r="E930" s="1" t="s">
        <v>997</v>
      </c>
      <c r="F930" s="1" t="s">
        <v>1150</v>
      </c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</row>
    <row r="931" spans="1:17" x14ac:dyDescent="0.25">
      <c r="A931" s="1" t="s">
        <v>978</v>
      </c>
      <c r="B931" s="1" t="s">
        <v>25</v>
      </c>
      <c r="C931" s="1" t="s">
        <v>920</v>
      </c>
      <c r="D931" s="1" t="s">
        <v>933</v>
      </c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</row>
    <row r="932" spans="1:17" x14ac:dyDescent="0.25">
      <c r="A932" s="1" t="s">
        <v>964</v>
      </c>
      <c r="B932" s="1" t="s">
        <v>918</v>
      </c>
      <c r="C932" s="1" t="s">
        <v>25</v>
      </c>
      <c r="D932" s="1" t="s">
        <v>1148</v>
      </c>
      <c r="E932" s="1" t="s">
        <v>923</v>
      </c>
      <c r="F932" s="1" t="s">
        <v>916</v>
      </c>
      <c r="G932" s="1" t="s">
        <v>920</v>
      </c>
      <c r="H932" s="1" t="s">
        <v>933</v>
      </c>
      <c r="I932" s="1" t="s">
        <v>954</v>
      </c>
      <c r="J932" s="1" t="s">
        <v>974</v>
      </c>
      <c r="K932" s="1" t="s">
        <v>921</v>
      </c>
      <c r="L932" s="1" t="s">
        <v>934</v>
      </c>
      <c r="M932" s="1" t="s">
        <v>965</v>
      </c>
      <c r="N932" s="1" t="s">
        <v>840</v>
      </c>
      <c r="O932" s="1"/>
      <c r="P932" s="1"/>
      <c r="Q932" s="1"/>
    </row>
    <row r="933" spans="1:17" x14ac:dyDescent="0.25">
      <c r="A933" s="1" t="s">
        <v>983</v>
      </c>
      <c r="B933" s="1" t="s">
        <v>984</v>
      </c>
      <c r="C933" s="1" t="s">
        <v>25</v>
      </c>
      <c r="D933" s="1" t="s">
        <v>923</v>
      </c>
      <c r="E933" s="1" t="s">
        <v>916</v>
      </c>
      <c r="F933" s="1" t="s">
        <v>920</v>
      </c>
      <c r="G933" s="1" t="s">
        <v>974</v>
      </c>
      <c r="H933" s="1" t="s">
        <v>921</v>
      </c>
      <c r="I933" s="1" t="s">
        <v>1033</v>
      </c>
      <c r="J933" s="1"/>
      <c r="K933" s="1"/>
      <c r="L933" s="1"/>
      <c r="M933" s="1"/>
      <c r="N933" s="1"/>
      <c r="O933" s="1"/>
      <c r="P933" s="1"/>
      <c r="Q933" s="1"/>
    </row>
    <row r="934" spans="1:17" x14ac:dyDescent="0.25">
      <c r="A934" s="1" t="s">
        <v>10874</v>
      </c>
      <c r="B934" s="1" t="s">
        <v>4146</v>
      </c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</row>
    <row r="935" spans="1:17" x14ac:dyDescent="0.25">
      <c r="A935" s="1" t="s">
        <v>1069</v>
      </c>
      <c r="B935" s="1" t="s">
        <v>25</v>
      </c>
      <c r="C935" s="1" t="s">
        <v>998</v>
      </c>
      <c r="D935" s="1" t="s">
        <v>1086</v>
      </c>
      <c r="E935" s="1" t="s">
        <v>954</v>
      </c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</row>
    <row r="936" spans="1:17" x14ac:dyDescent="0.25">
      <c r="A936" s="1" t="s">
        <v>1069</v>
      </c>
      <c r="B936" s="1" t="s">
        <v>25</v>
      </c>
      <c r="C936" s="1" t="s">
        <v>998</v>
      </c>
      <c r="D936" s="1" t="s">
        <v>1086</v>
      </c>
      <c r="E936" s="1" t="s">
        <v>954</v>
      </c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</row>
    <row r="937" spans="1:17" x14ac:dyDescent="0.25">
      <c r="A937" s="1" t="s">
        <v>1069</v>
      </c>
      <c r="B937" s="1" t="s">
        <v>25</v>
      </c>
      <c r="C937" s="1" t="s">
        <v>998</v>
      </c>
      <c r="D937" s="1" t="s">
        <v>1086</v>
      </c>
      <c r="E937" s="1" t="s">
        <v>954</v>
      </c>
      <c r="F937" s="1" t="s">
        <v>975</v>
      </c>
      <c r="G937" s="1" t="s">
        <v>1058</v>
      </c>
      <c r="H937" s="1" t="s">
        <v>939</v>
      </c>
      <c r="I937" s="1" t="s">
        <v>1060</v>
      </c>
      <c r="J937" s="1" t="s">
        <v>10875</v>
      </c>
      <c r="K937" s="1"/>
      <c r="L937" s="1"/>
      <c r="M937" s="1"/>
      <c r="N937" s="1"/>
      <c r="O937" s="1"/>
      <c r="P937" s="1"/>
      <c r="Q937" s="1"/>
    </row>
    <row r="938" spans="1:17" x14ac:dyDescent="0.25">
      <c r="A938" s="1" t="s">
        <v>1069</v>
      </c>
      <c r="B938" s="1" t="s">
        <v>25</v>
      </c>
      <c r="C938" s="1" t="s">
        <v>998</v>
      </c>
      <c r="D938" s="1" t="s">
        <v>1086</v>
      </c>
      <c r="E938" s="1" t="s">
        <v>954</v>
      </c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</row>
    <row r="939" spans="1:17" x14ac:dyDescent="0.25">
      <c r="A939" s="1" t="s">
        <v>1069</v>
      </c>
      <c r="B939" s="1" t="s">
        <v>25</v>
      </c>
      <c r="C939" s="1" t="s">
        <v>998</v>
      </c>
      <c r="D939" s="1" t="s">
        <v>1086</v>
      </c>
      <c r="E939" s="1" t="s">
        <v>954</v>
      </c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</row>
    <row r="940" spans="1:17" x14ac:dyDescent="0.25">
      <c r="A940" s="1" t="s">
        <v>1069</v>
      </c>
      <c r="B940" s="1" t="s">
        <v>25</v>
      </c>
      <c r="C940" s="1" t="s">
        <v>998</v>
      </c>
      <c r="D940" s="1" t="s">
        <v>1086</v>
      </c>
      <c r="E940" s="1" t="s">
        <v>954</v>
      </c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</row>
    <row r="941" spans="1:17" x14ac:dyDescent="0.25">
      <c r="A941" s="1" t="s">
        <v>1069</v>
      </c>
      <c r="B941" s="1" t="s">
        <v>25</v>
      </c>
      <c r="C941" s="1" t="s">
        <v>998</v>
      </c>
      <c r="D941" s="1" t="s">
        <v>1086</v>
      </c>
      <c r="E941" s="1" t="s">
        <v>954</v>
      </c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</row>
    <row r="942" spans="1:17" x14ac:dyDescent="0.25">
      <c r="A942" s="1" t="s">
        <v>1069</v>
      </c>
      <c r="B942" s="1" t="s">
        <v>25</v>
      </c>
      <c r="C942" s="1" t="s">
        <v>998</v>
      </c>
      <c r="D942" s="1" t="s">
        <v>1086</v>
      </c>
      <c r="E942" s="1" t="s">
        <v>954</v>
      </c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</row>
    <row r="943" spans="1:17" x14ac:dyDescent="0.25">
      <c r="A943" s="1" t="s">
        <v>1069</v>
      </c>
      <c r="B943" s="1" t="s">
        <v>25</v>
      </c>
      <c r="C943" s="1" t="s">
        <v>998</v>
      </c>
      <c r="D943" s="1" t="s">
        <v>1086</v>
      </c>
      <c r="E943" s="1" t="s">
        <v>954</v>
      </c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</row>
    <row r="944" spans="1:17" x14ac:dyDescent="0.25">
      <c r="A944" s="1" t="s">
        <v>1069</v>
      </c>
      <c r="B944" s="1" t="s">
        <v>25</v>
      </c>
      <c r="C944" s="1" t="s">
        <v>998</v>
      </c>
      <c r="D944" s="1" t="s">
        <v>1086</v>
      </c>
      <c r="E944" s="1" t="s">
        <v>954</v>
      </c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</row>
    <row r="945" spans="1:17" x14ac:dyDescent="0.25">
      <c r="A945" s="1" t="s">
        <v>1069</v>
      </c>
      <c r="B945" s="1" t="s">
        <v>25</v>
      </c>
      <c r="C945" s="1" t="s">
        <v>998</v>
      </c>
      <c r="D945" s="1" t="s">
        <v>1086</v>
      </c>
      <c r="E945" s="1" t="s">
        <v>954</v>
      </c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</row>
    <row r="946" spans="1:17" x14ac:dyDescent="0.25">
      <c r="A946" s="1" t="s">
        <v>1069</v>
      </c>
      <c r="B946" s="1" t="s">
        <v>25</v>
      </c>
      <c r="C946" s="1" t="s">
        <v>998</v>
      </c>
      <c r="D946" s="1" t="s">
        <v>1086</v>
      </c>
      <c r="E946" s="1" t="s">
        <v>954</v>
      </c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</row>
    <row r="947" spans="1:17" x14ac:dyDescent="0.25">
      <c r="A947" s="1" t="s">
        <v>1069</v>
      </c>
      <c r="B947" s="1" t="s">
        <v>25</v>
      </c>
      <c r="C947" s="1" t="s">
        <v>998</v>
      </c>
      <c r="D947" s="1" t="s">
        <v>1086</v>
      </c>
      <c r="E947" s="1" t="s">
        <v>954</v>
      </c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</row>
    <row r="948" spans="1:17" x14ac:dyDescent="0.25">
      <c r="A948" s="1" t="s">
        <v>90</v>
      </c>
      <c r="B948" s="1" t="s">
        <v>996</v>
      </c>
      <c r="C948" s="1" t="s">
        <v>25</v>
      </c>
      <c r="D948" s="1" t="s">
        <v>923</v>
      </c>
      <c r="E948" s="1" t="s">
        <v>997</v>
      </c>
      <c r="F948" s="1" t="s">
        <v>927</v>
      </c>
      <c r="G948" s="1" t="s">
        <v>998</v>
      </c>
      <c r="H948" s="1" t="s">
        <v>1086</v>
      </c>
      <c r="I948" s="1" t="s">
        <v>994</v>
      </c>
      <c r="J948" s="1" t="s">
        <v>964</v>
      </c>
      <c r="K948" s="1" t="s">
        <v>10876</v>
      </c>
      <c r="L948" s="1"/>
      <c r="M948" s="1"/>
      <c r="N948" s="1"/>
      <c r="O948" s="1"/>
      <c r="P948" s="1"/>
      <c r="Q948" s="1"/>
    </row>
    <row r="949" spans="1:17" x14ac:dyDescent="0.25">
      <c r="A949" s="1" t="s">
        <v>1061</v>
      </c>
      <c r="B949" s="1" t="s">
        <v>1062</v>
      </c>
      <c r="C949" s="1" t="s">
        <v>919</v>
      </c>
      <c r="D949" s="1" t="s">
        <v>918</v>
      </c>
      <c r="E949" s="1" t="s">
        <v>25</v>
      </c>
      <c r="F949" s="1" t="s">
        <v>923</v>
      </c>
      <c r="G949" s="1" t="s">
        <v>920</v>
      </c>
      <c r="H949" s="1" t="s">
        <v>921</v>
      </c>
      <c r="I949" s="1"/>
      <c r="J949" s="1"/>
      <c r="K949" s="1"/>
      <c r="L949" s="1"/>
      <c r="M949" s="1"/>
      <c r="N949" s="1"/>
      <c r="O949" s="1"/>
      <c r="P949" s="1"/>
      <c r="Q949" s="1"/>
    </row>
    <row r="950" spans="1:17" x14ac:dyDescent="0.25">
      <c r="A950" s="1" t="s">
        <v>1030</v>
      </c>
      <c r="B950" s="1" t="s">
        <v>1013</v>
      </c>
      <c r="C950" s="1" t="s">
        <v>918</v>
      </c>
      <c r="D950" s="1" t="s">
        <v>919</v>
      </c>
      <c r="E950" s="1" t="s">
        <v>936</v>
      </c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</row>
    <row r="951" spans="1:17" x14ac:dyDescent="0.25">
      <c r="A951" s="1" t="s">
        <v>996</v>
      </c>
      <c r="B951" s="1" t="s">
        <v>933</v>
      </c>
      <c r="C951" s="1" t="s">
        <v>994</v>
      </c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</row>
    <row r="952" spans="1:17" x14ac:dyDescent="0.25">
      <c r="A952" s="1" t="s">
        <v>50</v>
      </c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</row>
    <row r="953" spans="1:17" x14ac:dyDescent="0.25">
      <c r="A953" s="1" t="s">
        <v>1052</v>
      </c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</row>
    <row r="954" spans="1:17" x14ac:dyDescent="0.25">
      <c r="A954" s="1" t="s">
        <v>918</v>
      </c>
      <c r="B954" s="1" t="s">
        <v>919</v>
      </c>
      <c r="C954" s="1" t="s">
        <v>929</v>
      </c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</row>
    <row r="955" spans="1:17" x14ac:dyDescent="0.25">
      <c r="A955" s="1" t="s">
        <v>918</v>
      </c>
      <c r="B955" s="1" t="s">
        <v>25</v>
      </c>
      <c r="C955" s="1" t="s">
        <v>997</v>
      </c>
      <c r="D955" s="1" t="s">
        <v>919</v>
      </c>
      <c r="E955" s="1" t="s">
        <v>920</v>
      </c>
      <c r="F955" s="1" t="s">
        <v>924</v>
      </c>
      <c r="G955" s="1" t="s">
        <v>1143</v>
      </c>
      <c r="H955" s="1" t="s">
        <v>1085</v>
      </c>
      <c r="I955" s="1" t="s">
        <v>955</v>
      </c>
      <c r="J955" s="1" t="s">
        <v>1014</v>
      </c>
      <c r="K955" s="1" t="s">
        <v>944</v>
      </c>
      <c r="L955" s="1" t="s">
        <v>956</v>
      </c>
      <c r="M955" s="1" t="s">
        <v>10877</v>
      </c>
      <c r="N955" s="1"/>
      <c r="O955" s="1"/>
      <c r="P955" s="1"/>
      <c r="Q955" s="1"/>
    </row>
    <row r="956" spans="1:17" x14ac:dyDescent="0.25">
      <c r="A956" s="1" t="s">
        <v>958</v>
      </c>
      <c r="B956" s="1" t="s">
        <v>10737</v>
      </c>
      <c r="C956" s="1" t="s">
        <v>10738</v>
      </c>
      <c r="D956" s="1" t="s">
        <v>927</v>
      </c>
      <c r="E956" s="1" t="s">
        <v>992</v>
      </c>
      <c r="F956" s="1" t="s">
        <v>981</v>
      </c>
      <c r="G956" s="1" t="s">
        <v>1066</v>
      </c>
      <c r="H956" s="1" t="s">
        <v>919</v>
      </c>
      <c r="I956" s="1" t="s">
        <v>994</v>
      </c>
      <c r="J956" s="1"/>
      <c r="K956" s="1"/>
      <c r="L956" s="1"/>
      <c r="M956" s="1"/>
      <c r="N956" s="1"/>
      <c r="O956" s="1"/>
      <c r="P956" s="1"/>
      <c r="Q956" s="1"/>
    </row>
    <row r="957" spans="1:17" x14ac:dyDescent="0.25">
      <c r="A957" s="1" t="s">
        <v>933</v>
      </c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</row>
    <row r="958" spans="1:17" x14ac:dyDescent="0.25">
      <c r="A958" s="1" t="s">
        <v>2927</v>
      </c>
      <c r="B958" s="1" t="s">
        <v>1086</v>
      </c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</row>
    <row r="959" spans="1:17" x14ac:dyDescent="0.25">
      <c r="A959" s="1" t="s">
        <v>1053</v>
      </c>
      <c r="B959" s="1" t="s">
        <v>1086</v>
      </c>
      <c r="C959" s="1" t="s">
        <v>933</v>
      </c>
      <c r="D959" s="1" t="s">
        <v>2541</v>
      </c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</row>
    <row r="960" spans="1:17" x14ac:dyDescent="0.25">
      <c r="A960" s="1" t="s">
        <v>50</v>
      </c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</row>
    <row r="961" spans="1:17" x14ac:dyDescent="0.25">
      <c r="A961" s="1" t="s">
        <v>1001</v>
      </c>
      <c r="B961" s="1" t="s">
        <v>992</v>
      </c>
      <c r="C961" s="1" t="s">
        <v>981</v>
      </c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</row>
    <row r="962" spans="1:17" x14ac:dyDescent="0.25">
      <c r="A962" s="1" t="s">
        <v>933</v>
      </c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</row>
    <row r="963" spans="1:17" x14ac:dyDescent="0.25">
      <c r="A963" s="1" t="s">
        <v>50</v>
      </c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</row>
    <row r="964" spans="1:17" x14ac:dyDescent="0.25">
      <c r="A964" s="1" t="s">
        <v>918</v>
      </c>
      <c r="B964" s="1" t="s">
        <v>1063</v>
      </c>
      <c r="C964" s="1" t="s">
        <v>924</v>
      </c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</row>
    <row r="965" spans="1:17" x14ac:dyDescent="0.25">
      <c r="A965" s="1" t="s">
        <v>84</v>
      </c>
      <c r="B965" s="1" t="s">
        <v>1161</v>
      </c>
      <c r="C965" s="1" t="s">
        <v>1162</v>
      </c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</row>
    <row r="966" spans="1:17" x14ac:dyDescent="0.25">
      <c r="A966" s="1" t="s">
        <v>1001</v>
      </c>
      <c r="B966" s="1" t="s">
        <v>927</v>
      </c>
      <c r="C966" s="1" t="s">
        <v>981</v>
      </c>
      <c r="D966" s="1" t="s">
        <v>919</v>
      </c>
      <c r="E966" s="1" t="s">
        <v>921</v>
      </c>
      <c r="F966" s="1" t="s">
        <v>10726</v>
      </c>
      <c r="G966" s="1" t="s">
        <v>924</v>
      </c>
      <c r="H966" s="1"/>
      <c r="I966" s="1"/>
      <c r="J966" s="1"/>
      <c r="K966" s="1"/>
      <c r="L966" s="1"/>
      <c r="M966" s="1"/>
      <c r="N966" s="1"/>
      <c r="O966" s="1"/>
      <c r="P966" s="1"/>
      <c r="Q966" s="1"/>
    </row>
    <row r="967" spans="1:17" x14ac:dyDescent="0.25">
      <c r="A967" s="1" t="s">
        <v>1001</v>
      </c>
      <c r="B967" s="1" t="s">
        <v>927</v>
      </c>
      <c r="C967" s="1" t="s">
        <v>919</v>
      </c>
      <c r="D967" s="1" t="s">
        <v>936</v>
      </c>
      <c r="E967" s="1" t="s">
        <v>961</v>
      </c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</row>
    <row r="968" spans="1:17" x14ac:dyDescent="0.25">
      <c r="A968" s="1" t="s">
        <v>1001</v>
      </c>
      <c r="B968" s="1" t="s">
        <v>1019</v>
      </c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</row>
    <row r="969" spans="1:17" x14ac:dyDescent="0.25">
      <c r="A969" s="1" t="s">
        <v>1001</v>
      </c>
      <c r="B969" s="1" t="s">
        <v>992</v>
      </c>
      <c r="C969" s="1" t="s">
        <v>981</v>
      </c>
      <c r="D969" s="1" t="s">
        <v>1066</v>
      </c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</row>
    <row r="970" spans="1:17" x14ac:dyDescent="0.25">
      <c r="A970" s="1" t="s">
        <v>1030</v>
      </c>
      <c r="B970" s="1" t="s">
        <v>1013</v>
      </c>
      <c r="C970" s="1" t="s">
        <v>918</v>
      </c>
      <c r="D970" s="1" t="s">
        <v>919</v>
      </c>
      <c r="E970" s="1" t="s">
        <v>936</v>
      </c>
      <c r="F970" s="1" t="s">
        <v>10878</v>
      </c>
      <c r="G970" s="1" t="s">
        <v>10879</v>
      </c>
      <c r="H970" s="1"/>
      <c r="I970" s="1"/>
      <c r="J970" s="1"/>
      <c r="K970" s="1"/>
      <c r="L970" s="1"/>
      <c r="M970" s="1"/>
      <c r="N970" s="1"/>
      <c r="O970" s="1"/>
      <c r="P970" s="1"/>
      <c r="Q970" s="1"/>
    </row>
    <row r="971" spans="1:17" x14ac:dyDescent="0.25">
      <c r="A971" s="1" t="s">
        <v>1001</v>
      </c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</row>
    <row r="972" spans="1:17" x14ac:dyDescent="0.25">
      <c r="A972" s="1" t="s">
        <v>1001</v>
      </c>
      <c r="B972" s="1" t="s">
        <v>10880</v>
      </c>
      <c r="C972" s="1" t="s">
        <v>927</v>
      </c>
      <c r="D972" s="1" t="s">
        <v>919</v>
      </c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</row>
    <row r="973" spans="1:17" x14ac:dyDescent="0.25">
      <c r="A973" s="1" t="s">
        <v>916</v>
      </c>
      <c r="B973" s="1" t="s">
        <v>932</v>
      </c>
      <c r="C973" s="1" t="s">
        <v>920</v>
      </c>
      <c r="D973" s="1" t="s">
        <v>922</v>
      </c>
      <c r="E973" s="1" t="s">
        <v>918</v>
      </c>
      <c r="F973" s="1" t="s">
        <v>25</v>
      </c>
      <c r="G973" s="1" t="s">
        <v>923</v>
      </c>
      <c r="H973" s="1" t="s">
        <v>919</v>
      </c>
      <c r="I973" s="1" t="s">
        <v>924</v>
      </c>
      <c r="J973" s="1" t="s">
        <v>974</v>
      </c>
      <c r="K973" s="1"/>
      <c r="L973" s="1"/>
      <c r="M973" s="1"/>
      <c r="N973" s="1"/>
      <c r="O973" s="1"/>
      <c r="P973" s="1"/>
      <c r="Q973" s="1"/>
    </row>
    <row r="974" spans="1:17" x14ac:dyDescent="0.25">
      <c r="A974" s="1" t="s">
        <v>25</v>
      </c>
      <c r="B974" s="1" t="s">
        <v>927</v>
      </c>
      <c r="C974" s="1" t="s">
        <v>10837</v>
      </c>
      <c r="D974" s="1" t="s">
        <v>981</v>
      </c>
      <c r="E974" s="1" t="s">
        <v>994</v>
      </c>
      <c r="F974" s="1" t="s">
        <v>10881</v>
      </c>
      <c r="G974" s="1" t="s">
        <v>10882</v>
      </c>
      <c r="H974" s="1"/>
      <c r="I974" s="1"/>
      <c r="J974" s="1"/>
      <c r="K974" s="1"/>
      <c r="L974" s="1"/>
      <c r="M974" s="1"/>
      <c r="N974" s="1"/>
      <c r="O974" s="1"/>
      <c r="P974" s="1"/>
      <c r="Q974" s="1"/>
    </row>
    <row r="975" spans="1:17" x14ac:dyDescent="0.25">
      <c r="A975" s="1" t="s">
        <v>981</v>
      </c>
      <c r="B975" s="1" t="s">
        <v>1019</v>
      </c>
      <c r="C975" s="1" t="s">
        <v>983</v>
      </c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</row>
    <row r="976" spans="1:17" x14ac:dyDescent="0.25">
      <c r="A976" s="1" t="s">
        <v>10768</v>
      </c>
      <c r="B976" s="1" t="s">
        <v>10833</v>
      </c>
      <c r="C976" s="1" t="s">
        <v>10835</v>
      </c>
      <c r="D976" s="1" t="s">
        <v>10883</v>
      </c>
      <c r="E976" s="1" t="s">
        <v>10884</v>
      </c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</row>
    <row r="977" spans="1:17" x14ac:dyDescent="0.25">
      <c r="A977" s="1" t="s">
        <v>996</v>
      </c>
      <c r="B977" s="1" t="s">
        <v>2541</v>
      </c>
      <c r="C977" s="1" t="s">
        <v>1152</v>
      </c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</row>
    <row r="978" spans="1:17" x14ac:dyDescent="0.25">
      <c r="A978" s="1" t="s">
        <v>996</v>
      </c>
      <c r="B978" s="1" t="s">
        <v>923</v>
      </c>
      <c r="C978" s="1" t="s">
        <v>997</v>
      </c>
      <c r="D978" s="1" t="s">
        <v>998</v>
      </c>
      <c r="E978" s="1" t="s">
        <v>918</v>
      </c>
      <c r="F978" s="1" t="s">
        <v>25</v>
      </c>
      <c r="G978" s="1" t="s">
        <v>1148</v>
      </c>
      <c r="H978" s="1" t="s">
        <v>927</v>
      </c>
      <c r="I978" s="1" t="s">
        <v>1086</v>
      </c>
      <c r="J978" s="1" t="s">
        <v>920</v>
      </c>
      <c r="K978" s="1"/>
      <c r="L978" s="1"/>
      <c r="M978" s="1"/>
      <c r="N978" s="1"/>
      <c r="O978" s="1"/>
      <c r="P978" s="1"/>
      <c r="Q978" s="1"/>
    </row>
    <row r="979" spans="1:17" x14ac:dyDescent="0.25">
      <c r="A979" s="1" t="s">
        <v>1052</v>
      </c>
      <c r="B979" s="1" t="s">
        <v>25</v>
      </c>
      <c r="C979" s="1" t="s">
        <v>923</v>
      </c>
      <c r="D979" s="1" t="s">
        <v>1086</v>
      </c>
      <c r="E979" s="1" t="s">
        <v>1069</v>
      </c>
      <c r="F979" s="1" t="s">
        <v>998</v>
      </c>
      <c r="G979" s="1" t="s">
        <v>954</v>
      </c>
      <c r="H979" s="1"/>
      <c r="I979" s="1"/>
      <c r="J979" s="1"/>
      <c r="K979" s="1"/>
      <c r="L979" s="1"/>
      <c r="M979" s="1"/>
      <c r="N979" s="1"/>
      <c r="O979" s="1"/>
      <c r="P979" s="1"/>
      <c r="Q979" s="1"/>
    </row>
    <row r="980" spans="1:17" x14ac:dyDescent="0.25">
      <c r="A980" s="1" t="s">
        <v>512</v>
      </c>
      <c r="B980" s="1" t="s">
        <v>1167</v>
      </c>
      <c r="C980" s="1" t="s">
        <v>1053</v>
      </c>
      <c r="D980" s="1" t="s">
        <v>1086</v>
      </c>
      <c r="E980" s="1" t="s">
        <v>933</v>
      </c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</row>
    <row r="981" spans="1:17" x14ac:dyDescent="0.25">
      <c r="A981" s="1" t="s">
        <v>996</v>
      </c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</row>
    <row r="982" spans="1:17" x14ac:dyDescent="0.25">
      <c r="A982" s="1" t="s">
        <v>10885</v>
      </c>
      <c r="B982" s="1" t="s">
        <v>10886</v>
      </c>
      <c r="C982" s="1" t="s">
        <v>10887</v>
      </c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</row>
    <row r="983" spans="1:17" x14ac:dyDescent="0.25">
      <c r="A983" s="1" t="s">
        <v>50</v>
      </c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</row>
    <row r="984" spans="1:17" x14ac:dyDescent="0.25">
      <c r="A984" s="1" t="s">
        <v>933</v>
      </c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</row>
    <row r="985" spans="1:17" x14ac:dyDescent="0.25">
      <c r="A985" s="1" t="s">
        <v>2927</v>
      </c>
      <c r="B985" s="1" t="s">
        <v>1069</v>
      </c>
      <c r="C985" s="1" t="s">
        <v>25</v>
      </c>
      <c r="D985" s="1" t="s">
        <v>923</v>
      </c>
      <c r="E985" s="1" t="s">
        <v>998</v>
      </c>
      <c r="F985" s="1" t="s">
        <v>1053</v>
      </c>
      <c r="G985" s="1" t="s">
        <v>1086</v>
      </c>
      <c r="H985" s="1"/>
      <c r="I985" s="1"/>
      <c r="J985" s="1"/>
      <c r="K985" s="1"/>
      <c r="L985" s="1"/>
      <c r="M985" s="1"/>
      <c r="N985" s="1"/>
      <c r="O985" s="1"/>
      <c r="P985" s="1"/>
      <c r="Q985" s="1"/>
    </row>
    <row r="986" spans="1:17" x14ac:dyDescent="0.25">
      <c r="A986" s="1" t="s">
        <v>2927</v>
      </c>
      <c r="B986" s="1" t="s">
        <v>1069</v>
      </c>
      <c r="C986" s="1" t="s">
        <v>25</v>
      </c>
      <c r="D986" s="1" t="s">
        <v>923</v>
      </c>
      <c r="E986" s="1" t="s">
        <v>998</v>
      </c>
      <c r="F986" s="1" t="s">
        <v>1053</v>
      </c>
      <c r="G986" s="1" t="s">
        <v>1086</v>
      </c>
      <c r="H986" s="1" t="s">
        <v>10888</v>
      </c>
      <c r="I986" s="1" t="s">
        <v>10784</v>
      </c>
      <c r="J986" s="1"/>
      <c r="K986" s="1"/>
      <c r="L986" s="1"/>
      <c r="M986" s="1"/>
      <c r="N986" s="1"/>
      <c r="O986" s="1"/>
      <c r="P986" s="1"/>
      <c r="Q986" s="1"/>
    </row>
    <row r="987" spans="1:17" x14ac:dyDescent="0.25">
      <c r="A987" s="1" t="s">
        <v>10889</v>
      </c>
      <c r="B987" s="1" t="s">
        <v>10890</v>
      </c>
      <c r="C987" s="1" t="s">
        <v>3528</v>
      </c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</row>
    <row r="988" spans="1:17" x14ac:dyDescent="0.25">
      <c r="A988" s="1" t="s">
        <v>1053</v>
      </c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</row>
    <row r="989" spans="1:17" x14ac:dyDescent="0.25">
      <c r="A989" s="1" t="s">
        <v>1070</v>
      </c>
      <c r="B989" s="1" t="s">
        <v>976</v>
      </c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</row>
    <row r="990" spans="1:17" x14ac:dyDescent="0.25">
      <c r="A990" s="1" t="s">
        <v>1070</v>
      </c>
      <c r="B990" s="1" t="s">
        <v>976</v>
      </c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</row>
    <row r="991" spans="1:17" x14ac:dyDescent="0.25">
      <c r="A991" s="1" t="s">
        <v>933</v>
      </c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</row>
    <row r="992" spans="1:17" x14ac:dyDescent="0.25">
      <c r="A992" s="1" t="s">
        <v>927</v>
      </c>
      <c r="B992" s="1" t="s">
        <v>10726</v>
      </c>
      <c r="C992" s="1" t="s">
        <v>933</v>
      </c>
      <c r="D992" s="1" t="s">
        <v>924</v>
      </c>
      <c r="E992" s="1" t="s">
        <v>1099</v>
      </c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</row>
    <row r="993" spans="1:17" x14ac:dyDescent="0.25">
      <c r="A993" s="1" t="s">
        <v>918</v>
      </c>
      <c r="B993" s="1" t="s">
        <v>25</v>
      </c>
      <c r="C993" s="1" t="s">
        <v>923</v>
      </c>
      <c r="D993" s="1" t="s">
        <v>927</v>
      </c>
      <c r="E993" s="1" t="s">
        <v>919</v>
      </c>
      <c r="F993" s="1" t="s">
        <v>920</v>
      </c>
      <c r="G993" s="1" t="s">
        <v>921</v>
      </c>
      <c r="H993" s="1"/>
      <c r="I993" s="1"/>
      <c r="J993" s="1"/>
      <c r="K993" s="1"/>
      <c r="L993" s="1"/>
      <c r="M993" s="1"/>
      <c r="N993" s="1"/>
      <c r="O993" s="1"/>
      <c r="P993" s="1"/>
      <c r="Q993" s="1"/>
    </row>
    <row r="994" spans="1:17" x14ac:dyDescent="0.25">
      <c r="A994" s="1" t="s">
        <v>1131</v>
      </c>
      <c r="B994" s="1" t="s">
        <v>10782</v>
      </c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</row>
    <row r="995" spans="1:17" x14ac:dyDescent="0.25">
      <c r="A995" s="1" t="s">
        <v>1053</v>
      </c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</row>
    <row r="996" spans="1:17" x14ac:dyDescent="0.25">
      <c r="A996" s="1" t="s">
        <v>50</v>
      </c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</row>
    <row r="997" spans="1:17" x14ac:dyDescent="0.25">
      <c r="A997" s="1" t="s">
        <v>1001</v>
      </c>
      <c r="B997" s="1" t="s">
        <v>919</v>
      </c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</row>
    <row r="998" spans="1:17" x14ac:dyDescent="0.25">
      <c r="A998" s="1" t="s">
        <v>50</v>
      </c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</row>
    <row r="999" spans="1:17" x14ac:dyDescent="0.25">
      <c r="A999" s="1" t="s">
        <v>750</v>
      </c>
      <c r="B999" s="1" t="s">
        <v>1129</v>
      </c>
      <c r="C999" s="1" t="s">
        <v>1140</v>
      </c>
      <c r="D999" s="1" t="s">
        <v>761</v>
      </c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</row>
    <row r="1000" spans="1:17" x14ac:dyDescent="0.25">
      <c r="A1000" s="1" t="s">
        <v>933</v>
      </c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</row>
    <row r="1001" spans="1:17" x14ac:dyDescent="0.25">
      <c r="A1001" s="1" t="s">
        <v>3439</v>
      </c>
      <c r="B1001" s="1" t="s">
        <v>1108</v>
      </c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</row>
    <row r="1002" spans="1:17" x14ac:dyDescent="0.25">
      <c r="A1002" s="1" t="s">
        <v>3842</v>
      </c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</row>
    <row r="1003" spans="1:17" x14ac:dyDescent="0.25">
      <c r="A1003" s="1" t="s">
        <v>1066</v>
      </c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</row>
    <row r="1004" spans="1:17" x14ac:dyDescent="0.25">
      <c r="A1004" s="1" t="s">
        <v>1011</v>
      </c>
      <c r="B1004" s="1" t="s">
        <v>25</v>
      </c>
      <c r="C1004" s="1" t="s">
        <v>927</v>
      </c>
      <c r="D1004" s="1" t="s">
        <v>998</v>
      </c>
      <c r="E1004" s="1" t="s">
        <v>992</v>
      </c>
      <c r="F1004" s="1" t="s">
        <v>981</v>
      </c>
      <c r="G1004" s="1" t="s">
        <v>920</v>
      </c>
      <c r="H1004" s="1" t="s">
        <v>933</v>
      </c>
      <c r="I1004" s="1" t="s">
        <v>994</v>
      </c>
      <c r="J1004" s="1"/>
      <c r="K1004" s="1"/>
      <c r="L1004" s="1"/>
      <c r="M1004" s="1"/>
      <c r="N1004" s="1"/>
      <c r="O1004" s="1"/>
      <c r="P1004" s="1"/>
      <c r="Q1004" s="1"/>
    </row>
    <row r="1005" spans="1:17" x14ac:dyDescent="0.25">
      <c r="A1005" s="1" t="s">
        <v>948</v>
      </c>
      <c r="B1005" s="1" t="s">
        <v>1069</v>
      </c>
      <c r="C1005" s="1" t="s">
        <v>25</v>
      </c>
      <c r="D1005" s="1" t="s">
        <v>923</v>
      </c>
      <c r="E1005" s="1" t="s">
        <v>1053</v>
      </c>
      <c r="F1005" s="1" t="s">
        <v>1086</v>
      </c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</row>
    <row r="1006" spans="1:17" x14ac:dyDescent="0.25">
      <c r="A1006" s="1" t="s">
        <v>933</v>
      </c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</row>
    <row r="1007" spans="1:17" x14ac:dyDescent="0.25">
      <c r="A1007" s="1" t="s">
        <v>925</v>
      </c>
      <c r="B1007" s="1" t="s">
        <v>918</v>
      </c>
      <c r="C1007" s="1" t="s">
        <v>927</v>
      </c>
      <c r="D1007" s="1" t="s">
        <v>928</v>
      </c>
      <c r="E1007" s="1" t="s">
        <v>8195</v>
      </c>
      <c r="F1007" s="1" t="s">
        <v>919</v>
      </c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</row>
    <row r="1008" spans="1:17" x14ac:dyDescent="0.25">
      <c r="A1008" s="1" t="s">
        <v>1030</v>
      </c>
      <c r="B1008" s="1" t="s">
        <v>1013</v>
      </c>
      <c r="C1008" s="1" t="s">
        <v>919</v>
      </c>
      <c r="D1008" s="1" t="s">
        <v>918</v>
      </c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</row>
    <row r="1009" spans="1:17" x14ac:dyDescent="0.25">
      <c r="A1009" s="1" t="s">
        <v>1013</v>
      </c>
      <c r="B1009" s="1" t="s">
        <v>919</v>
      </c>
      <c r="C1009" s="1" t="s">
        <v>1030</v>
      </c>
      <c r="D1009" s="1" t="s">
        <v>930</v>
      </c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</row>
    <row r="1010" spans="1:17" x14ac:dyDescent="0.25">
      <c r="A1010" s="1" t="s">
        <v>1081</v>
      </c>
      <c r="B1010" s="1" t="s">
        <v>1013</v>
      </c>
      <c r="C1010" s="1" t="s">
        <v>919</v>
      </c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</row>
    <row r="1011" spans="1:17" x14ac:dyDescent="0.25">
      <c r="A1011" s="1" t="s">
        <v>1064</v>
      </c>
      <c r="B1011" s="1" t="s">
        <v>918</v>
      </c>
      <c r="C1011" s="1" t="s">
        <v>967</v>
      </c>
      <c r="D1011" s="1" t="s">
        <v>1065</v>
      </c>
      <c r="E1011" s="1" t="s">
        <v>919</v>
      </c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</row>
    <row r="1012" spans="1:17" x14ac:dyDescent="0.25">
      <c r="A1012" s="1" t="s">
        <v>918</v>
      </c>
      <c r="B1012" s="1" t="s">
        <v>919</v>
      </c>
      <c r="C1012" s="1" t="s">
        <v>924</v>
      </c>
      <c r="D1012" s="1" t="s">
        <v>945</v>
      </c>
      <c r="E1012" s="1" t="s">
        <v>967</v>
      </c>
      <c r="F1012" s="1" t="s">
        <v>995</v>
      </c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</row>
    <row r="1013" spans="1:17" x14ac:dyDescent="0.25">
      <c r="A1013" s="1" t="s">
        <v>1001</v>
      </c>
      <c r="B1013" s="1" t="s">
        <v>925</v>
      </c>
      <c r="C1013" s="1" t="s">
        <v>918</v>
      </c>
      <c r="D1013" s="1" t="s">
        <v>927</v>
      </c>
      <c r="E1013" s="1" t="s">
        <v>10774</v>
      </c>
      <c r="F1013" s="1" t="s">
        <v>981</v>
      </c>
      <c r="G1013" s="1" t="s">
        <v>919</v>
      </c>
      <c r="H1013" s="1" t="s">
        <v>936</v>
      </c>
      <c r="I1013" s="1" t="s">
        <v>920</v>
      </c>
      <c r="J1013" s="1" t="s">
        <v>933</v>
      </c>
      <c r="K1013" s="1"/>
      <c r="L1013" s="1"/>
      <c r="M1013" s="1"/>
      <c r="N1013" s="1"/>
      <c r="O1013" s="1"/>
      <c r="P1013" s="1"/>
      <c r="Q1013" s="1"/>
    </row>
    <row r="1014" spans="1:17" x14ac:dyDescent="0.25">
      <c r="A1014" s="1" t="s">
        <v>996</v>
      </c>
      <c r="B1014" s="1" t="s">
        <v>997</v>
      </c>
      <c r="C1014" s="1" t="s">
        <v>927</v>
      </c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</row>
    <row r="1015" spans="1:17" x14ac:dyDescent="0.25">
      <c r="A1015" s="1" t="s">
        <v>947</v>
      </c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</row>
    <row r="1016" spans="1:17" x14ac:dyDescent="0.25">
      <c r="A1016" s="1" t="s">
        <v>328</v>
      </c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</row>
    <row r="1017" spans="1:17" x14ac:dyDescent="0.25">
      <c r="A1017" s="1" t="s">
        <v>998</v>
      </c>
      <c r="B1017" s="1" t="s">
        <v>994</v>
      </c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</row>
    <row r="1018" spans="1:17" x14ac:dyDescent="0.25">
      <c r="A1018" s="1" t="s">
        <v>998</v>
      </c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</row>
    <row r="1019" spans="1:17" x14ac:dyDescent="0.25">
      <c r="A1019" s="1" t="s">
        <v>933</v>
      </c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</row>
    <row r="1020" spans="1:17" x14ac:dyDescent="0.25">
      <c r="A1020" s="1" t="s">
        <v>2214</v>
      </c>
      <c r="B1020" s="1" t="s">
        <v>10784</v>
      </c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</row>
    <row r="1021" spans="1:17" x14ac:dyDescent="0.25">
      <c r="A1021" s="1" t="s">
        <v>50</v>
      </c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</row>
    <row r="1022" spans="1:17" x14ac:dyDescent="0.25">
      <c r="A1022" s="1" t="s">
        <v>926</v>
      </c>
      <c r="B1022" s="1" t="s">
        <v>927</v>
      </c>
      <c r="C1022" s="1" t="s">
        <v>981</v>
      </c>
      <c r="D1022" s="1" t="s">
        <v>936</v>
      </c>
      <c r="E1022" s="1" t="s">
        <v>25</v>
      </c>
      <c r="F1022" s="1" t="s">
        <v>923</v>
      </c>
      <c r="G1022" s="1" t="s">
        <v>920</v>
      </c>
      <c r="H1022" s="1" t="s">
        <v>933</v>
      </c>
      <c r="I1022" s="1" t="s">
        <v>954</v>
      </c>
      <c r="J1022" s="1" t="s">
        <v>921</v>
      </c>
      <c r="K1022" s="1"/>
      <c r="L1022" s="1"/>
      <c r="M1022" s="1"/>
      <c r="N1022" s="1"/>
      <c r="O1022" s="1"/>
      <c r="P1022" s="1"/>
      <c r="Q1022" s="1"/>
    </row>
    <row r="1023" spans="1:17" x14ac:dyDescent="0.25">
      <c r="A1023" s="1" t="s">
        <v>1001</v>
      </c>
      <c r="B1023" s="1" t="s">
        <v>918</v>
      </c>
      <c r="C1023" s="1" t="s">
        <v>25</v>
      </c>
      <c r="D1023" s="1" t="s">
        <v>927</v>
      </c>
      <c r="E1023" s="1" t="s">
        <v>919</v>
      </c>
      <c r="F1023" s="1" t="s">
        <v>920</v>
      </c>
      <c r="G1023" s="1" t="s">
        <v>936</v>
      </c>
      <c r="H1023" s="1" t="s">
        <v>921</v>
      </c>
      <c r="I1023" s="1"/>
      <c r="J1023" s="1"/>
      <c r="K1023" s="1"/>
      <c r="L1023" s="1"/>
      <c r="M1023" s="1"/>
      <c r="N1023" s="1"/>
      <c r="O1023" s="1"/>
      <c r="P1023" s="1"/>
      <c r="Q1023" s="1"/>
    </row>
    <row r="1024" spans="1:17" x14ac:dyDescent="0.25">
      <c r="A1024" s="1" t="s">
        <v>50</v>
      </c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</row>
    <row r="1025" spans="1:17" x14ac:dyDescent="0.25">
      <c r="A1025" s="1" t="s">
        <v>940</v>
      </c>
      <c r="B1025" s="1" t="s">
        <v>921</v>
      </c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</row>
    <row r="1026" spans="1:17" x14ac:dyDescent="0.25">
      <c r="A1026" s="1" t="s">
        <v>1001</v>
      </c>
      <c r="B1026" s="1" t="s">
        <v>10737</v>
      </c>
      <c r="C1026" s="1" t="s">
        <v>10738</v>
      </c>
      <c r="D1026" s="1" t="s">
        <v>927</v>
      </c>
      <c r="E1026" s="1" t="s">
        <v>919</v>
      </c>
      <c r="F1026" s="1" t="s">
        <v>10833</v>
      </c>
      <c r="G1026" s="1" t="s">
        <v>10845</v>
      </c>
      <c r="H1026" s="1" t="s">
        <v>10834</v>
      </c>
      <c r="I1026" s="1" t="s">
        <v>10835</v>
      </c>
      <c r="J1026" s="1" t="s">
        <v>936</v>
      </c>
      <c r="K1026" s="1"/>
      <c r="L1026" s="1"/>
      <c r="M1026" s="1"/>
      <c r="N1026" s="1"/>
      <c r="O1026" s="1"/>
      <c r="P1026" s="1"/>
      <c r="Q1026" s="1"/>
    </row>
    <row r="1027" spans="1:17" x14ac:dyDescent="0.25">
      <c r="A1027" s="1" t="s">
        <v>1086</v>
      </c>
      <c r="B1027" s="1" t="s">
        <v>933</v>
      </c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</row>
    <row r="1028" spans="1:17" x14ac:dyDescent="0.25">
      <c r="A1028" s="1" t="s">
        <v>50</v>
      </c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</row>
    <row r="1029" spans="1:17" x14ac:dyDescent="0.25">
      <c r="A1029" s="1" t="s">
        <v>50</v>
      </c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</row>
    <row r="1030" spans="1:17" x14ac:dyDescent="0.25">
      <c r="A1030" s="1" t="s">
        <v>934</v>
      </c>
      <c r="B1030" s="1" t="s">
        <v>1090</v>
      </c>
      <c r="C1030" s="1" t="s">
        <v>25</v>
      </c>
      <c r="D1030" s="1" t="s">
        <v>920</v>
      </c>
      <c r="E1030" s="1" t="s">
        <v>974</v>
      </c>
      <c r="F1030" s="1" t="s">
        <v>950</v>
      </c>
      <c r="G1030" s="1" t="s">
        <v>10720</v>
      </c>
      <c r="H1030" s="1"/>
      <c r="I1030" s="1"/>
      <c r="J1030" s="1"/>
      <c r="K1030" s="1"/>
      <c r="L1030" s="1"/>
      <c r="M1030" s="1"/>
      <c r="N1030" s="1"/>
      <c r="O1030" s="1"/>
      <c r="P1030" s="1"/>
      <c r="Q1030" s="1"/>
    </row>
    <row r="1031" spans="1:17" x14ac:dyDescent="0.25">
      <c r="A1031" s="1" t="s">
        <v>998</v>
      </c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</row>
    <row r="1032" spans="1:17" x14ac:dyDescent="0.25">
      <c r="A1032" s="1" t="s">
        <v>50</v>
      </c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</row>
    <row r="1033" spans="1:17" x14ac:dyDescent="0.25">
      <c r="A1033" s="1" t="s">
        <v>996</v>
      </c>
      <c r="B1033" s="1" t="s">
        <v>1149</v>
      </c>
      <c r="C1033" s="1" t="s">
        <v>1053</v>
      </c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</row>
    <row r="1034" spans="1:17" x14ac:dyDescent="0.25">
      <c r="A1034" s="1" t="s">
        <v>50</v>
      </c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</row>
    <row r="1035" spans="1:17" x14ac:dyDescent="0.25">
      <c r="A1035" s="1" t="s">
        <v>1004</v>
      </c>
      <c r="B1035" s="1" t="s">
        <v>1043</v>
      </c>
      <c r="C1035" s="1" t="s">
        <v>1006</v>
      </c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</row>
    <row r="1036" spans="1:17" x14ac:dyDescent="0.25">
      <c r="A1036" s="1" t="s">
        <v>1004</v>
      </c>
      <c r="B1036" s="1" t="s">
        <v>1043</v>
      </c>
      <c r="C1036" s="1" t="s">
        <v>1006</v>
      </c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</row>
    <row r="1037" spans="1:17" x14ac:dyDescent="0.25">
      <c r="A1037" s="1" t="s">
        <v>918</v>
      </c>
      <c r="B1037" s="1" t="s">
        <v>919</v>
      </c>
      <c r="C1037" s="1" t="s">
        <v>929</v>
      </c>
      <c r="D1037" s="1" t="s">
        <v>10891</v>
      </c>
      <c r="E1037" s="1" t="s">
        <v>1014</v>
      </c>
      <c r="F1037" s="1" t="s">
        <v>956</v>
      </c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</row>
    <row r="1038" spans="1:17" x14ac:dyDescent="0.25">
      <c r="A1038" s="1" t="s">
        <v>25</v>
      </c>
      <c r="B1038" s="1" t="s">
        <v>923</v>
      </c>
      <c r="C1038" s="1" t="s">
        <v>920</v>
      </c>
      <c r="D1038" s="1" t="s">
        <v>933</v>
      </c>
      <c r="E1038" s="1" t="s">
        <v>954</v>
      </c>
      <c r="F1038" s="1" t="s">
        <v>974</v>
      </c>
      <c r="G1038" s="1" t="s">
        <v>1141</v>
      </c>
      <c r="H1038" s="1" t="s">
        <v>1001</v>
      </c>
      <c r="I1038" s="1" t="s">
        <v>937</v>
      </c>
      <c r="J1038" s="1"/>
      <c r="K1038" s="1"/>
      <c r="L1038" s="1"/>
      <c r="M1038" s="1"/>
      <c r="N1038" s="1"/>
      <c r="O1038" s="1"/>
      <c r="P1038" s="1"/>
      <c r="Q1038" s="1"/>
    </row>
    <row r="1039" spans="1:17" x14ac:dyDescent="0.25">
      <c r="A1039" s="1" t="s">
        <v>50</v>
      </c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</row>
    <row r="1040" spans="1:17" x14ac:dyDescent="0.25">
      <c r="A1040" s="1" t="s">
        <v>981</v>
      </c>
      <c r="B1040" s="1" t="s">
        <v>983</v>
      </c>
      <c r="C1040" s="1" t="s">
        <v>919</v>
      </c>
      <c r="D1040" s="1" t="s">
        <v>1020</v>
      </c>
      <c r="E1040" s="1" t="s">
        <v>1011</v>
      </c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</row>
    <row r="1041" spans="1:17" x14ac:dyDescent="0.25">
      <c r="A1041" s="1" t="s">
        <v>998</v>
      </c>
      <c r="B1041" s="1" t="s">
        <v>993</v>
      </c>
      <c r="C1041" s="1" t="s">
        <v>994</v>
      </c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</row>
    <row r="1042" spans="1:17" x14ac:dyDescent="0.25">
      <c r="A1042" s="1" t="s">
        <v>298</v>
      </c>
      <c r="B1042" s="1" t="s">
        <v>25</v>
      </c>
      <c r="C1042" s="1" t="s">
        <v>923</v>
      </c>
      <c r="D1042" s="1" t="s">
        <v>927</v>
      </c>
      <c r="E1042" s="1" t="s">
        <v>981</v>
      </c>
      <c r="F1042" s="1" t="s">
        <v>920</v>
      </c>
      <c r="G1042" s="1" t="s">
        <v>933</v>
      </c>
      <c r="H1042" s="1" t="s">
        <v>921</v>
      </c>
      <c r="I1042" s="1" t="s">
        <v>992</v>
      </c>
      <c r="J1042" s="1"/>
      <c r="K1042" s="1"/>
      <c r="L1042" s="1"/>
      <c r="M1042" s="1"/>
      <c r="N1042" s="1"/>
      <c r="O1042" s="1"/>
      <c r="P1042" s="1"/>
      <c r="Q1042" s="1"/>
    </row>
    <row r="1043" spans="1:17" x14ac:dyDescent="0.25">
      <c r="A1043" s="1" t="s">
        <v>10807</v>
      </c>
      <c r="B1043" s="1" t="s">
        <v>996</v>
      </c>
      <c r="C1043" s="1" t="s">
        <v>997</v>
      </c>
      <c r="D1043" s="1" t="s">
        <v>1078</v>
      </c>
      <c r="E1043" s="1" t="s">
        <v>927</v>
      </c>
      <c r="F1043" s="1" t="s">
        <v>953</v>
      </c>
      <c r="G1043" s="1" t="s">
        <v>10837</v>
      </c>
      <c r="H1043" s="1" t="s">
        <v>10892</v>
      </c>
      <c r="I1043" s="1" t="s">
        <v>10882</v>
      </c>
      <c r="J1043" s="1"/>
      <c r="K1043" s="1"/>
      <c r="L1043" s="1"/>
      <c r="M1043" s="1"/>
      <c r="N1043" s="1"/>
      <c r="O1043" s="1"/>
      <c r="P1043" s="1"/>
      <c r="Q1043" s="1"/>
    </row>
    <row r="1044" spans="1:17" x14ac:dyDescent="0.25">
      <c r="A1044" s="1" t="s">
        <v>50</v>
      </c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</row>
    <row r="1045" spans="1:17" x14ac:dyDescent="0.25">
      <c r="A1045" s="1" t="s">
        <v>50</v>
      </c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</row>
    <row r="1046" spans="1:17" x14ac:dyDescent="0.25">
      <c r="A1046" s="1" t="s">
        <v>50</v>
      </c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</row>
    <row r="1047" spans="1:17" x14ac:dyDescent="0.25">
      <c r="A1047" s="1" t="s">
        <v>2541</v>
      </c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</row>
    <row r="1048" spans="1:17" x14ac:dyDescent="0.25">
      <c r="A1048" s="1" t="s">
        <v>50</v>
      </c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</row>
    <row r="1049" spans="1:17" x14ac:dyDescent="0.25">
      <c r="A1049" s="1" t="s">
        <v>933</v>
      </c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</row>
    <row r="1050" spans="1:17" x14ac:dyDescent="0.25">
      <c r="A1050" s="1" t="s">
        <v>996</v>
      </c>
      <c r="B1050" s="1" t="s">
        <v>998</v>
      </c>
      <c r="C1050" s="1" t="s">
        <v>2541</v>
      </c>
      <c r="D1050" s="1" t="s">
        <v>992</v>
      </c>
      <c r="E1050" s="1" t="s">
        <v>981</v>
      </c>
      <c r="F1050" s="1" t="s">
        <v>10722</v>
      </c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</row>
    <row r="1051" spans="1:17" x14ac:dyDescent="0.25">
      <c r="A1051" s="1" t="s">
        <v>50</v>
      </c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</row>
    <row r="1052" spans="1:17" x14ac:dyDescent="0.25">
      <c r="A1052" s="1" t="s">
        <v>998</v>
      </c>
      <c r="B1052" s="1" t="s">
        <v>994</v>
      </c>
      <c r="C1052" s="1" t="s">
        <v>1066</v>
      </c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</row>
    <row r="1053" spans="1:17" x14ac:dyDescent="0.25">
      <c r="A1053" s="1" t="s">
        <v>918</v>
      </c>
      <c r="B1053" s="1" t="s">
        <v>919</v>
      </c>
      <c r="C1053" s="1" t="s">
        <v>929</v>
      </c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</row>
    <row r="1054" spans="1:17" x14ac:dyDescent="0.25">
      <c r="A1054" s="1" t="s">
        <v>1160</v>
      </c>
      <c r="B1054" s="1" t="s">
        <v>998</v>
      </c>
      <c r="C1054" s="1" t="s">
        <v>1053</v>
      </c>
      <c r="D1054" s="1" t="s">
        <v>933</v>
      </c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</row>
    <row r="1055" spans="1:17" x14ac:dyDescent="0.25">
      <c r="A1055" s="1" t="s">
        <v>10893</v>
      </c>
      <c r="B1055" s="1" t="s">
        <v>10894</v>
      </c>
      <c r="C1055" s="1" t="s">
        <v>1087</v>
      </c>
      <c r="D1055" s="1" t="s">
        <v>999</v>
      </c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</row>
    <row r="1056" spans="1:17" x14ac:dyDescent="0.25">
      <c r="A1056" s="1" t="s">
        <v>10893</v>
      </c>
      <c r="B1056" s="1" t="s">
        <v>10894</v>
      </c>
      <c r="C1056" s="1" t="s">
        <v>1087</v>
      </c>
      <c r="D1056" s="1" t="s">
        <v>999</v>
      </c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</row>
    <row r="1057" spans="1:17" x14ac:dyDescent="0.25">
      <c r="A1057" s="1" t="s">
        <v>1004</v>
      </c>
      <c r="B1057" s="1" t="s">
        <v>1005</v>
      </c>
      <c r="C1057" s="1" t="s">
        <v>1006</v>
      </c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</row>
    <row r="1058" spans="1:17" x14ac:dyDescent="0.25">
      <c r="A1058" s="1" t="s">
        <v>919</v>
      </c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</row>
    <row r="1059" spans="1:17" x14ac:dyDescent="0.25">
      <c r="A1059" s="1" t="s">
        <v>919</v>
      </c>
      <c r="B1059" s="1" t="s">
        <v>918</v>
      </c>
      <c r="C1059" s="1" t="s">
        <v>10895</v>
      </c>
      <c r="D1059" s="1" t="s">
        <v>10747</v>
      </c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</row>
    <row r="1060" spans="1:17" x14ac:dyDescent="0.25">
      <c r="A1060" s="1" t="s">
        <v>918</v>
      </c>
      <c r="B1060" s="1" t="s">
        <v>25</v>
      </c>
      <c r="C1060" s="1" t="s">
        <v>919</v>
      </c>
      <c r="D1060" s="1" t="s">
        <v>920</v>
      </c>
      <c r="E1060" s="1" t="s">
        <v>933</v>
      </c>
      <c r="F1060" s="1" t="s">
        <v>924</v>
      </c>
      <c r="G1060" s="1" t="s">
        <v>921</v>
      </c>
      <c r="H1060" s="1" t="s">
        <v>955</v>
      </c>
      <c r="I1060" s="1" t="s">
        <v>1036</v>
      </c>
      <c r="J1060" s="1" t="s">
        <v>1014</v>
      </c>
      <c r="K1060" s="1" t="s">
        <v>944</v>
      </c>
      <c r="L1060" s="1" t="s">
        <v>956</v>
      </c>
      <c r="M1060" s="1" t="s">
        <v>1066</v>
      </c>
      <c r="N1060" s="1"/>
      <c r="O1060" s="1"/>
      <c r="P1060" s="1"/>
      <c r="Q1060" s="1"/>
    </row>
    <row r="1061" spans="1:17" x14ac:dyDescent="0.25">
      <c r="A1061" s="1" t="s">
        <v>1066</v>
      </c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</row>
    <row r="1062" spans="1:17" x14ac:dyDescent="0.25">
      <c r="A1062" s="1" t="s">
        <v>918</v>
      </c>
      <c r="B1062" s="1" t="s">
        <v>25</v>
      </c>
      <c r="C1062" s="1" t="s">
        <v>927</v>
      </c>
      <c r="D1062" s="1" t="s">
        <v>919</v>
      </c>
      <c r="E1062" s="1" t="s">
        <v>920</v>
      </c>
      <c r="F1062" s="1" t="s">
        <v>921</v>
      </c>
      <c r="G1062" s="1" t="s">
        <v>1066</v>
      </c>
      <c r="H1062" s="1"/>
      <c r="I1062" s="1"/>
      <c r="J1062" s="1"/>
      <c r="K1062" s="1"/>
      <c r="L1062" s="1"/>
      <c r="M1062" s="1"/>
      <c r="N1062" s="1"/>
      <c r="O1062" s="1"/>
      <c r="P1062" s="1"/>
      <c r="Q1062" s="1"/>
    </row>
    <row r="1063" spans="1:17" x14ac:dyDescent="0.25">
      <c r="A1063" s="1" t="s">
        <v>1013</v>
      </c>
      <c r="B1063" s="1" t="s">
        <v>919</v>
      </c>
      <c r="C1063" s="1" t="s">
        <v>1037</v>
      </c>
      <c r="D1063" s="1" t="s">
        <v>1066</v>
      </c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</row>
    <row r="1064" spans="1:17" x14ac:dyDescent="0.25">
      <c r="A1064" s="1" t="s">
        <v>919</v>
      </c>
      <c r="B1064" s="1" t="s">
        <v>941</v>
      </c>
      <c r="C1064" s="1" t="s">
        <v>1014</v>
      </c>
      <c r="D1064" s="1" t="s">
        <v>944</v>
      </c>
      <c r="E1064" s="1" t="s">
        <v>956</v>
      </c>
      <c r="F1064" s="1" t="s">
        <v>918</v>
      </c>
      <c r="G1064" s="1" t="s">
        <v>1110</v>
      </c>
      <c r="H1064" s="1" t="s">
        <v>25</v>
      </c>
      <c r="I1064" s="1" t="s">
        <v>923</v>
      </c>
      <c r="J1064" s="1" t="s">
        <v>920</v>
      </c>
      <c r="K1064" s="1" t="s">
        <v>954</v>
      </c>
      <c r="L1064" s="1" t="s">
        <v>328</v>
      </c>
      <c r="M1064" s="1" t="s">
        <v>921</v>
      </c>
      <c r="N1064" s="1" t="s">
        <v>1054</v>
      </c>
      <c r="O1064" s="1"/>
      <c r="P1064" s="1"/>
      <c r="Q1064" s="1"/>
    </row>
    <row r="1065" spans="1:17" x14ac:dyDescent="0.25">
      <c r="A1065" s="1" t="s">
        <v>919</v>
      </c>
      <c r="B1065" s="1" t="s">
        <v>941</v>
      </c>
      <c r="C1065" s="1" t="s">
        <v>1014</v>
      </c>
      <c r="D1065" s="1" t="s">
        <v>944</v>
      </c>
      <c r="E1065" s="1" t="s">
        <v>956</v>
      </c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</row>
    <row r="1066" spans="1:17" x14ac:dyDescent="0.25">
      <c r="A1066" s="1" t="s">
        <v>919</v>
      </c>
      <c r="B1066" s="1" t="s">
        <v>941</v>
      </c>
      <c r="C1066" s="1" t="s">
        <v>1014</v>
      </c>
      <c r="D1066" s="1" t="s">
        <v>944</v>
      </c>
      <c r="E1066" s="1" t="s">
        <v>956</v>
      </c>
      <c r="F1066" s="1" t="s">
        <v>1066</v>
      </c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</row>
    <row r="1067" spans="1:17" x14ac:dyDescent="0.25">
      <c r="A1067" s="1" t="s">
        <v>25</v>
      </c>
      <c r="B1067" s="1" t="s">
        <v>1053</v>
      </c>
      <c r="C1067" s="1" t="s">
        <v>256</v>
      </c>
      <c r="D1067" s="1" t="s">
        <v>1150</v>
      </c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</row>
    <row r="1068" spans="1:17" x14ac:dyDescent="0.25">
      <c r="A1068" s="1" t="s">
        <v>918</v>
      </c>
      <c r="B1068" s="1" t="s">
        <v>10726</v>
      </c>
      <c r="C1068" s="1" t="s">
        <v>919</v>
      </c>
      <c r="D1068" s="1" t="s">
        <v>920</v>
      </c>
      <c r="E1068" s="1" t="s">
        <v>924</v>
      </c>
      <c r="F1068" s="1" t="s">
        <v>1020</v>
      </c>
      <c r="G1068" s="1" t="s">
        <v>936</v>
      </c>
      <c r="H1068" s="1" t="s">
        <v>921</v>
      </c>
      <c r="I1068" s="1" t="s">
        <v>1001</v>
      </c>
      <c r="J1068" s="1" t="s">
        <v>927</v>
      </c>
      <c r="K1068" s="1" t="s">
        <v>960</v>
      </c>
      <c r="L1068" s="1" t="s">
        <v>1066</v>
      </c>
      <c r="M1068" s="1"/>
      <c r="N1068" s="1"/>
      <c r="O1068" s="1"/>
      <c r="P1068" s="1"/>
      <c r="Q1068" s="1"/>
    </row>
    <row r="1069" spans="1:17" x14ac:dyDescent="0.25">
      <c r="A1069" s="1" t="s">
        <v>50</v>
      </c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</row>
    <row r="1070" spans="1:17" x14ac:dyDescent="0.25">
      <c r="A1070" s="1" t="s">
        <v>50</v>
      </c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</row>
    <row r="1071" spans="1:17" x14ac:dyDescent="0.25">
      <c r="A1071" s="1" t="s">
        <v>933</v>
      </c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</row>
    <row r="1072" spans="1:17" x14ac:dyDescent="0.25">
      <c r="A1072" s="1" t="s">
        <v>933</v>
      </c>
      <c r="B1072" s="1" t="s">
        <v>10896</v>
      </c>
      <c r="C1072" s="1" t="s">
        <v>1013</v>
      </c>
      <c r="D1072" s="1" t="s">
        <v>927</v>
      </c>
      <c r="E1072" s="1" t="s">
        <v>981</v>
      </c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</row>
    <row r="1073" spans="1:17" x14ac:dyDescent="0.25">
      <c r="A1073" s="1" t="s">
        <v>25</v>
      </c>
      <c r="B1073" s="1" t="s">
        <v>916</v>
      </c>
      <c r="C1073" s="1" t="s">
        <v>919</v>
      </c>
      <c r="D1073" s="1" t="s">
        <v>922</v>
      </c>
      <c r="E1073" s="1" t="s">
        <v>928</v>
      </c>
      <c r="F1073" s="1" t="s">
        <v>10897</v>
      </c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</row>
    <row r="1074" spans="1:17" x14ac:dyDescent="0.25">
      <c r="A1074" s="1" t="s">
        <v>25</v>
      </c>
      <c r="B1074" s="1" t="s">
        <v>916</v>
      </c>
      <c r="C1074" s="1" t="s">
        <v>919</v>
      </c>
      <c r="D1074" s="1" t="s">
        <v>922</v>
      </c>
      <c r="E1074" s="1" t="s">
        <v>918</v>
      </c>
      <c r="F1074" s="1" t="s">
        <v>929</v>
      </c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</row>
    <row r="1075" spans="1:17" x14ac:dyDescent="0.25">
      <c r="A1075" s="1" t="s">
        <v>10893</v>
      </c>
      <c r="B1075" s="1" t="s">
        <v>10894</v>
      </c>
      <c r="C1075" s="1" t="s">
        <v>1087</v>
      </c>
      <c r="D1075" s="1" t="s">
        <v>999</v>
      </c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</row>
    <row r="1076" spans="1:17" x14ac:dyDescent="0.25">
      <c r="A1076" s="1" t="s">
        <v>918</v>
      </c>
      <c r="B1076" s="1" t="s">
        <v>919</v>
      </c>
      <c r="C1076" s="1" t="s">
        <v>929</v>
      </c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</row>
    <row r="1077" spans="1:17" x14ac:dyDescent="0.25">
      <c r="A1077" s="1" t="s">
        <v>281</v>
      </c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</row>
    <row r="1078" spans="1:17" x14ac:dyDescent="0.25">
      <c r="A1078" s="1" t="s">
        <v>50</v>
      </c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</row>
    <row r="1079" spans="1:17" x14ac:dyDescent="0.25">
      <c r="A1079" s="1" t="s">
        <v>50</v>
      </c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</row>
    <row r="1080" spans="1:17" x14ac:dyDescent="0.25">
      <c r="A1080" s="1" t="s">
        <v>1086</v>
      </c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</row>
    <row r="1081" spans="1:17" x14ac:dyDescent="0.25">
      <c r="A1081" s="1" t="s">
        <v>918</v>
      </c>
      <c r="B1081" s="1" t="s">
        <v>25</v>
      </c>
      <c r="C1081" s="1" t="s">
        <v>923</v>
      </c>
      <c r="D1081" s="1" t="s">
        <v>1078</v>
      </c>
      <c r="E1081" s="1" t="s">
        <v>919</v>
      </c>
      <c r="F1081" s="1" t="s">
        <v>920</v>
      </c>
      <c r="G1081" s="1" t="s">
        <v>924</v>
      </c>
      <c r="H1081" s="1" t="s">
        <v>921</v>
      </c>
      <c r="I1081" s="1" t="s">
        <v>964</v>
      </c>
      <c r="J1081" s="1" t="s">
        <v>1109</v>
      </c>
      <c r="K1081" s="1" t="s">
        <v>981</v>
      </c>
      <c r="L1081" s="1" t="s">
        <v>916</v>
      </c>
      <c r="M1081" s="1" t="s">
        <v>980</v>
      </c>
      <c r="N1081" s="1"/>
      <c r="O1081" s="1"/>
      <c r="P1081" s="1"/>
      <c r="Q1081" s="1"/>
    </row>
    <row r="1082" spans="1:17" x14ac:dyDescent="0.25">
      <c r="A1082" s="1" t="s">
        <v>1041</v>
      </c>
      <c r="B1082" s="1" t="s">
        <v>1042</v>
      </c>
      <c r="C1082" s="1" t="s">
        <v>999</v>
      </c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</row>
    <row r="1083" spans="1:17" x14ac:dyDescent="0.25">
      <c r="A1083" s="1" t="s">
        <v>10893</v>
      </c>
      <c r="B1083" s="1" t="s">
        <v>10894</v>
      </c>
      <c r="C1083" s="1" t="s">
        <v>1087</v>
      </c>
      <c r="D1083" s="1" t="s">
        <v>999</v>
      </c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</row>
    <row r="1084" spans="1:17" x14ac:dyDescent="0.25">
      <c r="A1084" s="1" t="s">
        <v>10893</v>
      </c>
      <c r="B1084" s="1" t="s">
        <v>10894</v>
      </c>
      <c r="C1084" s="1" t="s">
        <v>1087</v>
      </c>
      <c r="D1084" s="1" t="s">
        <v>999</v>
      </c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</row>
    <row r="1085" spans="1:17" x14ac:dyDescent="0.25">
      <c r="A1085" s="1" t="s">
        <v>989</v>
      </c>
      <c r="B1085" s="1" t="s">
        <v>919</v>
      </c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</row>
    <row r="1086" spans="1:17" x14ac:dyDescent="0.25">
      <c r="A1086" s="1" t="s">
        <v>25</v>
      </c>
      <c r="B1086" s="1" t="s">
        <v>1086</v>
      </c>
      <c r="C1086" s="1" t="s">
        <v>919</v>
      </c>
      <c r="D1086" s="1" t="s">
        <v>920</v>
      </c>
      <c r="E1086" s="1" t="s">
        <v>921</v>
      </c>
      <c r="F1086" s="1" t="s">
        <v>918</v>
      </c>
      <c r="G1086" s="1" t="s">
        <v>1148</v>
      </c>
      <c r="H1086" s="1" t="s">
        <v>923</v>
      </c>
      <c r="I1086" s="1" t="s">
        <v>927</v>
      </c>
      <c r="J1086" s="1" t="s">
        <v>1149</v>
      </c>
      <c r="K1086" s="1"/>
      <c r="L1086" s="1"/>
      <c r="M1086" s="1"/>
      <c r="N1086" s="1"/>
      <c r="O1086" s="1"/>
      <c r="P1086" s="1"/>
      <c r="Q1086" s="1"/>
    </row>
    <row r="1087" spans="1:17" x14ac:dyDescent="0.25">
      <c r="A1087" s="1" t="s">
        <v>989</v>
      </c>
      <c r="B1087" s="1" t="s">
        <v>919</v>
      </c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</row>
    <row r="1088" spans="1:17" x14ac:dyDescent="0.25">
      <c r="A1088" s="1" t="s">
        <v>989</v>
      </c>
      <c r="B1088" s="1" t="s">
        <v>919</v>
      </c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</row>
    <row r="1089" spans="1:17" x14ac:dyDescent="0.25">
      <c r="A1089" s="1" t="s">
        <v>989</v>
      </c>
      <c r="B1089" s="1" t="s">
        <v>919</v>
      </c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</row>
    <row r="1090" spans="1:17" x14ac:dyDescent="0.25">
      <c r="A1090" s="1" t="s">
        <v>989</v>
      </c>
      <c r="B1090" s="1" t="s">
        <v>919</v>
      </c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</row>
    <row r="1091" spans="1:17" x14ac:dyDescent="0.25">
      <c r="A1091" s="1" t="s">
        <v>918</v>
      </c>
      <c r="B1091" s="1" t="s">
        <v>25</v>
      </c>
      <c r="C1091" s="1" t="s">
        <v>927</v>
      </c>
      <c r="D1091" s="1" t="s">
        <v>919</v>
      </c>
      <c r="E1091" s="1" t="s">
        <v>920</v>
      </c>
      <c r="F1091" s="1" t="s">
        <v>921</v>
      </c>
      <c r="G1091" s="1" t="s">
        <v>989</v>
      </c>
      <c r="H1091" s="1"/>
      <c r="I1091" s="1"/>
      <c r="J1091" s="1"/>
      <c r="K1091" s="1"/>
      <c r="L1091" s="1"/>
      <c r="M1091" s="1"/>
      <c r="N1091" s="1"/>
      <c r="O1091" s="1"/>
      <c r="P1091" s="1"/>
      <c r="Q1091" s="1"/>
    </row>
    <row r="1092" spans="1:17" x14ac:dyDescent="0.25">
      <c r="A1092" s="1" t="s">
        <v>989</v>
      </c>
      <c r="B1092" s="1" t="s">
        <v>919</v>
      </c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</row>
    <row r="1093" spans="1:17" x14ac:dyDescent="0.25">
      <c r="A1093" s="1" t="s">
        <v>1066</v>
      </c>
      <c r="B1093" s="1" t="s">
        <v>10731</v>
      </c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</row>
    <row r="1094" spans="1:17" x14ac:dyDescent="0.25">
      <c r="A1094" s="1" t="s">
        <v>933</v>
      </c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</row>
    <row r="1095" spans="1:17" x14ac:dyDescent="0.25">
      <c r="A1095" s="1" t="s">
        <v>50</v>
      </c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</row>
    <row r="1096" spans="1:17" x14ac:dyDescent="0.25">
      <c r="A1096" s="1" t="s">
        <v>1001</v>
      </c>
      <c r="B1096" s="1" t="s">
        <v>992</v>
      </c>
      <c r="C1096" s="1" t="s">
        <v>981</v>
      </c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</row>
    <row r="1097" spans="1:17" x14ac:dyDescent="0.25">
      <c r="A1097" s="1" t="s">
        <v>4032</v>
      </c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</row>
    <row r="1098" spans="1:17" x14ac:dyDescent="0.25">
      <c r="A1098" s="1" t="s">
        <v>1001</v>
      </c>
      <c r="B1098" s="1" t="s">
        <v>927</v>
      </c>
      <c r="C1098" s="1" t="s">
        <v>992</v>
      </c>
      <c r="D1098" s="1" t="s">
        <v>981</v>
      </c>
      <c r="E1098" s="1" t="s">
        <v>993</v>
      </c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</row>
    <row r="1099" spans="1:17" x14ac:dyDescent="0.25">
      <c r="A1099" s="1" t="s">
        <v>4037</v>
      </c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</row>
    <row r="1100" spans="1:17" x14ac:dyDescent="0.25">
      <c r="A1100" s="1" t="s">
        <v>10893</v>
      </c>
      <c r="B1100" s="1" t="s">
        <v>10894</v>
      </c>
      <c r="C1100" s="1" t="s">
        <v>1087</v>
      </c>
      <c r="D1100" s="1" t="s">
        <v>999</v>
      </c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</row>
    <row r="1101" spans="1:17" x14ac:dyDescent="0.25">
      <c r="A1101" s="1" t="s">
        <v>328</v>
      </c>
      <c r="B1101" s="1" t="s">
        <v>923</v>
      </c>
      <c r="C1101" s="1" t="s">
        <v>960</v>
      </c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</row>
    <row r="1102" spans="1:17" x14ac:dyDescent="0.25">
      <c r="A1102" s="1" t="s">
        <v>934</v>
      </c>
      <c r="B1102" s="1" t="s">
        <v>918</v>
      </c>
      <c r="C1102" s="1" t="s">
        <v>25</v>
      </c>
      <c r="D1102" s="1" t="s">
        <v>923</v>
      </c>
      <c r="E1102" s="1" t="s">
        <v>935</v>
      </c>
      <c r="F1102" s="1" t="s">
        <v>920</v>
      </c>
      <c r="G1102" s="1" t="s">
        <v>921</v>
      </c>
      <c r="H1102" s="1" t="s">
        <v>955</v>
      </c>
      <c r="I1102" s="1" t="s">
        <v>924</v>
      </c>
      <c r="J1102" s="1" t="s">
        <v>1014</v>
      </c>
      <c r="K1102" s="1" t="s">
        <v>944</v>
      </c>
      <c r="L1102" s="1" t="s">
        <v>956</v>
      </c>
      <c r="M1102" s="1"/>
      <c r="N1102" s="1"/>
      <c r="O1102" s="1"/>
      <c r="P1102" s="1"/>
      <c r="Q1102" s="1"/>
    </row>
    <row r="1103" spans="1:17" x14ac:dyDescent="0.25">
      <c r="A1103" s="1" t="s">
        <v>955</v>
      </c>
      <c r="B1103" s="1" t="s">
        <v>1014</v>
      </c>
      <c r="C1103" s="1" t="s">
        <v>328</v>
      </c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</row>
    <row r="1104" spans="1:17" x14ac:dyDescent="0.25">
      <c r="A1104" s="1" t="s">
        <v>918</v>
      </c>
      <c r="B1104" s="1" t="s">
        <v>25</v>
      </c>
      <c r="C1104" s="1" t="s">
        <v>923</v>
      </c>
      <c r="D1104" s="1" t="s">
        <v>916</v>
      </c>
      <c r="E1104" s="1" t="s">
        <v>919</v>
      </c>
      <c r="F1104" s="1" t="s">
        <v>924</v>
      </c>
      <c r="G1104" s="1" t="s">
        <v>974</v>
      </c>
      <c r="H1104" s="1" t="s">
        <v>922</v>
      </c>
      <c r="I1104" s="1" t="s">
        <v>983</v>
      </c>
      <c r="J1104" s="1" t="s">
        <v>921</v>
      </c>
      <c r="K1104" s="1" t="s">
        <v>929</v>
      </c>
      <c r="L1104" s="1"/>
      <c r="M1104" s="1"/>
      <c r="N1104" s="1"/>
      <c r="O1104" s="1"/>
      <c r="P1104" s="1"/>
      <c r="Q1104" s="1"/>
    </row>
    <row r="1105" spans="1:17" x14ac:dyDescent="0.25">
      <c r="A1105" s="1" t="s">
        <v>918</v>
      </c>
      <c r="B1105" s="1" t="s">
        <v>25</v>
      </c>
      <c r="C1105" s="1" t="s">
        <v>923</v>
      </c>
      <c r="D1105" s="1" t="s">
        <v>999</v>
      </c>
      <c r="E1105" s="1" t="s">
        <v>919</v>
      </c>
      <c r="F1105" s="1" t="s">
        <v>920</v>
      </c>
      <c r="G1105" s="1" t="s">
        <v>921</v>
      </c>
      <c r="H1105" s="1"/>
      <c r="I1105" s="1"/>
      <c r="J1105" s="1"/>
      <c r="K1105" s="1"/>
      <c r="L1105" s="1"/>
      <c r="M1105" s="1"/>
      <c r="N1105" s="1"/>
      <c r="O1105" s="1"/>
      <c r="P1105" s="1"/>
      <c r="Q1105" s="1"/>
    </row>
    <row r="1106" spans="1:17" x14ac:dyDescent="0.25">
      <c r="A1106" s="1" t="s">
        <v>947</v>
      </c>
      <c r="B1106" s="1" t="s">
        <v>10761</v>
      </c>
      <c r="C1106" s="1" t="s">
        <v>10898</v>
      </c>
      <c r="D1106" s="1" t="s">
        <v>950</v>
      </c>
      <c r="E1106" s="1" t="s">
        <v>918</v>
      </c>
      <c r="F1106" s="1" t="s">
        <v>25</v>
      </c>
      <c r="G1106" s="1" t="s">
        <v>923</v>
      </c>
      <c r="H1106" s="1" t="s">
        <v>920</v>
      </c>
      <c r="I1106" s="1" t="s">
        <v>933</v>
      </c>
      <c r="J1106" s="1" t="s">
        <v>921</v>
      </c>
      <c r="K1106" s="1" t="s">
        <v>1108</v>
      </c>
      <c r="L1106" s="1"/>
      <c r="M1106" s="1"/>
      <c r="N1106" s="1"/>
      <c r="O1106" s="1"/>
      <c r="P1106" s="1"/>
      <c r="Q1106" s="1"/>
    </row>
    <row r="1107" spans="1:17" x14ac:dyDescent="0.25">
      <c r="A1107" s="1" t="s">
        <v>923</v>
      </c>
      <c r="B1107" s="1" t="s">
        <v>918</v>
      </c>
      <c r="C1107" s="1" t="s">
        <v>25</v>
      </c>
      <c r="D1107" s="1" t="s">
        <v>920</v>
      </c>
      <c r="E1107" s="1" t="s">
        <v>328</v>
      </c>
      <c r="F1107" s="1" t="s">
        <v>921</v>
      </c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</row>
    <row r="1108" spans="1:17" x14ac:dyDescent="0.25">
      <c r="A1108" s="1" t="s">
        <v>1067</v>
      </c>
      <c r="B1108" s="1" t="s">
        <v>1068</v>
      </c>
      <c r="C1108" s="1" t="s">
        <v>328</v>
      </c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</row>
    <row r="1109" spans="1:17" x14ac:dyDescent="0.25">
      <c r="A1109" s="1" t="s">
        <v>918</v>
      </c>
      <c r="B1109" s="1" t="s">
        <v>919</v>
      </c>
      <c r="C1109" s="1" t="s">
        <v>10899</v>
      </c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</row>
    <row r="1110" spans="1:17" x14ac:dyDescent="0.25">
      <c r="A1110" s="1" t="s">
        <v>1001</v>
      </c>
      <c r="B1110" s="1" t="s">
        <v>927</v>
      </c>
      <c r="C1110" s="1" t="s">
        <v>987</v>
      </c>
      <c r="D1110" s="1" t="s">
        <v>981</v>
      </c>
      <c r="E1110" s="1" t="s">
        <v>919</v>
      </c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</row>
    <row r="1111" spans="1:17" x14ac:dyDescent="0.25">
      <c r="A1111" s="1" t="s">
        <v>4058</v>
      </c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</row>
    <row r="1112" spans="1:17" x14ac:dyDescent="0.25">
      <c r="A1112" s="1" t="s">
        <v>25</v>
      </c>
      <c r="B1112" s="1" t="s">
        <v>1086</v>
      </c>
      <c r="C1112" s="1" t="s">
        <v>919</v>
      </c>
      <c r="D1112" s="1" t="s">
        <v>920</v>
      </c>
      <c r="E1112" s="1" t="s">
        <v>921</v>
      </c>
      <c r="F1112" s="1" t="s">
        <v>918</v>
      </c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</row>
    <row r="1113" spans="1:17" x14ac:dyDescent="0.25">
      <c r="A1113" s="1" t="s">
        <v>25</v>
      </c>
      <c r="B1113" s="1" t="s">
        <v>1086</v>
      </c>
      <c r="C1113" s="1" t="s">
        <v>919</v>
      </c>
      <c r="D1113" s="1" t="s">
        <v>920</v>
      </c>
      <c r="E1113" s="1" t="s">
        <v>921</v>
      </c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</row>
    <row r="1114" spans="1:17" x14ac:dyDescent="0.25">
      <c r="A1114" s="1" t="s">
        <v>923</v>
      </c>
      <c r="B1114" s="1" t="s">
        <v>997</v>
      </c>
      <c r="C1114" s="1" t="s">
        <v>1066</v>
      </c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</row>
    <row r="1115" spans="1:17" x14ac:dyDescent="0.25">
      <c r="A1115" s="1" t="s">
        <v>933</v>
      </c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</row>
    <row r="1116" spans="1:17" x14ac:dyDescent="0.25">
      <c r="A1116" s="1" t="s">
        <v>1053</v>
      </c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</row>
    <row r="1117" spans="1:17" x14ac:dyDescent="0.25">
      <c r="A1117" s="1" t="s">
        <v>50</v>
      </c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</row>
    <row r="1118" spans="1:17" x14ac:dyDescent="0.25">
      <c r="A1118" s="1" t="s">
        <v>10807</v>
      </c>
      <c r="B1118" s="1" t="s">
        <v>996</v>
      </c>
      <c r="C1118" s="1" t="s">
        <v>2541</v>
      </c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</row>
    <row r="1119" spans="1:17" x14ac:dyDescent="0.25">
      <c r="A1119" s="1" t="s">
        <v>750</v>
      </c>
      <c r="B1119" s="1" t="s">
        <v>1129</v>
      </c>
      <c r="C1119" s="1" t="s">
        <v>840</v>
      </c>
      <c r="D1119" s="1" t="s">
        <v>761</v>
      </c>
      <c r="E1119" s="1" t="s">
        <v>298</v>
      </c>
      <c r="F1119" s="1" t="s">
        <v>25</v>
      </c>
      <c r="G1119" s="1" t="s">
        <v>923</v>
      </c>
      <c r="H1119" s="1" t="s">
        <v>998</v>
      </c>
      <c r="I1119" s="1" t="s">
        <v>1053</v>
      </c>
      <c r="J1119" s="1" t="s">
        <v>933</v>
      </c>
      <c r="K1119" s="1" t="s">
        <v>1001</v>
      </c>
      <c r="L1119" s="1" t="s">
        <v>927</v>
      </c>
      <c r="M1119" s="1" t="s">
        <v>919</v>
      </c>
      <c r="N1119" s="1" t="s">
        <v>936</v>
      </c>
      <c r="O1119" s="1" t="s">
        <v>961</v>
      </c>
      <c r="P1119" s="1"/>
      <c r="Q1119" s="1"/>
    </row>
    <row r="1120" spans="1:17" x14ac:dyDescent="0.25">
      <c r="A1120" s="1" t="s">
        <v>931</v>
      </c>
      <c r="B1120" s="1" t="s">
        <v>932</v>
      </c>
      <c r="C1120" s="1" t="s">
        <v>923</v>
      </c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</row>
    <row r="1121" spans="1:17" x14ac:dyDescent="0.25">
      <c r="A1121" s="1" t="s">
        <v>1118</v>
      </c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</row>
    <row r="1122" spans="1:17" x14ac:dyDescent="0.25">
      <c r="A1122" s="1" t="s">
        <v>1001</v>
      </c>
      <c r="B1122" s="1" t="s">
        <v>918</v>
      </c>
      <c r="C1122" s="1" t="s">
        <v>927</v>
      </c>
      <c r="D1122" s="1" t="s">
        <v>919</v>
      </c>
      <c r="E1122" s="1" t="s">
        <v>1020</v>
      </c>
      <c r="F1122" s="1" t="s">
        <v>936</v>
      </c>
      <c r="G1122" s="1" t="s">
        <v>1037</v>
      </c>
      <c r="H1122" s="1" t="s">
        <v>1110</v>
      </c>
      <c r="I1122" s="1" t="s">
        <v>25</v>
      </c>
      <c r="J1122" s="1" t="s">
        <v>923</v>
      </c>
      <c r="K1122" s="1" t="s">
        <v>920</v>
      </c>
      <c r="L1122" s="1" t="s">
        <v>954</v>
      </c>
      <c r="M1122" s="1" t="s">
        <v>328</v>
      </c>
      <c r="N1122" s="1" t="s">
        <v>921</v>
      </c>
      <c r="O1122" s="1"/>
      <c r="P1122" s="1"/>
      <c r="Q1122" s="1"/>
    </row>
    <row r="1123" spans="1:17" x14ac:dyDescent="0.25">
      <c r="A1123" s="1" t="s">
        <v>933</v>
      </c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</row>
    <row r="1124" spans="1:17" x14ac:dyDescent="0.25">
      <c r="A1124" s="1" t="s">
        <v>1053</v>
      </c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</row>
    <row r="1125" spans="1:17" x14ac:dyDescent="0.25">
      <c r="A1125" s="1" t="s">
        <v>933</v>
      </c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</row>
    <row r="1126" spans="1:17" x14ac:dyDescent="0.25">
      <c r="A1126" s="1" t="s">
        <v>958</v>
      </c>
      <c r="B1126" s="1" t="s">
        <v>10738</v>
      </c>
      <c r="C1126" s="1" t="s">
        <v>977</v>
      </c>
      <c r="D1126" s="1" t="s">
        <v>1066</v>
      </c>
      <c r="E1126" s="1" t="s">
        <v>957</v>
      </c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</row>
    <row r="1127" spans="1:17" x14ac:dyDescent="0.25">
      <c r="A1127" s="1" t="s">
        <v>924</v>
      </c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</row>
    <row r="1128" spans="1:17" x14ac:dyDescent="0.25">
      <c r="A1128" s="1" t="s">
        <v>25</v>
      </c>
      <c r="B1128" s="1" t="s">
        <v>927</v>
      </c>
      <c r="C1128" s="1" t="s">
        <v>998</v>
      </c>
      <c r="D1128" s="1" t="s">
        <v>920</v>
      </c>
      <c r="E1128" s="1" t="s">
        <v>933</v>
      </c>
      <c r="F1128" s="1" t="s">
        <v>921</v>
      </c>
      <c r="G1128" s="1" t="s">
        <v>1069</v>
      </c>
      <c r="H1128" s="1"/>
      <c r="I1128" s="1"/>
      <c r="J1128" s="1"/>
      <c r="K1128" s="1"/>
      <c r="L1128" s="1"/>
      <c r="M1128" s="1"/>
      <c r="N1128" s="1"/>
      <c r="O1128" s="1"/>
      <c r="P1128" s="1"/>
      <c r="Q1128" s="1"/>
    </row>
    <row r="1129" spans="1:17" x14ac:dyDescent="0.25">
      <c r="A1129" s="1" t="s">
        <v>923</v>
      </c>
      <c r="B1129" s="1" t="s">
        <v>934</v>
      </c>
      <c r="C1129" s="1" t="s">
        <v>25</v>
      </c>
      <c r="D1129" s="1" t="s">
        <v>6421</v>
      </c>
      <c r="E1129" s="1" t="s">
        <v>920</v>
      </c>
      <c r="F1129" s="1" t="s">
        <v>328</v>
      </c>
      <c r="G1129" s="1" t="s">
        <v>921</v>
      </c>
      <c r="H1129" s="1" t="s">
        <v>1013</v>
      </c>
      <c r="I1129" s="1"/>
      <c r="J1129" s="1"/>
      <c r="K1129" s="1"/>
      <c r="L1129" s="1"/>
      <c r="M1129" s="1"/>
      <c r="N1129" s="1"/>
      <c r="O1129" s="1"/>
      <c r="P1129" s="1"/>
      <c r="Q1129" s="1"/>
    </row>
    <row r="1130" spans="1:17" x14ac:dyDescent="0.25">
      <c r="A1130" s="1" t="s">
        <v>4058</v>
      </c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</row>
    <row r="1131" spans="1:17" x14ac:dyDescent="0.25">
      <c r="A1131" s="1" t="s">
        <v>4058</v>
      </c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</row>
    <row r="1132" spans="1:17" x14ac:dyDescent="0.25">
      <c r="A1132" s="1" t="s">
        <v>4058</v>
      </c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</row>
    <row r="1133" spans="1:17" x14ac:dyDescent="0.25">
      <c r="A1133" s="1" t="s">
        <v>998</v>
      </c>
      <c r="B1133" s="1" t="s">
        <v>1086</v>
      </c>
      <c r="C1133" s="1" t="s">
        <v>933</v>
      </c>
      <c r="D1133" s="1" t="s">
        <v>1066</v>
      </c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</row>
    <row r="1134" spans="1:17" x14ac:dyDescent="0.25">
      <c r="A1134" s="1" t="s">
        <v>2927</v>
      </c>
      <c r="B1134" s="1" t="s">
        <v>1069</v>
      </c>
      <c r="C1134" s="1" t="s">
        <v>25</v>
      </c>
      <c r="D1134" s="1" t="s">
        <v>923</v>
      </c>
      <c r="E1134" s="1" t="s">
        <v>1167</v>
      </c>
      <c r="F1134" s="1" t="s">
        <v>998</v>
      </c>
      <c r="G1134" s="1" t="s">
        <v>1053</v>
      </c>
      <c r="H1134" s="1" t="s">
        <v>1086</v>
      </c>
      <c r="I1134" s="1" t="s">
        <v>933</v>
      </c>
      <c r="J1134" s="1" t="s">
        <v>994</v>
      </c>
      <c r="K1134" s="1"/>
      <c r="L1134" s="1"/>
      <c r="M1134" s="1"/>
      <c r="N1134" s="1"/>
      <c r="O1134" s="1"/>
      <c r="P1134" s="1"/>
      <c r="Q1134" s="1"/>
    </row>
    <row r="1135" spans="1:17" x14ac:dyDescent="0.25">
      <c r="A1135" s="1" t="s">
        <v>50</v>
      </c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</row>
    <row r="1136" spans="1:17" x14ac:dyDescent="0.25">
      <c r="A1136" s="1" t="s">
        <v>918</v>
      </c>
      <c r="B1136" s="1" t="s">
        <v>940</v>
      </c>
      <c r="C1136" s="1" t="s">
        <v>1011</v>
      </c>
      <c r="D1136" s="1" t="s">
        <v>25</v>
      </c>
      <c r="E1136" s="1" t="s">
        <v>923</v>
      </c>
      <c r="F1136" s="1" t="s">
        <v>916</v>
      </c>
      <c r="G1136" s="1" t="s">
        <v>920</v>
      </c>
      <c r="H1136" s="1" t="s">
        <v>933</v>
      </c>
      <c r="I1136" s="1" t="s">
        <v>954</v>
      </c>
      <c r="J1136" s="1" t="s">
        <v>921</v>
      </c>
      <c r="K1136" s="1"/>
      <c r="L1136" s="1"/>
      <c r="M1136" s="1"/>
      <c r="N1136" s="1"/>
      <c r="O1136" s="1"/>
      <c r="P1136" s="1"/>
      <c r="Q1136" s="1"/>
    </row>
    <row r="1137" spans="1:17" x14ac:dyDescent="0.25">
      <c r="A1137" s="1" t="s">
        <v>1086</v>
      </c>
      <c r="B1137" s="1" t="s">
        <v>974</v>
      </c>
      <c r="C1137" s="1" t="s">
        <v>512</v>
      </c>
      <c r="D1137" s="1" t="s">
        <v>10720</v>
      </c>
      <c r="E1137" s="1" t="s">
        <v>1167</v>
      </c>
      <c r="F1137" s="1" t="s">
        <v>1053</v>
      </c>
      <c r="G1137" s="1" t="s">
        <v>933</v>
      </c>
      <c r="H1137" s="1"/>
      <c r="I1137" s="1"/>
      <c r="J1137" s="1"/>
      <c r="K1137" s="1"/>
      <c r="L1137" s="1"/>
      <c r="M1137" s="1"/>
      <c r="N1137" s="1"/>
      <c r="O1137" s="1"/>
      <c r="P1137" s="1"/>
      <c r="Q1137" s="1"/>
    </row>
    <row r="1138" spans="1:17" x14ac:dyDescent="0.25">
      <c r="A1138" s="1" t="s">
        <v>50</v>
      </c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</row>
    <row r="1139" spans="1:17" x14ac:dyDescent="0.25">
      <c r="A1139" s="1" t="s">
        <v>50</v>
      </c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</row>
    <row r="1140" spans="1:17" x14ac:dyDescent="0.25">
      <c r="A1140" s="1" t="s">
        <v>931</v>
      </c>
      <c r="B1140" s="1" t="s">
        <v>948</v>
      </c>
      <c r="C1140" s="1" t="s">
        <v>1149</v>
      </c>
      <c r="D1140" s="1" t="s">
        <v>923</v>
      </c>
      <c r="E1140" s="1" t="s">
        <v>2927</v>
      </c>
      <c r="F1140" s="1" t="s">
        <v>933</v>
      </c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</row>
    <row r="1141" spans="1:17" x14ac:dyDescent="0.25">
      <c r="A1141" s="1" t="s">
        <v>10719</v>
      </c>
      <c r="B1141" s="1" t="s">
        <v>10720</v>
      </c>
      <c r="C1141" s="1" t="s">
        <v>2927</v>
      </c>
      <c r="D1141" s="1" t="s">
        <v>1149</v>
      </c>
      <c r="E1141" s="1" t="s">
        <v>25</v>
      </c>
      <c r="F1141" s="1" t="s">
        <v>923</v>
      </c>
      <c r="G1141" s="1" t="s">
        <v>998</v>
      </c>
      <c r="H1141" s="1" t="s">
        <v>1053</v>
      </c>
      <c r="I1141" s="1" t="s">
        <v>1086</v>
      </c>
      <c r="J1141" s="1" t="s">
        <v>920</v>
      </c>
      <c r="K1141" s="1" t="s">
        <v>933</v>
      </c>
      <c r="L1141" s="1"/>
      <c r="M1141" s="1"/>
      <c r="N1141" s="1"/>
      <c r="O1141" s="1"/>
      <c r="P1141" s="1"/>
      <c r="Q1141" s="1"/>
    </row>
    <row r="1142" spans="1:17" x14ac:dyDescent="0.25">
      <c r="A1142" s="1" t="s">
        <v>298</v>
      </c>
      <c r="B1142" s="1" t="s">
        <v>923</v>
      </c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</row>
    <row r="1143" spans="1:17" x14ac:dyDescent="0.25">
      <c r="A1143" s="1" t="s">
        <v>4131</v>
      </c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</row>
    <row r="1144" spans="1:17" x14ac:dyDescent="0.25">
      <c r="A1144" s="1" t="s">
        <v>1030</v>
      </c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</row>
    <row r="1145" spans="1:17" x14ac:dyDescent="0.25">
      <c r="A1145" s="1" t="s">
        <v>923</v>
      </c>
      <c r="B1145" s="1" t="s">
        <v>1053</v>
      </c>
      <c r="C1145" s="1" t="s">
        <v>933</v>
      </c>
      <c r="D1145" s="1" t="s">
        <v>2927</v>
      </c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</row>
    <row r="1146" spans="1:17" x14ac:dyDescent="0.25">
      <c r="A1146" s="1" t="s">
        <v>3248</v>
      </c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</row>
    <row r="1147" spans="1:17" x14ac:dyDescent="0.25">
      <c r="A1147" s="1" t="s">
        <v>25</v>
      </c>
      <c r="B1147" s="1" t="s">
        <v>1086</v>
      </c>
      <c r="C1147" s="1" t="s">
        <v>919</v>
      </c>
      <c r="D1147" s="1" t="s">
        <v>920</v>
      </c>
      <c r="E1147" s="1" t="s">
        <v>921</v>
      </c>
      <c r="F1147" s="1" t="s">
        <v>983</v>
      </c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</row>
    <row r="1148" spans="1:17" x14ac:dyDescent="0.25">
      <c r="A1148" s="1" t="s">
        <v>1013</v>
      </c>
      <c r="B1148" s="1" t="s">
        <v>138</v>
      </c>
      <c r="C1148" s="1" t="s">
        <v>10900</v>
      </c>
      <c r="D1148" s="1" t="s">
        <v>924</v>
      </c>
      <c r="E1148" s="1" t="s">
        <v>1015</v>
      </c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</row>
    <row r="1149" spans="1:17" x14ac:dyDescent="0.25">
      <c r="A1149" s="1" t="s">
        <v>4146</v>
      </c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</row>
    <row r="1150" spans="1:17" x14ac:dyDescent="0.25">
      <c r="A1150" s="1" t="s">
        <v>50</v>
      </c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</row>
    <row r="1151" spans="1:17" x14ac:dyDescent="0.25">
      <c r="A1151" s="1" t="s">
        <v>25</v>
      </c>
      <c r="B1151" s="1" t="s">
        <v>1053</v>
      </c>
      <c r="C1151" s="1" t="s">
        <v>256</v>
      </c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</row>
    <row r="1152" spans="1:17" x14ac:dyDescent="0.25">
      <c r="A1152" s="1" t="s">
        <v>4152</v>
      </c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</row>
    <row r="1153" spans="1:17" x14ac:dyDescent="0.25">
      <c r="A1153" s="1" t="s">
        <v>4152</v>
      </c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</row>
    <row r="1154" spans="1:17" x14ac:dyDescent="0.25">
      <c r="A1154" s="1" t="s">
        <v>2927</v>
      </c>
      <c r="B1154" s="1" t="s">
        <v>1069</v>
      </c>
      <c r="C1154" s="1" t="s">
        <v>25</v>
      </c>
      <c r="D1154" s="1" t="s">
        <v>923</v>
      </c>
      <c r="E1154" s="1" t="s">
        <v>998</v>
      </c>
      <c r="F1154" s="1" t="s">
        <v>1053</v>
      </c>
      <c r="G1154" s="1" t="s">
        <v>1086</v>
      </c>
      <c r="H1154" s="1"/>
      <c r="I1154" s="1"/>
      <c r="J1154" s="1"/>
      <c r="K1154" s="1"/>
      <c r="L1154" s="1"/>
      <c r="M1154" s="1"/>
      <c r="N1154" s="1"/>
      <c r="O1154" s="1"/>
      <c r="P1154" s="1"/>
      <c r="Q1154" s="1"/>
    </row>
    <row r="1155" spans="1:17" x14ac:dyDescent="0.25">
      <c r="A1155" s="1" t="s">
        <v>4058</v>
      </c>
      <c r="B1155" s="1" t="s">
        <v>10769</v>
      </c>
      <c r="C1155" s="1" t="s">
        <v>10773</v>
      </c>
      <c r="D1155" s="1" t="s">
        <v>4037</v>
      </c>
      <c r="E1155" s="1" t="s">
        <v>10770</v>
      </c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</row>
    <row r="1156" spans="1:17" x14ac:dyDescent="0.25">
      <c r="A1156" s="1" t="s">
        <v>996</v>
      </c>
      <c r="B1156" s="1" t="s">
        <v>999</v>
      </c>
      <c r="C1156" s="1" t="s">
        <v>921</v>
      </c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</row>
    <row r="1157" spans="1:17" x14ac:dyDescent="0.25">
      <c r="A1157" s="1" t="s">
        <v>1069</v>
      </c>
      <c r="B1157" s="1" t="s">
        <v>923</v>
      </c>
      <c r="C1157" s="1" t="s">
        <v>10901</v>
      </c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</row>
    <row r="1158" spans="1:17" x14ac:dyDescent="0.25">
      <c r="A1158" s="1" t="s">
        <v>927</v>
      </c>
      <c r="B1158" s="1" t="s">
        <v>992</v>
      </c>
      <c r="C1158" s="1" t="s">
        <v>1066</v>
      </c>
      <c r="D1158" s="1" t="s">
        <v>993</v>
      </c>
      <c r="E1158" s="1" t="s">
        <v>994</v>
      </c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</row>
    <row r="1159" spans="1:17" x14ac:dyDescent="0.25">
      <c r="A1159" s="1" t="s">
        <v>50</v>
      </c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</row>
    <row r="1160" spans="1:17" x14ac:dyDescent="0.25">
      <c r="A1160" s="1" t="s">
        <v>50</v>
      </c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</row>
    <row r="1161" spans="1:17" x14ac:dyDescent="0.25">
      <c r="A1161" s="1" t="s">
        <v>10902</v>
      </c>
      <c r="B1161" s="1" t="s">
        <v>1148</v>
      </c>
      <c r="C1161" s="1" t="s">
        <v>994</v>
      </c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</row>
    <row r="1162" spans="1:17" x14ac:dyDescent="0.25">
      <c r="A1162" s="1" t="s">
        <v>1053</v>
      </c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</row>
    <row r="1163" spans="1:17" x14ac:dyDescent="0.25">
      <c r="A1163" s="1" t="s">
        <v>50</v>
      </c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</row>
    <row r="1164" spans="1:17" x14ac:dyDescent="0.25">
      <c r="A1164" s="1" t="s">
        <v>50</v>
      </c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</row>
    <row r="1165" spans="1:17" x14ac:dyDescent="0.25">
      <c r="A1165" s="1" t="s">
        <v>25</v>
      </c>
      <c r="B1165" s="1" t="s">
        <v>998</v>
      </c>
      <c r="C1165" s="1" t="s">
        <v>1086</v>
      </c>
      <c r="D1165" s="1" t="s">
        <v>920</v>
      </c>
      <c r="E1165" s="1" t="s">
        <v>933</v>
      </c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</row>
    <row r="1166" spans="1:17" x14ac:dyDescent="0.25">
      <c r="A1166" s="1" t="s">
        <v>25</v>
      </c>
      <c r="B1166" s="1" t="s">
        <v>927</v>
      </c>
      <c r="C1166" s="1" t="s">
        <v>998</v>
      </c>
      <c r="D1166" s="1" t="s">
        <v>981</v>
      </c>
      <c r="E1166" s="1" t="s">
        <v>920</v>
      </c>
      <c r="F1166" s="1" t="s">
        <v>933</v>
      </c>
      <c r="G1166" s="1" t="s">
        <v>960</v>
      </c>
      <c r="H1166" s="1" t="s">
        <v>921</v>
      </c>
      <c r="I1166" s="1" t="s">
        <v>993</v>
      </c>
      <c r="J1166" s="1" t="s">
        <v>994</v>
      </c>
      <c r="K1166" s="1" t="s">
        <v>1108</v>
      </c>
      <c r="L1166" s="1"/>
      <c r="M1166" s="1"/>
      <c r="N1166" s="1"/>
      <c r="O1166" s="1"/>
      <c r="P1166" s="1"/>
      <c r="Q1166" s="1"/>
    </row>
    <row r="1167" spans="1:17" x14ac:dyDescent="0.25">
      <c r="A1167" s="1" t="s">
        <v>927</v>
      </c>
      <c r="B1167" s="1" t="s">
        <v>992</v>
      </c>
      <c r="C1167" s="1" t="s">
        <v>981</v>
      </c>
      <c r="D1167" s="1" t="s">
        <v>933</v>
      </c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</row>
    <row r="1168" spans="1:17" x14ac:dyDescent="0.25">
      <c r="A1168" s="1" t="s">
        <v>998</v>
      </c>
      <c r="B1168" s="1" t="s">
        <v>1086</v>
      </c>
      <c r="C1168" s="1" t="s">
        <v>933</v>
      </c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</row>
    <row r="1169" spans="1:17" x14ac:dyDescent="0.25">
      <c r="A1169" s="1" t="s">
        <v>996</v>
      </c>
      <c r="B1169" s="1" t="s">
        <v>998</v>
      </c>
      <c r="C1169" s="1" t="s">
        <v>933</v>
      </c>
      <c r="D1169" s="1" t="s">
        <v>2541</v>
      </c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</row>
    <row r="1170" spans="1:17" x14ac:dyDescent="0.25">
      <c r="A1170" s="1" t="s">
        <v>4037</v>
      </c>
      <c r="B1170" s="1" t="s">
        <v>10771</v>
      </c>
      <c r="C1170" s="1" t="s">
        <v>10903</v>
      </c>
      <c r="D1170" s="1" t="s">
        <v>10904</v>
      </c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</row>
    <row r="1171" spans="1:17" x14ac:dyDescent="0.25">
      <c r="A1171" s="1" t="s">
        <v>4037</v>
      </c>
      <c r="B1171" s="1" t="s">
        <v>10771</v>
      </c>
      <c r="C1171" s="1" t="s">
        <v>10903</v>
      </c>
      <c r="D1171" s="1" t="s">
        <v>10904</v>
      </c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</row>
    <row r="1172" spans="1:17" x14ac:dyDescent="0.25">
      <c r="A1172" s="1" t="s">
        <v>10905</v>
      </c>
      <c r="B1172" s="1" t="s">
        <v>138</v>
      </c>
      <c r="C1172" s="1" t="s">
        <v>10906</v>
      </c>
      <c r="D1172" s="1" t="s">
        <v>999</v>
      </c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</row>
    <row r="1173" spans="1:17" x14ac:dyDescent="0.25">
      <c r="A1173" s="1" t="s">
        <v>918</v>
      </c>
      <c r="B1173" s="1" t="s">
        <v>8695</v>
      </c>
      <c r="C1173" s="1" t="s">
        <v>919</v>
      </c>
      <c r="D1173" s="1" t="s">
        <v>1020</v>
      </c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</row>
    <row r="1174" spans="1:17" x14ac:dyDescent="0.25">
      <c r="A1174" s="1" t="s">
        <v>918</v>
      </c>
      <c r="B1174" s="1" t="s">
        <v>8695</v>
      </c>
      <c r="C1174" s="1" t="s">
        <v>919</v>
      </c>
      <c r="D1174" s="1" t="s">
        <v>1020</v>
      </c>
      <c r="E1174" s="1" t="s">
        <v>25</v>
      </c>
      <c r="F1174" s="1" t="s">
        <v>923</v>
      </c>
      <c r="G1174" s="1" t="s">
        <v>920</v>
      </c>
      <c r="H1174" s="1" t="s">
        <v>921</v>
      </c>
      <c r="I1174" s="1"/>
      <c r="J1174" s="1"/>
      <c r="K1174" s="1"/>
      <c r="L1174" s="1"/>
      <c r="M1174" s="1"/>
      <c r="N1174" s="1"/>
      <c r="O1174" s="1"/>
      <c r="P1174" s="1"/>
      <c r="Q1174" s="1"/>
    </row>
    <row r="1175" spans="1:17" x14ac:dyDescent="0.25">
      <c r="A1175" s="1" t="s">
        <v>10907</v>
      </c>
      <c r="B1175" s="1" t="s">
        <v>10908</v>
      </c>
      <c r="C1175" s="1" t="s">
        <v>10909</v>
      </c>
      <c r="D1175" s="1" t="s">
        <v>927</v>
      </c>
      <c r="E1175" s="1" t="s">
        <v>953</v>
      </c>
      <c r="F1175" s="1" t="s">
        <v>943</v>
      </c>
      <c r="G1175" s="1" t="s">
        <v>983</v>
      </c>
      <c r="H1175" s="1" t="s">
        <v>919</v>
      </c>
      <c r="I1175" s="1" t="s">
        <v>984</v>
      </c>
      <c r="J1175" s="1"/>
      <c r="K1175" s="1"/>
      <c r="L1175" s="1"/>
      <c r="M1175" s="1"/>
      <c r="N1175" s="1"/>
      <c r="O1175" s="1"/>
      <c r="P1175" s="1"/>
      <c r="Q1175" s="1"/>
    </row>
    <row r="1176" spans="1:17" x14ac:dyDescent="0.25">
      <c r="A1176" s="1" t="s">
        <v>4058</v>
      </c>
      <c r="B1176" s="1" t="s">
        <v>10770</v>
      </c>
      <c r="C1176" s="1" t="s">
        <v>10771</v>
      </c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</row>
    <row r="1177" spans="1:17" x14ac:dyDescent="0.25">
      <c r="A1177" s="1" t="s">
        <v>4037</v>
      </c>
      <c r="B1177" s="1" t="s">
        <v>10771</v>
      </c>
      <c r="C1177" s="1" t="s">
        <v>10903</v>
      </c>
      <c r="D1177" s="1" t="s">
        <v>10904</v>
      </c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</row>
    <row r="1178" spans="1:17" x14ac:dyDescent="0.25">
      <c r="A1178" s="1" t="s">
        <v>1107</v>
      </c>
      <c r="B1178" s="1" t="s">
        <v>918</v>
      </c>
      <c r="C1178" s="1" t="s">
        <v>919</v>
      </c>
      <c r="D1178" s="1" t="s">
        <v>945</v>
      </c>
      <c r="E1178" s="1" t="s">
        <v>1012</v>
      </c>
      <c r="F1178" s="1" t="s">
        <v>1013</v>
      </c>
      <c r="G1178" s="1" t="s">
        <v>955</v>
      </c>
      <c r="H1178" s="1" t="s">
        <v>1014</v>
      </c>
      <c r="I1178" s="1" t="s">
        <v>1015</v>
      </c>
      <c r="J1178" s="1"/>
      <c r="K1178" s="1"/>
      <c r="L1178" s="1"/>
      <c r="M1178" s="1"/>
      <c r="N1178" s="1"/>
      <c r="O1178" s="1"/>
      <c r="P1178" s="1"/>
      <c r="Q1178" s="1"/>
    </row>
    <row r="1179" spans="1:17" x14ac:dyDescent="0.25">
      <c r="A1179" s="1" t="s">
        <v>1051</v>
      </c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</row>
    <row r="1180" spans="1:17" x14ac:dyDescent="0.25">
      <c r="A1180" s="1" t="s">
        <v>2153</v>
      </c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</row>
    <row r="1181" spans="1:17" x14ac:dyDescent="0.25">
      <c r="A1181" s="1" t="s">
        <v>90</v>
      </c>
      <c r="B1181" s="1" t="s">
        <v>964</v>
      </c>
      <c r="C1181" s="1" t="s">
        <v>25</v>
      </c>
      <c r="D1181" s="1" t="s">
        <v>923</v>
      </c>
      <c r="E1181" s="1" t="s">
        <v>954</v>
      </c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</row>
    <row r="1182" spans="1:17" x14ac:dyDescent="0.25">
      <c r="A1182" s="1" t="s">
        <v>10874</v>
      </c>
      <c r="B1182" s="1" t="s">
        <v>4146</v>
      </c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</row>
    <row r="1183" spans="1:17" x14ac:dyDescent="0.25">
      <c r="A1183" s="1" t="s">
        <v>2848</v>
      </c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</row>
    <row r="1184" spans="1:17" x14ac:dyDescent="0.25">
      <c r="A1184" s="1" t="s">
        <v>4037</v>
      </c>
      <c r="B1184" s="1" t="s">
        <v>10771</v>
      </c>
      <c r="C1184" s="1" t="s">
        <v>10903</v>
      </c>
      <c r="D1184" s="1" t="s">
        <v>10904</v>
      </c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</row>
    <row r="1185" spans="1:17" x14ac:dyDescent="0.25">
      <c r="A1185" s="1" t="s">
        <v>2927</v>
      </c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</row>
    <row r="1186" spans="1:17" x14ac:dyDescent="0.25">
      <c r="A1186" s="1" t="s">
        <v>1053</v>
      </c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</row>
    <row r="1187" spans="1:17" x14ac:dyDescent="0.25">
      <c r="A1187" s="1" t="s">
        <v>298</v>
      </c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</row>
    <row r="1188" spans="1:17" x14ac:dyDescent="0.25">
      <c r="A1188" s="1" t="s">
        <v>50</v>
      </c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</row>
    <row r="1189" spans="1:17" x14ac:dyDescent="0.25">
      <c r="A1189" s="1" t="s">
        <v>2927</v>
      </c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</row>
    <row r="1190" spans="1:17" x14ac:dyDescent="0.25">
      <c r="A1190" s="1" t="s">
        <v>933</v>
      </c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</row>
    <row r="1191" spans="1:17" x14ac:dyDescent="0.25">
      <c r="A1191" s="1" t="s">
        <v>920</v>
      </c>
      <c r="B1191" s="1" t="s">
        <v>933</v>
      </c>
      <c r="C1191" s="1" t="s">
        <v>1086</v>
      </c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</row>
    <row r="1192" spans="1:17" x14ac:dyDescent="0.25">
      <c r="A1192" s="1" t="s">
        <v>998</v>
      </c>
      <c r="B1192" s="1" t="s">
        <v>1086</v>
      </c>
      <c r="C1192" s="1" t="s">
        <v>994</v>
      </c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</row>
    <row r="1193" spans="1:17" x14ac:dyDescent="0.25">
      <c r="A1193" s="1" t="s">
        <v>923</v>
      </c>
      <c r="B1193" s="1" t="s">
        <v>1053</v>
      </c>
      <c r="C1193" s="1" t="s">
        <v>1086</v>
      </c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</row>
    <row r="1194" spans="1:17" x14ac:dyDescent="0.25">
      <c r="A1194" s="1" t="s">
        <v>1053</v>
      </c>
      <c r="B1194" s="1" t="s">
        <v>1086</v>
      </c>
      <c r="C1194" s="1" t="s">
        <v>10719</v>
      </c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</row>
    <row r="1195" spans="1:17" x14ac:dyDescent="0.25">
      <c r="A1195" s="1" t="s">
        <v>1053</v>
      </c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</row>
    <row r="1196" spans="1:17" x14ac:dyDescent="0.25">
      <c r="A1196" s="1" t="s">
        <v>992</v>
      </c>
      <c r="B1196" s="1" t="s">
        <v>981</v>
      </c>
      <c r="C1196" s="1" t="s">
        <v>993</v>
      </c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</row>
    <row r="1197" spans="1:17" x14ac:dyDescent="0.25">
      <c r="A1197" s="1" t="s">
        <v>4037</v>
      </c>
      <c r="B1197" s="1" t="s">
        <v>10771</v>
      </c>
      <c r="C1197" s="1" t="s">
        <v>10903</v>
      </c>
      <c r="D1197" s="1" t="s">
        <v>10904</v>
      </c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</row>
    <row r="1198" spans="1:17" x14ac:dyDescent="0.25">
      <c r="A1198" s="1" t="s">
        <v>4037</v>
      </c>
      <c r="B1198" s="1" t="s">
        <v>10771</v>
      </c>
      <c r="C1198" s="1" t="s">
        <v>10903</v>
      </c>
      <c r="D1198" s="1" t="s">
        <v>10904</v>
      </c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</row>
    <row r="1199" spans="1:17" x14ac:dyDescent="0.25">
      <c r="A1199" s="1" t="s">
        <v>983</v>
      </c>
      <c r="B1199" s="1" t="s">
        <v>984</v>
      </c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</row>
    <row r="1200" spans="1:17" x14ac:dyDescent="0.25">
      <c r="A1200" s="1" t="s">
        <v>1149</v>
      </c>
      <c r="B1200" s="1" t="s">
        <v>25</v>
      </c>
      <c r="C1200" s="1" t="s">
        <v>923</v>
      </c>
      <c r="D1200" s="1" t="s">
        <v>998</v>
      </c>
      <c r="E1200" s="1" t="s">
        <v>1086</v>
      </c>
      <c r="F1200" s="1" t="s">
        <v>920</v>
      </c>
      <c r="G1200" s="1" t="s">
        <v>933</v>
      </c>
      <c r="H1200" s="1" t="s">
        <v>10719</v>
      </c>
      <c r="I1200" s="1" t="s">
        <v>2927</v>
      </c>
      <c r="J1200" s="1" t="s">
        <v>1053</v>
      </c>
      <c r="K1200" s="1"/>
      <c r="L1200" s="1"/>
      <c r="M1200" s="1"/>
      <c r="N1200" s="1"/>
      <c r="O1200" s="1"/>
      <c r="P1200" s="1"/>
      <c r="Q1200" s="1"/>
    </row>
    <row r="1201" spans="1:17" x14ac:dyDescent="0.25">
      <c r="A1201" s="1" t="s">
        <v>921</v>
      </c>
      <c r="B1201" s="1" t="s">
        <v>25</v>
      </c>
      <c r="C1201" s="1" t="s">
        <v>923</v>
      </c>
      <c r="D1201" s="1" t="s">
        <v>916</v>
      </c>
      <c r="E1201" s="1" t="s">
        <v>1078</v>
      </c>
      <c r="F1201" s="1" t="s">
        <v>980</v>
      </c>
      <c r="G1201" s="1" t="s">
        <v>919</v>
      </c>
      <c r="H1201" s="1" t="s">
        <v>920</v>
      </c>
      <c r="I1201" s="1"/>
      <c r="J1201" s="1"/>
      <c r="K1201" s="1"/>
      <c r="L1201" s="1"/>
      <c r="M1201" s="1"/>
      <c r="N1201" s="1"/>
      <c r="O1201" s="1"/>
      <c r="P1201" s="1"/>
      <c r="Q1201" s="1"/>
    </row>
    <row r="1202" spans="1:17" x14ac:dyDescent="0.25">
      <c r="A1202" s="1" t="s">
        <v>1019</v>
      </c>
      <c r="B1202" s="1" t="s">
        <v>983</v>
      </c>
      <c r="C1202" s="1" t="s">
        <v>984</v>
      </c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</row>
    <row r="1203" spans="1:17" x14ac:dyDescent="0.25">
      <c r="A1203" s="1" t="s">
        <v>4258</v>
      </c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</row>
    <row r="1204" spans="1:17" x14ac:dyDescent="0.25">
      <c r="A1204" s="1" t="s">
        <v>2541</v>
      </c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</row>
    <row r="1205" spans="1:17" x14ac:dyDescent="0.25">
      <c r="A1205" s="1" t="s">
        <v>2927</v>
      </c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</row>
    <row r="1206" spans="1:17" x14ac:dyDescent="0.25">
      <c r="A1206" s="1" t="s">
        <v>50</v>
      </c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</row>
    <row r="1207" spans="1:17" x14ac:dyDescent="0.25">
      <c r="A1207" s="1" t="s">
        <v>928</v>
      </c>
      <c r="B1207" s="1" t="s">
        <v>996</v>
      </c>
      <c r="C1207" s="1" t="s">
        <v>2541</v>
      </c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</row>
    <row r="1208" spans="1:17" x14ac:dyDescent="0.25">
      <c r="A1208" s="1" t="s">
        <v>2927</v>
      </c>
      <c r="B1208" s="1" t="s">
        <v>1069</v>
      </c>
      <c r="C1208" s="1" t="s">
        <v>25</v>
      </c>
      <c r="D1208" s="1" t="s">
        <v>923</v>
      </c>
      <c r="E1208" s="1" t="s">
        <v>1053</v>
      </c>
      <c r="F1208" s="1" t="s">
        <v>1086</v>
      </c>
      <c r="G1208" s="1" t="s">
        <v>933</v>
      </c>
      <c r="H1208" s="1" t="s">
        <v>998</v>
      </c>
      <c r="I1208" s="1"/>
      <c r="J1208" s="1"/>
      <c r="K1208" s="1"/>
      <c r="L1208" s="1"/>
      <c r="M1208" s="1"/>
      <c r="N1208" s="1"/>
      <c r="O1208" s="1"/>
      <c r="P1208" s="1"/>
      <c r="Q1208" s="1"/>
    </row>
    <row r="1209" spans="1:17" x14ac:dyDescent="0.25">
      <c r="A1209" s="1" t="s">
        <v>4272</v>
      </c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</row>
    <row r="1210" spans="1:17" x14ac:dyDescent="0.25">
      <c r="A1210" s="1" t="s">
        <v>933</v>
      </c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</row>
    <row r="1211" spans="1:17" x14ac:dyDescent="0.25">
      <c r="A1211" s="1" t="s">
        <v>996</v>
      </c>
      <c r="B1211" s="1" t="s">
        <v>998</v>
      </c>
      <c r="C1211" s="1" t="s">
        <v>1086</v>
      </c>
      <c r="D1211" s="1" t="s">
        <v>933</v>
      </c>
      <c r="E1211" s="1" t="s">
        <v>2541</v>
      </c>
      <c r="F1211" s="1" t="s">
        <v>10910</v>
      </c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</row>
    <row r="1212" spans="1:17" x14ac:dyDescent="0.25">
      <c r="A1212" s="1" t="s">
        <v>1053</v>
      </c>
      <c r="B1212" s="1" t="s">
        <v>933</v>
      </c>
      <c r="C1212" s="1" t="s">
        <v>958</v>
      </c>
      <c r="D1212" s="1" t="s">
        <v>977</v>
      </c>
      <c r="E1212" s="1" t="s">
        <v>1114</v>
      </c>
      <c r="F1212" s="1" t="s">
        <v>930</v>
      </c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</row>
    <row r="1213" spans="1:17" x14ac:dyDescent="0.25">
      <c r="A1213" s="1" t="s">
        <v>933</v>
      </c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</row>
    <row r="1214" spans="1:17" x14ac:dyDescent="0.25">
      <c r="A1214" s="1" t="s">
        <v>50</v>
      </c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</row>
    <row r="1215" spans="1:17" x14ac:dyDescent="0.25">
      <c r="A1215" s="1" t="s">
        <v>4058</v>
      </c>
      <c r="B1215" s="1" t="s">
        <v>10769</v>
      </c>
      <c r="C1215" s="1" t="s">
        <v>10911</v>
      </c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</row>
    <row r="1216" spans="1:17" x14ac:dyDescent="0.25">
      <c r="A1216" s="1" t="s">
        <v>4058</v>
      </c>
      <c r="B1216" s="1" t="s">
        <v>10769</v>
      </c>
      <c r="C1216" s="1" t="s">
        <v>10911</v>
      </c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</row>
    <row r="1217" spans="1:17" x14ac:dyDescent="0.25">
      <c r="A1217" s="1" t="s">
        <v>4058</v>
      </c>
      <c r="B1217" s="1" t="s">
        <v>10773</v>
      </c>
      <c r="C1217" s="1" t="s">
        <v>10911</v>
      </c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</row>
    <row r="1218" spans="1:17" x14ac:dyDescent="0.25">
      <c r="A1218" s="1" t="s">
        <v>998</v>
      </c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</row>
    <row r="1219" spans="1:17" x14ac:dyDescent="0.25">
      <c r="A1219" s="1" t="s">
        <v>998</v>
      </c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</row>
    <row r="1220" spans="1:17" x14ac:dyDescent="0.25">
      <c r="A1220" s="1" t="s">
        <v>50</v>
      </c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</row>
    <row r="1221" spans="1:17" x14ac:dyDescent="0.25">
      <c r="A1221" s="1" t="s">
        <v>918</v>
      </c>
      <c r="B1221" s="1" t="s">
        <v>967</v>
      </c>
      <c r="C1221" s="1" t="s">
        <v>995</v>
      </c>
      <c r="D1221" s="1" t="s">
        <v>919</v>
      </c>
      <c r="E1221" s="1" t="s">
        <v>924</v>
      </c>
      <c r="F1221" s="1" t="s">
        <v>955</v>
      </c>
      <c r="G1221" s="1" t="s">
        <v>930</v>
      </c>
      <c r="H1221" s="1" t="s">
        <v>1014</v>
      </c>
      <c r="I1221" s="1" t="s">
        <v>944</v>
      </c>
      <c r="J1221" s="1" t="s">
        <v>945</v>
      </c>
      <c r="K1221" s="1"/>
      <c r="L1221" s="1"/>
      <c r="M1221" s="1"/>
      <c r="N1221" s="1"/>
      <c r="O1221" s="1"/>
      <c r="P1221" s="1"/>
      <c r="Q1221" s="1"/>
    </row>
    <row r="1222" spans="1:17" x14ac:dyDescent="0.25">
      <c r="A1222" s="1" t="s">
        <v>10781</v>
      </c>
      <c r="B1222" s="1" t="s">
        <v>1085</v>
      </c>
      <c r="C1222" s="1" t="s">
        <v>955</v>
      </c>
      <c r="D1222" s="1" t="s">
        <v>1014</v>
      </c>
      <c r="E1222" s="1" t="s">
        <v>10740</v>
      </c>
      <c r="F1222" s="1" t="s">
        <v>934</v>
      </c>
      <c r="G1222" s="1" t="s">
        <v>918</v>
      </c>
      <c r="H1222" s="1" t="s">
        <v>25</v>
      </c>
      <c r="I1222" s="1" t="s">
        <v>919</v>
      </c>
      <c r="J1222" s="1" t="s">
        <v>920</v>
      </c>
      <c r="K1222" s="1" t="s">
        <v>924</v>
      </c>
      <c r="L1222" s="1"/>
      <c r="M1222" s="1"/>
      <c r="N1222" s="1"/>
      <c r="O1222" s="1"/>
      <c r="P1222" s="1"/>
      <c r="Q1222" s="1"/>
    </row>
    <row r="1223" spans="1:17" x14ac:dyDescent="0.25">
      <c r="A1223" s="1" t="s">
        <v>918</v>
      </c>
      <c r="B1223" s="1" t="s">
        <v>943</v>
      </c>
      <c r="C1223" s="1" t="s">
        <v>919</v>
      </c>
      <c r="D1223" s="1" t="s">
        <v>936</v>
      </c>
      <c r="E1223" s="1" t="s">
        <v>945</v>
      </c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</row>
    <row r="1224" spans="1:17" x14ac:dyDescent="0.25">
      <c r="A1224" s="1" t="s">
        <v>50</v>
      </c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</row>
    <row r="1225" spans="1:17" x14ac:dyDescent="0.25">
      <c r="A1225" s="1" t="s">
        <v>4058</v>
      </c>
      <c r="B1225" s="1" t="s">
        <v>10773</v>
      </c>
      <c r="C1225" s="1" t="s">
        <v>10911</v>
      </c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</row>
    <row r="1226" spans="1:17" x14ac:dyDescent="0.25">
      <c r="A1226" s="1" t="s">
        <v>50</v>
      </c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</row>
    <row r="1227" spans="1:17" x14ac:dyDescent="0.25">
      <c r="A1227" s="1" t="s">
        <v>1053</v>
      </c>
      <c r="B1227" s="1" t="s">
        <v>1086</v>
      </c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</row>
    <row r="1228" spans="1:17" x14ac:dyDescent="0.25">
      <c r="A1228" s="1" t="s">
        <v>927</v>
      </c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</row>
    <row r="1229" spans="1:17" x14ac:dyDescent="0.25">
      <c r="A1229" s="1" t="s">
        <v>50</v>
      </c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</row>
    <row r="1230" spans="1:17" x14ac:dyDescent="0.25">
      <c r="A1230" s="1" t="s">
        <v>1053</v>
      </c>
      <c r="B1230" s="1" t="s">
        <v>1086</v>
      </c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</row>
    <row r="1231" spans="1:17" x14ac:dyDescent="0.25">
      <c r="A1231" s="1" t="s">
        <v>1053</v>
      </c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</row>
    <row r="1232" spans="1:17" x14ac:dyDescent="0.25">
      <c r="A1232" s="1" t="s">
        <v>4058</v>
      </c>
      <c r="B1232" s="1" t="s">
        <v>10773</v>
      </c>
      <c r="C1232" s="1" t="s">
        <v>10911</v>
      </c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</row>
    <row r="1233" spans="1:17" x14ac:dyDescent="0.25">
      <c r="A1233" s="1" t="s">
        <v>933</v>
      </c>
      <c r="B1233" s="1" t="s">
        <v>1001</v>
      </c>
      <c r="C1233" s="1" t="s">
        <v>927</v>
      </c>
      <c r="D1233" s="1" t="s">
        <v>3842</v>
      </c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</row>
    <row r="1234" spans="1:17" x14ac:dyDescent="0.25">
      <c r="A1234" s="1" t="s">
        <v>1069</v>
      </c>
      <c r="B1234" s="1" t="s">
        <v>1001</v>
      </c>
      <c r="C1234" s="1" t="s">
        <v>927</v>
      </c>
      <c r="D1234" s="1" t="s">
        <v>992</v>
      </c>
      <c r="E1234" s="1" t="s">
        <v>981</v>
      </c>
      <c r="F1234" s="1" t="s">
        <v>939</v>
      </c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</row>
    <row r="1235" spans="1:17" x14ac:dyDescent="0.25">
      <c r="A1235" s="1" t="s">
        <v>992</v>
      </c>
      <c r="B1235" s="1" t="s">
        <v>933</v>
      </c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</row>
    <row r="1236" spans="1:17" x14ac:dyDescent="0.25">
      <c r="A1236" s="1" t="s">
        <v>50</v>
      </c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</row>
    <row r="1237" spans="1:17" x14ac:dyDescent="0.25">
      <c r="A1237" s="1" t="s">
        <v>981</v>
      </c>
      <c r="B1237" s="1" t="s">
        <v>983</v>
      </c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</row>
    <row r="1238" spans="1:17" x14ac:dyDescent="0.25">
      <c r="A1238" s="1" t="s">
        <v>927</v>
      </c>
      <c r="B1238" s="1" t="s">
        <v>920</v>
      </c>
      <c r="C1238" s="1" t="s">
        <v>933</v>
      </c>
      <c r="D1238" s="1" t="s">
        <v>1001</v>
      </c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</row>
    <row r="1239" spans="1:17" x14ac:dyDescent="0.25">
      <c r="A1239" s="1" t="s">
        <v>1053</v>
      </c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</row>
    <row r="1240" spans="1:17" x14ac:dyDescent="0.25">
      <c r="A1240" s="1" t="s">
        <v>933</v>
      </c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</row>
    <row r="1241" spans="1:17" x14ac:dyDescent="0.25">
      <c r="A1241" s="1" t="s">
        <v>927</v>
      </c>
      <c r="B1241" s="1" t="s">
        <v>920</v>
      </c>
      <c r="C1241" s="1" t="s">
        <v>933</v>
      </c>
      <c r="D1241" s="1" t="s">
        <v>1001</v>
      </c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</row>
    <row r="1242" spans="1:17" x14ac:dyDescent="0.25">
      <c r="A1242" s="1" t="s">
        <v>919</v>
      </c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</row>
    <row r="1243" spans="1:17" x14ac:dyDescent="0.25">
      <c r="A1243" s="1" t="s">
        <v>919</v>
      </c>
      <c r="B1243" s="1" t="s">
        <v>918</v>
      </c>
      <c r="C1243" s="1" t="s">
        <v>955</v>
      </c>
      <c r="D1243" s="1" t="s">
        <v>1036</v>
      </c>
      <c r="E1243" s="1" t="s">
        <v>924</v>
      </c>
      <c r="F1243" s="1" t="s">
        <v>1014</v>
      </c>
      <c r="G1243" s="1" t="s">
        <v>944</v>
      </c>
      <c r="H1243" s="1" t="s">
        <v>956</v>
      </c>
      <c r="I1243" s="1"/>
      <c r="J1243" s="1"/>
      <c r="K1243" s="1"/>
      <c r="L1243" s="1"/>
      <c r="M1243" s="1"/>
      <c r="N1243" s="1"/>
      <c r="O1243" s="1"/>
      <c r="P1243" s="1"/>
      <c r="Q1243" s="1"/>
    </row>
    <row r="1244" spans="1:17" x14ac:dyDescent="0.25">
      <c r="A1244" s="1" t="s">
        <v>919</v>
      </c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</row>
    <row r="1245" spans="1:17" x14ac:dyDescent="0.25">
      <c r="A1245" s="1" t="s">
        <v>919</v>
      </c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</row>
    <row r="1246" spans="1:17" x14ac:dyDescent="0.25">
      <c r="A1246" s="1" t="s">
        <v>951</v>
      </c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</row>
    <row r="1247" spans="1:17" x14ac:dyDescent="0.25">
      <c r="A1247" s="1" t="s">
        <v>50</v>
      </c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</row>
    <row r="1248" spans="1:17" x14ac:dyDescent="0.25">
      <c r="A1248" s="1" t="s">
        <v>90</v>
      </c>
      <c r="B1248" s="1" t="s">
        <v>964</v>
      </c>
      <c r="C1248" s="1" t="s">
        <v>25</v>
      </c>
      <c r="D1248" s="1" t="s">
        <v>923</v>
      </c>
      <c r="E1248" s="1" t="s">
        <v>954</v>
      </c>
      <c r="F1248" s="1" t="s">
        <v>1149</v>
      </c>
      <c r="G1248" s="1" t="s">
        <v>998</v>
      </c>
      <c r="H1248" s="1" t="s">
        <v>1086</v>
      </c>
      <c r="I1248" s="1"/>
      <c r="J1248" s="1"/>
      <c r="K1248" s="1"/>
      <c r="L1248" s="1"/>
      <c r="M1248" s="1"/>
      <c r="N1248" s="1"/>
      <c r="O1248" s="1"/>
      <c r="P1248" s="1"/>
      <c r="Q1248" s="1"/>
    </row>
    <row r="1249" spans="1:17" x14ac:dyDescent="0.25">
      <c r="A1249" s="1" t="s">
        <v>996</v>
      </c>
      <c r="B1249" s="1" t="s">
        <v>997</v>
      </c>
      <c r="C1249" s="1" t="s">
        <v>1001</v>
      </c>
      <c r="D1249" s="1" t="s">
        <v>937</v>
      </c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</row>
    <row r="1250" spans="1:17" x14ac:dyDescent="0.25">
      <c r="A1250" s="1" t="s">
        <v>996</v>
      </c>
      <c r="B1250" s="1" t="s">
        <v>1149</v>
      </c>
      <c r="C1250" s="1" t="s">
        <v>923</v>
      </c>
      <c r="D1250" s="1" t="s">
        <v>997</v>
      </c>
      <c r="E1250" s="1" t="s">
        <v>994</v>
      </c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</row>
    <row r="1251" spans="1:17" x14ac:dyDescent="0.25">
      <c r="A1251" s="1" t="s">
        <v>937</v>
      </c>
      <c r="B1251" s="1" t="s">
        <v>298</v>
      </c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</row>
    <row r="1252" spans="1:17" x14ac:dyDescent="0.25">
      <c r="A1252" s="1" t="s">
        <v>50</v>
      </c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</row>
    <row r="1253" spans="1:17" x14ac:dyDescent="0.25">
      <c r="A1253" s="1" t="s">
        <v>927</v>
      </c>
      <c r="B1253" s="1" t="s">
        <v>998</v>
      </c>
      <c r="C1253" s="1" t="s">
        <v>992</v>
      </c>
      <c r="D1253" s="1" t="s">
        <v>1086</v>
      </c>
      <c r="E1253" s="1" t="s">
        <v>933</v>
      </c>
      <c r="F1253" s="1" t="s">
        <v>993</v>
      </c>
      <c r="G1253" s="1" t="s">
        <v>994</v>
      </c>
      <c r="H1253" s="1" t="s">
        <v>923</v>
      </c>
      <c r="I1253" s="1"/>
      <c r="J1253" s="1"/>
      <c r="K1253" s="1"/>
      <c r="L1253" s="1"/>
      <c r="M1253" s="1"/>
      <c r="N1253" s="1"/>
      <c r="O1253" s="1"/>
      <c r="P1253" s="1"/>
      <c r="Q1253" s="1"/>
    </row>
    <row r="1254" spans="1:17" x14ac:dyDescent="0.25">
      <c r="A1254" s="1" t="s">
        <v>1069</v>
      </c>
      <c r="B1254" s="1" t="s">
        <v>923</v>
      </c>
      <c r="C1254" s="1" t="s">
        <v>998</v>
      </c>
      <c r="D1254" s="1" t="s">
        <v>1053</v>
      </c>
      <c r="E1254" s="1" t="s">
        <v>1086</v>
      </c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</row>
    <row r="1255" spans="1:17" x14ac:dyDescent="0.25">
      <c r="A1255" s="1" t="s">
        <v>998</v>
      </c>
      <c r="B1255" s="1" t="s">
        <v>1086</v>
      </c>
      <c r="C1255" s="1" t="s">
        <v>933</v>
      </c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</row>
    <row r="1256" spans="1:17" x14ac:dyDescent="0.25">
      <c r="A1256" s="1" t="s">
        <v>992</v>
      </c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</row>
    <row r="1257" spans="1:17" x14ac:dyDescent="0.25">
      <c r="A1257" s="1" t="s">
        <v>918</v>
      </c>
      <c r="B1257" s="1" t="s">
        <v>25</v>
      </c>
      <c r="C1257" s="1" t="s">
        <v>923</v>
      </c>
      <c r="D1257" s="1" t="s">
        <v>840</v>
      </c>
      <c r="E1257" s="1" t="s">
        <v>920</v>
      </c>
      <c r="F1257" s="1" t="s">
        <v>328</v>
      </c>
      <c r="G1257" s="1" t="s">
        <v>921</v>
      </c>
      <c r="H1257" s="1"/>
      <c r="I1257" s="1"/>
      <c r="J1257" s="1"/>
      <c r="K1257" s="1"/>
      <c r="L1257" s="1"/>
      <c r="M1257" s="1"/>
      <c r="N1257" s="1"/>
      <c r="O1257" s="1"/>
      <c r="P1257" s="1"/>
      <c r="Q1257" s="1"/>
    </row>
    <row r="1258" spans="1:17" x14ac:dyDescent="0.25">
      <c r="A1258" s="1" t="s">
        <v>1149</v>
      </c>
      <c r="B1258" s="1" t="s">
        <v>25</v>
      </c>
      <c r="C1258" s="1" t="s">
        <v>997</v>
      </c>
      <c r="D1258" s="1" t="s">
        <v>998</v>
      </c>
      <c r="E1258" s="1" t="s">
        <v>933</v>
      </c>
      <c r="F1258" s="1" t="s">
        <v>994</v>
      </c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</row>
    <row r="1259" spans="1:17" x14ac:dyDescent="0.25">
      <c r="A1259" s="1" t="s">
        <v>10775</v>
      </c>
      <c r="B1259" s="1" t="s">
        <v>10912</v>
      </c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</row>
    <row r="1260" spans="1:17" x14ac:dyDescent="0.25">
      <c r="A1260" s="1" t="s">
        <v>948</v>
      </c>
      <c r="B1260" s="1" t="s">
        <v>1149</v>
      </c>
      <c r="C1260" s="1" t="s">
        <v>25</v>
      </c>
      <c r="D1260" s="1" t="s">
        <v>923</v>
      </c>
      <c r="E1260" s="1" t="s">
        <v>997</v>
      </c>
      <c r="F1260" s="1" t="s">
        <v>1150</v>
      </c>
      <c r="G1260" s="1" t="s">
        <v>1086</v>
      </c>
      <c r="H1260" s="1"/>
      <c r="I1260" s="1"/>
      <c r="J1260" s="1"/>
      <c r="K1260" s="1"/>
      <c r="L1260" s="1"/>
      <c r="M1260" s="1"/>
      <c r="N1260" s="1"/>
      <c r="O1260" s="1"/>
      <c r="P1260" s="1"/>
      <c r="Q1260" s="1"/>
    </row>
    <row r="1261" spans="1:17" x14ac:dyDescent="0.25">
      <c r="A1261" s="1" t="s">
        <v>998</v>
      </c>
      <c r="B1261" s="1" t="s">
        <v>993</v>
      </c>
      <c r="C1261" s="1" t="s">
        <v>994</v>
      </c>
      <c r="D1261" s="1" t="s">
        <v>1000</v>
      </c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</row>
    <row r="1262" spans="1:17" x14ac:dyDescent="0.25">
      <c r="A1262" s="1" t="s">
        <v>948</v>
      </c>
      <c r="B1262" s="1" t="s">
        <v>1069</v>
      </c>
      <c r="C1262" s="1" t="s">
        <v>25</v>
      </c>
      <c r="D1262" s="1" t="s">
        <v>1070</v>
      </c>
      <c r="E1262" s="1" t="s">
        <v>1034</v>
      </c>
      <c r="F1262" s="1" t="s">
        <v>956</v>
      </c>
      <c r="G1262" s="1" t="s">
        <v>1001</v>
      </c>
      <c r="H1262" s="1"/>
      <c r="I1262" s="1"/>
      <c r="J1262" s="1"/>
      <c r="K1262" s="1"/>
      <c r="L1262" s="1"/>
      <c r="M1262" s="1"/>
      <c r="N1262" s="1"/>
      <c r="O1262" s="1"/>
      <c r="P1262" s="1"/>
      <c r="Q1262" s="1"/>
    </row>
    <row r="1263" spans="1:17" x14ac:dyDescent="0.25">
      <c r="A1263" s="1" t="s">
        <v>90</v>
      </c>
      <c r="B1263" s="1" t="s">
        <v>996</v>
      </c>
      <c r="C1263" s="1" t="s">
        <v>25</v>
      </c>
      <c r="D1263" s="1" t="s">
        <v>923</v>
      </c>
      <c r="E1263" s="1" t="s">
        <v>997</v>
      </c>
      <c r="F1263" s="1" t="s">
        <v>927</v>
      </c>
      <c r="G1263" s="1" t="s">
        <v>998</v>
      </c>
      <c r="H1263" s="1" t="s">
        <v>1086</v>
      </c>
      <c r="I1263" s="1" t="s">
        <v>994</v>
      </c>
      <c r="J1263" s="1" t="s">
        <v>992</v>
      </c>
      <c r="K1263" s="1"/>
      <c r="L1263" s="1"/>
      <c r="M1263" s="1"/>
      <c r="N1263" s="1"/>
      <c r="O1263" s="1"/>
      <c r="P1263" s="1"/>
      <c r="Q1263" s="1"/>
    </row>
    <row r="1264" spans="1:17" x14ac:dyDescent="0.25">
      <c r="A1264" s="1" t="s">
        <v>1001</v>
      </c>
      <c r="B1264" s="1" t="s">
        <v>927</v>
      </c>
      <c r="C1264" s="1" t="s">
        <v>919</v>
      </c>
      <c r="D1264" s="1" t="s">
        <v>960</v>
      </c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</row>
    <row r="1265" spans="1:17" x14ac:dyDescent="0.25">
      <c r="A1265" s="1" t="s">
        <v>923</v>
      </c>
      <c r="B1265" s="1" t="s">
        <v>918</v>
      </c>
      <c r="C1265" s="1" t="s">
        <v>919</v>
      </c>
      <c r="D1265" s="1" t="s">
        <v>936</v>
      </c>
      <c r="E1265" s="1" t="s">
        <v>929</v>
      </c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</row>
    <row r="1266" spans="1:17" x14ac:dyDescent="0.25">
      <c r="A1266" s="1" t="s">
        <v>2153</v>
      </c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</row>
    <row r="1267" spans="1:17" x14ac:dyDescent="0.25">
      <c r="A1267" s="1" t="s">
        <v>2153</v>
      </c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</row>
    <row r="1268" spans="1:17" x14ac:dyDescent="0.25">
      <c r="A1268" s="1" t="s">
        <v>4058</v>
      </c>
      <c r="B1268" s="1" t="s">
        <v>10769</v>
      </c>
      <c r="C1268" s="1" t="s">
        <v>10773</v>
      </c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</row>
    <row r="1269" spans="1:17" x14ac:dyDescent="0.25">
      <c r="A1269" s="1" t="s">
        <v>998</v>
      </c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</row>
    <row r="1270" spans="1:17" x14ac:dyDescent="0.25">
      <c r="A1270" s="1" t="s">
        <v>992</v>
      </c>
      <c r="B1270" s="1" t="s">
        <v>933</v>
      </c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</row>
    <row r="1271" spans="1:17" x14ac:dyDescent="0.25">
      <c r="A1271" s="1" t="s">
        <v>1066</v>
      </c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</row>
    <row r="1272" spans="1:17" x14ac:dyDescent="0.25">
      <c r="A1272" s="1" t="s">
        <v>934</v>
      </c>
      <c r="B1272" s="1" t="s">
        <v>918</v>
      </c>
      <c r="C1272" s="1" t="s">
        <v>940</v>
      </c>
      <c r="D1272" s="1" t="s">
        <v>949</v>
      </c>
      <c r="E1272" s="1" t="s">
        <v>25</v>
      </c>
      <c r="F1272" s="1" t="s">
        <v>923</v>
      </c>
      <c r="G1272" s="1" t="s">
        <v>920</v>
      </c>
      <c r="H1272" s="1" t="s">
        <v>933</v>
      </c>
      <c r="I1272" s="1" t="s">
        <v>328</v>
      </c>
      <c r="J1272" s="1" t="s">
        <v>921</v>
      </c>
      <c r="K1272" s="1" t="s">
        <v>1053</v>
      </c>
      <c r="L1272" s="1"/>
      <c r="M1272" s="1"/>
      <c r="N1272" s="1"/>
      <c r="O1272" s="1"/>
      <c r="P1272" s="1"/>
      <c r="Q1272" s="1"/>
    </row>
    <row r="1273" spans="1:17" x14ac:dyDescent="0.25">
      <c r="A1273" s="1" t="s">
        <v>933</v>
      </c>
      <c r="B1273" s="1" t="s">
        <v>1141</v>
      </c>
      <c r="C1273" s="1" t="s">
        <v>921</v>
      </c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</row>
    <row r="1274" spans="1:17" x14ac:dyDescent="0.25">
      <c r="A1274" s="1" t="s">
        <v>25</v>
      </c>
      <c r="B1274" s="1" t="s">
        <v>927</v>
      </c>
      <c r="C1274" s="1" t="s">
        <v>920</v>
      </c>
      <c r="D1274" s="1" t="s">
        <v>933</v>
      </c>
      <c r="E1274" s="1" t="s">
        <v>921</v>
      </c>
      <c r="F1274" s="1" t="s">
        <v>922</v>
      </c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</row>
    <row r="1275" spans="1:17" x14ac:dyDescent="0.25">
      <c r="A1275" s="1" t="s">
        <v>50</v>
      </c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</row>
    <row r="1276" spans="1:17" x14ac:dyDescent="0.25">
      <c r="A1276" s="1" t="s">
        <v>2541</v>
      </c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</row>
    <row r="1277" spans="1:17" x14ac:dyDescent="0.25">
      <c r="A1277" s="1" t="s">
        <v>25</v>
      </c>
      <c r="B1277" s="1" t="s">
        <v>923</v>
      </c>
      <c r="C1277" s="1" t="s">
        <v>998</v>
      </c>
      <c r="D1277" s="1" t="s">
        <v>1053</v>
      </c>
      <c r="E1277" s="1" t="s">
        <v>1086</v>
      </c>
      <c r="F1277" s="1" t="s">
        <v>933</v>
      </c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</row>
    <row r="1278" spans="1:17" x14ac:dyDescent="0.25">
      <c r="A1278" s="1" t="s">
        <v>996</v>
      </c>
      <c r="B1278" s="1" t="s">
        <v>1167</v>
      </c>
      <c r="C1278" s="1" t="s">
        <v>998</v>
      </c>
      <c r="D1278" s="1" t="s">
        <v>1086</v>
      </c>
      <c r="E1278" s="1" t="s">
        <v>2541</v>
      </c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</row>
    <row r="1279" spans="1:17" x14ac:dyDescent="0.25">
      <c r="A1279" s="1" t="s">
        <v>2927</v>
      </c>
      <c r="B1279" s="1" t="s">
        <v>25</v>
      </c>
      <c r="C1279" s="1" t="s">
        <v>1167</v>
      </c>
      <c r="D1279" s="1" t="s">
        <v>998</v>
      </c>
      <c r="E1279" s="1" t="s">
        <v>1086</v>
      </c>
      <c r="F1279" s="1" t="s">
        <v>920</v>
      </c>
      <c r="G1279" s="1" t="s">
        <v>933</v>
      </c>
      <c r="H1279" s="1"/>
      <c r="I1279" s="1"/>
      <c r="J1279" s="1"/>
      <c r="K1279" s="1"/>
      <c r="L1279" s="1"/>
      <c r="M1279" s="1"/>
      <c r="N1279" s="1"/>
      <c r="O1279" s="1"/>
      <c r="P1279" s="1"/>
      <c r="Q1279" s="1"/>
    </row>
    <row r="1280" spans="1:17" x14ac:dyDescent="0.25">
      <c r="A1280" s="1" t="s">
        <v>25</v>
      </c>
      <c r="B1280" s="1" t="s">
        <v>923</v>
      </c>
      <c r="C1280" s="1" t="s">
        <v>927</v>
      </c>
      <c r="D1280" s="1" t="s">
        <v>920</v>
      </c>
      <c r="E1280" s="1" t="s">
        <v>933</v>
      </c>
      <c r="F1280" s="1" t="s">
        <v>954</v>
      </c>
      <c r="G1280" s="1" t="s">
        <v>974</v>
      </c>
      <c r="H1280" s="1" t="s">
        <v>921</v>
      </c>
      <c r="I1280" s="1" t="s">
        <v>10913</v>
      </c>
      <c r="J1280" s="1" t="s">
        <v>10914</v>
      </c>
      <c r="K1280" s="1" t="s">
        <v>10915</v>
      </c>
      <c r="L1280" s="1" t="s">
        <v>10916</v>
      </c>
      <c r="M1280" s="1" t="s">
        <v>10917</v>
      </c>
      <c r="N1280" s="1" t="s">
        <v>952</v>
      </c>
      <c r="O1280" s="1"/>
      <c r="P1280" s="1"/>
      <c r="Q1280" s="1"/>
    </row>
    <row r="1281" spans="1:17" x14ac:dyDescent="0.25">
      <c r="A1281" s="1" t="s">
        <v>25</v>
      </c>
      <c r="B1281" s="1" t="s">
        <v>923</v>
      </c>
      <c r="C1281" s="1" t="s">
        <v>927</v>
      </c>
      <c r="D1281" s="1" t="s">
        <v>920</v>
      </c>
      <c r="E1281" s="1" t="s">
        <v>933</v>
      </c>
      <c r="F1281" s="1" t="s">
        <v>954</v>
      </c>
      <c r="G1281" s="1" t="s">
        <v>974</v>
      </c>
      <c r="H1281" s="1" t="s">
        <v>921</v>
      </c>
      <c r="I1281" s="1" t="s">
        <v>1131</v>
      </c>
      <c r="J1281" s="1"/>
      <c r="K1281" s="1"/>
      <c r="L1281" s="1"/>
      <c r="M1281" s="1"/>
      <c r="N1281" s="1"/>
      <c r="O1281" s="1"/>
      <c r="P1281" s="1"/>
      <c r="Q1281" s="1"/>
    </row>
    <row r="1282" spans="1:17" x14ac:dyDescent="0.25">
      <c r="A1282" s="1" t="s">
        <v>4058</v>
      </c>
      <c r="B1282" s="1" t="s">
        <v>10769</v>
      </c>
      <c r="C1282" s="1" t="s">
        <v>10773</v>
      </c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</row>
    <row r="1283" spans="1:17" x14ac:dyDescent="0.25">
      <c r="A1283" s="1" t="s">
        <v>4058</v>
      </c>
      <c r="B1283" s="1" t="s">
        <v>10769</v>
      </c>
      <c r="C1283" s="1" t="s">
        <v>10773</v>
      </c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</row>
    <row r="1284" spans="1:17" x14ac:dyDescent="0.25">
      <c r="A1284" s="1" t="s">
        <v>4058</v>
      </c>
      <c r="B1284" s="1" t="s">
        <v>10769</v>
      </c>
      <c r="C1284" s="1" t="s">
        <v>10773</v>
      </c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</row>
    <row r="1285" spans="1:17" x14ac:dyDescent="0.25">
      <c r="A1285" s="1" t="s">
        <v>918</v>
      </c>
      <c r="B1285" s="1" t="s">
        <v>25</v>
      </c>
      <c r="C1285" s="1" t="s">
        <v>1148</v>
      </c>
      <c r="D1285" s="1" t="s">
        <v>923</v>
      </c>
      <c r="E1285" s="1" t="s">
        <v>927</v>
      </c>
      <c r="F1285" s="1" t="s">
        <v>1086</v>
      </c>
      <c r="G1285" s="1" t="s">
        <v>920</v>
      </c>
      <c r="H1285" s="1"/>
      <c r="I1285" s="1"/>
      <c r="J1285" s="1"/>
      <c r="K1285" s="1"/>
      <c r="L1285" s="1"/>
      <c r="M1285" s="1"/>
      <c r="N1285" s="1"/>
      <c r="O1285" s="1"/>
      <c r="P1285" s="1"/>
      <c r="Q1285" s="1"/>
    </row>
    <row r="1286" spans="1:17" x14ac:dyDescent="0.25">
      <c r="A1286" s="1" t="s">
        <v>918</v>
      </c>
      <c r="B1286" s="1" t="s">
        <v>25</v>
      </c>
      <c r="C1286" s="1" t="s">
        <v>1148</v>
      </c>
      <c r="D1286" s="1" t="s">
        <v>923</v>
      </c>
      <c r="E1286" s="1" t="s">
        <v>927</v>
      </c>
      <c r="F1286" s="1" t="s">
        <v>1086</v>
      </c>
      <c r="G1286" s="1" t="s">
        <v>920</v>
      </c>
      <c r="H1286" s="1"/>
      <c r="I1286" s="1"/>
      <c r="J1286" s="1"/>
      <c r="K1286" s="1"/>
      <c r="L1286" s="1"/>
      <c r="M1286" s="1"/>
      <c r="N1286" s="1"/>
      <c r="O1286" s="1"/>
      <c r="P1286" s="1"/>
      <c r="Q1286" s="1"/>
    </row>
    <row r="1287" spans="1:17" x14ac:dyDescent="0.25">
      <c r="A1287" s="1" t="s">
        <v>918</v>
      </c>
      <c r="B1287" s="1" t="s">
        <v>25</v>
      </c>
      <c r="C1287" s="1" t="s">
        <v>1148</v>
      </c>
      <c r="D1287" s="1" t="s">
        <v>923</v>
      </c>
      <c r="E1287" s="1" t="s">
        <v>927</v>
      </c>
      <c r="F1287" s="1" t="s">
        <v>1086</v>
      </c>
      <c r="G1287" s="1" t="s">
        <v>920</v>
      </c>
      <c r="H1287" s="1"/>
      <c r="I1287" s="1"/>
      <c r="J1287" s="1"/>
      <c r="K1287" s="1"/>
      <c r="L1287" s="1"/>
      <c r="M1287" s="1"/>
      <c r="N1287" s="1"/>
      <c r="O1287" s="1"/>
      <c r="P1287" s="1"/>
      <c r="Q1287" s="1"/>
    </row>
    <row r="1288" spans="1:17" x14ac:dyDescent="0.25">
      <c r="A1288" s="1" t="s">
        <v>918</v>
      </c>
      <c r="B1288" s="1" t="s">
        <v>25</v>
      </c>
      <c r="C1288" s="1" t="s">
        <v>1148</v>
      </c>
      <c r="D1288" s="1" t="s">
        <v>923</v>
      </c>
      <c r="E1288" s="1" t="s">
        <v>927</v>
      </c>
      <c r="F1288" s="1" t="s">
        <v>1086</v>
      </c>
      <c r="G1288" s="1" t="s">
        <v>920</v>
      </c>
      <c r="H1288" s="1"/>
      <c r="I1288" s="1"/>
      <c r="J1288" s="1"/>
      <c r="K1288" s="1"/>
      <c r="L1288" s="1"/>
      <c r="M1288" s="1"/>
      <c r="N1288" s="1"/>
      <c r="O1288" s="1"/>
      <c r="P1288" s="1"/>
      <c r="Q1288" s="1"/>
    </row>
    <row r="1289" spans="1:17" x14ac:dyDescent="0.25">
      <c r="A1289" s="1" t="s">
        <v>918</v>
      </c>
      <c r="B1289" s="1" t="s">
        <v>25</v>
      </c>
      <c r="C1289" s="1" t="s">
        <v>1148</v>
      </c>
      <c r="D1289" s="1" t="s">
        <v>923</v>
      </c>
      <c r="E1289" s="1" t="s">
        <v>927</v>
      </c>
      <c r="F1289" s="1" t="s">
        <v>1086</v>
      </c>
      <c r="G1289" s="1" t="s">
        <v>920</v>
      </c>
      <c r="H1289" s="1"/>
      <c r="I1289" s="1"/>
      <c r="J1289" s="1"/>
      <c r="K1289" s="1"/>
      <c r="L1289" s="1"/>
      <c r="M1289" s="1"/>
      <c r="N1289" s="1"/>
      <c r="O1289" s="1"/>
      <c r="P1289" s="1"/>
      <c r="Q1289" s="1"/>
    </row>
    <row r="1290" spans="1:17" x14ac:dyDescent="0.25">
      <c r="A1290" s="1" t="s">
        <v>918</v>
      </c>
      <c r="B1290" s="1" t="s">
        <v>25</v>
      </c>
      <c r="C1290" s="1" t="s">
        <v>1148</v>
      </c>
      <c r="D1290" s="1" t="s">
        <v>923</v>
      </c>
      <c r="E1290" s="1" t="s">
        <v>927</v>
      </c>
      <c r="F1290" s="1" t="s">
        <v>1086</v>
      </c>
      <c r="G1290" s="1" t="s">
        <v>920</v>
      </c>
      <c r="H1290" s="1"/>
      <c r="I1290" s="1"/>
      <c r="J1290" s="1"/>
      <c r="K1290" s="1"/>
      <c r="L1290" s="1"/>
      <c r="M1290" s="1"/>
      <c r="N1290" s="1"/>
      <c r="O1290" s="1"/>
      <c r="P1290" s="1"/>
      <c r="Q1290" s="1"/>
    </row>
    <row r="1291" spans="1:17" x14ac:dyDescent="0.25">
      <c r="A1291" s="1" t="s">
        <v>298</v>
      </c>
      <c r="B1291" s="1" t="s">
        <v>1069</v>
      </c>
      <c r="C1291" s="1" t="s">
        <v>25</v>
      </c>
      <c r="D1291" s="1" t="s">
        <v>923</v>
      </c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</row>
    <row r="1292" spans="1:17" x14ac:dyDescent="0.25">
      <c r="A1292" s="1" t="s">
        <v>298</v>
      </c>
      <c r="B1292" s="1" t="s">
        <v>1069</v>
      </c>
      <c r="C1292" s="1" t="s">
        <v>25</v>
      </c>
      <c r="D1292" s="1" t="s">
        <v>923</v>
      </c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</row>
    <row r="1293" spans="1:17" x14ac:dyDescent="0.25">
      <c r="A1293" s="1" t="s">
        <v>298</v>
      </c>
      <c r="B1293" s="1" t="s">
        <v>1069</v>
      </c>
      <c r="C1293" s="1" t="s">
        <v>25</v>
      </c>
      <c r="D1293" s="1" t="s">
        <v>923</v>
      </c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</row>
    <row r="1294" spans="1:17" x14ac:dyDescent="0.25">
      <c r="A1294" s="1" t="s">
        <v>298</v>
      </c>
      <c r="B1294" s="1" t="s">
        <v>1069</v>
      </c>
      <c r="C1294" s="1" t="s">
        <v>25</v>
      </c>
      <c r="D1294" s="1" t="s">
        <v>923</v>
      </c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</row>
    <row r="1295" spans="1:17" x14ac:dyDescent="0.25">
      <c r="A1295" s="1" t="s">
        <v>927</v>
      </c>
      <c r="B1295" s="1" t="s">
        <v>960</v>
      </c>
      <c r="C1295" s="1" t="s">
        <v>961</v>
      </c>
      <c r="D1295" s="1" t="s">
        <v>1147</v>
      </c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</row>
    <row r="1296" spans="1:17" x14ac:dyDescent="0.25">
      <c r="A1296" s="1" t="s">
        <v>941</v>
      </c>
      <c r="B1296" s="1" t="s">
        <v>918</v>
      </c>
      <c r="C1296" s="1" t="s">
        <v>1143</v>
      </c>
      <c r="D1296" s="1" t="s">
        <v>1085</v>
      </c>
      <c r="E1296" s="1" t="s">
        <v>955</v>
      </c>
      <c r="F1296" s="1" t="s">
        <v>924</v>
      </c>
      <c r="G1296" s="1" t="s">
        <v>1014</v>
      </c>
      <c r="H1296" s="1" t="s">
        <v>944</v>
      </c>
      <c r="I1296" s="1" t="s">
        <v>956</v>
      </c>
      <c r="J1296" s="1" t="s">
        <v>1107</v>
      </c>
      <c r="K1296" s="1" t="s">
        <v>919</v>
      </c>
      <c r="L1296" s="1" t="s">
        <v>945</v>
      </c>
      <c r="M1296" s="1"/>
      <c r="N1296" s="1"/>
      <c r="O1296" s="1"/>
      <c r="P1296" s="1"/>
      <c r="Q1296" s="1"/>
    </row>
    <row r="1297" spans="1:17" x14ac:dyDescent="0.25">
      <c r="A1297" s="1" t="s">
        <v>25</v>
      </c>
      <c r="B1297" s="1" t="s">
        <v>1086</v>
      </c>
      <c r="C1297" s="1" t="s">
        <v>919</v>
      </c>
      <c r="D1297" s="1" t="s">
        <v>920</v>
      </c>
      <c r="E1297" s="1" t="s">
        <v>921</v>
      </c>
      <c r="F1297" s="1" t="s">
        <v>1001</v>
      </c>
      <c r="G1297" s="1" t="s">
        <v>1016</v>
      </c>
      <c r="H1297" s="1" t="s">
        <v>152</v>
      </c>
      <c r="I1297" s="1" t="s">
        <v>998</v>
      </c>
      <c r="J1297" s="1" t="s">
        <v>933</v>
      </c>
      <c r="K1297" s="1"/>
      <c r="L1297" s="1"/>
      <c r="M1297" s="1"/>
      <c r="N1297" s="1"/>
      <c r="O1297" s="1"/>
      <c r="P1297" s="1"/>
      <c r="Q1297" s="1"/>
    </row>
    <row r="1298" spans="1:17" x14ac:dyDescent="0.25">
      <c r="A1298" s="1" t="s">
        <v>1062</v>
      </c>
      <c r="B1298" s="1" t="s">
        <v>1160</v>
      </c>
      <c r="C1298" s="1" t="s">
        <v>998</v>
      </c>
      <c r="D1298" s="1" t="s">
        <v>1053</v>
      </c>
      <c r="E1298" s="1" t="s">
        <v>933</v>
      </c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</row>
    <row r="1299" spans="1:17" x14ac:dyDescent="0.25">
      <c r="A1299" s="1" t="s">
        <v>50</v>
      </c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</row>
    <row r="1300" spans="1:17" x14ac:dyDescent="0.25">
      <c r="A1300" s="1" t="s">
        <v>992</v>
      </c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</row>
    <row r="1301" spans="1:17" x14ac:dyDescent="0.25">
      <c r="A1301" s="1" t="s">
        <v>1053</v>
      </c>
      <c r="B1301" s="1" t="s">
        <v>954</v>
      </c>
      <c r="C1301" s="1" t="s">
        <v>1082</v>
      </c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</row>
    <row r="1302" spans="1:17" x14ac:dyDescent="0.25">
      <c r="A1302" s="1" t="s">
        <v>1053</v>
      </c>
      <c r="B1302" s="1" t="s">
        <v>954</v>
      </c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</row>
    <row r="1303" spans="1:17" x14ac:dyDescent="0.25">
      <c r="A1303" s="1" t="s">
        <v>996</v>
      </c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</row>
    <row r="1304" spans="1:17" x14ac:dyDescent="0.25">
      <c r="A1304" s="1" t="s">
        <v>50</v>
      </c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</row>
    <row r="1305" spans="1:17" x14ac:dyDescent="0.25">
      <c r="A1305" s="1" t="s">
        <v>50</v>
      </c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</row>
    <row r="1306" spans="1:17" x14ac:dyDescent="0.25">
      <c r="A1306" s="1" t="s">
        <v>50</v>
      </c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</row>
    <row r="1307" spans="1:17" x14ac:dyDescent="0.25">
      <c r="A1307" s="1" t="s">
        <v>50</v>
      </c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</row>
    <row r="1308" spans="1:17" x14ac:dyDescent="0.25">
      <c r="A1308" s="1" t="s">
        <v>998</v>
      </c>
      <c r="B1308" s="1" t="s">
        <v>1086</v>
      </c>
      <c r="C1308" s="1" t="s">
        <v>933</v>
      </c>
      <c r="D1308" s="1" t="s">
        <v>2927</v>
      </c>
      <c r="E1308" s="1" t="s">
        <v>25</v>
      </c>
      <c r="F1308" s="1" t="s">
        <v>920</v>
      </c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</row>
    <row r="1309" spans="1:17" x14ac:dyDescent="0.25">
      <c r="A1309" s="1" t="s">
        <v>1053</v>
      </c>
      <c r="B1309" s="1" t="s">
        <v>954</v>
      </c>
      <c r="C1309" s="1" t="s">
        <v>992</v>
      </c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</row>
    <row r="1310" spans="1:17" x14ac:dyDescent="0.25">
      <c r="A1310" s="1" t="s">
        <v>50</v>
      </c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</row>
    <row r="1311" spans="1:17" x14ac:dyDescent="0.25">
      <c r="A1311" s="1" t="s">
        <v>998</v>
      </c>
      <c r="B1311" s="1" t="s">
        <v>1086</v>
      </c>
      <c r="C1311" s="1" t="s">
        <v>933</v>
      </c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</row>
    <row r="1312" spans="1:17" x14ac:dyDescent="0.25">
      <c r="A1312" s="1" t="s">
        <v>2153</v>
      </c>
      <c r="B1312" s="1" t="s">
        <v>998</v>
      </c>
      <c r="C1312" s="1" t="s">
        <v>994</v>
      </c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</row>
    <row r="1313" spans="1:17" x14ac:dyDescent="0.25">
      <c r="A1313" s="1" t="s">
        <v>50</v>
      </c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</row>
    <row r="1314" spans="1:17" x14ac:dyDescent="0.25">
      <c r="A1314" s="1" t="s">
        <v>996</v>
      </c>
      <c r="B1314" s="1" t="s">
        <v>25</v>
      </c>
      <c r="C1314" s="1" t="s">
        <v>923</v>
      </c>
      <c r="D1314" s="1" t="s">
        <v>997</v>
      </c>
      <c r="E1314" s="1" t="s">
        <v>10918</v>
      </c>
      <c r="F1314" s="1" t="s">
        <v>994</v>
      </c>
      <c r="G1314" s="1" t="s">
        <v>998</v>
      </c>
      <c r="H1314" s="1" t="s">
        <v>933</v>
      </c>
      <c r="I1314" s="1" t="s">
        <v>2541</v>
      </c>
      <c r="J1314" s="1" t="s">
        <v>1053</v>
      </c>
      <c r="K1314" s="1" t="s">
        <v>328</v>
      </c>
      <c r="L1314" s="1"/>
      <c r="M1314" s="1"/>
      <c r="N1314" s="1"/>
      <c r="O1314" s="1"/>
      <c r="P1314" s="1"/>
      <c r="Q1314" s="1"/>
    </row>
    <row r="1315" spans="1:17" x14ac:dyDescent="0.25">
      <c r="A1315" s="1" t="s">
        <v>996</v>
      </c>
      <c r="B1315" s="1" t="s">
        <v>997</v>
      </c>
      <c r="C1315" s="1" t="s">
        <v>1066</v>
      </c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</row>
    <row r="1316" spans="1:17" x14ac:dyDescent="0.25">
      <c r="A1316" s="1" t="s">
        <v>992</v>
      </c>
      <c r="B1316" s="1" t="s">
        <v>981</v>
      </c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</row>
    <row r="1317" spans="1:17" x14ac:dyDescent="0.25">
      <c r="A1317" s="1" t="s">
        <v>923</v>
      </c>
      <c r="B1317" s="1" t="s">
        <v>1053</v>
      </c>
      <c r="C1317" s="1" t="s">
        <v>933</v>
      </c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</row>
    <row r="1318" spans="1:17" x14ac:dyDescent="0.25">
      <c r="A1318" s="1" t="s">
        <v>998</v>
      </c>
      <c r="B1318" s="1" t="s">
        <v>1086</v>
      </c>
      <c r="C1318" s="1" t="s">
        <v>933</v>
      </c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</row>
    <row r="1319" spans="1:17" x14ac:dyDescent="0.25">
      <c r="A1319" s="1" t="s">
        <v>918</v>
      </c>
      <c r="B1319" s="1" t="s">
        <v>1110</v>
      </c>
      <c r="C1319" s="1" t="s">
        <v>25</v>
      </c>
      <c r="D1319" s="1" t="s">
        <v>923</v>
      </c>
      <c r="E1319" s="1" t="s">
        <v>919</v>
      </c>
      <c r="F1319" s="1" t="s">
        <v>920</v>
      </c>
      <c r="G1319" s="1" t="s">
        <v>954</v>
      </c>
      <c r="H1319" s="1" t="s">
        <v>328</v>
      </c>
      <c r="I1319" s="1" t="s">
        <v>921</v>
      </c>
      <c r="J1319" s="1" t="s">
        <v>1013</v>
      </c>
      <c r="K1319" s="1"/>
      <c r="L1319" s="1"/>
      <c r="M1319" s="1"/>
      <c r="N1319" s="1"/>
      <c r="O1319" s="1"/>
      <c r="P1319" s="1"/>
      <c r="Q1319" s="1"/>
    </row>
    <row r="1320" spans="1:17" x14ac:dyDescent="0.25">
      <c r="A1320" s="1" t="s">
        <v>981</v>
      </c>
      <c r="B1320" s="1" t="s">
        <v>1066</v>
      </c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</row>
    <row r="1321" spans="1:17" x14ac:dyDescent="0.25">
      <c r="A1321" s="1" t="s">
        <v>981</v>
      </c>
      <c r="B1321" s="1" t="s">
        <v>1066</v>
      </c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</row>
    <row r="1322" spans="1:17" x14ac:dyDescent="0.25">
      <c r="A1322" s="1" t="s">
        <v>10780</v>
      </c>
      <c r="B1322" s="1" t="s">
        <v>1013</v>
      </c>
      <c r="C1322" s="1" t="s">
        <v>918</v>
      </c>
      <c r="D1322" s="1" t="s">
        <v>919</v>
      </c>
      <c r="E1322" s="1" t="s">
        <v>924</v>
      </c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</row>
    <row r="1323" spans="1:17" x14ac:dyDescent="0.25">
      <c r="A1323" s="1" t="s">
        <v>25</v>
      </c>
      <c r="B1323" s="1" t="s">
        <v>1086</v>
      </c>
      <c r="C1323" s="1" t="s">
        <v>919</v>
      </c>
      <c r="D1323" s="1" t="s">
        <v>920</v>
      </c>
      <c r="E1323" s="1" t="s">
        <v>921</v>
      </c>
      <c r="F1323" s="1" t="s">
        <v>10919</v>
      </c>
      <c r="G1323" s="1" t="s">
        <v>10920</v>
      </c>
      <c r="H1323" s="1" t="s">
        <v>10921</v>
      </c>
      <c r="I1323" s="1" t="s">
        <v>10749</v>
      </c>
      <c r="J1323" s="1" t="s">
        <v>952</v>
      </c>
      <c r="K1323" s="1" t="s">
        <v>10922</v>
      </c>
      <c r="L1323" s="1" t="s">
        <v>10732</v>
      </c>
      <c r="M1323" s="1" t="s">
        <v>10923</v>
      </c>
      <c r="N1323" s="1"/>
      <c r="O1323" s="1"/>
      <c r="P1323" s="1"/>
      <c r="Q1323" s="1"/>
    </row>
    <row r="1324" spans="1:17" x14ac:dyDescent="0.25">
      <c r="A1324" s="1" t="s">
        <v>918</v>
      </c>
      <c r="B1324" s="1" t="s">
        <v>1031</v>
      </c>
      <c r="C1324" s="1" t="s">
        <v>25</v>
      </c>
      <c r="D1324" s="1" t="s">
        <v>923</v>
      </c>
      <c r="E1324" s="1" t="s">
        <v>976</v>
      </c>
      <c r="F1324" s="1" t="s">
        <v>920</v>
      </c>
      <c r="G1324" s="1" t="s">
        <v>921</v>
      </c>
      <c r="H1324" s="1" t="s">
        <v>1033</v>
      </c>
      <c r="I1324" s="1"/>
      <c r="J1324" s="1"/>
      <c r="K1324" s="1"/>
      <c r="L1324" s="1"/>
      <c r="M1324" s="1"/>
      <c r="N1324" s="1"/>
      <c r="O1324" s="1"/>
      <c r="P1324" s="1"/>
      <c r="Q1324" s="1"/>
    </row>
    <row r="1325" spans="1:17" x14ac:dyDescent="0.25">
      <c r="A1325" s="1" t="s">
        <v>934</v>
      </c>
      <c r="B1325" s="1" t="s">
        <v>1110</v>
      </c>
      <c r="C1325" s="1" t="s">
        <v>25</v>
      </c>
      <c r="D1325" s="1" t="s">
        <v>923</v>
      </c>
      <c r="E1325" s="1" t="s">
        <v>920</v>
      </c>
      <c r="F1325" s="1" t="s">
        <v>933</v>
      </c>
      <c r="G1325" s="1" t="s">
        <v>954</v>
      </c>
      <c r="H1325" s="1" t="s">
        <v>974</v>
      </c>
      <c r="I1325" s="1" t="s">
        <v>921</v>
      </c>
      <c r="J1325" s="1"/>
      <c r="K1325" s="1"/>
      <c r="L1325" s="1"/>
      <c r="M1325" s="1"/>
      <c r="N1325" s="1"/>
      <c r="O1325" s="1"/>
      <c r="P1325" s="1"/>
      <c r="Q1325" s="1"/>
    </row>
    <row r="1326" spans="1:17" x14ac:dyDescent="0.25">
      <c r="A1326" s="1" t="s">
        <v>25</v>
      </c>
      <c r="B1326" s="1" t="s">
        <v>974</v>
      </c>
      <c r="C1326" s="1" t="s">
        <v>10719</v>
      </c>
      <c r="D1326" s="1" t="s">
        <v>950</v>
      </c>
      <c r="E1326" s="1" t="s">
        <v>10720</v>
      </c>
      <c r="F1326" s="1" t="s">
        <v>1149</v>
      </c>
      <c r="G1326" s="1" t="s">
        <v>923</v>
      </c>
      <c r="H1326" s="1" t="s">
        <v>998</v>
      </c>
      <c r="I1326" s="1" t="s">
        <v>1086</v>
      </c>
      <c r="J1326" s="1" t="s">
        <v>920</v>
      </c>
      <c r="K1326" s="1" t="s">
        <v>933</v>
      </c>
      <c r="L1326" s="1"/>
      <c r="M1326" s="1"/>
      <c r="N1326" s="1"/>
      <c r="O1326" s="1"/>
      <c r="P1326" s="1"/>
      <c r="Q1326" s="1"/>
    </row>
    <row r="1327" spans="1:17" x14ac:dyDescent="0.25">
      <c r="A1327" s="1" t="s">
        <v>998</v>
      </c>
      <c r="B1327" s="1" t="s">
        <v>994</v>
      </c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</row>
    <row r="1328" spans="1:17" x14ac:dyDescent="0.25">
      <c r="A1328" s="1" t="s">
        <v>2927</v>
      </c>
      <c r="B1328" s="1" t="s">
        <v>1069</v>
      </c>
      <c r="C1328" s="1" t="s">
        <v>1149</v>
      </c>
      <c r="D1328" s="1" t="s">
        <v>25</v>
      </c>
      <c r="E1328" s="1" t="s">
        <v>923</v>
      </c>
      <c r="F1328" s="1" t="s">
        <v>998</v>
      </c>
      <c r="G1328" s="1" t="s">
        <v>1053</v>
      </c>
      <c r="H1328" s="1" t="s">
        <v>1086</v>
      </c>
      <c r="I1328" s="1" t="s">
        <v>933</v>
      </c>
      <c r="J1328" s="1"/>
      <c r="K1328" s="1"/>
      <c r="L1328" s="1"/>
      <c r="M1328" s="1"/>
      <c r="N1328" s="1"/>
      <c r="O1328" s="1"/>
      <c r="P1328" s="1"/>
      <c r="Q1328" s="1"/>
    </row>
    <row r="1329" spans="1:17" x14ac:dyDescent="0.25">
      <c r="A1329" s="1" t="s">
        <v>996</v>
      </c>
      <c r="B1329" s="1" t="s">
        <v>2541</v>
      </c>
      <c r="C1329" s="1" t="s">
        <v>1152</v>
      </c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</row>
    <row r="1330" spans="1:17" x14ac:dyDescent="0.25">
      <c r="A1330" s="1" t="s">
        <v>50</v>
      </c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</row>
    <row r="1331" spans="1:17" x14ac:dyDescent="0.25">
      <c r="A1331" s="1" t="s">
        <v>2541</v>
      </c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</row>
    <row r="1332" spans="1:17" x14ac:dyDescent="0.25">
      <c r="A1332" s="1" t="s">
        <v>1053</v>
      </c>
      <c r="B1332" s="1" t="s">
        <v>1086</v>
      </c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</row>
    <row r="1333" spans="1:17" x14ac:dyDescent="0.25">
      <c r="A1333" s="1" t="s">
        <v>2147</v>
      </c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</row>
    <row r="1334" spans="1:17" x14ac:dyDescent="0.25">
      <c r="A1334" s="1" t="s">
        <v>1053</v>
      </c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</row>
    <row r="1335" spans="1:17" x14ac:dyDescent="0.25">
      <c r="A1335" s="1" t="s">
        <v>992</v>
      </c>
      <c r="B1335" s="1" t="s">
        <v>933</v>
      </c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</row>
    <row r="1336" spans="1:17" x14ac:dyDescent="0.25">
      <c r="A1336" s="1" t="s">
        <v>50</v>
      </c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</row>
    <row r="1337" spans="1:17" x14ac:dyDescent="0.25">
      <c r="A1337" s="1" t="s">
        <v>50</v>
      </c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</row>
    <row r="1338" spans="1:17" x14ac:dyDescent="0.25">
      <c r="A1338" s="1" t="s">
        <v>25</v>
      </c>
      <c r="B1338" s="1" t="s">
        <v>923</v>
      </c>
      <c r="C1338" s="1" t="s">
        <v>997</v>
      </c>
      <c r="D1338" s="1" t="s">
        <v>927</v>
      </c>
      <c r="E1338" s="1" t="s">
        <v>10924</v>
      </c>
      <c r="F1338" s="1" t="s">
        <v>920</v>
      </c>
      <c r="G1338" s="1" t="s">
        <v>933</v>
      </c>
      <c r="H1338" s="1" t="s">
        <v>954</v>
      </c>
      <c r="I1338" s="1" t="s">
        <v>974</v>
      </c>
      <c r="J1338" s="1" t="s">
        <v>921</v>
      </c>
      <c r="K1338" s="1" t="s">
        <v>998</v>
      </c>
      <c r="L1338" s="1" t="s">
        <v>1086</v>
      </c>
      <c r="M1338" s="1" t="s">
        <v>298</v>
      </c>
      <c r="N1338" s="1"/>
      <c r="O1338" s="1"/>
      <c r="P1338" s="1"/>
      <c r="Q1338" s="1"/>
    </row>
    <row r="1339" spans="1:17" x14ac:dyDescent="0.25">
      <c r="A1339" s="1" t="s">
        <v>10925</v>
      </c>
      <c r="B1339" s="1" t="s">
        <v>10926</v>
      </c>
      <c r="C1339" s="1" t="s">
        <v>10927</v>
      </c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</row>
    <row r="1340" spans="1:17" x14ac:dyDescent="0.25">
      <c r="A1340" s="1" t="s">
        <v>2476</v>
      </c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</row>
    <row r="1341" spans="1:17" x14ac:dyDescent="0.25">
      <c r="A1341" s="1" t="s">
        <v>2476</v>
      </c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</row>
    <row r="1342" spans="1:17" x14ac:dyDescent="0.25">
      <c r="A1342" s="1" t="s">
        <v>2476</v>
      </c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</row>
    <row r="1343" spans="1:17" x14ac:dyDescent="0.25">
      <c r="A1343" s="1" t="s">
        <v>2476</v>
      </c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</row>
    <row r="1344" spans="1:17" x14ac:dyDescent="0.25">
      <c r="A1344" s="1" t="s">
        <v>25</v>
      </c>
      <c r="B1344" s="1" t="s">
        <v>923</v>
      </c>
      <c r="C1344" s="1" t="s">
        <v>954</v>
      </c>
      <c r="D1344" s="1" t="s">
        <v>1001</v>
      </c>
      <c r="E1344" s="1" t="s">
        <v>937</v>
      </c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</row>
    <row r="1345" spans="1:17" x14ac:dyDescent="0.25">
      <c r="A1345" s="1" t="s">
        <v>949</v>
      </c>
      <c r="B1345" s="1" t="s">
        <v>923</v>
      </c>
      <c r="C1345" s="1" t="s">
        <v>973</v>
      </c>
      <c r="D1345" s="1" t="s">
        <v>916</v>
      </c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</row>
    <row r="1346" spans="1:17" x14ac:dyDescent="0.25">
      <c r="A1346" s="1" t="s">
        <v>4553</v>
      </c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</row>
    <row r="1347" spans="1:17" x14ac:dyDescent="0.25">
      <c r="A1347" s="1" t="s">
        <v>923</v>
      </c>
      <c r="B1347" s="1" t="s">
        <v>10830</v>
      </c>
      <c r="C1347" s="1" t="s">
        <v>1097</v>
      </c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</row>
    <row r="1348" spans="1:17" x14ac:dyDescent="0.25">
      <c r="A1348" s="1" t="s">
        <v>918</v>
      </c>
      <c r="B1348" s="1" t="s">
        <v>25</v>
      </c>
      <c r="C1348" s="1" t="s">
        <v>923</v>
      </c>
      <c r="D1348" s="1" t="s">
        <v>920</v>
      </c>
      <c r="E1348" s="1" t="s">
        <v>954</v>
      </c>
      <c r="F1348" s="1" t="s">
        <v>921</v>
      </c>
      <c r="G1348" s="1" t="s">
        <v>35</v>
      </c>
      <c r="H1348" s="1"/>
      <c r="I1348" s="1"/>
      <c r="J1348" s="1"/>
      <c r="K1348" s="1"/>
      <c r="L1348" s="1"/>
      <c r="M1348" s="1"/>
      <c r="N1348" s="1"/>
      <c r="O1348" s="1"/>
      <c r="P1348" s="1"/>
      <c r="Q1348" s="1"/>
    </row>
    <row r="1349" spans="1:17" x14ac:dyDescent="0.25">
      <c r="A1349" s="1" t="s">
        <v>2927</v>
      </c>
      <c r="B1349" s="1" t="s">
        <v>1051</v>
      </c>
      <c r="C1349" s="1" t="s">
        <v>25</v>
      </c>
      <c r="D1349" s="1" t="s">
        <v>1053</v>
      </c>
      <c r="E1349" s="1" t="s">
        <v>1086</v>
      </c>
      <c r="F1349" s="1" t="s">
        <v>933</v>
      </c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</row>
    <row r="1350" spans="1:17" x14ac:dyDescent="0.25">
      <c r="A1350" s="1" t="s">
        <v>973</v>
      </c>
      <c r="B1350" s="1" t="s">
        <v>992</v>
      </c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</row>
    <row r="1351" spans="1:17" x14ac:dyDescent="0.25">
      <c r="A1351" s="1" t="s">
        <v>298</v>
      </c>
      <c r="B1351" s="1" t="s">
        <v>2927</v>
      </c>
      <c r="C1351" s="1" t="s">
        <v>1069</v>
      </c>
      <c r="D1351" s="1" t="s">
        <v>25</v>
      </c>
      <c r="E1351" s="1" t="s">
        <v>923</v>
      </c>
      <c r="F1351" s="1" t="s">
        <v>998</v>
      </c>
      <c r="G1351" s="1" t="s">
        <v>1053</v>
      </c>
      <c r="H1351" s="1" t="s">
        <v>1086</v>
      </c>
      <c r="I1351" s="1" t="s">
        <v>933</v>
      </c>
      <c r="J1351" s="1"/>
      <c r="K1351" s="1"/>
      <c r="L1351" s="1"/>
      <c r="M1351" s="1"/>
      <c r="N1351" s="1"/>
      <c r="O1351" s="1"/>
      <c r="P1351" s="1"/>
      <c r="Q1351" s="1"/>
    </row>
    <row r="1352" spans="1:17" x14ac:dyDescent="0.25">
      <c r="A1352" s="1" t="s">
        <v>2927</v>
      </c>
      <c r="B1352" s="1" t="s">
        <v>1069</v>
      </c>
      <c r="C1352" s="1" t="s">
        <v>25</v>
      </c>
      <c r="D1352" s="1" t="s">
        <v>923</v>
      </c>
      <c r="E1352" s="1" t="s">
        <v>1167</v>
      </c>
      <c r="F1352" s="1" t="s">
        <v>998</v>
      </c>
      <c r="G1352" s="1" t="s">
        <v>1053</v>
      </c>
      <c r="H1352" s="1" t="s">
        <v>1086</v>
      </c>
      <c r="I1352" s="1" t="s">
        <v>933</v>
      </c>
      <c r="J1352" s="1" t="s">
        <v>994</v>
      </c>
      <c r="K1352" s="1" t="s">
        <v>922</v>
      </c>
      <c r="L1352" s="1"/>
      <c r="M1352" s="1"/>
      <c r="N1352" s="1"/>
      <c r="O1352" s="1"/>
      <c r="P1352" s="1"/>
      <c r="Q1352" s="1"/>
    </row>
    <row r="1353" spans="1:17" x14ac:dyDescent="0.25">
      <c r="A1353" s="1" t="s">
        <v>996</v>
      </c>
      <c r="B1353" s="1" t="s">
        <v>2541</v>
      </c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</row>
    <row r="1354" spans="1:17" x14ac:dyDescent="0.25">
      <c r="A1354" s="1" t="s">
        <v>996</v>
      </c>
      <c r="B1354" s="1" t="s">
        <v>999</v>
      </c>
      <c r="C1354" s="1" t="s">
        <v>921</v>
      </c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</row>
    <row r="1355" spans="1:17" x14ac:dyDescent="0.25">
      <c r="A1355" s="1" t="s">
        <v>996</v>
      </c>
      <c r="B1355" s="1" t="s">
        <v>999</v>
      </c>
      <c r="C1355" s="1" t="s">
        <v>921</v>
      </c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</row>
    <row r="1356" spans="1:17" x14ac:dyDescent="0.25">
      <c r="A1356" s="1" t="s">
        <v>996</v>
      </c>
      <c r="B1356" s="1" t="s">
        <v>999</v>
      </c>
      <c r="C1356" s="1" t="s">
        <v>921</v>
      </c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</row>
    <row r="1357" spans="1:17" x14ac:dyDescent="0.25">
      <c r="A1357" s="1" t="s">
        <v>981</v>
      </c>
      <c r="B1357" s="1" t="s">
        <v>1066</v>
      </c>
      <c r="C1357" s="1" t="s">
        <v>5407</v>
      </c>
      <c r="D1357" s="1" t="s">
        <v>10739</v>
      </c>
      <c r="E1357" s="1" t="s">
        <v>10734</v>
      </c>
      <c r="F1357" s="1" t="s">
        <v>10735</v>
      </c>
      <c r="G1357" s="1" t="s">
        <v>955</v>
      </c>
      <c r="H1357" s="1" t="s">
        <v>944</v>
      </c>
      <c r="I1357" s="1"/>
      <c r="J1357" s="1"/>
      <c r="K1357" s="1"/>
      <c r="L1357" s="1"/>
      <c r="M1357" s="1"/>
      <c r="N1357" s="1"/>
      <c r="O1357" s="1"/>
      <c r="P1357" s="1"/>
      <c r="Q1357" s="1"/>
    </row>
    <row r="1358" spans="1:17" x14ac:dyDescent="0.25">
      <c r="A1358" s="1" t="s">
        <v>4580</v>
      </c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</row>
    <row r="1359" spans="1:17" x14ac:dyDescent="0.25">
      <c r="A1359" s="1" t="s">
        <v>983</v>
      </c>
      <c r="B1359" s="1" t="s">
        <v>989</v>
      </c>
      <c r="C1359" s="1" t="s">
        <v>984</v>
      </c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</row>
    <row r="1360" spans="1:17" x14ac:dyDescent="0.25">
      <c r="A1360" s="1" t="s">
        <v>1045</v>
      </c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</row>
    <row r="1361" spans="1:17" x14ac:dyDescent="0.25">
      <c r="A1361" s="1" t="s">
        <v>955</v>
      </c>
      <c r="B1361" s="1" t="s">
        <v>1071</v>
      </c>
      <c r="C1361" s="1" t="s">
        <v>1014</v>
      </c>
      <c r="D1361" s="1" t="s">
        <v>975</v>
      </c>
      <c r="E1361" s="1" t="s">
        <v>939</v>
      </c>
      <c r="F1361" s="1" t="s">
        <v>983</v>
      </c>
      <c r="G1361" s="1" t="s">
        <v>984</v>
      </c>
      <c r="H1361" s="1" t="s">
        <v>1060</v>
      </c>
      <c r="I1361" s="1" t="s">
        <v>918</v>
      </c>
      <c r="J1361" s="1" t="s">
        <v>25</v>
      </c>
      <c r="K1361" s="1" t="s">
        <v>923</v>
      </c>
      <c r="L1361" s="1" t="s">
        <v>920</v>
      </c>
      <c r="M1361" s="1" t="s">
        <v>924</v>
      </c>
      <c r="N1361" s="1" t="s">
        <v>921</v>
      </c>
      <c r="O1361" s="1"/>
      <c r="P1361" s="1"/>
      <c r="Q1361" s="1"/>
    </row>
    <row r="1362" spans="1:17" x14ac:dyDescent="0.25">
      <c r="A1362" s="1" t="s">
        <v>955</v>
      </c>
      <c r="B1362" s="1" t="s">
        <v>1071</v>
      </c>
      <c r="C1362" s="1" t="s">
        <v>1014</v>
      </c>
      <c r="D1362" s="1" t="s">
        <v>975</v>
      </c>
      <c r="E1362" s="1" t="s">
        <v>939</v>
      </c>
      <c r="F1362" s="1" t="s">
        <v>983</v>
      </c>
      <c r="G1362" s="1" t="s">
        <v>984</v>
      </c>
      <c r="H1362" s="1" t="s">
        <v>1060</v>
      </c>
      <c r="I1362" s="1"/>
      <c r="J1362" s="1"/>
      <c r="K1362" s="1"/>
      <c r="L1362" s="1"/>
      <c r="M1362" s="1"/>
      <c r="N1362" s="1"/>
      <c r="O1362" s="1"/>
      <c r="P1362" s="1"/>
      <c r="Q1362" s="1"/>
    </row>
    <row r="1363" spans="1:17" x14ac:dyDescent="0.25">
      <c r="A1363" s="1" t="s">
        <v>983</v>
      </c>
      <c r="B1363" s="1" t="s">
        <v>989</v>
      </c>
      <c r="C1363" s="1" t="s">
        <v>984</v>
      </c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</row>
    <row r="1364" spans="1:17" x14ac:dyDescent="0.25">
      <c r="A1364" s="1" t="s">
        <v>1053</v>
      </c>
      <c r="B1364" s="1" t="s">
        <v>2541</v>
      </c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</row>
    <row r="1365" spans="1:17" x14ac:dyDescent="0.25">
      <c r="A1365" s="1" t="s">
        <v>933</v>
      </c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</row>
    <row r="1366" spans="1:17" x14ac:dyDescent="0.25">
      <c r="A1366" s="1" t="s">
        <v>978</v>
      </c>
      <c r="B1366" s="1" t="s">
        <v>25</v>
      </c>
      <c r="C1366" s="1" t="s">
        <v>920</v>
      </c>
      <c r="D1366" s="1" t="s">
        <v>933</v>
      </c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</row>
    <row r="1367" spans="1:17" x14ac:dyDescent="0.25">
      <c r="A1367" s="1" t="s">
        <v>918</v>
      </c>
      <c r="B1367" s="1" t="s">
        <v>919</v>
      </c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</row>
    <row r="1368" spans="1:17" x14ac:dyDescent="0.25">
      <c r="A1368" s="1" t="s">
        <v>932</v>
      </c>
      <c r="B1368" s="1" t="s">
        <v>916</v>
      </c>
      <c r="C1368" s="1" t="s">
        <v>920</v>
      </c>
      <c r="D1368" s="1" t="s">
        <v>921</v>
      </c>
      <c r="E1368" s="1" t="s">
        <v>922</v>
      </c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</row>
    <row r="1369" spans="1:17" x14ac:dyDescent="0.25">
      <c r="A1369" s="1" t="s">
        <v>918</v>
      </c>
      <c r="B1369" s="1" t="s">
        <v>25</v>
      </c>
      <c r="C1369" s="1" t="s">
        <v>997</v>
      </c>
      <c r="D1369" s="1" t="s">
        <v>919</v>
      </c>
      <c r="E1369" s="1" t="s">
        <v>920</v>
      </c>
      <c r="F1369" s="1" t="s">
        <v>924</v>
      </c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</row>
    <row r="1370" spans="1:17" x14ac:dyDescent="0.25">
      <c r="A1370" s="1" t="s">
        <v>50</v>
      </c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</row>
    <row r="1371" spans="1:17" x14ac:dyDescent="0.25">
      <c r="A1371" s="1" t="s">
        <v>1001</v>
      </c>
      <c r="B1371" s="1" t="s">
        <v>927</v>
      </c>
      <c r="C1371" s="1" t="s">
        <v>981</v>
      </c>
      <c r="D1371" s="1" t="s">
        <v>919</v>
      </c>
      <c r="E1371" s="1" t="s">
        <v>921</v>
      </c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</row>
    <row r="1372" spans="1:17" x14ac:dyDescent="0.25">
      <c r="A1372" s="1" t="s">
        <v>955</v>
      </c>
      <c r="B1372" s="1" t="s">
        <v>1071</v>
      </c>
      <c r="C1372" s="1" t="s">
        <v>1014</v>
      </c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</row>
    <row r="1373" spans="1:17" x14ac:dyDescent="0.25">
      <c r="A1373" s="1" t="s">
        <v>25</v>
      </c>
      <c r="B1373" s="1" t="s">
        <v>923</v>
      </c>
      <c r="C1373" s="1" t="s">
        <v>916</v>
      </c>
      <c r="D1373" s="1" t="s">
        <v>920</v>
      </c>
      <c r="E1373" s="1" t="s">
        <v>974</v>
      </c>
      <c r="F1373" s="1" t="s">
        <v>921</v>
      </c>
      <c r="G1373" s="1" t="s">
        <v>1033</v>
      </c>
      <c r="H1373" s="1"/>
      <c r="I1373" s="1"/>
      <c r="J1373" s="1"/>
      <c r="K1373" s="1"/>
      <c r="L1373" s="1"/>
      <c r="M1373" s="1"/>
      <c r="N1373" s="1"/>
      <c r="O1373" s="1"/>
      <c r="P1373" s="1"/>
      <c r="Q1373" s="1"/>
    </row>
    <row r="1374" spans="1:17" x14ac:dyDescent="0.25">
      <c r="A1374" s="1" t="s">
        <v>918</v>
      </c>
      <c r="B1374" s="1" t="s">
        <v>25</v>
      </c>
      <c r="C1374" s="1" t="s">
        <v>923</v>
      </c>
      <c r="D1374" s="1" t="s">
        <v>919</v>
      </c>
      <c r="E1374" s="1" t="s">
        <v>920</v>
      </c>
      <c r="F1374" s="1" t="s">
        <v>921</v>
      </c>
      <c r="G1374" s="1" t="s">
        <v>996</v>
      </c>
      <c r="H1374" s="1" t="s">
        <v>997</v>
      </c>
      <c r="I1374" s="1"/>
      <c r="J1374" s="1"/>
      <c r="K1374" s="1"/>
      <c r="L1374" s="1"/>
      <c r="M1374" s="1"/>
      <c r="N1374" s="1"/>
      <c r="O1374" s="1"/>
      <c r="P1374" s="1"/>
      <c r="Q1374" s="1"/>
    </row>
    <row r="1375" spans="1:17" x14ac:dyDescent="0.25">
      <c r="A1375" s="1" t="s">
        <v>996</v>
      </c>
      <c r="B1375" s="1" t="s">
        <v>25</v>
      </c>
      <c r="C1375" s="1" t="s">
        <v>923</v>
      </c>
      <c r="D1375" s="1" t="s">
        <v>997</v>
      </c>
      <c r="E1375" s="1" t="s">
        <v>920</v>
      </c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</row>
    <row r="1376" spans="1:17" x14ac:dyDescent="0.25">
      <c r="A1376" s="1" t="s">
        <v>918</v>
      </c>
      <c r="B1376" s="1" t="s">
        <v>967</v>
      </c>
      <c r="C1376" s="1" t="s">
        <v>995</v>
      </c>
      <c r="D1376" s="1" t="s">
        <v>919</v>
      </c>
      <c r="E1376" s="1" t="s">
        <v>924</v>
      </c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</row>
    <row r="1377" spans="1:17" x14ac:dyDescent="0.25">
      <c r="A1377" s="1" t="s">
        <v>923</v>
      </c>
      <c r="B1377" s="1" t="s">
        <v>933</v>
      </c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</row>
    <row r="1378" spans="1:17" x14ac:dyDescent="0.25">
      <c r="A1378" s="1" t="s">
        <v>1011</v>
      </c>
      <c r="B1378" s="1" t="s">
        <v>947</v>
      </c>
      <c r="C1378" s="1" t="s">
        <v>933</v>
      </c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</row>
    <row r="1379" spans="1:17" x14ac:dyDescent="0.25">
      <c r="A1379" s="1" t="s">
        <v>998</v>
      </c>
      <c r="B1379" s="1" t="s">
        <v>994</v>
      </c>
      <c r="C1379" s="1" t="s">
        <v>987</v>
      </c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</row>
    <row r="1380" spans="1:17" x14ac:dyDescent="0.25">
      <c r="A1380" s="1" t="s">
        <v>992</v>
      </c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</row>
    <row r="1381" spans="1:17" x14ac:dyDescent="0.25">
      <c r="A1381" s="1" t="s">
        <v>992</v>
      </c>
      <c r="B1381" s="1" t="s">
        <v>993</v>
      </c>
      <c r="C1381" s="1" t="s">
        <v>1053</v>
      </c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</row>
    <row r="1382" spans="1:17" x14ac:dyDescent="0.25">
      <c r="A1382" s="1" t="s">
        <v>1001</v>
      </c>
      <c r="B1382" s="1" t="s">
        <v>992</v>
      </c>
      <c r="C1382" s="1" t="s">
        <v>981</v>
      </c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</row>
    <row r="1383" spans="1:17" x14ac:dyDescent="0.25">
      <c r="A1383" s="1" t="s">
        <v>921</v>
      </c>
      <c r="B1383" s="1" t="s">
        <v>993</v>
      </c>
      <c r="C1383" s="1" t="s">
        <v>933</v>
      </c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</row>
    <row r="1384" spans="1:17" x14ac:dyDescent="0.25">
      <c r="A1384" s="1" t="s">
        <v>90</v>
      </c>
      <c r="B1384" s="1" t="s">
        <v>10751</v>
      </c>
      <c r="C1384" s="1" t="s">
        <v>1109</v>
      </c>
      <c r="D1384" s="1" t="s">
        <v>25</v>
      </c>
      <c r="E1384" s="1" t="s">
        <v>2927</v>
      </c>
      <c r="F1384" s="1" t="s">
        <v>1086</v>
      </c>
      <c r="G1384" s="1" t="s">
        <v>10928</v>
      </c>
      <c r="H1384" s="1"/>
      <c r="I1384" s="1"/>
      <c r="J1384" s="1"/>
      <c r="K1384" s="1"/>
      <c r="L1384" s="1"/>
      <c r="M1384" s="1"/>
      <c r="N1384" s="1"/>
      <c r="O1384" s="1"/>
      <c r="P1384" s="1"/>
      <c r="Q1384" s="1"/>
    </row>
    <row r="1385" spans="1:17" x14ac:dyDescent="0.25">
      <c r="A1385" s="1" t="s">
        <v>918</v>
      </c>
      <c r="B1385" s="1" t="s">
        <v>949</v>
      </c>
      <c r="C1385" s="1" t="s">
        <v>25</v>
      </c>
      <c r="D1385" s="1" t="s">
        <v>923</v>
      </c>
      <c r="E1385" s="1" t="s">
        <v>919</v>
      </c>
      <c r="F1385" s="1" t="s">
        <v>920</v>
      </c>
      <c r="G1385" s="1" t="s">
        <v>974</v>
      </c>
      <c r="H1385" s="1" t="s">
        <v>921</v>
      </c>
      <c r="I1385" s="1" t="s">
        <v>925</v>
      </c>
      <c r="J1385" s="1" t="s">
        <v>927</v>
      </c>
      <c r="K1385" s="1" t="s">
        <v>928</v>
      </c>
      <c r="L1385" s="1" t="s">
        <v>960</v>
      </c>
      <c r="M1385" s="1" t="s">
        <v>961</v>
      </c>
      <c r="N1385" s="1" t="s">
        <v>1147</v>
      </c>
      <c r="O1385" s="1"/>
      <c r="P1385" s="1"/>
      <c r="Q1385" s="1"/>
    </row>
    <row r="1386" spans="1:17" x14ac:dyDescent="0.25">
      <c r="A1386" s="1" t="s">
        <v>25</v>
      </c>
      <c r="B1386" s="1" t="s">
        <v>923</v>
      </c>
      <c r="C1386" s="1" t="s">
        <v>973</v>
      </c>
      <c r="D1386" s="1" t="s">
        <v>920</v>
      </c>
      <c r="E1386" s="1" t="s">
        <v>933</v>
      </c>
      <c r="F1386" s="1" t="s">
        <v>954</v>
      </c>
      <c r="G1386" s="1" t="s">
        <v>974</v>
      </c>
      <c r="H1386" s="1" t="s">
        <v>934</v>
      </c>
      <c r="I1386" s="1" t="s">
        <v>6421</v>
      </c>
      <c r="J1386" s="1" t="s">
        <v>328</v>
      </c>
      <c r="K1386" s="1" t="s">
        <v>921</v>
      </c>
      <c r="L1386" s="1"/>
      <c r="M1386" s="1"/>
      <c r="N1386" s="1"/>
      <c r="O1386" s="1"/>
      <c r="P1386" s="1"/>
      <c r="Q1386" s="1"/>
    </row>
    <row r="1387" spans="1:17" x14ac:dyDescent="0.25">
      <c r="A1387" s="1" t="s">
        <v>10741</v>
      </c>
      <c r="B1387" s="1" t="s">
        <v>1014</v>
      </c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</row>
    <row r="1388" spans="1:17" x14ac:dyDescent="0.25">
      <c r="A1388" s="1" t="s">
        <v>10741</v>
      </c>
      <c r="B1388" s="1" t="s">
        <v>1014</v>
      </c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</row>
    <row r="1389" spans="1:17" x14ac:dyDescent="0.25">
      <c r="A1389" s="1" t="s">
        <v>918</v>
      </c>
      <c r="B1389" s="1" t="s">
        <v>25</v>
      </c>
      <c r="C1389" s="1" t="s">
        <v>923</v>
      </c>
      <c r="D1389" s="1" t="s">
        <v>965</v>
      </c>
      <c r="E1389" s="1" t="s">
        <v>840</v>
      </c>
      <c r="F1389" s="1" t="s">
        <v>920</v>
      </c>
      <c r="G1389" s="1" t="s">
        <v>954</v>
      </c>
      <c r="H1389" s="1" t="s">
        <v>919</v>
      </c>
      <c r="I1389" s="1" t="s">
        <v>924</v>
      </c>
      <c r="J1389" s="1" t="s">
        <v>930</v>
      </c>
      <c r="K1389" s="1" t="s">
        <v>1014</v>
      </c>
      <c r="L1389" s="1"/>
      <c r="M1389" s="1"/>
      <c r="N1389" s="1"/>
      <c r="O1389" s="1"/>
      <c r="P1389" s="1"/>
      <c r="Q1389" s="1"/>
    </row>
    <row r="1390" spans="1:17" x14ac:dyDescent="0.25">
      <c r="A1390" s="1" t="s">
        <v>50</v>
      </c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</row>
    <row r="1391" spans="1:17" x14ac:dyDescent="0.25">
      <c r="A1391" s="1" t="s">
        <v>1011</v>
      </c>
      <c r="B1391" s="1" t="s">
        <v>933</v>
      </c>
      <c r="C1391" s="1" t="s">
        <v>921</v>
      </c>
      <c r="D1391" s="1" t="s">
        <v>1066</v>
      </c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</row>
    <row r="1392" spans="1:17" x14ac:dyDescent="0.25">
      <c r="A1392" s="1" t="s">
        <v>994</v>
      </c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</row>
    <row r="1393" spans="1:17" x14ac:dyDescent="0.25">
      <c r="A1393" s="1" t="s">
        <v>948</v>
      </c>
      <c r="B1393" s="1" t="s">
        <v>1069</v>
      </c>
      <c r="C1393" s="1" t="s">
        <v>1149</v>
      </c>
      <c r="D1393" s="1" t="s">
        <v>25</v>
      </c>
      <c r="E1393" s="1" t="s">
        <v>923</v>
      </c>
      <c r="F1393" s="1" t="s">
        <v>998</v>
      </c>
      <c r="G1393" s="1" t="s">
        <v>1150</v>
      </c>
      <c r="H1393" s="1" t="s">
        <v>1086</v>
      </c>
      <c r="I1393" s="1"/>
      <c r="J1393" s="1"/>
      <c r="K1393" s="1"/>
      <c r="L1393" s="1"/>
      <c r="M1393" s="1"/>
      <c r="N1393" s="1"/>
      <c r="O1393" s="1"/>
      <c r="P1393" s="1"/>
      <c r="Q1393" s="1"/>
    </row>
    <row r="1394" spans="1:17" x14ac:dyDescent="0.25">
      <c r="A1394" s="1" t="s">
        <v>25</v>
      </c>
      <c r="B1394" s="1" t="s">
        <v>923</v>
      </c>
      <c r="C1394" s="1" t="s">
        <v>920</v>
      </c>
      <c r="D1394" s="1" t="s">
        <v>933</v>
      </c>
      <c r="E1394" s="1" t="s">
        <v>954</v>
      </c>
      <c r="F1394" s="1" t="s">
        <v>1141</v>
      </c>
      <c r="G1394" s="1" t="s">
        <v>1066</v>
      </c>
      <c r="H1394" s="1"/>
      <c r="I1394" s="1"/>
      <c r="J1394" s="1"/>
      <c r="K1394" s="1"/>
      <c r="L1394" s="1"/>
      <c r="M1394" s="1"/>
      <c r="N1394" s="1"/>
      <c r="O1394" s="1"/>
      <c r="P1394" s="1"/>
      <c r="Q1394" s="1"/>
    </row>
    <row r="1395" spans="1:17" x14ac:dyDescent="0.25">
      <c r="A1395" s="1" t="s">
        <v>50</v>
      </c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</row>
    <row r="1396" spans="1:17" x14ac:dyDescent="0.25">
      <c r="A1396" s="1" t="s">
        <v>949</v>
      </c>
      <c r="B1396" s="1" t="s">
        <v>1053</v>
      </c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</row>
    <row r="1397" spans="1:17" x14ac:dyDescent="0.25">
      <c r="A1397" s="1" t="s">
        <v>90</v>
      </c>
      <c r="B1397" s="1" t="s">
        <v>1002</v>
      </c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</row>
    <row r="1398" spans="1:17" x14ac:dyDescent="0.25">
      <c r="A1398" s="1" t="s">
        <v>1086</v>
      </c>
      <c r="B1398" s="1" t="s">
        <v>10876</v>
      </c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</row>
    <row r="1399" spans="1:17" x14ac:dyDescent="0.25">
      <c r="A1399" s="1" t="s">
        <v>996</v>
      </c>
      <c r="B1399" s="1" t="s">
        <v>1053</v>
      </c>
      <c r="C1399" s="1" t="s">
        <v>2541</v>
      </c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</row>
    <row r="1400" spans="1:17" x14ac:dyDescent="0.25">
      <c r="A1400" s="1" t="s">
        <v>992</v>
      </c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</row>
    <row r="1401" spans="1:17" x14ac:dyDescent="0.25">
      <c r="A1401" s="1" t="s">
        <v>996</v>
      </c>
      <c r="B1401" s="1" t="s">
        <v>2541</v>
      </c>
      <c r="C1401" s="1" t="s">
        <v>1152</v>
      </c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</row>
    <row r="1402" spans="1:17" x14ac:dyDescent="0.25">
      <c r="A1402" s="1" t="s">
        <v>998</v>
      </c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</row>
    <row r="1403" spans="1:17" x14ac:dyDescent="0.25">
      <c r="A1403" s="1" t="s">
        <v>933</v>
      </c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</row>
    <row r="1404" spans="1:17" x14ac:dyDescent="0.25">
      <c r="A1404" s="1" t="s">
        <v>50</v>
      </c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</row>
    <row r="1405" spans="1:17" x14ac:dyDescent="0.25">
      <c r="A1405" s="1" t="s">
        <v>3439</v>
      </c>
      <c r="B1405" s="1" t="s">
        <v>923</v>
      </c>
      <c r="C1405" s="1" t="s">
        <v>997</v>
      </c>
      <c r="D1405" s="1" t="s">
        <v>1053</v>
      </c>
      <c r="E1405" s="1" t="s">
        <v>10929</v>
      </c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</row>
    <row r="1406" spans="1:17" x14ac:dyDescent="0.25">
      <c r="A1406" s="1" t="s">
        <v>981</v>
      </c>
      <c r="B1406" s="1" t="s">
        <v>1019</v>
      </c>
      <c r="C1406" s="1" t="s">
        <v>998</v>
      </c>
      <c r="D1406" s="1" t="s">
        <v>1086</v>
      </c>
      <c r="E1406" s="1" t="s">
        <v>933</v>
      </c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</row>
    <row r="1407" spans="1:17" x14ac:dyDescent="0.25">
      <c r="A1407" s="1" t="s">
        <v>996</v>
      </c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</row>
    <row r="1408" spans="1:17" x14ac:dyDescent="0.25">
      <c r="A1408" s="1" t="s">
        <v>1072</v>
      </c>
      <c r="B1408" s="1" t="s">
        <v>25</v>
      </c>
      <c r="C1408" s="1" t="s">
        <v>923</v>
      </c>
      <c r="D1408" s="1" t="s">
        <v>916</v>
      </c>
      <c r="E1408" s="1" t="s">
        <v>920</v>
      </c>
      <c r="F1408" s="1" t="s">
        <v>974</v>
      </c>
      <c r="G1408" s="1" t="s">
        <v>921</v>
      </c>
      <c r="H1408" s="1" t="s">
        <v>918</v>
      </c>
      <c r="I1408" s="1" t="s">
        <v>919</v>
      </c>
      <c r="J1408" s="1" t="s">
        <v>924</v>
      </c>
      <c r="K1408" s="1" t="s">
        <v>922</v>
      </c>
      <c r="L1408" s="1"/>
      <c r="M1408" s="1"/>
      <c r="N1408" s="1"/>
      <c r="O1408" s="1"/>
      <c r="P1408" s="1"/>
      <c r="Q1408" s="1"/>
    </row>
    <row r="1409" spans="1:17" x14ac:dyDescent="0.25">
      <c r="A1409" s="1" t="s">
        <v>923</v>
      </c>
      <c r="B1409" s="1" t="s">
        <v>10930</v>
      </c>
      <c r="C1409" s="1" t="s">
        <v>10931</v>
      </c>
      <c r="D1409" s="1" t="s">
        <v>2772</v>
      </c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</row>
    <row r="1410" spans="1:17" x14ac:dyDescent="0.25">
      <c r="A1410" s="1" t="s">
        <v>1045</v>
      </c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</row>
    <row r="1411" spans="1:17" x14ac:dyDescent="0.25">
      <c r="A1411" s="1" t="s">
        <v>25</v>
      </c>
      <c r="B1411" s="1" t="s">
        <v>1086</v>
      </c>
      <c r="C1411" s="1" t="s">
        <v>919</v>
      </c>
      <c r="D1411" s="1" t="s">
        <v>920</v>
      </c>
      <c r="E1411" s="1" t="s">
        <v>921</v>
      </c>
      <c r="F1411" s="1" t="s">
        <v>1034</v>
      </c>
      <c r="G1411" s="1" t="s">
        <v>924</v>
      </c>
      <c r="H1411" s="1"/>
      <c r="I1411" s="1"/>
      <c r="J1411" s="1"/>
      <c r="K1411" s="1"/>
      <c r="L1411" s="1"/>
      <c r="M1411" s="1"/>
      <c r="N1411" s="1"/>
      <c r="O1411" s="1"/>
      <c r="P1411" s="1"/>
      <c r="Q1411" s="1"/>
    </row>
    <row r="1412" spans="1:17" x14ac:dyDescent="0.25">
      <c r="A1412" s="1" t="s">
        <v>939</v>
      </c>
      <c r="B1412" s="1" t="s">
        <v>10932</v>
      </c>
      <c r="C1412" s="1" t="s">
        <v>1019</v>
      </c>
      <c r="D1412" s="1" t="s">
        <v>983</v>
      </c>
      <c r="E1412" s="1" t="s">
        <v>10933</v>
      </c>
      <c r="F1412" s="1" t="s">
        <v>984</v>
      </c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</row>
    <row r="1413" spans="1:17" x14ac:dyDescent="0.25">
      <c r="A1413" s="1" t="s">
        <v>939</v>
      </c>
      <c r="B1413" s="1" t="s">
        <v>983</v>
      </c>
      <c r="C1413" s="1" t="s">
        <v>984</v>
      </c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</row>
    <row r="1414" spans="1:17" x14ac:dyDescent="0.25">
      <c r="A1414" s="1" t="s">
        <v>975</v>
      </c>
      <c r="B1414" s="1" t="s">
        <v>939</v>
      </c>
      <c r="C1414" s="1" t="s">
        <v>983</v>
      </c>
      <c r="D1414" s="1" t="s">
        <v>984</v>
      </c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</row>
    <row r="1415" spans="1:17" x14ac:dyDescent="0.25">
      <c r="A1415" s="1" t="s">
        <v>975</v>
      </c>
      <c r="B1415" s="1" t="s">
        <v>939</v>
      </c>
      <c r="C1415" s="1" t="s">
        <v>983</v>
      </c>
      <c r="D1415" s="1" t="s">
        <v>984</v>
      </c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</row>
    <row r="1416" spans="1:17" x14ac:dyDescent="0.25">
      <c r="A1416" s="1" t="s">
        <v>975</v>
      </c>
      <c r="B1416" s="1" t="s">
        <v>939</v>
      </c>
      <c r="C1416" s="1" t="s">
        <v>983</v>
      </c>
      <c r="D1416" s="1" t="s">
        <v>984</v>
      </c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</row>
    <row r="1417" spans="1:17" x14ac:dyDescent="0.25">
      <c r="A1417" s="1" t="s">
        <v>999</v>
      </c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</row>
    <row r="1418" spans="1:17" x14ac:dyDescent="0.25">
      <c r="A1418" s="1" t="s">
        <v>1001</v>
      </c>
      <c r="B1418" s="1" t="s">
        <v>1019</v>
      </c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</row>
    <row r="1419" spans="1:17" x14ac:dyDescent="0.25">
      <c r="A1419" s="1" t="s">
        <v>10934</v>
      </c>
      <c r="B1419" s="1" t="s">
        <v>2927</v>
      </c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</row>
    <row r="1420" spans="1:17" x14ac:dyDescent="0.25">
      <c r="A1420" s="1" t="s">
        <v>50</v>
      </c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</row>
    <row r="1421" spans="1:17" x14ac:dyDescent="0.25">
      <c r="A1421" s="1" t="s">
        <v>2927</v>
      </c>
      <c r="B1421" s="1" t="s">
        <v>998</v>
      </c>
      <c r="C1421" s="1" t="s">
        <v>933</v>
      </c>
      <c r="D1421" s="1" t="s">
        <v>994</v>
      </c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</row>
    <row r="1422" spans="1:17" x14ac:dyDescent="0.25">
      <c r="A1422" s="1" t="s">
        <v>922</v>
      </c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</row>
    <row r="1423" spans="1:17" x14ac:dyDescent="0.25">
      <c r="A1423" s="1" t="s">
        <v>4726</v>
      </c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</row>
    <row r="1424" spans="1:17" x14ac:dyDescent="0.25">
      <c r="A1424" s="1" t="s">
        <v>998</v>
      </c>
      <c r="B1424" s="1" t="s">
        <v>1086</v>
      </c>
      <c r="C1424" s="1" t="s">
        <v>933</v>
      </c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</row>
    <row r="1425" spans="1:17" x14ac:dyDescent="0.25">
      <c r="A1425" s="1" t="s">
        <v>933</v>
      </c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</row>
    <row r="1426" spans="1:17" x14ac:dyDescent="0.25">
      <c r="A1426" s="1" t="s">
        <v>50</v>
      </c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</row>
    <row r="1427" spans="1:17" x14ac:dyDescent="0.25">
      <c r="A1427" s="1" t="s">
        <v>923</v>
      </c>
      <c r="B1427" s="1" t="s">
        <v>998</v>
      </c>
      <c r="C1427" s="1" t="s">
        <v>1053</v>
      </c>
      <c r="D1427" s="1" t="s">
        <v>1086</v>
      </c>
      <c r="E1427" s="1" t="s">
        <v>933</v>
      </c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</row>
    <row r="1428" spans="1:17" x14ac:dyDescent="0.25">
      <c r="A1428" s="1" t="s">
        <v>992</v>
      </c>
      <c r="B1428" s="1" t="s">
        <v>996</v>
      </c>
      <c r="C1428" s="1" t="s">
        <v>2541</v>
      </c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</row>
    <row r="1429" spans="1:17" x14ac:dyDescent="0.25">
      <c r="A1429" s="1" t="s">
        <v>996</v>
      </c>
      <c r="B1429" s="1" t="s">
        <v>1053</v>
      </c>
      <c r="C1429" s="1" t="s">
        <v>1086</v>
      </c>
      <c r="D1429" s="1" t="s">
        <v>933</v>
      </c>
      <c r="E1429" s="1" t="s">
        <v>2541</v>
      </c>
      <c r="F1429" s="1" t="s">
        <v>10935</v>
      </c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</row>
    <row r="1430" spans="1:17" x14ac:dyDescent="0.25">
      <c r="A1430" s="1" t="s">
        <v>918</v>
      </c>
      <c r="B1430" s="1" t="s">
        <v>927</v>
      </c>
      <c r="C1430" s="1" t="s">
        <v>919</v>
      </c>
      <c r="D1430" s="1" t="s">
        <v>936</v>
      </c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</row>
    <row r="1431" spans="1:17" x14ac:dyDescent="0.25">
      <c r="A1431" s="1" t="s">
        <v>981</v>
      </c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</row>
    <row r="1432" spans="1:17" x14ac:dyDescent="0.25">
      <c r="A1432" s="1" t="s">
        <v>50</v>
      </c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</row>
    <row r="1433" spans="1:17" x14ac:dyDescent="0.25">
      <c r="A1433" s="1" t="s">
        <v>1086</v>
      </c>
      <c r="B1433" s="1" t="s">
        <v>933</v>
      </c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</row>
    <row r="1434" spans="1:17" x14ac:dyDescent="0.25">
      <c r="A1434" s="1" t="s">
        <v>25</v>
      </c>
      <c r="B1434" s="1" t="s">
        <v>954</v>
      </c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</row>
    <row r="1435" spans="1:17" x14ac:dyDescent="0.25">
      <c r="A1435" s="1" t="s">
        <v>933</v>
      </c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</row>
    <row r="1436" spans="1:17" x14ac:dyDescent="0.25">
      <c r="A1436" s="1" t="s">
        <v>1069</v>
      </c>
      <c r="B1436" s="1" t="s">
        <v>933</v>
      </c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</row>
    <row r="1437" spans="1:17" x14ac:dyDescent="0.25">
      <c r="A1437" s="1" t="s">
        <v>1053</v>
      </c>
      <c r="B1437" s="1" t="s">
        <v>2541</v>
      </c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</row>
    <row r="1438" spans="1:17" x14ac:dyDescent="0.25">
      <c r="A1438" s="1" t="s">
        <v>933</v>
      </c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</row>
    <row r="1439" spans="1:17" x14ac:dyDescent="0.25">
      <c r="A1439" s="1" t="s">
        <v>964</v>
      </c>
      <c r="B1439" s="1" t="s">
        <v>840</v>
      </c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</row>
    <row r="1440" spans="1:17" x14ac:dyDescent="0.25">
      <c r="A1440" s="1" t="s">
        <v>933</v>
      </c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</row>
    <row r="1441" spans="1:17" x14ac:dyDescent="0.25">
      <c r="A1441" s="1" t="s">
        <v>2541</v>
      </c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</row>
    <row r="1442" spans="1:17" x14ac:dyDescent="0.25">
      <c r="A1442" s="1" t="s">
        <v>1001</v>
      </c>
      <c r="B1442" s="1" t="s">
        <v>10936</v>
      </c>
      <c r="C1442" s="1" t="s">
        <v>927</v>
      </c>
      <c r="D1442" s="1" t="s">
        <v>981</v>
      </c>
      <c r="E1442" s="1" t="s">
        <v>919</v>
      </c>
      <c r="F1442" s="1" t="s">
        <v>25</v>
      </c>
      <c r="G1442" s="1" t="s">
        <v>997</v>
      </c>
      <c r="H1442" s="1"/>
      <c r="I1442" s="1"/>
      <c r="J1442" s="1"/>
      <c r="K1442" s="1"/>
      <c r="L1442" s="1"/>
      <c r="M1442" s="1"/>
      <c r="N1442" s="1"/>
      <c r="O1442" s="1"/>
      <c r="P1442" s="1"/>
      <c r="Q1442" s="1"/>
    </row>
    <row r="1443" spans="1:17" x14ac:dyDescent="0.25">
      <c r="A1443" s="1" t="s">
        <v>948</v>
      </c>
      <c r="B1443" s="1" t="s">
        <v>1166</v>
      </c>
      <c r="C1443" s="1" t="s">
        <v>1149</v>
      </c>
      <c r="D1443" s="1" t="s">
        <v>25</v>
      </c>
      <c r="E1443" s="1" t="s">
        <v>997</v>
      </c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</row>
    <row r="1444" spans="1:17" x14ac:dyDescent="0.25">
      <c r="A1444" s="1" t="s">
        <v>949</v>
      </c>
      <c r="B1444" s="1" t="s">
        <v>1053</v>
      </c>
      <c r="C1444" s="1" t="s">
        <v>1141</v>
      </c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</row>
    <row r="1445" spans="1:17" x14ac:dyDescent="0.25">
      <c r="A1445" s="1" t="s">
        <v>50</v>
      </c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</row>
    <row r="1446" spans="1:17" x14ac:dyDescent="0.25">
      <c r="A1446" s="1" t="s">
        <v>918</v>
      </c>
      <c r="B1446" s="1" t="s">
        <v>25</v>
      </c>
      <c r="C1446" s="1" t="s">
        <v>997</v>
      </c>
      <c r="D1446" s="1" t="s">
        <v>919</v>
      </c>
      <c r="E1446" s="1" t="s">
        <v>920</v>
      </c>
      <c r="F1446" s="1" t="s">
        <v>924</v>
      </c>
      <c r="G1446" s="1" t="s">
        <v>927</v>
      </c>
      <c r="H1446" s="1"/>
      <c r="I1446" s="1"/>
      <c r="J1446" s="1"/>
      <c r="K1446" s="1"/>
      <c r="L1446" s="1"/>
      <c r="M1446" s="1"/>
      <c r="N1446" s="1"/>
      <c r="O1446" s="1"/>
      <c r="P1446" s="1"/>
      <c r="Q1446" s="1"/>
    </row>
    <row r="1447" spans="1:17" x14ac:dyDescent="0.25">
      <c r="A1447" s="1" t="s">
        <v>2541</v>
      </c>
      <c r="B1447" s="1" t="s">
        <v>10805</v>
      </c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</row>
    <row r="1448" spans="1:17" x14ac:dyDescent="0.25">
      <c r="A1448" s="1" t="s">
        <v>933</v>
      </c>
      <c r="B1448" s="1" t="s">
        <v>10719</v>
      </c>
      <c r="C1448" s="1" t="s">
        <v>10937</v>
      </c>
      <c r="D1448" s="1" t="s">
        <v>923</v>
      </c>
      <c r="E1448" s="1" t="s">
        <v>973</v>
      </c>
      <c r="F1448" s="1" t="s">
        <v>1141</v>
      </c>
      <c r="G1448" s="1" t="s">
        <v>10938</v>
      </c>
      <c r="H1448" s="1"/>
      <c r="I1448" s="1"/>
      <c r="J1448" s="1"/>
      <c r="K1448" s="1"/>
      <c r="L1448" s="1"/>
      <c r="M1448" s="1"/>
      <c r="N1448" s="1"/>
      <c r="O1448" s="1"/>
      <c r="P1448" s="1"/>
      <c r="Q1448" s="1"/>
    </row>
    <row r="1449" spans="1:17" x14ac:dyDescent="0.25">
      <c r="A1449" s="1" t="s">
        <v>1069</v>
      </c>
      <c r="B1449" s="1" t="s">
        <v>25</v>
      </c>
      <c r="C1449" s="1" t="s">
        <v>923</v>
      </c>
      <c r="D1449" s="1" t="s">
        <v>920</v>
      </c>
      <c r="E1449" s="1" t="s">
        <v>933</v>
      </c>
      <c r="F1449" s="1" t="s">
        <v>954</v>
      </c>
      <c r="G1449" s="1" t="s">
        <v>974</v>
      </c>
      <c r="H1449" s="1" t="s">
        <v>921</v>
      </c>
      <c r="I1449" s="1"/>
      <c r="J1449" s="1"/>
      <c r="K1449" s="1"/>
      <c r="L1449" s="1"/>
      <c r="M1449" s="1"/>
      <c r="N1449" s="1"/>
      <c r="O1449" s="1"/>
      <c r="P1449" s="1"/>
      <c r="Q1449" s="1"/>
    </row>
    <row r="1450" spans="1:17" x14ac:dyDescent="0.25">
      <c r="A1450" s="1" t="s">
        <v>1053</v>
      </c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</row>
    <row r="1451" spans="1:17" x14ac:dyDescent="0.25">
      <c r="A1451" s="1" t="s">
        <v>948</v>
      </c>
      <c r="B1451" s="1" t="s">
        <v>1051</v>
      </c>
      <c r="C1451" s="1" t="s">
        <v>25</v>
      </c>
      <c r="D1451" s="1" t="s">
        <v>923</v>
      </c>
      <c r="E1451" s="1" t="s">
        <v>1053</v>
      </c>
      <c r="F1451" s="1" t="s">
        <v>1086</v>
      </c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</row>
    <row r="1452" spans="1:17" x14ac:dyDescent="0.25">
      <c r="A1452" s="1" t="s">
        <v>1004</v>
      </c>
      <c r="B1452" s="1" t="s">
        <v>1006</v>
      </c>
      <c r="C1452" s="1" t="s">
        <v>1007</v>
      </c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</row>
    <row r="1453" spans="1:17" x14ac:dyDescent="0.25">
      <c r="A1453" s="1" t="s">
        <v>1004</v>
      </c>
      <c r="B1453" s="1" t="s">
        <v>1043</v>
      </c>
      <c r="C1453" s="1" t="s">
        <v>1006</v>
      </c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</row>
    <row r="1454" spans="1:17" x14ac:dyDescent="0.25">
      <c r="A1454" s="1" t="s">
        <v>1004</v>
      </c>
      <c r="B1454" s="1" t="s">
        <v>1043</v>
      </c>
      <c r="C1454" s="1" t="s">
        <v>1006</v>
      </c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</row>
    <row r="1455" spans="1:17" x14ac:dyDescent="0.25">
      <c r="A1455" s="1" t="s">
        <v>10936</v>
      </c>
      <c r="B1455" s="1" t="s">
        <v>1011</v>
      </c>
      <c r="C1455" s="1" t="s">
        <v>933</v>
      </c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</row>
    <row r="1456" spans="1:17" x14ac:dyDescent="0.25">
      <c r="A1456" s="1" t="s">
        <v>964</v>
      </c>
      <c r="B1456" s="1" t="s">
        <v>90</v>
      </c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</row>
    <row r="1457" spans="1:17" x14ac:dyDescent="0.25">
      <c r="A1457" s="1" t="s">
        <v>1066</v>
      </c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</row>
    <row r="1458" spans="1:17" x14ac:dyDescent="0.25">
      <c r="A1458" s="1" t="s">
        <v>934</v>
      </c>
      <c r="B1458" s="1" t="s">
        <v>948</v>
      </c>
      <c r="C1458" s="1" t="s">
        <v>918</v>
      </c>
      <c r="D1458" s="1" t="s">
        <v>949</v>
      </c>
      <c r="E1458" s="1" t="s">
        <v>25</v>
      </c>
      <c r="F1458" s="1" t="s">
        <v>916</v>
      </c>
      <c r="G1458" s="1" t="s">
        <v>919</v>
      </c>
      <c r="H1458" s="1" t="s">
        <v>920</v>
      </c>
      <c r="I1458" s="1" t="s">
        <v>328</v>
      </c>
      <c r="J1458" s="1" t="s">
        <v>950</v>
      </c>
      <c r="K1458" s="1" t="s">
        <v>921</v>
      </c>
      <c r="L1458" s="1" t="s">
        <v>923</v>
      </c>
      <c r="M1458" s="1" t="s">
        <v>973</v>
      </c>
      <c r="N1458" s="1" t="s">
        <v>954</v>
      </c>
      <c r="O1458" s="1" t="s">
        <v>974</v>
      </c>
      <c r="P1458" s="1"/>
      <c r="Q1458" s="1"/>
    </row>
    <row r="1459" spans="1:17" x14ac:dyDescent="0.25">
      <c r="A1459" s="1" t="s">
        <v>996</v>
      </c>
      <c r="B1459" s="1" t="s">
        <v>1149</v>
      </c>
      <c r="C1459" s="1" t="s">
        <v>1053</v>
      </c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</row>
    <row r="1460" spans="1:17" x14ac:dyDescent="0.25">
      <c r="A1460" s="1" t="s">
        <v>1149</v>
      </c>
      <c r="B1460" s="1" t="s">
        <v>25</v>
      </c>
      <c r="C1460" s="1" t="s">
        <v>923</v>
      </c>
      <c r="D1460" s="1" t="s">
        <v>997</v>
      </c>
      <c r="E1460" s="1" t="s">
        <v>1150</v>
      </c>
      <c r="F1460" s="1" t="s">
        <v>1086</v>
      </c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</row>
    <row r="1461" spans="1:17" x14ac:dyDescent="0.25">
      <c r="A1461" s="1" t="s">
        <v>50</v>
      </c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</row>
    <row r="1462" spans="1:17" x14ac:dyDescent="0.25">
      <c r="A1462" s="1" t="s">
        <v>50</v>
      </c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</row>
    <row r="1463" spans="1:17" x14ac:dyDescent="0.25">
      <c r="A1463" s="1" t="s">
        <v>25</v>
      </c>
      <c r="B1463" s="1" t="s">
        <v>923</v>
      </c>
      <c r="C1463" s="1" t="s">
        <v>920</v>
      </c>
      <c r="D1463" s="1" t="s">
        <v>933</v>
      </c>
      <c r="E1463" s="1" t="s">
        <v>921</v>
      </c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</row>
    <row r="1464" spans="1:17" x14ac:dyDescent="0.25">
      <c r="A1464" s="1" t="s">
        <v>1070</v>
      </c>
      <c r="B1464" s="1" t="s">
        <v>976</v>
      </c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</row>
    <row r="1465" spans="1:17" x14ac:dyDescent="0.25">
      <c r="A1465" s="1" t="s">
        <v>927</v>
      </c>
      <c r="B1465" s="1" t="s">
        <v>981</v>
      </c>
      <c r="C1465" s="1" t="s">
        <v>999</v>
      </c>
      <c r="D1465" s="1" t="s">
        <v>921</v>
      </c>
      <c r="E1465" s="1" t="s">
        <v>993</v>
      </c>
      <c r="F1465" s="1" t="s">
        <v>10722</v>
      </c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</row>
    <row r="1466" spans="1:17" x14ac:dyDescent="0.25">
      <c r="A1466" s="1" t="s">
        <v>981</v>
      </c>
      <c r="B1466" s="1" t="s">
        <v>993</v>
      </c>
      <c r="C1466" s="1" t="s">
        <v>927</v>
      </c>
      <c r="D1466" s="1" t="s">
        <v>960</v>
      </c>
      <c r="E1466" s="1" t="s">
        <v>961</v>
      </c>
      <c r="F1466" s="1" t="s">
        <v>1147</v>
      </c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</row>
    <row r="1467" spans="1:17" x14ac:dyDescent="0.25">
      <c r="A1467" s="1" t="s">
        <v>25</v>
      </c>
      <c r="B1467" s="1" t="s">
        <v>923</v>
      </c>
      <c r="C1467" s="1" t="s">
        <v>920</v>
      </c>
      <c r="D1467" s="1" t="s">
        <v>948</v>
      </c>
      <c r="E1467" s="1" t="s">
        <v>1069</v>
      </c>
      <c r="F1467" s="1" t="s">
        <v>1070</v>
      </c>
      <c r="G1467" s="1" t="s">
        <v>916</v>
      </c>
      <c r="H1467" s="1" t="s">
        <v>1078</v>
      </c>
      <c r="I1467" s="1" t="s">
        <v>980</v>
      </c>
      <c r="J1467" s="1" t="s">
        <v>919</v>
      </c>
      <c r="K1467" s="1" t="s">
        <v>921</v>
      </c>
      <c r="L1467" s="1" t="s">
        <v>927</v>
      </c>
      <c r="M1467" s="1"/>
      <c r="N1467" s="1"/>
      <c r="O1467" s="1"/>
      <c r="P1467" s="1"/>
      <c r="Q1467" s="1"/>
    </row>
    <row r="1468" spans="1:17" x14ac:dyDescent="0.25">
      <c r="A1468" s="1" t="s">
        <v>25</v>
      </c>
      <c r="B1468" s="1" t="s">
        <v>923</v>
      </c>
      <c r="C1468" s="1" t="s">
        <v>920</v>
      </c>
      <c r="D1468" s="1" t="s">
        <v>948</v>
      </c>
      <c r="E1468" s="1" t="s">
        <v>1069</v>
      </c>
      <c r="F1468" s="1" t="s">
        <v>1070</v>
      </c>
      <c r="G1468" s="1" t="s">
        <v>916</v>
      </c>
      <c r="H1468" s="1" t="s">
        <v>1078</v>
      </c>
      <c r="I1468" s="1" t="s">
        <v>980</v>
      </c>
      <c r="J1468" s="1" t="s">
        <v>919</v>
      </c>
      <c r="K1468" s="1" t="s">
        <v>921</v>
      </c>
      <c r="L1468" s="1" t="s">
        <v>927</v>
      </c>
      <c r="M1468" s="1" t="s">
        <v>933</v>
      </c>
      <c r="N1468" s="1"/>
      <c r="O1468" s="1"/>
      <c r="P1468" s="1"/>
      <c r="Q1468" s="1"/>
    </row>
    <row r="1469" spans="1:17" x14ac:dyDescent="0.25">
      <c r="A1469" s="1" t="s">
        <v>1052</v>
      </c>
      <c r="B1469" s="1" t="s">
        <v>25</v>
      </c>
      <c r="C1469" s="1" t="s">
        <v>923</v>
      </c>
      <c r="D1469" s="1" t="s">
        <v>1086</v>
      </c>
      <c r="E1469" s="1" t="s">
        <v>948</v>
      </c>
      <c r="F1469" s="1" t="s">
        <v>1069</v>
      </c>
      <c r="G1469" s="1" t="s">
        <v>1070</v>
      </c>
      <c r="H1469" s="1"/>
      <c r="I1469" s="1"/>
      <c r="J1469" s="1"/>
      <c r="K1469" s="1"/>
      <c r="L1469" s="1"/>
      <c r="M1469" s="1"/>
      <c r="N1469" s="1"/>
      <c r="O1469" s="1"/>
      <c r="P1469" s="1"/>
      <c r="Q1469" s="1"/>
    </row>
    <row r="1470" spans="1:17" x14ac:dyDescent="0.25">
      <c r="A1470" s="1" t="s">
        <v>918</v>
      </c>
      <c r="B1470" s="1" t="s">
        <v>927</v>
      </c>
      <c r="C1470" s="1" t="s">
        <v>10774</v>
      </c>
      <c r="D1470" s="1" t="s">
        <v>928</v>
      </c>
      <c r="E1470" s="1" t="s">
        <v>1059</v>
      </c>
      <c r="F1470" s="1" t="s">
        <v>10821</v>
      </c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</row>
    <row r="1471" spans="1:17" x14ac:dyDescent="0.25">
      <c r="A1471" s="1" t="s">
        <v>918</v>
      </c>
      <c r="B1471" s="1" t="s">
        <v>927</v>
      </c>
      <c r="C1471" s="1" t="s">
        <v>1136</v>
      </c>
      <c r="D1471" s="1" t="s">
        <v>1137</v>
      </c>
      <c r="E1471" s="1" t="s">
        <v>960</v>
      </c>
      <c r="F1471" s="1" t="s">
        <v>961</v>
      </c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</row>
    <row r="1472" spans="1:17" x14ac:dyDescent="0.25">
      <c r="A1472" s="1" t="s">
        <v>1004</v>
      </c>
      <c r="B1472" s="1" t="s">
        <v>1043</v>
      </c>
      <c r="C1472" s="1" t="s">
        <v>1006</v>
      </c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</row>
    <row r="1473" spans="1:17" x14ac:dyDescent="0.25">
      <c r="A1473" s="1" t="s">
        <v>1004</v>
      </c>
      <c r="B1473" s="1" t="s">
        <v>1043</v>
      </c>
      <c r="C1473" s="1" t="s">
        <v>1006</v>
      </c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</row>
    <row r="1474" spans="1:17" x14ac:dyDescent="0.25">
      <c r="A1474" s="1" t="s">
        <v>25</v>
      </c>
      <c r="B1474" s="1" t="s">
        <v>927</v>
      </c>
      <c r="C1474" s="1" t="s">
        <v>919</v>
      </c>
      <c r="D1474" s="1" t="s">
        <v>920</v>
      </c>
      <c r="E1474" s="1" t="s">
        <v>921</v>
      </c>
      <c r="F1474" s="1" t="s">
        <v>925</v>
      </c>
      <c r="G1474" s="1" t="s">
        <v>918</v>
      </c>
      <c r="H1474" s="1" t="s">
        <v>10813</v>
      </c>
      <c r="I1474" s="1"/>
      <c r="J1474" s="1"/>
      <c r="K1474" s="1"/>
      <c r="L1474" s="1"/>
      <c r="M1474" s="1"/>
      <c r="N1474" s="1"/>
      <c r="O1474" s="1"/>
      <c r="P1474" s="1"/>
      <c r="Q1474" s="1"/>
    </row>
    <row r="1475" spans="1:17" x14ac:dyDescent="0.25">
      <c r="A1475" s="1" t="s">
        <v>918</v>
      </c>
      <c r="B1475" s="1" t="s">
        <v>919</v>
      </c>
      <c r="C1475" s="1" t="s">
        <v>929</v>
      </c>
      <c r="D1475" s="1" t="s">
        <v>1002</v>
      </c>
      <c r="E1475" s="1" t="s">
        <v>1048</v>
      </c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</row>
    <row r="1476" spans="1:17" x14ac:dyDescent="0.25">
      <c r="A1476" s="1" t="s">
        <v>918</v>
      </c>
      <c r="B1476" s="1" t="s">
        <v>919</v>
      </c>
      <c r="C1476" s="1" t="s">
        <v>929</v>
      </c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</row>
    <row r="1477" spans="1:17" x14ac:dyDescent="0.25">
      <c r="A1477" s="1" t="s">
        <v>918</v>
      </c>
      <c r="B1477" s="1" t="s">
        <v>919</v>
      </c>
      <c r="C1477" s="1" t="s">
        <v>929</v>
      </c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</row>
    <row r="1478" spans="1:17" x14ac:dyDescent="0.25">
      <c r="A1478" s="1" t="s">
        <v>918</v>
      </c>
      <c r="B1478" s="1" t="s">
        <v>919</v>
      </c>
      <c r="C1478" s="1" t="s">
        <v>929</v>
      </c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</row>
    <row r="1479" spans="1:17" x14ac:dyDescent="0.25">
      <c r="A1479" s="1" t="s">
        <v>1066</v>
      </c>
      <c r="B1479" s="1" t="s">
        <v>10939</v>
      </c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</row>
    <row r="1480" spans="1:17" x14ac:dyDescent="0.25">
      <c r="A1480" s="1" t="s">
        <v>927</v>
      </c>
      <c r="B1480" s="1" t="s">
        <v>919</v>
      </c>
      <c r="C1480" s="1" t="s">
        <v>1001</v>
      </c>
      <c r="D1480" s="1" t="s">
        <v>981</v>
      </c>
      <c r="E1480" s="1" t="s">
        <v>921</v>
      </c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</row>
    <row r="1481" spans="1:17" x14ac:dyDescent="0.25">
      <c r="A1481" s="1" t="s">
        <v>923</v>
      </c>
      <c r="B1481" s="1" t="s">
        <v>1053</v>
      </c>
      <c r="C1481" s="1" t="s">
        <v>933</v>
      </c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</row>
    <row r="1482" spans="1:17" x14ac:dyDescent="0.25">
      <c r="A1482" s="1" t="s">
        <v>996</v>
      </c>
      <c r="B1482" s="1" t="s">
        <v>1149</v>
      </c>
      <c r="C1482" s="1" t="s">
        <v>1053</v>
      </c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</row>
    <row r="1483" spans="1:17" x14ac:dyDescent="0.25">
      <c r="A1483" s="1" t="s">
        <v>50</v>
      </c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</row>
    <row r="1484" spans="1:17" x14ac:dyDescent="0.25">
      <c r="A1484" s="1" t="s">
        <v>927</v>
      </c>
      <c r="B1484" s="1" t="s">
        <v>981</v>
      </c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</row>
    <row r="1485" spans="1:17" x14ac:dyDescent="0.25">
      <c r="A1485" s="1" t="s">
        <v>1053</v>
      </c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</row>
    <row r="1486" spans="1:17" x14ac:dyDescent="0.25">
      <c r="A1486" s="1" t="s">
        <v>981</v>
      </c>
      <c r="B1486" s="1" t="s">
        <v>1019</v>
      </c>
      <c r="C1486" s="1" t="s">
        <v>983</v>
      </c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</row>
    <row r="1487" spans="1:17" x14ac:dyDescent="0.25">
      <c r="A1487" s="1" t="s">
        <v>933</v>
      </c>
      <c r="B1487" s="1" t="s">
        <v>1001</v>
      </c>
      <c r="C1487" s="1" t="s">
        <v>927</v>
      </c>
      <c r="D1487" s="1" t="s">
        <v>992</v>
      </c>
      <c r="E1487" s="1" t="s">
        <v>978</v>
      </c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</row>
    <row r="1488" spans="1:17" x14ac:dyDescent="0.25">
      <c r="A1488" s="1" t="s">
        <v>933</v>
      </c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</row>
    <row r="1489" spans="1:17" x14ac:dyDescent="0.25">
      <c r="A1489" s="1" t="s">
        <v>25</v>
      </c>
      <c r="B1489" s="1" t="s">
        <v>927</v>
      </c>
      <c r="C1489" s="1" t="s">
        <v>981</v>
      </c>
      <c r="D1489" s="1" t="s">
        <v>920</v>
      </c>
      <c r="E1489" s="1" t="s">
        <v>933</v>
      </c>
      <c r="F1489" s="1" t="s">
        <v>921</v>
      </c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</row>
    <row r="1490" spans="1:17" x14ac:dyDescent="0.25">
      <c r="A1490" s="1" t="s">
        <v>50</v>
      </c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</row>
    <row r="1491" spans="1:17" x14ac:dyDescent="0.25">
      <c r="A1491" s="1" t="s">
        <v>1030</v>
      </c>
      <c r="B1491" s="1" t="s">
        <v>1013</v>
      </c>
      <c r="C1491" s="1" t="s">
        <v>919</v>
      </c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</row>
    <row r="1492" spans="1:17" x14ac:dyDescent="0.25">
      <c r="A1492" s="1" t="s">
        <v>1030</v>
      </c>
      <c r="B1492" s="1" t="s">
        <v>1013</v>
      </c>
      <c r="C1492" s="1" t="s">
        <v>919</v>
      </c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</row>
    <row r="1493" spans="1:17" x14ac:dyDescent="0.25">
      <c r="A1493" s="1" t="s">
        <v>50</v>
      </c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</row>
    <row r="1494" spans="1:17" x14ac:dyDescent="0.25">
      <c r="A1494" s="1" t="s">
        <v>992</v>
      </c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</row>
    <row r="1495" spans="1:17" x14ac:dyDescent="0.25">
      <c r="A1495" s="1" t="s">
        <v>50</v>
      </c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</row>
    <row r="1496" spans="1:17" x14ac:dyDescent="0.25">
      <c r="A1496" s="1" t="s">
        <v>931</v>
      </c>
      <c r="B1496" s="1" t="s">
        <v>948</v>
      </c>
      <c r="C1496" s="1" t="s">
        <v>25</v>
      </c>
      <c r="D1496" s="1" t="s">
        <v>923</v>
      </c>
      <c r="E1496" s="1" t="s">
        <v>997</v>
      </c>
      <c r="F1496" s="1" t="s">
        <v>920</v>
      </c>
      <c r="G1496" s="1" t="s">
        <v>994</v>
      </c>
      <c r="H1496" s="1" t="s">
        <v>918</v>
      </c>
      <c r="I1496" s="1" t="s">
        <v>1148</v>
      </c>
      <c r="J1496" s="1" t="s">
        <v>927</v>
      </c>
      <c r="K1496" s="1" t="s">
        <v>1086</v>
      </c>
      <c r="L1496" s="1"/>
      <c r="M1496" s="1"/>
      <c r="N1496" s="1"/>
      <c r="O1496" s="1"/>
      <c r="P1496" s="1"/>
      <c r="Q1496" s="1"/>
    </row>
    <row r="1497" spans="1:17" x14ac:dyDescent="0.25">
      <c r="A1497" s="1" t="s">
        <v>4887</v>
      </c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</row>
    <row r="1498" spans="1:17" x14ac:dyDescent="0.25">
      <c r="A1498" s="1" t="s">
        <v>1053</v>
      </c>
      <c r="B1498" s="1" t="s">
        <v>1086</v>
      </c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</row>
    <row r="1499" spans="1:17" x14ac:dyDescent="0.25">
      <c r="A1499" s="1" t="s">
        <v>948</v>
      </c>
      <c r="B1499" s="1" t="s">
        <v>932</v>
      </c>
      <c r="C1499" s="1" t="s">
        <v>25</v>
      </c>
      <c r="D1499" s="1" t="s">
        <v>923</v>
      </c>
      <c r="E1499" s="1" t="s">
        <v>916</v>
      </c>
      <c r="F1499" s="1" t="s">
        <v>933</v>
      </c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</row>
    <row r="1500" spans="1:17" x14ac:dyDescent="0.25">
      <c r="A1500" s="1" t="s">
        <v>933</v>
      </c>
      <c r="B1500" s="1" t="s">
        <v>25</v>
      </c>
      <c r="C1500" s="1" t="s">
        <v>927</v>
      </c>
      <c r="D1500" s="1" t="s">
        <v>920</v>
      </c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</row>
    <row r="1501" spans="1:17" x14ac:dyDescent="0.25">
      <c r="A1501" s="1" t="s">
        <v>1086</v>
      </c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</row>
    <row r="1502" spans="1:17" x14ac:dyDescent="0.25">
      <c r="A1502" s="1" t="s">
        <v>996</v>
      </c>
      <c r="B1502" s="1" t="s">
        <v>1053</v>
      </c>
      <c r="C1502" s="1" t="s">
        <v>2541</v>
      </c>
      <c r="D1502" s="1" t="s">
        <v>10940</v>
      </c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</row>
    <row r="1503" spans="1:17" x14ac:dyDescent="0.25">
      <c r="A1503" s="1" t="s">
        <v>10941</v>
      </c>
      <c r="B1503" s="1" t="s">
        <v>10942</v>
      </c>
      <c r="C1503" s="1" t="s">
        <v>10943</v>
      </c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</row>
    <row r="1504" spans="1:17" x14ac:dyDescent="0.25">
      <c r="A1504" s="1" t="s">
        <v>981</v>
      </c>
      <c r="B1504" s="1" t="s">
        <v>939</v>
      </c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</row>
    <row r="1505" spans="1:17" x14ac:dyDescent="0.25">
      <c r="A1505" s="1" t="s">
        <v>981</v>
      </c>
      <c r="B1505" s="1" t="s">
        <v>939</v>
      </c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</row>
    <row r="1506" spans="1:17" x14ac:dyDescent="0.25">
      <c r="A1506" s="1" t="s">
        <v>2214</v>
      </c>
      <c r="B1506" s="1" t="s">
        <v>10784</v>
      </c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</row>
    <row r="1507" spans="1:17" x14ac:dyDescent="0.25">
      <c r="A1507" s="1" t="s">
        <v>971</v>
      </c>
      <c r="B1507" s="1" t="s">
        <v>1011</v>
      </c>
      <c r="C1507" s="1" t="s">
        <v>10819</v>
      </c>
      <c r="D1507" s="1" t="s">
        <v>920</v>
      </c>
      <c r="E1507" s="1" t="s">
        <v>921</v>
      </c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</row>
    <row r="1508" spans="1:17" x14ac:dyDescent="0.25">
      <c r="A1508" s="1" t="s">
        <v>971</v>
      </c>
      <c r="B1508" s="1" t="s">
        <v>1011</v>
      </c>
      <c r="C1508" s="1" t="s">
        <v>10819</v>
      </c>
      <c r="D1508" s="1" t="s">
        <v>920</v>
      </c>
      <c r="E1508" s="1" t="s">
        <v>921</v>
      </c>
      <c r="F1508" s="1" t="s">
        <v>1019</v>
      </c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</row>
    <row r="1509" spans="1:17" x14ac:dyDescent="0.25">
      <c r="A1509" s="1" t="s">
        <v>1041</v>
      </c>
      <c r="B1509" s="1" t="s">
        <v>1091</v>
      </c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</row>
    <row r="1510" spans="1:17" x14ac:dyDescent="0.25">
      <c r="A1510" s="1" t="s">
        <v>1061</v>
      </c>
      <c r="B1510" s="1" t="s">
        <v>10944</v>
      </c>
      <c r="C1510" s="1" t="s">
        <v>1020</v>
      </c>
      <c r="D1510" s="1" t="s">
        <v>10732</v>
      </c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</row>
    <row r="1511" spans="1:17" x14ac:dyDescent="0.25">
      <c r="A1511" s="1" t="s">
        <v>1041</v>
      </c>
      <c r="B1511" s="1" t="s">
        <v>1091</v>
      </c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</row>
    <row r="1512" spans="1:17" x14ac:dyDescent="0.25">
      <c r="A1512" s="1" t="s">
        <v>925</v>
      </c>
      <c r="B1512" s="1" t="s">
        <v>918</v>
      </c>
      <c r="C1512" s="1" t="s">
        <v>927</v>
      </c>
      <c r="D1512" s="1" t="s">
        <v>928</v>
      </c>
      <c r="E1512" s="1" t="s">
        <v>8195</v>
      </c>
      <c r="F1512" s="1" t="s">
        <v>919</v>
      </c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</row>
    <row r="1513" spans="1:17" x14ac:dyDescent="0.25">
      <c r="A1513" s="1" t="s">
        <v>925</v>
      </c>
      <c r="B1513" s="1" t="s">
        <v>918</v>
      </c>
      <c r="C1513" s="1" t="s">
        <v>927</v>
      </c>
      <c r="D1513" s="1" t="s">
        <v>928</v>
      </c>
      <c r="E1513" s="1" t="s">
        <v>8195</v>
      </c>
      <c r="F1513" s="1" t="s">
        <v>919</v>
      </c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</row>
    <row r="1514" spans="1:17" x14ac:dyDescent="0.25">
      <c r="A1514" s="1" t="s">
        <v>50</v>
      </c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</row>
    <row r="1515" spans="1:17" x14ac:dyDescent="0.25">
      <c r="A1515" s="1" t="s">
        <v>25</v>
      </c>
      <c r="B1515" s="1" t="s">
        <v>923</v>
      </c>
      <c r="C1515" s="1" t="s">
        <v>927</v>
      </c>
      <c r="D1515" s="1" t="s">
        <v>919</v>
      </c>
      <c r="E1515" s="1" t="s">
        <v>920</v>
      </c>
      <c r="F1515" s="1" t="s">
        <v>921</v>
      </c>
      <c r="G1515" s="1" t="s">
        <v>1001</v>
      </c>
      <c r="H1515" s="1" t="s">
        <v>998</v>
      </c>
      <c r="I1515" s="1" t="s">
        <v>992</v>
      </c>
      <c r="J1515" s="1" t="s">
        <v>981</v>
      </c>
      <c r="K1515" s="1" t="s">
        <v>939</v>
      </c>
      <c r="L1515" s="1" t="s">
        <v>1066</v>
      </c>
      <c r="M1515" s="1" t="s">
        <v>993</v>
      </c>
      <c r="N1515" s="1" t="s">
        <v>994</v>
      </c>
      <c r="O1515" s="1"/>
      <c r="P1515" s="1"/>
      <c r="Q1515" s="1"/>
    </row>
    <row r="1516" spans="1:17" x14ac:dyDescent="0.25">
      <c r="A1516" s="1" t="s">
        <v>925</v>
      </c>
      <c r="B1516" s="1" t="s">
        <v>918</v>
      </c>
      <c r="C1516" s="1" t="s">
        <v>927</v>
      </c>
      <c r="D1516" s="1" t="s">
        <v>928</v>
      </c>
      <c r="E1516" s="1" t="s">
        <v>8195</v>
      </c>
      <c r="F1516" s="1" t="s">
        <v>919</v>
      </c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</row>
    <row r="1517" spans="1:17" x14ac:dyDescent="0.25">
      <c r="A1517" s="1" t="s">
        <v>925</v>
      </c>
      <c r="B1517" s="1" t="s">
        <v>918</v>
      </c>
      <c r="C1517" s="1" t="s">
        <v>927</v>
      </c>
      <c r="D1517" s="1" t="s">
        <v>928</v>
      </c>
      <c r="E1517" s="1" t="s">
        <v>8195</v>
      </c>
      <c r="F1517" s="1" t="s">
        <v>919</v>
      </c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</row>
    <row r="1518" spans="1:17" x14ac:dyDescent="0.25">
      <c r="A1518" s="1" t="s">
        <v>925</v>
      </c>
      <c r="B1518" s="1" t="s">
        <v>918</v>
      </c>
      <c r="C1518" s="1" t="s">
        <v>927</v>
      </c>
      <c r="D1518" s="1" t="s">
        <v>928</v>
      </c>
      <c r="E1518" s="1" t="s">
        <v>8195</v>
      </c>
      <c r="F1518" s="1" t="s">
        <v>919</v>
      </c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</row>
    <row r="1519" spans="1:17" x14ac:dyDescent="0.25">
      <c r="A1519" s="1" t="s">
        <v>925</v>
      </c>
      <c r="B1519" s="1" t="s">
        <v>918</v>
      </c>
      <c r="C1519" s="1" t="s">
        <v>927</v>
      </c>
      <c r="D1519" s="1" t="s">
        <v>928</v>
      </c>
      <c r="E1519" s="1" t="s">
        <v>8195</v>
      </c>
      <c r="F1519" s="1" t="s">
        <v>919</v>
      </c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</row>
    <row r="1520" spans="1:17" x14ac:dyDescent="0.25">
      <c r="A1520" s="1" t="s">
        <v>971</v>
      </c>
      <c r="B1520" s="1" t="s">
        <v>1011</v>
      </c>
      <c r="C1520" s="1" t="s">
        <v>10819</v>
      </c>
      <c r="D1520" s="1" t="s">
        <v>920</v>
      </c>
      <c r="E1520" s="1" t="s">
        <v>921</v>
      </c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</row>
    <row r="1521" spans="1:17" x14ac:dyDescent="0.25">
      <c r="A1521" s="1" t="s">
        <v>4272</v>
      </c>
      <c r="B1521" s="1" t="s">
        <v>940</v>
      </c>
      <c r="C1521" s="1" t="s">
        <v>921</v>
      </c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</row>
    <row r="1522" spans="1:17" x14ac:dyDescent="0.25">
      <c r="A1522" s="1" t="s">
        <v>4272</v>
      </c>
      <c r="B1522" s="1" t="s">
        <v>940</v>
      </c>
      <c r="C1522" s="1" t="s">
        <v>921</v>
      </c>
      <c r="D1522" s="1" t="s">
        <v>1097</v>
      </c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</row>
    <row r="1523" spans="1:17" x14ac:dyDescent="0.25">
      <c r="A1523" s="1" t="s">
        <v>1069</v>
      </c>
      <c r="B1523" s="1" t="s">
        <v>918</v>
      </c>
      <c r="C1523" s="1" t="s">
        <v>25</v>
      </c>
      <c r="D1523" s="1" t="s">
        <v>923</v>
      </c>
      <c r="E1523" s="1" t="s">
        <v>927</v>
      </c>
      <c r="F1523" s="1" t="s">
        <v>10761</v>
      </c>
      <c r="G1523" s="1" t="s">
        <v>919</v>
      </c>
      <c r="H1523" s="1" t="s">
        <v>920</v>
      </c>
      <c r="I1523" s="1" t="s">
        <v>924</v>
      </c>
      <c r="J1523" s="1" t="s">
        <v>921</v>
      </c>
      <c r="K1523" s="1" t="s">
        <v>933</v>
      </c>
      <c r="L1523" s="1" t="s">
        <v>10945</v>
      </c>
      <c r="M1523" s="1" t="s">
        <v>961</v>
      </c>
      <c r="N1523" s="1" t="s">
        <v>10946</v>
      </c>
      <c r="O1523" s="1"/>
      <c r="P1523" s="1"/>
      <c r="Q1523" s="1"/>
    </row>
    <row r="1524" spans="1:17" x14ac:dyDescent="0.25">
      <c r="A1524" s="1" t="s">
        <v>918</v>
      </c>
      <c r="B1524" s="1" t="s">
        <v>927</v>
      </c>
      <c r="C1524" s="1" t="s">
        <v>10774</v>
      </c>
      <c r="D1524" s="1" t="s">
        <v>928</v>
      </c>
      <c r="E1524" s="1" t="s">
        <v>1059</v>
      </c>
      <c r="F1524" s="1" t="s">
        <v>10821</v>
      </c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</row>
    <row r="1525" spans="1:17" x14ac:dyDescent="0.25">
      <c r="A1525" s="1" t="s">
        <v>918</v>
      </c>
      <c r="B1525" s="1" t="s">
        <v>927</v>
      </c>
      <c r="C1525" s="1" t="s">
        <v>10774</v>
      </c>
      <c r="D1525" s="1" t="s">
        <v>928</v>
      </c>
      <c r="E1525" s="1" t="s">
        <v>1059</v>
      </c>
      <c r="F1525" s="1" t="s">
        <v>10821</v>
      </c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</row>
    <row r="1526" spans="1:17" x14ac:dyDescent="0.25">
      <c r="A1526" s="1" t="s">
        <v>918</v>
      </c>
      <c r="B1526" s="1" t="s">
        <v>927</v>
      </c>
      <c r="C1526" s="1" t="s">
        <v>10774</v>
      </c>
      <c r="D1526" s="1" t="s">
        <v>928</v>
      </c>
      <c r="E1526" s="1" t="s">
        <v>1059</v>
      </c>
      <c r="F1526" s="1" t="s">
        <v>10821</v>
      </c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</row>
    <row r="1527" spans="1:17" x14ac:dyDescent="0.25">
      <c r="A1527" s="1" t="s">
        <v>750</v>
      </c>
      <c r="B1527" s="1" t="s">
        <v>761</v>
      </c>
      <c r="C1527" s="1" t="s">
        <v>1121</v>
      </c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</row>
    <row r="1528" spans="1:17" x14ac:dyDescent="0.25">
      <c r="A1528" s="1" t="s">
        <v>750</v>
      </c>
      <c r="B1528" s="1" t="s">
        <v>761</v>
      </c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</row>
    <row r="1529" spans="1:17" x14ac:dyDescent="0.25">
      <c r="A1529" s="1" t="s">
        <v>750</v>
      </c>
      <c r="B1529" s="1" t="s">
        <v>25</v>
      </c>
      <c r="C1529" s="1" t="s">
        <v>923</v>
      </c>
      <c r="D1529" s="1" t="s">
        <v>1129</v>
      </c>
      <c r="E1529" s="1" t="s">
        <v>920</v>
      </c>
      <c r="F1529" s="1" t="s">
        <v>954</v>
      </c>
      <c r="G1529" s="1" t="s">
        <v>949</v>
      </c>
      <c r="H1529" s="1"/>
      <c r="I1529" s="1"/>
      <c r="J1529" s="1"/>
      <c r="K1529" s="1"/>
      <c r="L1529" s="1"/>
      <c r="M1529" s="1"/>
      <c r="N1529" s="1"/>
      <c r="O1529" s="1"/>
      <c r="P1529" s="1"/>
      <c r="Q1529" s="1"/>
    </row>
    <row r="1530" spans="1:17" x14ac:dyDescent="0.25">
      <c r="A1530" s="1" t="s">
        <v>934</v>
      </c>
      <c r="B1530" s="1" t="s">
        <v>918</v>
      </c>
      <c r="C1530" s="1" t="s">
        <v>25</v>
      </c>
      <c r="D1530" s="1" t="s">
        <v>919</v>
      </c>
      <c r="E1530" s="1" t="s">
        <v>920</v>
      </c>
      <c r="F1530" s="1" t="s">
        <v>924</v>
      </c>
      <c r="G1530" s="1" t="s">
        <v>750</v>
      </c>
      <c r="H1530" s="1" t="s">
        <v>923</v>
      </c>
      <c r="I1530" s="1" t="s">
        <v>1129</v>
      </c>
      <c r="J1530" s="1" t="s">
        <v>954</v>
      </c>
      <c r="K1530" s="1" t="s">
        <v>964</v>
      </c>
      <c r="L1530" s="1"/>
      <c r="M1530" s="1"/>
      <c r="N1530" s="1"/>
      <c r="O1530" s="1"/>
      <c r="P1530" s="1"/>
      <c r="Q1530" s="1"/>
    </row>
    <row r="1531" spans="1:17" x14ac:dyDescent="0.25">
      <c r="A1531" s="1" t="s">
        <v>750</v>
      </c>
      <c r="B1531" s="1" t="s">
        <v>1129</v>
      </c>
      <c r="C1531" s="1" t="s">
        <v>840</v>
      </c>
      <c r="D1531" s="1" t="s">
        <v>761</v>
      </c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</row>
    <row r="1532" spans="1:17" x14ac:dyDescent="0.25">
      <c r="A1532" s="1" t="s">
        <v>971</v>
      </c>
      <c r="B1532" s="1" t="s">
        <v>1011</v>
      </c>
      <c r="C1532" s="1" t="s">
        <v>10819</v>
      </c>
      <c r="D1532" s="1" t="s">
        <v>920</v>
      </c>
      <c r="E1532" s="1" t="s">
        <v>921</v>
      </c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</row>
    <row r="1533" spans="1:17" x14ac:dyDescent="0.25">
      <c r="A1533" s="1" t="s">
        <v>256</v>
      </c>
      <c r="B1533" s="1" t="s">
        <v>1049</v>
      </c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</row>
    <row r="1534" spans="1:17" x14ac:dyDescent="0.25">
      <c r="A1534" s="1" t="s">
        <v>998</v>
      </c>
      <c r="B1534" s="1" t="s">
        <v>994</v>
      </c>
      <c r="C1534" s="1" t="s">
        <v>927</v>
      </c>
      <c r="D1534" s="1" t="s">
        <v>992</v>
      </c>
      <c r="E1534" s="1" t="s">
        <v>981</v>
      </c>
      <c r="F1534" s="1" t="s">
        <v>933</v>
      </c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</row>
    <row r="1535" spans="1:17" x14ac:dyDescent="0.25">
      <c r="A1535" s="1" t="s">
        <v>1053</v>
      </c>
      <c r="B1535" s="1" t="s">
        <v>933</v>
      </c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</row>
    <row r="1536" spans="1:17" x14ac:dyDescent="0.25">
      <c r="A1536" s="1" t="s">
        <v>996</v>
      </c>
      <c r="B1536" s="1" t="s">
        <v>997</v>
      </c>
      <c r="C1536" s="1" t="s">
        <v>994</v>
      </c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</row>
    <row r="1537" spans="1:17" x14ac:dyDescent="0.25">
      <c r="A1537" s="1" t="s">
        <v>25</v>
      </c>
      <c r="B1537" s="1" t="s">
        <v>997</v>
      </c>
      <c r="C1537" s="1" t="s">
        <v>927</v>
      </c>
      <c r="D1537" s="1" t="s">
        <v>998</v>
      </c>
      <c r="E1537" s="1" t="s">
        <v>920</v>
      </c>
      <c r="F1537" s="1" t="s">
        <v>933</v>
      </c>
      <c r="G1537" s="1" t="s">
        <v>994</v>
      </c>
      <c r="H1537" s="1"/>
      <c r="I1537" s="1"/>
      <c r="J1537" s="1"/>
      <c r="K1537" s="1"/>
      <c r="L1537" s="1"/>
      <c r="M1537" s="1"/>
      <c r="N1537" s="1"/>
      <c r="O1537" s="1"/>
      <c r="P1537" s="1"/>
      <c r="Q1537" s="1"/>
    </row>
    <row r="1538" spans="1:17" x14ac:dyDescent="0.25">
      <c r="A1538" s="1" t="s">
        <v>298</v>
      </c>
      <c r="B1538" s="1" t="s">
        <v>25</v>
      </c>
      <c r="C1538" s="1" t="s">
        <v>923</v>
      </c>
      <c r="D1538" s="1" t="s">
        <v>997</v>
      </c>
      <c r="E1538" s="1" t="s">
        <v>927</v>
      </c>
      <c r="F1538" s="1" t="s">
        <v>998</v>
      </c>
      <c r="G1538" s="1" t="s">
        <v>992</v>
      </c>
      <c r="H1538" s="1" t="s">
        <v>1086</v>
      </c>
      <c r="I1538" s="1" t="s">
        <v>920</v>
      </c>
      <c r="J1538" s="1" t="s">
        <v>933</v>
      </c>
      <c r="K1538" s="1" t="s">
        <v>994</v>
      </c>
      <c r="L1538" s="1" t="s">
        <v>10825</v>
      </c>
      <c r="M1538" s="1" t="s">
        <v>10826</v>
      </c>
      <c r="N1538" s="1" t="s">
        <v>955</v>
      </c>
      <c r="O1538" s="1" t="s">
        <v>995</v>
      </c>
      <c r="P1538" s="1" t="s">
        <v>1014</v>
      </c>
      <c r="Q1538" s="1" t="s">
        <v>10797</v>
      </c>
    </row>
    <row r="1539" spans="1:17" x14ac:dyDescent="0.25">
      <c r="A1539" s="1" t="s">
        <v>996</v>
      </c>
      <c r="B1539" s="1" t="s">
        <v>25</v>
      </c>
      <c r="C1539" s="1" t="s">
        <v>923</v>
      </c>
      <c r="D1539" s="1" t="s">
        <v>997</v>
      </c>
      <c r="E1539" s="1" t="s">
        <v>920</v>
      </c>
      <c r="F1539" s="1" t="s">
        <v>994</v>
      </c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</row>
    <row r="1540" spans="1:17" x14ac:dyDescent="0.25">
      <c r="A1540" s="1" t="s">
        <v>931</v>
      </c>
      <c r="B1540" s="1" t="s">
        <v>25</v>
      </c>
      <c r="C1540" s="1" t="s">
        <v>923</v>
      </c>
      <c r="D1540" s="1" t="s">
        <v>997</v>
      </c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</row>
    <row r="1541" spans="1:17" x14ac:dyDescent="0.25">
      <c r="A1541" s="1" t="s">
        <v>50</v>
      </c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</row>
    <row r="1542" spans="1:17" x14ac:dyDescent="0.25">
      <c r="A1542" s="1" t="s">
        <v>256</v>
      </c>
      <c r="B1542" s="1" t="s">
        <v>1049</v>
      </c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</row>
    <row r="1543" spans="1:17" x14ac:dyDescent="0.25">
      <c r="A1543" s="1" t="s">
        <v>50</v>
      </c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</row>
    <row r="1544" spans="1:17" x14ac:dyDescent="0.25">
      <c r="A1544" s="1" t="s">
        <v>918</v>
      </c>
      <c r="B1544" s="1" t="s">
        <v>25</v>
      </c>
      <c r="C1544" s="1" t="s">
        <v>920</v>
      </c>
      <c r="D1544" s="1" t="s">
        <v>933</v>
      </c>
      <c r="E1544" s="1" t="s">
        <v>921</v>
      </c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</row>
    <row r="1545" spans="1:17" x14ac:dyDescent="0.25">
      <c r="A1545" s="1" t="s">
        <v>298</v>
      </c>
      <c r="B1545" s="1" t="s">
        <v>25</v>
      </c>
      <c r="C1545" s="1" t="s">
        <v>927</v>
      </c>
      <c r="D1545" s="1" t="s">
        <v>998</v>
      </c>
      <c r="E1545" s="1" t="s">
        <v>1086</v>
      </c>
      <c r="F1545" s="1" t="s">
        <v>920</v>
      </c>
      <c r="G1545" s="1" t="s">
        <v>933</v>
      </c>
      <c r="H1545" s="1" t="s">
        <v>937</v>
      </c>
      <c r="I1545" s="1" t="s">
        <v>10860</v>
      </c>
      <c r="J1545" s="1"/>
      <c r="K1545" s="1"/>
      <c r="L1545" s="1"/>
      <c r="M1545" s="1"/>
      <c r="N1545" s="1"/>
      <c r="O1545" s="1"/>
      <c r="P1545" s="1"/>
      <c r="Q1545" s="1"/>
    </row>
    <row r="1546" spans="1:17" x14ac:dyDescent="0.25">
      <c r="A1546" s="1" t="s">
        <v>1001</v>
      </c>
      <c r="B1546" s="1" t="s">
        <v>992</v>
      </c>
      <c r="C1546" s="1" t="s">
        <v>10774</v>
      </c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</row>
    <row r="1547" spans="1:17" x14ac:dyDescent="0.25">
      <c r="A1547" s="1" t="s">
        <v>1001</v>
      </c>
      <c r="B1547" s="1" t="s">
        <v>927</v>
      </c>
      <c r="C1547" s="1" t="s">
        <v>992</v>
      </c>
      <c r="D1547" s="1" t="s">
        <v>981</v>
      </c>
      <c r="E1547" s="1" t="s">
        <v>1066</v>
      </c>
      <c r="F1547" s="1" t="s">
        <v>919</v>
      </c>
      <c r="G1547" s="1" t="s">
        <v>993</v>
      </c>
      <c r="H1547" s="1"/>
      <c r="I1547" s="1"/>
      <c r="J1547" s="1"/>
      <c r="K1547" s="1"/>
      <c r="L1547" s="1"/>
      <c r="M1547" s="1"/>
      <c r="N1547" s="1"/>
      <c r="O1547" s="1"/>
      <c r="P1547" s="1"/>
      <c r="Q1547" s="1"/>
    </row>
    <row r="1548" spans="1:17" x14ac:dyDescent="0.25">
      <c r="A1548" s="1" t="s">
        <v>1001</v>
      </c>
      <c r="B1548" s="1" t="s">
        <v>919</v>
      </c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</row>
    <row r="1549" spans="1:17" x14ac:dyDescent="0.25">
      <c r="A1549" s="1" t="s">
        <v>1149</v>
      </c>
      <c r="B1549" s="1" t="s">
        <v>25</v>
      </c>
      <c r="C1549" s="1" t="s">
        <v>923</v>
      </c>
      <c r="D1549" s="1" t="s">
        <v>998</v>
      </c>
      <c r="E1549" s="1" t="s">
        <v>1086</v>
      </c>
      <c r="F1549" s="1" t="s">
        <v>920</v>
      </c>
      <c r="G1549" s="1" t="s">
        <v>933</v>
      </c>
      <c r="H1549" s="1" t="s">
        <v>10719</v>
      </c>
      <c r="I1549" s="1"/>
      <c r="J1549" s="1"/>
      <c r="K1549" s="1"/>
      <c r="L1549" s="1"/>
      <c r="M1549" s="1"/>
      <c r="N1549" s="1"/>
      <c r="O1549" s="1"/>
      <c r="P1549" s="1"/>
      <c r="Q1549" s="1"/>
    </row>
    <row r="1550" spans="1:17" x14ac:dyDescent="0.25">
      <c r="A1550" s="1" t="s">
        <v>3439</v>
      </c>
      <c r="B1550" s="1" t="s">
        <v>1108</v>
      </c>
      <c r="C1550" s="1" t="s">
        <v>10947</v>
      </c>
      <c r="D1550" s="1" t="s">
        <v>1147</v>
      </c>
      <c r="E1550" s="1" t="s">
        <v>918</v>
      </c>
      <c r="F1550" s="1" t="s">
        <v>25</v>
      </c>
      <c r="G1550" s="1" t="s">
        <v>923</v>
      </c>
      <c r="H1550" s="1" t="s">
        <v>965</v>
      </c>
      <c r="I1550" s="1" t="s">
        <v>840</v>
      </c>
      <c r="J1550" s="1" t="s">
        <v>920</v>
      </c>
      <c r="K1550" s="1" t="s">
        <v>954</v>
      </c>
      <c r="L1550" s="1"/>
      <c r="M1550" s="1"/>
      <c r="N1550" s="1"/>
      <c r="O1550" s="1"/>
      <c r="P1550" s="1"/>
      <c r="Q1550" s="1"/>
    </row>
    <row r="1551" spans="1:17" x14ac:dyDescent="0.25">
      <c r="A1551" s="1" t="s">
        <v>918</v>
      </c>
      <c r="B1551" s="1" t="s">
        <v>25</v>
      </c>
      <c r="C1551" s="1" t="s">
        <v>923</v>
      </c>
      <c r="D1551" s="1" t="s">
        <v>1078</v>
      </c>
      <c r="E1551" s="1" t="s">
        <v>919</v>
      </c>
      <c r="F1551" s="1" t="s">
        <v>920</v>
      </c>
      <c r="G1551" s="1" t="s">
        <v>924</v>
      </c>
      <c r="H1551" s="1" t="s">
        <v>921</v>
      </c>
      <c r="I1551" s="1" t="s">
        <v>916</v>
      </c>
      <c r="J1551" s="1" t="s">
        <v>955</v>
      </c>
      <c r="K1551" s="1" t="s">
        <v>930</v>
      </c>
      <c r="L1551" s="1" t="s">
        <v>944</v>
      </c>
      <c r="M1551" s="1" t="s">
        <v>956</v>
      </c>
      <c r="N1551" s="1" t="s">
        <v>957</v>
      </c>
      <c r="O1551" s="1" t="s">
        <v>10948</v>
      </c>
      <c r="P1551" s="1" t="s">
        <v>1044</v>
      </c>
      <c r="Q1551" s="1" t="s">
        <v>1088</v>
      </c>
    </row>
    <row r="1552" spans="1:17" x14ac:dyDescent="0.25">
      <c r="A1552" s="1" t="s">
        <v>918</v>
      </c>
      <c r="B1552" s="1" t="s">
        <v>924</v>
      </c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</row>
    <row r="1553" spans="1:17" x14ac:dyDescent="0.25">
      <c r="A1553" s="1" t="s">
        <v>1107</v>
      </c>
      <c r="B1553" s="1" t="s">
        <v>918</v>
      </c>
      <c r="C1553" s="1" t="s">
        <v>919</v>
      </c>
      <c r="D1553" s="1" t="s">
        <v>945</v>
      </c>
      <c r="E1553" s="1" t="s">
        <v>1012</v>
      </c>
      <c r="F1553" s="1" t="s">
        <v>1013</v>
      </c>
      <c r="G1553" s="1" t="s">
        <v>955</v>
      </c>
      <c r="H1553" s="1" t="s">
        <v>1014</v>
      </c>
      <c r="I1553" s="1" t="s">
        <v>1015</v>
      </c>
      <c r="J1553" s="1" t="s">
        <v>1110</v>
      </c>
      <c r="K1553" s="1" t="s">
        <v>25</v>
      </c>
      <c r="L1553" s="1" t="s">
        <v>923</v>
      </c>
      <c r="M1553" s="1" t="s">
        <v>920</v>
      </c>
      <c r="N1553" s="1" t="s">
        <v>954</v>
      </c>
      <c r="O1553" s="1" t="s">
        <v>328</v>
      </c>
      <c r="P1553" s="1" t="s">
        <v>921</v>
      </c>
      <c r="Q1553" s="1"/>
    </row>
    <row r="1554" spans="1:17" x14ac:dyDescent="0.25">
      <c r="A1554" s="1" t="s">
        <v>1149</v>
      </c>
      <c r="B1554" s="1" t="s">
        <v>25</v>
      </c>
      <c r="C1554" s="1" t="s">
        <v>923</v>
      </c>
      <c r="D1554" s="1" t="s">
        <v>998</v>
      </c>
      <c r="E1554" s="1" t="s">
        <v>1086</v>
      </c>
      <c r="F1554" s="1" t="s">
        <v>920</v>
      </c>
      <c r="G1554" s="1" t="s">
        <v>933</v>
      </c>
      <c r="H1554" s="1" t="s">
        <v>10719</v>
      </c>
      <c r="I1554" s="1"/>
      <c r="J1554" s="1"/>
      <c r="K1554" s="1"/>
      <c r="L1554" s="1"/>
      <c r="M1554" s="1"/>
      <c r="N1554" s="1"/>
      <c r="O1554" s="1"/>
      <c r="P1554" s="1"/>
      <c r="Q1554" s="1"/>
    </row>
    <row r="1555" spans="1:17" x14ac:dyDescent="0.25">
      <c r="A1555" s="1" t="s">
        <v>992</v>
      </c>
      <c r="B1555" s="1" t="s">
        <v>993</v>
      </c>
      <c r="C1555" s="1" t="s">
        <v>994</v>
      </c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</row>
    <row r="1556" spans="1:17" x14ac:dyDescent="0.25">
      <c r="A1556" s="1" t="s">
        <v>298</v>
      </c>
      <c r="B1556" s="1" t="s">
        <v>25</v>
      </c>
      <c r="C1556" s="1" t="s">
        <v>923</v>
      </c>
      <c r="D1556" s="1" t="s">
        <v>927</v>
      </c>
      <c r="E1556" s="1" t="s">
        <v>981</v>
      </c>
      <c r="F1556" s="1" t="s">
        <v>920</v>
      </c>
      <c r="G1556" s="1" t="s">
        <v>933</v>
      </c>
      <c r="H1556" s="1" t="s">
        <v>921</v>
      </c>
      <c r="I1556" s="1" t="s">
        <v>10896</v>
      </c>
      <c r="J1556" s="1" t="s">
        <v>1013</v>
      </c>
      <c r="K1556" s="1"/>
      <c r="L1556" s="1"/>
      <c r="M1556" s="1"/>
      <c r="N1556" s="1"/>
      <c r="O1556" s="1"/>
      <c r="P1556" s="1"/>
      <c r="Q1556" s="1"/>
    </row>
    <row r="1557" spans="1:17" x14ac:dyDescent="0.25">
      <c r="A1557" s="1" t="s">
        <v>927</v>
      </c>
      <c r="B1557" s="1" t="s">
        <v>953</v>
      </c>
      <c r="C1557" s="1" t="s">
        <v>943</v>
      </c>
      <c r="D1557" s="1" t="s">
        <v>983</v>
      </c>
      <c r="E1557" s="1" t="s">
        <v>919</v>
      </c>
      <c r="F1557" s="1" t="s">
        <v>984</v>
      </c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</row>
    <row r="1558" spans="1:17" x14ac:dyDescent="0.25">
      <c r="A1558" s="1" t="s">
        <v>10930</v>
      </c>
      <c r="B1558" s="1" t="s">
        <v>10931</v>
      </c>
      <c r="C1558" s="1" t="s">
        <v>2772</v>
      </c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</row>
    <row r="1559" spans="1:17" x14ac:dyDescent="0.25">
      <c r="A1559" s="1" t="s">
        <v>10930</v>
      </c>
      <c r="B1559" s="1" t="s">
        <v>10931</v>
      </c>
      <c r="C1559" s="1" t="s">
        <v>2772</v>
      </c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</row>
    <row r="1560" spans="1:17" x14ac:dyDescent="0.25">
      <c r="A1560" s="1" t="s">
        <v>1081</v>
      </c>
      <c r="B1560" s="1" t="s">
        <v>918</v>
      </c>
      <c r="C1560" s="1" t="s">
        <v>943</v>
      </c>
      <c r="D1560" s="1" t="s">
        <v>919</v>
      </c>
      <c r="E1560" s="1" t="s">
        <v>924</v>
      </c>
      <c r="F1560" s="1" t="s">
        <v>936</v>
      </c>
      <c r="G1560" s="1" t="s">
        <v>25</v>
      </c>
      <c r="H1560" s="1" t="s">
        <v>921</v>
      </c>
      <c r="I1560" s="1" t="s">
        <v>929</v>
      </c>
      <c r="J1560" s="1"/>
      <c r="K1560" s="1"/>
      <c r="L1560" s="1"/>
      <c r="M1560" s="1"/>
      <c r="N1560" s="1"/>
      <c r="O1560" s="1"/>
      <c r="P1560" s="1"/>
      <c r="Q1560" s="1"/>
    </row>
    <row r="1561" spans="1:17" x14ac:dyDescent="0.25">
      <c r="A1561" s="1" t="s">
        <v>996</v>
      </c>
      <c r="B1561" s="1" t="s">
        <v>2541</v>
      </c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</row>
    <row r="1562" spans="1:17" x14ac:dyDescent="0.25">
      <c r="A1562" s="1" t="s">
        <v>934</v>
      </c>
      <c r="B1562" s="1" t="s">
        <v>918</v>
      </c>
      <c r="C1562" s="1" t="s">
        <v>25</v>
      </c>
      <c r="D1562" s="1" t="s">
        <v>919</v>
      </c>
      <c r="E1562" s="1" t="s">
        <v>920</v>
      </c>
      <c r="F1562" s="1" t="s">
        <v>924</v>
      </c>
      <c r="G1562" s="1" t="s">
        <v>955</v>
      </c>
      <c r="H1562" s="1" t="s">
        <v>1071</v>
      </c>
      <c r="I1562" s="1" t="s">
        <v>1014</v>
      </c>
      <c r="J1562" s="1"/>
      <c r="K1562" s="1"/>
      <c r="L1562" s="1"/>
      <c r="M1562" s="1"/>
      <c r="N1562" s="1"/>
      <c r="O1562" s="1"/>
      <c r="P1562" s="1"/>
      <c r="Q1562" s="1"/>
    </row>
    <row r="1563" spans="1:17" x14ac:dyDescent="0.25">
      <c r="A1563" s="1" t="s">
        <v>998</v>
      </c>
      <c r="B1563" s="1" t="s">
        <v>25</v>
      </c>
      <c r="C1563" s="1" t="s">
        <v>933</v>
      </c>
      <c r="D1563" s="1" t="s">
        <v>994</v>
      </c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</row>
    <row r="1564" spans="1:17" x14ac:dyDescent="0.25">
      <c r="A1564" s="1" t="s">
        <v>50</v>
      </c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</row>
    <row r="1565" spans="1:17" x14ac:dyDescent="0.25">
      <c r="A1565" s="1" t="s">
        <v>996</v>
      </c>
      <c r="B1565" s="1" t="s">
        <v>997</v>
      </c>
      <c r="C1565" s="1" t="s">
        <v>998</v>
      </c>
      <c r="D1565" s="1" t="s">
        <v>6421</v>
      </c>
      <c r="E1565" s="1" t="s">
        <v>2541</v>
      </c>
      <c r="F1565" s="1" t="s">
        <v>994</v>
      </c>
      <c r="G1565" s="1" t="s">
        <v>10949</v>
      </c>
      <c r="H1565" s="1"/>
      <c r="I1565" s="1"/>
      <c r="J1565" s="1"/>
      <c r="K1565" s="1"/>
      <c r="L1565" s="1"/>
      <c r="M1565" s="1"/>
      <c r="N1565" s="1"/>
      <c r="O1565" s="1"/>
      <c r="P1565" s="1"/>
      <c r="Q1565" s="1"/>
    </row>
    <row r="1566" spans="1:17" x14ac:dyDescent="0.25">
      <c r="A1566" s="1" t="s">
        <v>1053</v>
      </c>
      <c r="B1566" s="1" t="s">
        <v>1086</v>
      </c>
      <c r="C1566" s="1" t="s">
        <v>927</v>
      </c>
      <c r="D1566" s="1" t="s">
        <v>919</v>
      </c>
      <c r="E1566" s="1" t="s">
        <v>924</v>
      </c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</row>
    <row r="1567" spans="1:17" x14ac:dyDescent="0.25">
      <c r="A1567" s="1" t="s">
        <v>50</v>
      </c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</row>
    <row r="1568" spans="1:17" x14ac:dyDescent="0.25">
      <c r="A1568" s="1" t="s">
        <v>996</v>
      </c>
      <c r="B1568" s="1" t="s">
        <v>25</v>
      </c>
      <c r="C1568" s="1" t="s">
        <v>997</v>
      </c>
      <c r="D1568" s="1" t="s">
        <v>927</v>
      </c>
      <c r="E1568" s="1" t="s">
        <v>998</v>
      </c>
      <c r="F1568" s="1" t="s">
        <v>994</v>
      </c>
      <c r="G1568" s="1" t="s">
        <v>933</v>
      </c>
      <c r="H1568" s="1"/>
      <c r="I1568" s="1"/>
      <c r="J1568" s="1"/>
      <c r="K1568" s="1"/>
      <c r="L1568" s="1"/>
      <c r="M1568" s="1"/>
      <c r="N1568" s="1"/>
      <c r="O1568" s="1"/>
      <c r="P1568" s="1"/>
      <c r="Q1568" s="1"/>
    </row>
    <row r="1569" spans="1:17" x14ac:dyDescent="0.25">
      <c r="A1569" s="1" t="s">
        <v>996</v>
      </c>
      <c r="B1569" s="1" t="s">
        <v>25</v>
      </c>
      <c r="C1569" s="1" t="s">
        <v>997</v>
      </c>
      <c r="D1569" s="1" t="s">
        <v>927</v>
      </c>
      <c r="E1569" s="1" t="s">
        <v>998</v>
      </c>
      <c r="F1569" s="1" t="s">
        <v>994</v>
      </c>
      <c r="G1569" s="1" t="s">
        <v>933</v>
      </c>
      <c r="H1569" s="1"/>
      <c r="I1569" s="1"/>
      <c r="J1569" s="1"/>
      <c r="K1569" s="1"/>
      <c r="L1569" s="1"/>
      <c r="M1569" s="1"/>
      <c r="N1569" s="1"/>
      <c r="O1569" s="1"/>
      <c r="P1569" s="1"/>
      <c r="Q1569" s="1"/>
    </row>
    <row r="1570" spans="1:17" x14ac:dyDescent="0.25">
      <c r="A1570" s="1" t="s">
        <v>925</v>
      </c>
      <c r="B1570" s="1" t="s">
        <v>918</v>
      </c>
      <c r="C1570" s="1" t="s">
        <v>10813</v>
      </c>
      <c r="D1570" s="1" t="s">
        <v>927</v>
      </c>
      <c r="E1570" s="1" t="s">
        <v>919</v>
      </c>
      <c r="F1570" s="1" t="s">
        <v>921</v>
      </c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</row>
    <row r="1571" spans="1:17" x14ac:dyDescent="0.25">
      <c r="A1571" s="1" t="s">
        <v>934</v>
      </c>
      <c r="B1571" s="1" t="s">
        <v>918</v>
      </c>
      <c r="C1571" s="1" t="s">
        <v>25</v>
      </c>
      <c r="D1571" s="1" t="s">
        <v>919</v>
      </c>
      <c r="E1571" s="1" t="s">
        <v>920</v>
      </c>
      <c r="F1571" s="1" t="s">
        <v>924</v>
      </c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</row>
    <row r="1572" spans="1:17" x14ac:dyDescent="0.25">
      <c r="A1572" s="1" t="s">
        <v>50</v>
      </c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</row>
    <row r="1573" spans="1:17" x14ac:dyDescent="0.25">
      <c r="A1573" s="1" t="s">
        <v>50</v>
      </c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</row>
    <row r="1574" spans="1:17" x14ac:dyDescent="0.25">
      <c r="A1574" s="1" t="s">
        <v>1001</v>
      </c>
      <c r="B1574" s="1" t="s">
        <v>927</v>
      </c>
      <c r="C1574" s="1" t="s">
        <v>919</v>
      </c>
      <c r="D1574" s="1" t="s">
        <v>10841</v>
      </c>
      <c r="E1574" s="1" t="s">
        <v>993</v>
      </c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</row>
    <row r="1575" spans="1:17" x14ac:dyDescent="0.25">
      <c r="A1575" s="1" t="s">
        <v>10807</v>
      </c>
      <c r="B1575" s="1" t="s">
        <v>996</v>
      </c>
      <c r="C1575" s="1" t="s">
        <v>2541</v>
      </c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</row>
    <row r="1576" spans="1:17" x14ac:dyDescent="0.25">
      <c r="A1576" s="1" t="s">
        <v>996</v>
      </c>
      <c r="B1576" s="1" t="s">
        <v>1053</v>
      </c>
      <c r="C1576" s="1" t="s">
        <v>1086</v>
      </c>
      <c r="D1576" s="1" t="s">
        <v>2541</v>
      </c>
      <c r="E1576" s="1" t="s">
        <v>6421</v>
      </c>
      <c r="F1576" s="1" t="s">
        <v>1066</v>
      </c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</row>
    <row r="1577" spans="1:17" x14ac:dyDescent="0.25">
      <c r="A1577" s="1" t="s">
        <v>50</v>
      </c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</row>
    <row r="1578" spans="1:17" x14ac:dyDescent="0.25">
      <c r="A1578" s="1" t="s">
        <v>1000</v>
      </c>
      <c r="B1578" s="1" t="s">
        <v>1001</v>
      </c>
      <c r="C1578" s="1" t="s">
        <v>10731</v>
      </c>
      <c r="D1578" s="1" t="s">
        <v>927</v>
      </c>
      <c r="E1578" s="1" t="s">
        <v>992</v>
      </c>
      <c r="F1578" s="1" t="s">
        <v>10774</v>
      </c>
      <c r="G1578" s="1" t="s">
        <v>981</v>
      </c>
      <c r="H1578" s="1" t="s">
        <v>919</v>
      </c>
      <c r="I1578" s="1" t="s">
        <v>10841</v>
      </c>
      <c r="J1578" s="1" t="s">
        <v>998</v>
      </c>
      <c r="K1578" s="1" t="s">
        <v>994</v>
      </c>
      <c r="L1578" s="1"/>
      <c r="M1578" s="1"/>
      <c r="N1578" s="1"/>
      <c r="O1578" s="1"/>
      <c r="P1578" s="1"/>
      <c r="Q1578" s="1"/>
    </row>
    <row r="1579" spans="1:17" x14ac:dyDescent="0.25">
      <c r="A1579" s="1" t="s">
        <v>933</v>
      </c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</row>
    <row r="1580" spans="1:17" x14ac:dyDescent="0.25">
      <c r="A1580" s="1" t="s">
        <v>1086</v>
      </c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</row>
    <row r="1581" spans="1:17" x14ac:dyDescent="0.25">
      <c r="A1581" s="1" t="s">
        <v>996</v>
      </c>
      <c r="B1581" s="1" t="s">
        <v>998</v>
      </c>
      <c r="C1581" s="1" t="s">
        <v>933</v>
      </c>
      <c r="D1581" s="1" t="s">
        <v>2541</v>
      </c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</row>
    <row r="1582" spans="1:17" x14ac:dyDescent="0.25">
      <c r="A1582" s="1" t="s">
        <v>933</v>
      </c>
      <c r="B1582" s="1" t="s">
        <v>328</v>
      </c>
      <c r="C1582" s="1" t="s">
        <v>1013</v>
      </c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</row>
    <row r="1583" spans="1:17" x14ac:dyDescent="0.25">
      <c r="A1583" s="1" t="s">
        <v>996</v>
      </c>
      <c r="B1583" s="1" t="s">
        <v>2541</v>
      </c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</row>
    <row r="1584" spans="1:17" x14ac:dyDescent="0.25">
      <c r="A1584" s="1" t="s">
        <v>50</v>
      </c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</row>
    <row r="1585" spans="1:17" x14ac:dyDescent="0.25">
      <c r="A1585" s="1" t="s">
        <v>923</v>
      </c>
      <c r="B1585" s="1" t="s">
        <v>1053</v>
      </c>
      <c r="C1585" s="1" t="s">
        <v>933</v>
      </c>
      <c r="D1585" s="1" t="s">
        <v>2927</v>
      </c>
      <c r="E1585" s="1" t="s">
        <v>1011</v>
      </c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</row>
    <row r="1586" spans="1:17" x14ac:dyDescent="0.25">
      <c r="A1586" s="1" t="s">
        <v>981</v>
      </c>
      <c r="B1586" s="1" t="s">
        <v>1019</v>
      </c>
      <c r="C1586" s="1" t="s">
        <v>983</v>
      </c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</row>
    <row r="1587" spans="1:17" x14ac:dyDescent="0.25">
      <c r="A1587" s="1" t="s">
        <v>25</v>
      </c>
      <c r="B1587" s="1" t="s">
        <v>1086</v>
      </c>
      <c r="C1587" s="1" t="s">
        <v>919</v>
      </c>
      <c r="D1587" s="1" t="s">
        <v>920</v>
      </c>
      <c r="E1587" s="1" t="s">
        <v>921</v>
      </c>
      <c r="F1587" s="1" t="s">
        <v>298</v>
      </c>
      <c r="G1587" s="1" t="s">
        <v>927</v>
      </c>
      <c r="H1587" s="1" t="s">
        <v>998</v>
      </c>
      <c r="I1587" s="1" t="s">
        <v>933</v>
      </c>
      <c r="J1587" s="1" t="s">
        <v>10896</v>
      </c>
      <c r="K1587" s="1" t="s">
        <v>1013</v>
      </c>
      <c r="L1587" s="1" t="s">
        <v>981</v>
      </c>
      <c r="M1587" s="1"/>
      <c r="N1587" s="1"/>
      <c r="O1587" s="1"/>
      <c r="P1587" s="1"/>
      <c r="Q1587" s="1"/>
    </row>
    <row r="1588" spans="1:17" x14ac:dyDescent="0.25">
      <c r="A1588" s="1" t="s">
        <v>1000</v>
      </c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</row>
    <row r="1589" spans="1:17" x14ac:dyDescent="0.25">
      <c r="A1589" s="1" t="s">
        <v>996</v>
      </c>
      <c r="B1589" s="1" t="s">
        <v>2541</v>
      </c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</row>
    <row r="1590" spans="1:17" x14ac:dyDescent="0.25">
      <c r="A1590" s="1" t="s">
        <v>981</v>
      </c>
      <c r="B1590" s="1" t="s">
        <v>983</v>
      </c>
      <c r="C1590" s="1" t="s">
        <v>10821</v>
      </c>
      <c r="D1590" s="1" t="s">
        <v>996</v>
      </c>
      <c r="E1590" s="1" t="s">
        <v>948</v>
      </c>
      <c r="F1590" s="1" t="s">
        <v>25</v>
      </c>
      <c r="G1590" s="1" t="s">
        <v>923</v>
      </c>
      <c r="H1590" s="1" t="s">
        <v>997</v>
      </c>
      <c r="I1590" s="1" t="s">
        <v>920</v>
      </c>
      <c r="J1590" s="1"/>
      <c r="K1590" s="1"/>
      <c r="L1590" s="1"/>
      <c r="M1590" s="1"/>
      <c r="N1590" s="1"/>
      <c r="O1590" s="1"/>
      <c r="P1590" s="1"/>
      <c r="Q1590" s="1"/>
    </row>
    <row r="1591" spans="1:17" x14ac:dyDescent="0.25">
      <c r="A1591" s="1" t="s">
        <v>996</v>
      </c>
      <c r="B1591" s="1" t="s">
        <v>1053</v>
      </c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</row>
    <row r="1592" spans="1:17" x14ac:dyDescent="0.25">
      <c r="A1592" s="1" t="s">
        <v>927</v>
      </c>
      <c r="B1592" s="1" t="s">
        <v>992</v>
      </c>
      <c r="C1592" s="1" t="s">
        <v>981</v>
      </c>
      <c r="D1592" s="1" t="s">
        <v>933</v>
      </c>
      <c r="E1592" s="1" t="s">
        <v>25</v>
      </c>
      <c r="F1592" s="1" t="s">
        <v>920</v>
      </c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</row>
    <row r="1593" spans="1:17" x14ac:dyDescent="0.25">
      <c r="A1593" s="1" t="s">
        <v>948</v>
      </c>
      <c r="B1593" s="1" t="s">
        <v>918</v>
      </c>
      <c r="C1593" s="1" t="s">
        <v>25</v>
      </c>
      <c r="D1593" s="1" t="s">
        <v>919</v>
      </c>
      <c r="E1593" s="1" t="s">
        <v>920</v>
      </c>
      <c r="F1593" s="1" t="s">
        <v>954</v>
      </c>
      <c r="G1593" s="1" t="s">
        <v>996</v>
      </c>
      <c r="H1593" s="1" t="s">
        <v>10788</v>
      </c>
      <c r="I1593" s="1" t="s">
        <v>923</v>
      </c>
      <c r="J1593" s="1" t="s">
        <v>997</v>
      </c>
      <c r="K1593" s="1" t="s">
        <v>1086</v>
      </c>
      <c r="L1593" s="1" t="s">
        <v>1001</v>
      </c>
      <c r="M1593" s="1" t="s">
        <v>927</v>
      </c>
      <c r="N1593" s="1" t="s">
        <v>998</v>
      </c>
      <c r="O1593" s="1" t="s">
        <v>992</v>
      </c>
      <c r="P1593" s="1" t="s">
        <v>981</v>
      </c>
      <c r="Q1593" s="1" t="s">
        <v>939</v>
      </c>
    </row>
    <row r="1594" spans="1:17" x14ac:dyDescent="0.25">
      <c r="A1594" s="1" t="s">
        <v>1086</v>
      </c>
      <c r="B1594" s="1" t="s">
        <v>2541</v>
      </c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</row>
    <row r="1595" spans="1:17" x14ac:dyDescent="0.25">
      <c r="A1595" s="1" t="s">
        <v>50</v>
      </c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</row>
    <row r="1596" spans="1:17" x14ac:dyDescent="0.25">
      <c r="A1596" s="1" t="s">
        <v>10781</v>
      </c>
      <c r="B1596" s="1" t="s">
        <v>1085</v>
      </c>
      <c r="C1596" s="1" t="s">
        <v>955</v>
      </c>
      <c r="D1596" s="1" t="s">
        <v>1014</v>
      </c>
      <c r="E1596" s="1" t="s">
        <v>10740</v>
      </c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</row>
    <row r="1597" spans="1:17" x14ac:dyDescent="0.25">
      <c r="A1597" s="1" t="s">
        <v>1041</v>
      </c>
      <c r="B1597" s="1" t="s">
        <v>1156</v>
      </c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</row>
    <row r="1598" spans="1:17" x14ac:dyDescent="0.25">
      <c r="A1598" s="1" t="s">
        <v>10950</v>
      </c>
      <c r="B1598" s="1" t="s">
        <v>919</v>
      </c>
      <c r="C1598" s="1" t="s">
        <v>10729</v>
      </c>
      <c r="D1598" s="1" t="s">
        <v>929</v>
      </c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</row>
    <row r="1599" spans="1:17" x14ac:dyDescent="0.25">
      <c r="A1599" s="1" t="s">
        <v>10950</v>
      </c>
      <c r="B1599" s="1" t="s">
        <v>919</v>
      </c>
      <c r="C1599" s="1" t="s">
        <v>10729</v>
      </c>
      <c r="D1599" s="1" t="s">
        <v>929</v>
      </c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</row>
    <row r="1600" spans="1:17" x14ac:dyDescent="0.25">
      <c r="A1600" s="1" t="s">
        <v>10950</v>
      </c>
      <c r="B1600" s="1" t="s">
        <v>919</v>
      </c>
      <c r="C1600" s="1" t="s">
        <v>10729</v>
      </c>
      <c r="D1600" s="1" t="s">
        <v>929</v>
      </c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</row>
    <row r="1601" spans="1:17" x14ac:dyDescent="0.25">
      <c r="A1601" s="1" t="s">
        <v>996</v>
      </c>
      <c r="B1601" s="1" t="s">
        <v>8391</v>
      </c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</row>
    <row r="1602" spans="1:17" x14ac:dyDescent="0.25">
      <c r="A1602" s="1" t="s">
        <v>996</v>
      </c>
      <c r="B1602" s="1" t="s">
        <v>933</v>
      </c>
      <c r="C1602" s="1" t="s">
        <v>994</v>
      </c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</row>
    <row r="1603" spans="1:17" x14ac:dyDescent="0.25">
      <c r="A1603" s="1" t="s">
        <v>996</v>
      </c>
      <c r="B1603" s="1" t="s">
        <v>25</v>
      </c>
      <c r="C1603" s="1" t="s">
        <v>997</v>
      </c>
      <c r="D1603" s="1" t="s">
        <v>927</v>
      </c>
      <c r="E1603" s="1" t="s">
        <v>998</v>
      </c>
      <c r="F1603" s="1" t="s">
        <v>992</v>
      </c>
      <c r="G1603" s="1" t="s">
        <v>933</v>
      </c>
      <c r="H1603" s="1" t="s">
        <v>994</v>
      </c>
      <c r="I1603" s="1" t="s">
        <v>10951</v>
      </c>
      <c r="J1603" s="1"/>
      <c r="K1603" s="1"/>
      <c r="L1603" s="1"/>
      <c r="M1603" s="1"/>
      <c r="N1603" s="1"/>
      <c r="O1603" s="1"/>
      <c r="P1603" s="1"/>
      <c r="Q1603" s="1"/>
    </row>
    <row r="1604" spans="1:17" x14ac:dyDescent="0.25">
      <c r="A1604" s="1" t="s">
        <v>1000</v>
      </c>
      <c r="B1604" s="1" t="s">
        <v>1001</v>
      </c>
      <c r="C1604" s="1" t="s">
        <v>927</v>
      </c>
      <c r="D1604" s="1" t="s">
        <v>992</v>
      </c>
      <c r="E1604" s="1" t="s">
        <v>981</v>
      </c>
      <c r="F1604" s="1" t="s">
        <v>919</v>
      </c>
      <c r="G1604" s="1" t="s">
        <v>998</v>
      </c>
      <c r="H1604" s="1" t="s">
        <v>993</v>
      </c>
      <c r="I1604" s="1" t="s">
        <v>994</v>
      </c>
      <c r="J1604" s="1"/>
      <c r="K1604" s="1"/>
      <c r="L1604" s="1"/>
      <c r="M1604" s="1"/>
      <c r="N1604" s="1"/>
      <c r="O1604" s="1"/>
      <c r="P1604" s="1"/>
      <c r="Q1604" s="1"/>
    </row>
    <row r="1605" spans="1:17" x14ac:dyDescent="0.25">
      <c r="A1605" s="1" t="s">
        <v>25</v>
      </c>
      <c r="B1605" s="1" t="s">
        <v>927</v>
      </c>
      <c r="C1605" s="1" t="s">
        <v>10837</v>
      </c>
      <c r="D1605" s="1" t="s">
        <v>981</v>
      </c>
      <c r="E1605" s="1" t="s">
        <v>994</v>
      </c>
      <c r="F1605" s="1" t="s">
        <v>925</v>
      </c>
      <c r="G1605" s="1" t="s">
        <v>10952</v>
      </c>
      <c r="H1605" s="1" t="s">
        <v>1056</v>
      </c>
      <c r="I1605" s="1" t="s">
        <v>10774</v>
      </c>
      <c r="J1605" s="1" t="s">
        <v>939</v>
      </c>
      <c r="K1605" s="1" t="s">
        <v>928</v>
      </c>
      <c r="L1605" s="1" t="s">
        <v>8195</v>
      </c>
      <c r="M1605" s="1" t="s">
        <v>919</v>
      </c>
      <c r="N1605" s="1" t="s">
        <v>993</v>
      </c>
      <c r="O1605" s="1"/>
      <c r="P1605" s="1"/>
      <c r="Q1605" s="1"/>
    </row>
    <row r="1606" spans="1:17" x14ac:dyDescent="0.25">
      <c r="A1606" s="1" t="s">
        <v>1000</v>
      </c>
      <c r="B1606" s="1" t="s">
        <v>964</v>
      </c>
      <c r="C1606" s="1" t="s">
        <v>918</v>
      </c>
      <c r="D1606" s="1" t="s">
        <v>927</v>
      </c>
      <c r="E1606" s="1" t="s">
        <v>981</v>
      </c>
      <c r="F1606" s="1" t="s">
        <v>928</v>
      </c>
      <c r="G1606" s="1" t="s">
        <v>919</v>
      </c>
      <c r="H1606" s="1"/>
      <c r="I1606" s="1"/>
      <c r="J1606" s="1"/>
      <c r="K1606" s="1"/>
      <c r="L1606" s="1"/>
      <c r="M1606" s="1"/>
      <c r="N1606" s="1"/>
      <c r="O1606" s="1"/>
      <c r="P1606" s="1"/>
      <c r="Q1606" s="1"/>
    </row>
    <row r="1607" spans="1:17" x14ac:dyDescent="0.25">
      <c r="A1607" s="1" t="s">
        <v>1000</v>
      </c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</row>
    <row r="1608" spans="1:17" x14ac:dyDescent="0.25">
      <c r="A1608" s="1" t="s">
        <v>1000</v>
      </c>
      <c r="B1608" s="1" t="s">
        <v>997</v>
      </c>
      <c r="C1608" s="1" t="s">
        <v>998</v>
      </c>
      <c r="D1608" s="1" t="s">
        <v>994</v>
      </c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</row>
    <row r="1609" spans="1:17" x14ac:dyDescent="0.25">
      <c r="A1609" s="1" t="s">
        <v>1000</v>
      </c>
      <c r="B1609" s="1" t="s">
        <v>1001</v>
      </c>
      <c r="C1609" s="1" t="s">
        <v>927</v>
      </c>
      <c r="D1609" s="1" t="s">
        <v>992</v>
      </c>
      <c r="E1609" s="1" t="s">
        <v>981</v>
      </c>
      <c r="F1609" s="1" t="s">
        <v>919</v>
      </c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</row>
    <row r="1610" spans="1:17" x14ac:dyDescent="0.25">
      <c r="A1610" s="1" t="s">
        <v>1000</v>
      </c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</row>
    <row r="1611" spans="1:17" x14ac:dyDescent="0.25">
      <c r="A1611" s="1" t="s">
        <v>1001</v>
      </c>
      <c r="B1611" s="1" t="s">
        <v>927</v>
      </c>
      <c r="C1611" s="1" t="s">
        <v>992</v>
      </c>
      <c r="D1611" s="1" t="s">
        <v>981</v>
      </c>
      <c r="E1611" s="1" t="s">
        <v>993</v>
      </c>
      <c r="F1611" s="1" t="s">
        <v>996</v>
      </c>
      <c r="G1611" s="1" t="s">
        <v>998</v>
      </c>
      <c r="H1611" s="1" t="s">
        <v>2541</v>
      </c>
      <c r="I1611" s="1"/>
      <c r="J1611" s="1"/>
      <c r="K1611" s="1"/>
      <c r="L1611" s="1"/>
      <c r="M1611" s="1"/>
      <c r="N1611" s="1"/>
      <c r="O1611" s="1"/>
      <c r="P1611" s="1"/>
      <c r="Q1611" s="1"/>
    </row>
    <row r="1612" spans="1:17" x14ac:dyDescent="0.25">
      <c r="A1612" s="1" t="s">
        <v>996</v>
      </c>
      <c r="B1612" s="1" t="s">
        <v>1149</v>
      </c>
      <c r="C1612" s="1" t="s">
        <v>923</v>
      </c>
      <c r="D1612" s="1" t="s">
        <v>997</v>
      </c>
      <c r="E1612" s="1" t="s">
        <v>994</v>
      </c>
      <c r="F1612" s="1" t="s">
        <v>992</v>
      </c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</row>
    <row r="1613" spans="1:17" x14ac:dyDescent="0.25">
      <c r="A1613" s="1" t="s">
        <v>948</v>
      </c>
      <c r="B1613" s="1" t="s">
        <v>10788</v>
      </c>
      <c r="C1613" s="1" t="s">
        <v>1149</v>
      </c>
      <c r="D1613" s="1" t="s">
        <v>25</v>
      </c>
      <c r="E1613" s="1" t="s">
        <v>923</v>
      </c>
      <c r="F1613" s="1" t="s">
        <v>997</v>
      </c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</row>
    <row r="1614" spans="1:17" x14ac:dyDescent="0.25">
      <c r="A1614" s="1" t="s">
        <v>298</v>
      </c>
      <c r="B1614" s="1" t="s">
        <v>2541</v>
      </c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</row>
    <row r="1615" spans="1:17" x14ac:dyDescent="0.25">
      <c r="A1615" s="1" t="s">
        <v>50</v>
      </c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</row>
    <row r="1616" spans="1:17" x14ac:dyDescent="0.25">
      <c r="A1616" s="1" t="s">
        <v>50</v>
      </c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</row>
    <row r="1617" spans="1:17" x14ac:dyDescent="0.25">
      <c r="A1617" s="1" t="s">
        <v>934</v>
      </c>
      <c r="B1617" s="1" t="s">
        <v>25</v>
      </c>
      <c r="C1617" s="1" t="s">
        <v>923</v>
      </c>
      <c r="D1617" s="1" t="s">
        <v>6421</v>
      </c>
      <c r="E1617" s="1" t="s">
        <v>920</v>
      </c>
      <c r="F1617" s="1" t="s">
        <v>328</v>
      </c>
      <c r="G1617" s="1" t="s">
        <v>921</v>
      </c>
      <c r="H1617" s="1"/>
      <c r="I1617" s="1"/>
      <c r="J1617" s="1"/>
      <c r="K1617" s="1"/>
      <c r="L1617" s="1"/>
      <c r="M1617" s="1"/>
      <c r="N1617" s="1"/>
      <c r="O1617" s="1"/>
      <c r="P1617" s="1"/>
      <c r="Q1617" s="1"/>
    </row>
    <row r="1618" spans="1:17" x14ac:dyDescent="0.25">
      <c r="A1618" s="1" t="s">
        <v>934</v>
      </c>
      <c r="B1618" s="1" t="s">
        <v>948</v>
      </c>
      <c r="C1618" s="1" t="s">
        <v>918</v>
      </c>
      <c r="D1618" s="1" t="s">
        <v>949</v>
      </c>
      <c r="E1618" s="1" t="s">
        <v>25</v>
      </c>
      <c r="F1618" s="1" t="s">
        <v>916</v>
      </c>
      <c r="G1618" s="1" t="s">
        <v>919</v>
      </c>
      <c r="H1618" s="1" t="s">
        <v>920</v>
      </c>
      <c r="I1618" s="1" t="s">
        <v>328</v>
      </c>
      <c r="J1618" s="1" t="s">
        <v>950</v>
      </c>
      <c r="K1618" s="1" t="s">
        <v>921</v>
      </c>
      <c r="L1618" s="1" t="s">
        <v>923</v>
      </c>
      <c r="M1618" s="1" t="s">
        <v>6421</v>
      </c>
      <c r="N1618" s="1" t="s">
        <v>964</v>
      </c>
      <c r="O1618" s="1"/>
      <c r="P1618" s="1"/>
      <c r="Q1618" s="1"/>
    </row>
    <row r="1619" spans="1:17" x14ac:dyDescent="0.25">
      <c r="A1619" s="1" t="s">
        <v>918</v>
      </c>
      <c r="B1619" s="1" t="s">
        <v>1110</v>
      </c>
      <c r="C1619" s="1" t="s">
        <v>25</v>
      </c>
      <c r="D1619" s="1" t="s">
        <v>923</v>
      </c>
      <c r="E1619" s="1" t="s">
        <v>919</v>
      </c>
      <c r="F1619" s="1" t="s">
        <v>920</v>
      </c>
      <c r="G1619" s="1" t="s">
        <v>954</v>
      </c>
      <c r="H1619" s="1" t="s">
        <v>328</v>
      </c>
      <c r="I1619" s="1" t="s">
        <v>921</v>
      </c>
      <c r="J1619" s="1" t="s">
        <v>750</v>
      </c>
      <c r="K1619" s="1" t="s">
        <v>1129</v>
      </c>
      <c r="L1619" s="1" t="s">
        <v>840</v>
      </c>
      <c r="M1619" s="1" t="s">
        <v>761</v>
      </c>
      <c r="N1619" s="1"/>
      <c r="O1619" s="1"/>
      <c r="P1619" s="1"/>
      <c r="Q1619" s="1"/>
    </row>
    <row r="1620" spans="1:17" x14ac:dyDescent="0.25">
      <c r="A1620" s="1" t="s">
        <v>750</v>
      </c>
      <c r="B1620" s="1" t="s">
        <v>1129</v>
      </c>
      <c r="C1620" s="1" t="s">
        <v>840</v>
      </c>
      <c r="D1620" s="1" t="s">
        <v>761</v>
      </c>
      <c r="E1620" s="1" t="s">
        <v>934</v>
      </c>
      <c r="F1620" s="1" t="s">
        <v>25</v>
      </c>
      <c r="G1620" s="1" t="s">
        <v>923</v>
      </c>
      <c r="H1620" s="1" t="s">
        <v>6421</v>
      </c>
      <c r="I1620" s="1" t="s">
        <v>920</v>
      </c>
      <c r="J1620" s="1" t="s">
        <v>328</v>
      </c>
      <c r="K1620" s="1" t="s">
        <v>921</v>
      </c>
      <c r="L1620" s="1"/>
      <c r="M1620" s="1"/>
      <c r="N1620" s="1"/>
      <c r="O1620" s="1"/>
      <c r="P1620" s="1"/>
      <c r="Q1620" s="1"/>
    </row>
    <row r="1621" spans="1:17" x14ac:dyDescent="0.25">
      <c r="A1621" s="1" t="s">
        <v>25</v>
      </c>
      <c r="B1621" s="1" t="s">
        <v>1086</v>
      </c>
      <c r="C1621" s="1" t="s">
        <v>919</v>
      </c>
      <c r="D1621" s="1" t="s">
        <v>920</v>
      </c>
      <c r="E1621" s="1" t="s">
        <v>921</v>
      </c>
      <c r="F1621" s="1" t="s">
        <v>10953</v>
      </c>
      <c r="G1621" s="1" t="s">
        <v>10835</v>
      </c>
      <c r="H1621" s="1" t="s">
        <v>10954</v>
      </c>
      <c r="I1621" s="1"/>
      <c r="J1621" s="1"/>
      <c r="K1621" s="1"/>
      <c r="L1621" s="1"/>
      <c r="M1621" s="1"/>
      <c r="N1621" s="1"/>
      <c r="O1621" s="1"/>
      <c r="P1621" s="1"/>
      <c r="Q1621" s="1"/>
    </row>
    <row r="1622" spans="1:17" x14ac:dyDescent="0.25">
      <c r="A1622" s="1" t="s">
        <v>1107</v>
      </c>
      <c r="B1622" s="1" t="s">
        <v>918</v>
      </c>
      <c r="C1622" s="1" t="s">
        <v>919</v>
      </c>
      <c r="D1622" s="1" t="s">
        <v>945</v>
      </c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</row>
    <row r="1623" spans="1:17" x14ac:dyDescent="0.25">
      <c r="A1623" s="1" t="s">
        <v>1107</v>
      </c>
      <c r="B1623" s="1" t="s">
        <v>918</v>
      </c>
      <c r="C1623" s="1" t="s">
        <v>919</v>
      </c>
      <c r="D1623" s="1" t="s">
        <v>945</v>
      </c>
      <c r="E1623" s="1" t="s">
        <v>1012</v>
      </c>
      <c r="F1623" s="1" t="s">
        <v>1013</v>
      </c>
      <c r="G1623" s="1" t="s">
        <v>955</v>
      </c>
      <c r="H1623" s="1" t="s">
        <v>1014</v>
      </c>
      <c r="I1623" s="1" t="s">
        <v>1015</v>
      </c>
      <c r="J1623" s="1"/>
      <c r="K1623" s="1"/>
      <c r="L1623" s="1"/>
      <c r="M1623" s="1"/>
      <c r="N1623" s="1"/>
      <c r="O1623" s="1"/>
      <c r="P1623" s="1"/>
      <c r="Q1623" s="1"/>
    </row>
    <row r="1624" spans="1:17" x14ac:dyDescent="0.25">
      <c r="A1624" s="1" t="s">
        <v>1107</v>
      </c>
      <c r="B1624" s="1" t="s">
        <v>918</v>
      </c>
      <c r="C1624" s="1" t="s">
        <v>919</v>
      </c>
      <c r="D1624" s="1" t="s">
        <v>945</v>
      </c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</row>
    <row r="1625" spans="1:17" x14ac:dyDescent="0.25">
      <c r="A1625" s="1" t="s">
        <v>25</v>
      </c>
      <c r="B1625" s="1" t="s">
        <v>1086</v>
      </c>
      <c r="C1625" s="1" t="s">
        <v>919</v>
      </c>
      <c r="D1625" s="1" t="s">
        <v>920</v>
      </c>
      <c r="E1625" s="1" t="s">
        <v>921</v>
      </c>
      <c r="F1625" s="1" t="s">
        <v>2927</v>
      </c>
      <c r="G1625" s="1" t="s">
        <v>1149</v>
      </c>
      <c r="H1625" s="1" t="s">
        <v>923</v>
      </c>
      <c r="I1625" s="1" t="s">
        <v>998</v>
      </c>
      <c r="J1625" s="1" t="s">
        <v>1053</v>
      </c>
      <c r="K1625" s="1" t="s">
        <v>933</v>
      </c>
      <c r="L1625" s="1"/>
      <c r="M1625" s="1"/>
      <c r="N1625" s="1"/>
      <c r="O1625" s="1"/>
      <c r="P1625" s="1"/>
      <c r="Q1625" s="1"/>
    </row>
    <row r="1626" spans="1:17" x14ac:dyDescent="0.25">
      <c r="A1626" s="1" t="s">
        <v>918</v>
      </c>
      <c r="B1626" s="1" t="s">
        <v>25</v>
      </c>
      <c r="C1626" s="1" t="s">
        <v>927</v>
      </c>
      <c r="D1626" s="1" t="s">
        <v>919</v>
      </c>
      <c r="E1626" s="1" t="s">
        <v>920</v>
      </c>
      <c r="F1626" s="1" t="s">
        <v>921</v>
      </c>
      <c r="G1626" s="1" t="s">
        <v>1086</v>
      </c>
      <c r="H1626" s="1" t="s">
        <v>1001</v>
      </c>
      <c r="I1626" s="1" t="s">
        <v>1013</v>
      </c>
      <c r="J1626" s="1"/>
      <c r="K1626" s="1"/>
      <c r="L1626" s="1"/>
      <c r="M1626" s="1"/>
      <c r="N1626" s="1"/>
      <c r="O1626" s="1"/>
      <c r="P1626" s="1"/>
      <c r="Q1626" s="1"/>
    </row>
    <row r="1627" spans="1:17" x14ac:dyDescent="0.25">
      <c r="A1627" s="1" t="s">
        <v>918</v>
      </c>
      <c r="B1627" s="1" t="s">
        <v>25</v>
      </c>
      <c r="C1627" s="1" t="s">
        <v>927</v>
      </c>
      <c r="D1627" s="1" t="s">
        <v>919</v>
      </c>
      <c r="E1627" s="1" t="s">
        <v>920</v>
      </c>
      <c r="F1627" s="1" t="s">
        <v>921</v>
      </c>
      <c r="G1627" s="1" t="s">
        <v>936</v>
      </c>
      <c r="H1627" s="1"/>
      <c r="I1627" s="1"/>
      <c r="J1627" s="1"/>
      <c r="K1627" s="1"/>
      <c r="L1627" s="1"/>
      <c r="M1627" s="1"/>
      <c r="N1627" s="1"/>
      <c r="O1627" s="1"/>
      <c r="P1627" s="1"/>
      <c r="Q1627" s="1"/>
    </row>
    <row r="1628" spans="1:17" x14ac:dyDescent="0.25">
      <c r="A1628" s="1" t="s">
        <v>964</v>
      </c>
      <c r="B1628" s="1" t="s">
        <v>1109</v>
      </c>
      <c r="C1628" s="1" t="s">
        <v>919</v>
      </c>
      <c r="D1628" s="1" t="s">
        <v>918</v>
      </c>
      <c r="E1628" s="1" t="s">
        <v>10849</v>
      </c>
      <c r="F1628" s="1" t="s">
        <v>924</v>
      </c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</row>
    <row r="1629" spans="1:17" x14ac:dyDescent="0.25">
      <c r="A1629" s="1" t="s">
        <v>964</v>
      </c>
      <c r="B1629" s="1" t="s">
        <v>1109</v>
      </c>
      <c r="C1629" s="1" t="s">
        <v>919</v>
      </c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</row>
    <row r="1630" spans="1:17" x14ac:dyDescent="0.25">
      <c r="A1630" s="1" t="s">
        <v>918</v>
      </c>
      <c r="B1630" s="1" t="s">
        <v>919</v>
      </c>
      <c r="C1630" s="1" t="s">
        <v>936</v>
      </c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</row>
    <row r="1631" spans="1:17" x14ac:dyDescent="0.25">
      <c r="A1631" s="1" t="s">
        <v>1040</v>
      </c>
      <c r="B1631" s="1" t="s">
        <v>919</v>
      </c>
      <c r="C1631" s="1" t="s">
        <v>10729</v>
      </c>
      <c r="D1631" s="1" t="s">
        <v>930</v>
      </c>
      <c r="E1631" s="1" t="s">
        <v>945</v>
      </c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</row>
    <row r="1632" spans="1:17" x14ac:dyDescent="0.25">
      <c r="A1632" s="1" t="s">
        <v>918</v>
      </c>
      <c r="B1632" s="1" t="s">
        <v>25</v>
      </c>
      <c r="C1632" s="1" t="s">
        <v>919</v>
      </c>
      <c r="D1632" s="1" t="s">
        <v>920</v>
      </c>
      <c r="E1632" s="1" t="s">
        <v>924</v>
      </c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</row>
    <row r="1633" spans="1:17" x14ac:dyDescent="0.25">
      <c r="A1633" s="1" t="s">
        <v>918</v>
      </c>
      <c r="B1633" s="1" t="s">
        <v>919</v>
      </c>
      <c r="C1633" s="1" t="s">
        <v>936</v>
      </c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</row>
    <row r="1634" spans="1:17" x14ac:dyDescent="0.25">
      <c r="A1634" s="1" t="s">
        <v>918</v>
      </c>
      <c r="B1634" s="1" t="s">
        <v>25</v>
      </c>
      <c r="C1634" s="1" t="s">
        <v>919</v>
      </c>
      <c r="D1634" s="1" t="s">
        <v>920</v>
      </c>
      <c r="E1634" s="1" t="s">
        <v>924</v>
      </c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</row>
    <row r="1635" spans="1:17" x14ac:dyDescent="0.25">
      <c r="A1635" s="1" t="s">
        <v>918</v>
      </c>
      <c r="B1635" s="1" t="s">
        <v>25</v>
      </c>
      <c r="C1635" s="1" t="s">
        <v>919</v>
      </c>
      <c r="D1635" s="1" t="s">
        <v>920</v>
      </c>
      <c r="E1635" s="1" t="s">
        <v>924</v>
      </c>
      <c r="F1635" s="1" t="s">
        <v>961</v>
      </c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</row>
    <row r="1636" spans="1:17" x14ac:dyDescent="0.25">
      <c r="A1636" s="1" t="s">
        <v>918</v>
      </c>
      <c r="B1636" s="1" t="s">
        <v>25</v>
      </c>
      <c r="C1636" s="1" t="s">
        <v>919</v>
      </c>
      <c r="D1636" s="1" t="s">
        <v>920</v>
      </c>
      <c r="E1636" s="1" t="s">
        <v>924</v>
      </c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</row>
    <row r="1637" spans="1:17" x14ac:dyDescent="0.25">
      <c r="A1637" s="1" t="s">
        <v>918</v>
      </c>
      <c r="B1637" s="1" t="s">
        <v>25</v>
      </c>
      <c r="C1637" s="1" t="s">
        <v>919</v>
      </c>
      <c r="D1637" s="1" t="s">
        <v>920</v>
      </c>
      <c r="E1637" s="1" t="s">
        <v>924</v>
      </c>
      <c r="F1637" s="1" t="s">
        <v>923</v>
      </c>
      <c r="G1637" s="1" t="s">
        <v>916</v>
      </c>
      <c r="H1637" s="1" t="s">
        <v>921</v>
      </c>
      <c r="I1637" s="1"/>
      <c r="J1637" s="1"/>
      <c r="K1637" s="1"/>
      <c r="L1637" s="1"/>
      <c r="M1637" s="1"/>
      <c r="N1637" s="1"/>
      <c r="O1637" s="1"/>
      <c r="P1637" s="1"/>
      <c r="Q1637" s="1"/>
    </row>
    <row r="1638" spans="1:17" x14ac:dyDescent="0.25">
      <c r="A1638" s="1" t="s">
        <v>918</v>
      </c>
      <c r="B1638" s="1" t="s">
        <v>25</v>
      </c>
      <c r="C1638" s="1" t="s">
        <v>919</v>
      </c>
      <c r="D1638" s="1" t="s">
        <v>920</v>
      </c>
      <c r="E1638" s="1" t="s">
        <v>924</v>
      </c>
      <c r="F1638" s="1" t="s">
        <v>936</v>
      </c>
      <c r="G1638" s="1" t="s">
        <v>921</v>
      </c>
      <c r="H1638" s="1" t="s">
        <v>929</v>
      </c>
      <c r="I1638" s="1"/>
      <c r="J1638" s="1"/>
      <c r="K1638" s="1"/>
      <c r="L1638" s="1"/>
      <c r="M1638" s="1"/>
      <c r="N1638" s="1"/>
      <c r="O1638" s="1"/>
      <c r="P1638" s="1"/>
      <c r="Q1638" s="1"/>
    </row>
    <row r="1639" spans="1:17" x14ac:dyDescent="0.25">
      <c r="A1639" s="1" t="s">
        <v>2927</v>
      </c>
      <c r="B1639" s="1" t="s">
        <v>998</v>
      </c>
      <c r="C1639" s="1" t="s">
        <v>933</v>
      </c>
      <c r="D1639" s="1" t="s">
        <v>994</v>
      </c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</row>
    <row r="1640" spans="1:17" x14ac:dyDescent="0.25">
      <c r="A1640" s="1" t="s">
        <v>918</v>
      </c>
      <c r="B1640" s="1" t="s">
        <v>25</v>
      </c>
      <c r="C1640" s="1" t="s">
        <v>987</v>
      </c>
      <c r="D1640" s="1" t="s">
        <v>919</v>
      </c>
      <c r="E1640" s="1" t="s">
        <v>920</v>
      </c>
      <c r="F1640" s="1" t="s">
        <v>921</v>
      </c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</row>
    <row r="1641" spans="1:17" x14ac:dyDescent="0.25">
      <c r="A1641" s="1" t="s">
        <v>918</v>
      </c>
      <c r="B1641" s="1" t="s">
        <v>25</v>
      </c>
      <c r="C1641" s="1" t="s">
        <v>987</v>
      </c>
      <c r="D1641" s="1" t="s">
        <v>919</v>
      </c>
      <c r="E1641" s="1" t="s">
        <v>920</v>
      </c>
      <c r="F1641" s="1" t="s">
        <v>921</v>
      </c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</row>
    <row r="1642" spans="1:17" x14ac:dyDescent="0.25">
      <c r="A1642" s="1" t="s">
        <v>322</v>
      </c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</row>
    <row r="1643" spans="1:17" x14ac:dyDescent="0.25">
      <c r="A1643" s="1" t="s">
        <v>918</v>
      </c>
      <c r="B1643" s="1" t="s">
        <v>25</v>
      </c>
      <c r="C1643" s="1" t="s">
        <v>923</v>
      </c>
      <c r="D1643" s="1" t="s">
        <v>1000</v>
      </c>
      <c r="E1643" s="1" t="s">
        <v>919</v>
      </c>
      <c r="F1643" s="1" t="s">
        <v>920</v>
      </c>
      <c r="G1643" s="1" t="s">
        <v>933</v>
      </c>
      <c r="H1643" s="1" t="s">
        <v>921</v>
      </c>
      <c r="I1643" s="1" t="s">
        <v>10955</v>
      </c>
      <c r="J1643" s="1"/>
      <c r="K1643" s="1"/>
      <c r="L1643" s="1"/>
      <c r="M1643" s="1"/>
      <c r="N1643" s="1"/>
      <c r="O1643" s="1"/>
      <c r="P1643" s="1"/>
      <c r="Q1643" s="1"/>
    </row>
    <row r="1644" spans="1:17" x14ac:dyDescent="0.25">
      <c r="A1644" s="1" t="s">
        <v>999</v>
      </c>
      <c r="B1644" s="1" t="s">
        <v>1073</v>
      </c>
      <c r="C1644" s="1" t="s">
        <v>921</v>
      </c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</row>
    <row r="1645" spans="1:17" x14ac:dyDescent="0.25">
      <c r="A1645" s="1" t="s">
        <v>50</v>
      </c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</row>
    <row r="1646" spans="1:17" x14ac:dyDescent="0.25">
      <c r="A1646" s="1" t="s">
        <v>918</v>
      </c>
      <c r="B1646" s="1" t="s">
        <v>25</v>
      </c>
      <c r="C1646" s="1" t="s">
        <v>927</v>
      </c>
      <c r="D1646" s="1" t="s">
        <v>939</v>
      </c>
      <c r="E1646" s="1" t="s">
        <v>928</v>
      </c>
      <c r="F1646" s="1" t="s">
        <v>919</v>
      </c>
      <c r="G1646" s="1" t="s">
        <v>929</v>
      </c>
      <c r="H1646" s="1"/>
      <c r="I1646" s="1"/>
      <c r="J1646" s="1"/>
      <c r="K1646" s="1"/>
      <c r="L1646" s="1"/>
      <c r="M1646" s="1"/>
      <c r="N1646" s="1"/>
      <c r="O1646" s="1"/>
      <c r="P1646" s="1"/>
      <c r="Q1646" s="1"/>
    </row>
    <row r="1647" spans="1:17" x14ac:dyDescent="0.25">
      <c r="A1647" s="1" t="s">
        <v>975</v>
      </c>
      <c r="B1647" s="1" t="s">
        <v>1023</v>
      </c>
      <c r="C1647" s="1" t="s">
        <v>10956</v>
      </c>
      <c r="D1647" s="1" t="s">
        <v>1029</v>
      </c>
      <c r="E1647" s="1" t="s">
        <v>983</v>
      </c>
      <c r="F1647" s="1" t="s">
        <v>1060</v>
      </c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</row>
    <row r="1648" spans="1:17" x14ac:dyDescent="0.25">
      <c r="A1648" s="1" t="s">
        <v>10810</v>
      </c>
      <c r="B1648" s="1" t="s">
        <v>1058</v>
      </c>
      <c r="C1648" s="1" t="s">
        <v>948</v>
      </c>
      <c r="D1648" s="1" t="s">
        <v>298</v>
      </c>
      <c r="E1648" s="1" t="s">
        <v>1149</v>
      </c>
      <c r="F1648" s="1" t="s">
        <v>25</v>
      </c>
      <c r="G1648" s="1" t="s">
        <v>923</v>
      </c>
      <c r="H1648" s="1" t="s">
        <v>997</v>
      </c>
      <c r="I1648" s="1" t="s">
        <v>954</v>
      </c>
      <c r="J1648" s="1" t="s">
        <v>994</v>
      </c>
      <c r="K1648" s="1"/>
      <c r="L1648" s="1"/>
      <c r="M1648" s="1"/>
      <c r="N1648" s="1"/>
      <c r="O1648" s="1"/>
      <c r="P1648" s="1"/>
      <c r="Q1648" s="1"/>
    </row>
    <row r="1649" spans="1:17" x14ac:dyDescent="0.25">
      <c r="A1649" s="1" t="s">
        <v>2927</v>
      </c>
      <c r="B1649" s="1" t="s">
        <v>1051</v>
      </c>
      <c r="C1649" s="1" t="s">
        <v>1052</v>
      </c>
      <c r="D1649" s="1" t="s">
        <v>10852</v>
      </c>
      <c r="E1649" s="1" t="s">
        <v>1100</v>
      </c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</row>
    <row r="1650" spans="1:17" x14ac:dyDescent="0.25">
      <c r="A1650" s="1" t="s">
        <v>925</v>
      </c>
      <c r="B1650" s="1" t="s">
        <v>918</v>
      </c>
      <c r="C1650" s="1" t="s">
        <v>927</v>
      </c>
      <c r="D1650" s="1" t="s">
        <v>928</v>
      </c>
      <c r="E1650" s="1" t="s">
        <v>919</v>
      </c>
      <c r="F1650" s="1" t="s">
        <v>960</v>
      </c>
      <c r="G1650" s="1" t="s">
        <v>961</v>
      </c>
      <c r="H1650" s="1" t="s">
        <v>1147</v>
      </c>
      <c r="I1650" s="1"/>
      <c r="J1650" s="1"/>
      <c r="K1650" s="1"/>
      <c r="L1650" s="1"/>
      <c r="M1650" s="1"/>
      <c r="N1650" s="1"/>
      <c r="O1650" s="1"/>
      <c r="P1650" s="1"/>
      <c r="Q1650" s="1"/>
    </row>
    <row r="1651" spans="1:17" x14ac:dyDescent="0.25">
      <c r="A1651" s="1" t="s">
        <v>1110</v>
      </c>
      <c r="B1651" s="1" t="s">
        <v>1131</v>
      </c>
      <c r="C1651" s="1" t="s">
        <v>1151</v>
      </c>
      <c r="D1651" s="1" t="s">
        <v>918</v>
      </c>
      <c r="E1651" s="1" t="s">
        <v>919</v>
      </c>
      <c r="F1651" s="1" t="s">
        <v>936</v>
      </c>
      <c r="G1651" s="1" t="s">
        <v>929</v>
      </c>
      <c r="H1651" s="1"/>
      <c r="I1651" s="1"/>
      <c r="J1651" s="1"/>
      <c r="K1651" s="1"/>
      <c r="L1651" s="1"/>
      <c r="M1651" s="1"/>
      <c r="N1651" s="1"/>
      <c r="O1651" s="1"/>
      <c r="P1651" s="1"/>
      <c r="Q1651" s="1"/>
    </row>
    <row r="1652" spans="1:17" x14ac:dyDescent="0.25">
      <c r="A1652" s="1" t="s">
        <v>25</v>
      </c>
      <c r="B1652" s="1" t="s">
        <v>998</v>
      </c>
      <c r="C1652" s="1" t="s">
        <v>933</v>
      </c>
      <c r="D1652" s="1" t="s">
        <v>994</v>
      </c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</row>
    <row r="1653" spans="1:17" x14ac:dyDescent="0.25">
      <c r="A1653" s="1" t="s">
        <v>1001</v>
      </c>
      <c r="B1653" s="1" t="s">
        <v>10722</v>
      </c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</row>
    <row r="1654" spans="1:17" x14ac:dyDescent="0.25">
      <c r="A1654" s="1" t="s">
        <v>921</v>
      </c>
      <c r="B1654" s="1" t="s">
        <v>25</v>
      </c>
      <c r="C1654" s="1" t="s">
        <v>923</v>
      </c>
      <c r="D1654" s="1" t="s">
        <v>916</v>
      </c>
      <c r="E1654" s="1" t="s">
        <v>1078</v>
      </c>
      <c r="F1654" s="1" t="s">
        <v>980</v>
      </c>
      <c r="G1654" s="1" t="s">
        <v>919</v>
      </c>
      <c r="H1654" s="1" t="s">
        <v>920</v>
      </c>
      <c r="I1654" s="1"/>
      <c r="J1654" s="1"/>
      <c r="K1654" s="1"/>
      <c r="L1654" s="1"/>
      <c r="M1654" s="1"/>
      <c r="N1654" s="1"/>
      <c r="O1654" s="1"/>
      <c r="P1654" s="1"/>
      <c r="Q1654" s="1"/>
    </row>
    <row r="1655" spans="1:17" x14ac:dyDescent="0.25">
      <c r="A1655" s="1" t="s">
        <v>2927</v>
      </c>
      <c r="B1655" s="1" t="s">
        <v>1149</v>
      </c>
      <c r="C1655" s="1" t="s">
        <v>25</v>
      </c>
      <c r="D1655" s="1" t="s">
        <v>923</v>
      </c>
      <c r="E1655" s="1" t="s">
        <v>998</v>
      </c>
      <c r="F1655" s="1" t="s">
        <v>1053</v>
      </c>
      <c r="G1655" s="1" t="s">
        <v>1086</v>
      </c>
      <c r="H1655" s="1" t="s">
        <v>920</v>
      </c>
      <c r="I1655" s="1" t="s">
        <v>933</v>
      </c>
      <c r="J1655" s="1"/>
      <c r="K1655" s="1"/>
      <c r="L1655" s="1"/>
      <c r="M1655" s="1"/>
      <c r="N1655" s="1"/>
      <c r="O1655" s="1"/>
      <c r="P1655" s="1"/>
      <c r="Q1655" s="1"/>
    </row>
    <row r="1656" spans="1:17" x14ac:dyDescent="0.25">
      <c r="A1656" s="1" t="s">
        <v>996</v>
      </c>
      <c r="B1656" s="1" t="s">
        <v>25</v>
      </c>
      <c r="C1656" s="1" t="s">
        <v>997</v>
      </c>
      <c r="D1656" s="1" t="s">
        <v>927</v>
      </c>
      <c r="E1656" s="1" t="s">
        <v>998</v>
      </c>
      <c r="F1656" s="1" t="s">
        <v>933</v>
      </c>
      <c r="G1656" s="1" t="s">
        <v>993</v>
      </c>
      <c r="H1656" s="1" t="s">
        <v>994</v>
      </c>
      <c r="I1656" s="1"/>
      <c r="J1656" s="1"/>
      <c r="K1656" s="1"/>
      <c r="L1656" s="1"/>
      <c r="M1656" s="1"/>
      <c r="N1656" s="1"/>
      <c r="O1656" s="1"/>
      <c r="P1656" s="1"/>
      <c r="Q1656" s="1"/>
    </row>
    <row r="1657" spans="1:17" x14ac:dyDescent="0.25">
      <c r="A1657" s="1" t="s">
        <v>918</v>
      </c>
      <c r="B1657" s="1" t="s">
        <v>25</v>
      </c>
      <c r="C1657" s="1" t="s">
        <v>1148</v>
      </c>
      <c r="D1657" s="1" t="s">
        <v>923</v>
      </c>
      <c r="E1657" s="1" t="s">
        <v>927</v>
      </c>
      <c r="F1657" s="1" t="s">
        <v>1086</v>
      </c>
      <c r="G1657" s="1" t="s">
        <v>920</v>
      </c>
      <c r="H1657" s="1"/>
      <c r="I1657" s="1"/>
      <c r="J1657" s="1"/>
      <c r="K1657" s="1"/>
      <c r="L1657" s="1"/>
      <c r="M1657" s="1"/>
      <c r="N1657" s="1"/>
      <c r="O1657" s="1"/>
      <c r="P1657" s="1"/>
      <c r="Q1657" s="1"/>
    </row>
    <row r="1658" spans="1:17" x14ac:dyDescent="0.25">
      <c r="A1658" s="1" t="s">
        <v>918</v>
      </c>
      <c r="B1658" s="1" t="s">
        <v>927</v>
      </c>
      <c r="C1658" s="1" t="s">
        <v>919</v>
      </c>
      <c r="D1658" s="1" t="s">
        <v>936</v>
      </c>
      <c r="E1658" s="1" t="s">
        <v>1037</v>
      </c>
      <c r="F1658" s="1" t="s">
        <v>996</v>
      </c>
      <c r="G1658" s="1" t="s">
        <v>1053</v>
      </c>
      <c r="H1658" s="1"/>
      <c r="I1658" s="1"/>
      <c r="J1658" s="1"/>
      <c r="K1658" s="1"/>
      <c r="L1658" s="1"/>
      <c r="M1658" s="1"/>
      <c r="N1658" s="1"/>
      <c r="O1658" s="1"/>
      <c r="P1658" s="1"/>
      <c r="Q1658" s="1"/>
    </row>
    <row r="1659" spans="1:17" x14ac:dyDescent="0.25">
      <c r="A1659" s="1" t="s">
        <v>256</v>
      </c>
      <c r="B1659" s="1" t="s">
        <v>1013</v>
      </c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</row>
    <row r="1660" spans="1:17" x14ac:dyDescent="0.25">
      <c r="A1660" s="1" t="s">
        <v>1053</v>
      </c>
      <c r="B1660" s="1" t="s">
        <v>328</v>
      </c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</row>
    <row r="1661" spans="1:17" x14ac:dyDescent="0.25">
      <c r="A1661" s="1" t="s">
        <v>25</v>
      </c>
      <c r="B1661" s="1" t="s">
        <v>919</v>
      </c>
      <c r="C1661" s="1" t="s">
        <v>920</v>
      </c>
      <c r="D1661" s="1" t="s">
        <v>921</v>
      </c>
      <c r="E1661" s="1" t="s">
        <v>1062</v>
      </c>
      <c r="F1661" s="1" t="s">
        <v>983</v>
      </c>
      <c r="G1661" s="1" t="s">
        <v>1020</v>
      </c>
      <c r="H1661" s="1"/>
      <c r="I1661" s="1"/>
      <c r="J1661" s="1"/>
      <c r="K1661" s="1"/>
      <c r="L1661" s="1"/>
      <c r="M1661" s="1"/>
      <c r="N1661" s="1"/>
      <c r="O1661" s="1"/>
      <c r="P1661" s="1"/>
      <c r="Q1661" s="1"/>
    </row>
    <row r="1662" spans="1:17" x14ac:dyDescent="0.25">
      <c r="A1662" s="1" t="s">
        <v>989</v>
      </c>
      <c r="B1662" s="1" t="s">
        <v>990</v>
      </c>
      <c r="C1662" s="1" t="s">
        <v>991</v>
      </c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</row>
    <row r="1663" spans="1:17" x14ac:dyDescent="0.25">
      <c r="A1663" s="1" t="s">
        <v>4152</v>
      </c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</row>
    <row r="1664" spans="1:17" x14ac:dyDescent="0.25">
      <c r="A1664" s="1" t="s">
        <v>4152</v>
      </c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</row>
    <row r="1665" spans="1:17" x14ac:dyDescent="0.25">
      <c r="A1665" s="1" t="s">
        <v>4152</v>
      </c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</row>
    <row r="1666" spans="1:17" x14ac:dyDescent="0.25">
      <c r="A1666" s="1" t="s">
        <v>918</v>
      </c>
      <c r="B1666" s="1" t="s">
        <v>919</v>
      </c>
      <c r="C1666" s="1" t="s">
        <v>924</v>
      </c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</row>
    <row r="1667" spans="1:17" x14ac:dyDescent="0.25">
      <c r="A1667" s="1" t="s">
        <v>918</v>
      </c>
      <c r="B1667" s="1" t="s">
        <v>25</v>
      </c>
      <c r="C1667" s="1" t="s">
        <v>927</v>
      </c>
      <c r="D1667" s="1" t="s">
        <v>919</v>
      </c>
      <c r="E1667" s="1" t="s">
        <v>920</v>
      </c>
      <c r="F1667" s="1" t="s">
        <v>936</v>
      </c>
      <c r="G1667" s="1" t="s">
        <v>1108</v>
      </c>
      <c r="H1667" s="1" t="s">
        <v>960</v>
      </c>
      <c r="I1667" s="1" t="s">
        <v>961</v>
      </c>
      <c r="J1667" s="1" t="s">
        <v>921</v>
      </c>
      <c r="K1667" s="1" t="s">
        <v>1001</v>
      </c>
      <c r="L1667" s="1"/>
      <c r="M1667" s="1"/>
      <c r="N1667" s="1"/>
      <c r="O1667" s="1"/>
      <c r="P1667" s="1"/>
      <c r="Q1667" s="1"/>
    </row>
    <row r="1668" spans="1:17" x14ac:dyDescent="0.25">
      <c r="A1668" s="1" t="s">
        <v>25</v>
      </c>
      <c r="B1668" s="1" t="s">
        <v>919</v>
      </c>
      <c r="C1668" s="1" t="s">
        <v>920</v>
      </c>
      <c r="D1668" s="1" t="s">
        <v>921</v>
      </c>
      <c r="E1668" s="1" t="s">
        <v>918</v>
      </c>
      <c r="F1668" s="1" t="s">
        <v>945</v>
      </c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</row>
    <row r="1669" spans="1:17" x14ac:dyDescent="0.25">
      <c r="A1669" s="1" t="s">
        <v>918</v>
      </c>
      <c r="B1669" s="1" t="s">
        <v>919</v>
      </c>
      <c r="C1669" s="1" t="s">
        <v>936</v>
      </c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</row>
    <row r="1670" spans="1:17" x14ac:dyDescent="0.25">
      <c r="A1670" s="1" t="s">
        <v>918</v>
      </c>
      <c r="B1670" s="1" t="s">
        <v>919</v>
      </c>
      <c r="C1670" s="1" t="s">
        <v>936</v>
      </c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</row>
    <row r="1671" spans="1:17" x14ac:dyDescent="0.25">
      <c r="A1671" s="1" t="s">
        <v>918</v>
      </c>
      <c r="B1671" s="1" t="s">
        <v>919</v>
      </c>
      <c r="C1671" s="1" t="s">
        <v>936</v>
      </c>
      <c r="D1671" s="1" t="s">
        <v>958</v>
      </c>
      <c r="E1671" s="1" t="s">
        <v>941</v>
      </c>
      <c r="F1671" s="1" t="s">
        <v>955</v>
      </c>
      <c r="G1671" s="1" t="s">
        <v>1034</v>
      </c>
      <c r="H1671" s="1" t="s">
        <v>930</v>
      </c>
      <c r="I1671" s="1" t="s">
        <v>1014</v>
      </c>
      <c r="J1671" s="1" t="s">
        <v>956</v>
      </c>
      <c r="K1671" s="1"/>
      <c r="L1671" s="1"/>
      <c r="M1671" s="1"/>
      <c r="N1671" s="1"/>
      <c r="O1671" s="1"/>
      <c r="P1671" s="1"/>
      <c r="Q1671" s="1"/>
    </row>
    <row r="1672" spans="1:17" x14ac:dyDescent="0.25">
      <c r="A1672" s="1" t="s">
        <v>918</v>
      </c>
      <c r="B1672" s="1" t="s">
        <v>25</v>
      </c>
      <c r="C1672" s="1" t="s">
        <v>923</v>
      </c>
      <c r="D1672" s="1" t="s">
        <v>973</v>
      </c>
      <c r="E1672" s="1" t="s">
        <v>916</v>
      </c>
      <c r="F1672" s="1" t="s">
        <v>920</v>
      </c>
      <c r="G1672" s="1" t="s">
        <v>954</v>
      </c>
      <c r="H1672" s="1" t="s">
        <v>974</v>
      </c>
      <c r="I1672" s="1" t="s">
        <v>921</v>
      </c>
      <c r="J1672" s="1" t="s">
        <v>298</v>
      </c>
      <c r="K1672" s="1" t="s">
        <v>933</v>
      </c>
      <c r="L1672" s="1" t="s">
        <v>1001</v>
      </c>
      <c r="M1672" s="1" t="s">
        <v>937</v>
      </c>
      <c r="N1672" s="1"/>
      <c r="O1672" s="1"/>
      <c r="P1672" s="1"/>
      <c r="Q1672" s="1"/>
    </row>
    <row r="1673" spans="1:17" x14ac:dyDescent="0.25">
      <c r="A1673" s="1" t="s">
        <v>1016</v>
      </c>
      <c r="B1673" s="1" t="s">
        <v>1019</v>
      </c>
      <c r="C1673" s="1" t="s">
        <v>983</v>
      </c>
      <c r="D1673" s="1" t="s">
        <v>10697</v>
      </c>
      <c r="E1673" s="1" t="s">
        <v>984</v>
      </c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</row>
    <row r="1674" spans="1:17" x14ac:dyDescent="0.25">
      <c r="A1674" s="1" t="s">
        <v>1016</v>
      </c>
      <c r="B1674" s="1" t="s">
        <v>1019</v>
      </c>
      <c r="C1674" s="1" t="s">
        <v>983</v>
      </c>
      <c r="D1674" s="1" t="s">
        <v>10697</v>
      </c>
      <c r="E1674" s="1" t="s">
        <v>984</v>
      </c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</row>
    <row r="1675" spans="1:17" x14ac:dyDescent="0.25">
      <c r="A1675" s="1" t="s">
        <v>1016</v>
      </c>
      <c r="B1675" s="1" t="s">
        <v>1019</v>
      </c>
      <c r="C1675" s="1" t="s">
        <v>983</v>
      </c>
      <c r="D1675" s="1" t="s">
        <v>10697</v>
      </c>
      <c r="E1675" s="1" t="s">
        <v>984</v>
      </c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</row>
    <row r="1676" spans="1:17" x14ac:dyDescent="0.25">
      <c r="A1676" s="1" t="s">
        <v>1019</v>
      </c>
      <c r="B1676" s="1" t="s">
        <v>983</v>
      </c>
      <c r="C1676" s="1" t="s">
        <v>984</v>
      </c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</row>
    <row r="1677" spans="1:17" x14ac:dyDescent="0.25">
      <c r="A1677" s="1" t="s">
        <v>1019</v>
      </c>
      <c r="B1677" s="1" t="s">
        <v>983</v>
      </c>
      <c r="C1677" s="1" t="s">
        <v>984</v>
      </c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</row>
    <row r="1678" spans="1:17" x14ac:dyDescent="0.25">
      <c r="A1678" s="1" t="s">
        <v>1019</v>
      </c>
      <c r="B1678" s="1" t="s">
        <v>983</v>
      </c>
      <c r="C1678" s="1" t="s">
        <v>984</v>
      </c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</row>
    <row r="1679" spans="1:17" x14ac:dyDescent="0.25">
      <c r="A1679" s="1" t="s">
        <v>1016</v>
      </c>
      <c r="B1679" s="1" t="s">
        <v>1019</v>
      </c>
      <c r="C1679" s="1" t="s">
        <v>10697</v>
      </c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</row>
    <row r="1680" spans="1:17" x14ac:dyDescent="0.25">
      <c r="A1680" s="1" t="s">
        <v>1016</v>
      </c>
      <c r="B1680" s="1" t="s">
        <v>1019</v>
      </c>
      <c r="C1680" s="1" t="s">
        <v>10697</v>
      </c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</row>
    <row r="1681" spans="1:17" x14ac:dyDescent="0.25">
      <c r="A1681" s="1" t="s">
        <v>1011</v>
      </c>
      <c r="B1681" s="1" t="s">
        <v>25</v>
      </c>
      <c r="C1681" s="1" t="s">
        <v>927</v>
      </c>
      <c r="D1681" s="1" t="s">
        <v>998</v>
      </c>
      <c r="E1681" s="1" t="s">
        <v>992</v>
      </c>
      <c r="F1681" s="1" t="s">
        <v>981</v>
      </c>
      <c r="G1681" s="1" t="s">
        <v>920</v>
      </c>
      <c r="H1681" s="1" t="s">
        <v>933</v>
      </c>
      <c r="I1681" s="1" t="s">
        <v>994</v>
      </c>
      <c r="J1681" s="1" t="s">
        <v>1019</v>
      </c>
      <c r="K1681" s="1" t="s">
        <v>983</v>
      </c>
      <c r="L1681" s="1" t="s">
        <v>10697</v>
      </c>
      <c r="M1681" s="1"/>
      <c r="N1681" s="1"/>
      <c r="O1681" s="1"/>
      <c r="P1681" s="1"/>
      <c r="Q1681" s="1"/>
    </row>
    <row r="1682" spans="1:17" x14ac:dyDescent="0.25">
      <c r="A1682" s="1" t="s">
        <v>1019</v>
      </c>
      <c r="B1682" s="1" t="s">
        <v>983</v>
      </c>
      <c r="C1682" s="1" t="s">
        <v>984</v>
      </c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</row>
    <row r="1683" spans="1:17" x14ac:dyDescent="0.25">
      <c r="A1683" s="1" t="s">
        <v>981</v>
      </c>
      <c r="B1683" s="1" t="s">
        <v>1066</v>
      </c>
      <c r="C1683" s="1" t="s">
        <v>5407</v>
      </c>
      <c r="D1683" s="1" t="s">
        <v>10739</v>
      </c>
      <c r="E1683" s="1" t="s">
        <v>10734</v>
      </c>
      <c r="F1683" s="1" t="s">
        <v>10735</v>
      </c>
      <c r="G1683" s="1" t="s">
        <v>955</v>
      </c>
      <c r="H1683" s="1" t="s">
        <v>944</v>
      </c>
      <c r="I1683" s="1"/>
      <c r="J1683" s="1"/>
      <c r="K1683" s="1"/>
      <c r="L1683" s="1"/>
      <c r="M1683" s="1"/>
      <c r="N1683" s="1"/>
      <c r="O1683" s="1"/>
      <c r="P1683" s="1"/>
      <c r="Q1683" s="1"/>
    </row>
    <row r="1684" spans="1:17" x14ac:dyDescent="0.25">
      <c r="A1684" s="1" t="s">
        <v>1107</v>
      </c>
      <c r="B1684" s="1" t="s">
        <v>918</v>
      </c>
      <c r="C1684" s="1" t="s">
        <v>919</v>
      </c>
      <c r="D1684" s="1" t="s">
        <v>945</v>
      </c>
      <c r="E1684" s="1" t="s">
        <v>25</v>
      </c>
      <c r="F1684" s="1" t="s">
        <v>923</v>
      </c>
      <c r="G1684" s="1" t="s">
        <v>916</v>
      </c>
      <c r="H1684" s="1" t="s">
        <v>924</v>
      </c>
      <c r="I1684" s="1" t="s">
        <v>974</v>
      </c>
      <c r="J1684" s="1" t="s">
        <v>922</v>
      </c>
      <c r="K1684" s="1"/>
      <c r="L1684" s="1"/>
      <c r="M1684" s="1"/>
      <c r="N1684" s="1"/>
      <c r="O1684" s="1"/>
      <c r="P1684" s="1"/>
      <c r="Q1684" s="1"/>
    </row>
    <row r="1685" spans="1:17" x14ac:dyDescent="0.25">
      <c r="A1685" s="1" t="s">
        <v>918</v>
      </c>
      <c r="B1685" s="1" t="s">
        <v>919</v>
      </c>
      <c r="C1685" s="1" t="s">
        <v>924</v>
      </c>
      <c r="D1685" s="1" t="s">
        <v>1131</v>
      </c>
      <c r="E1685" s="1" t="s">
        <v>927</v>
      </c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</row>
    <row r="1686" spans="1:17" x14ac:dyDescent="0.25">
      <c r="A1686" s="1" t="s">
        <v>918</v>
      </c>
      <c r="B1686" s="1" t="s">
        <v>919</v>
      </c>
      <c r="C1686" s="1" t="s">
        <v>924</v>
      </c>
      <c r="D1686" s="1" t="s">
        <v>1013</v>
      </c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</row>
    <row r="1687" spans="1:17" x14ac:dyDescent="0.25">
      <c r="A1687" s="1" t="s">
        <v>918</v>
      </c>
      <c r="B1687" s="1" t="s">
        <v>919</v>
      </c>
      <c r="C1687" s="1" t="s">
        <v>924</v>
      </c>
      <c r="D1687" s="1" t="s">
        <v>936</v>
      </c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</row>
    <row r="1688" spans="1:17" x14ac:dyDescent="0.25">
      <c r="A1688" s="1" t="s">
        <v>1107</v>
      </c>
      <c r="B1688" s="1" t="s">
        <v>918</v>
      </c>
      <c r="C1688" s="1" t="s">
        <v>919</v>
      </c>
      <c r="D1688" s="1" t="s">
        <v>945</v>
      </c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</row>
    <row r="1689" spans="1:17" x14ac:dyDescent="0.25">
      <c r="A1689" s="1" t="s">
        <v>996</v>
      </c>
      <c r="B1689" s="1" t="s">
        <v>997</v>
      </c>
      <c r="C1689" s="1" t="s">
        <v>998</v>
      </c>
      <c r="D1689" s="1" t="s">
        <v>992</v>
      </c>
      <c r="E1689" s="1" t="s">
        <v>933</v>
      </c>
      <c r="F1689" s="1" t="s">
        <v>994</v>
      </c>
      <c r="G1689" s="1" t="s">
        <v>927</v>
      </c>
      <c r="H1689" s="1" t="s">
        <v>953</v>
      </c>
      <c r="I1689" s="1" t="s">
        <v>943</v>
      </c>
      <c r="J1689" s="1" t="s">
        <v>983</v>
      </c>
      <c r="K1689" s="1" t="s">
        <v>919</v>
      </c>
      <c r="L1689" s="1" t="s">
        <v>984</v>
      </c>
      <c r="M1689" s="1"/>
      <c r="N1689" s="1"/>
      <c r="O1689" s="1"/>
      <c r="P1689" s="1"/>
      <c r="Q1689" s="1"/>
    </row>
    <row r="1690" spans="1:17" x14ac:dyDescent="0.25">
      <c r="A1690" s="1" t="s">
        <v>25</v>
      </c>
      <c r="B1690" s="1" t="s">
        <v>919</v>
      </c>
      <c r="C1690" s="1" t="s">
        <v>920</v>
      </c>
      <c r="D1690" s="1" t="s">
        <v>921</v>
      </c>
      <c r="E1690" s="1" t="s">
        <v>10957</v>
      </c>
      <c r="F1690" s="1" t="s">
        <v>10958</v>
      </c>
      <c r="G1690" s="1" t="s">
        <v>10767</v>
      </c>
      <c r="H1690" s="1"/>
      <c r="I1690" s="1"/>
      <c r="J1690" s="1"/>
      <c r="K1690" s="1"/>
      <c r="L1690" s="1"/>
      <c r="M1690" s="1"/>
      <c r="N1690" s="1"/>
      <c r="O1690" s="1"/>
      <c r="P1690" s="1"/>
      <c r="Q1690" s="1"/>
    </row>
    <row r="1691" spans="1:17" x14ac:dyDescent="0.25">
      <c r="A1691" s="1" t="s">
        <v>918</v>
      </c>
      <c r="B1691" s="1" t="s">
        <v>919</v>
      </c>
      <c r="C1691" s="1" t="s">
        <v>936</v>
      </c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</row>
    <row r="1692" spans="1:17" x14ac:dyDescent="0.25">
      <c r="A1692" s="1" t="s">
        <v>50</v>
      </c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</row>
    <row r="1693" spans="1:17" x14ac:dyDescent="0.25">
      <c r="A1693" s="1" t="s">
        <v>3439</v>
      </c>
      <c r="B1693" s="1" t="s">
        <v>1108</v>
      </c>
      <c r="C1693" s="1" t="s">
        <v>10947</v>
      </c>
      <c r="D1693" s="1" t="s">
        <v>1147</v>
      </c>
      <c r="E1693" s="1" t="s">
        <v>918</v>
      </c>
      <c r="F1693" s="1" t="s">
        <v>25</v>
      </c>
      <c r="G1693" s="1" t="s">
        <v>923</v>
      </c>
      <c r="H1693" s="1" t="s">
        <v>965</v>
      </c>
      <c r="I1693" s="1" t="s">
        <v>840</v>
      </c>
      <c r="J1693" s="1" t="s">
        <v>920</v>
      </c>
      <c r="K1693" s="1" t="s">
        <v>954</v>
      </c>
      <c r="L1693" s="1"/>
      <c r="M1693" s="1"/>
      <c r="N1693" s="1"/>
      <c r="O1693" s="1"/>
      <c r="P1693" s="1"/>
      <c r="Q1693" s="1"/>
    </row>
    <row r="1694" spans="1:17" x14ac:dyDescent="0.25">
      <c r="A1694" s="1" t="s">
        <v>298</v>
      </c>
      <c r="B1694" s="1" t="s">
        <v>933</v>
      </c>
      <c r="C1694" s="1" t="s">
        <v>918</v>
      </c>
      <c r="D1694" s="1" t="s">
        <v>25</v>
      </c>
      <c r="E1694" s="1" t="s">
        <v>1148</v>
      </c>
      <c r="F1694" s="1" t="s">
        <v>923</v>
      </c>
      <c r="G1694" s="1" t="s">
        <v>927</v>
      </c>
      <c r="H1694" s="1" t="s">
        <v>1086</v>
      </c>
      <c r="I1694" s="1" t="s">
        <v>920</v>
      </c>
      <c r="J1694" s="1"/>
      <c r="K1694" s="1"/>
      <c r="L1694" s="1"/>
      <c r="M1694" s="1"/>
      <c r="N1694" s="1"/>
      <c r="O1694" s="1"/>
      <c r="P1694" s="1"/>
      <c r="Q1694" s="1"/>
    </row>
    <row r="1695" spans="1:17" x14ac:dyDescent="0.25">
      <c r="A1695" s="1" t="s">
        <v>50</v>
      </c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</row>
    <row r="1696" spans="1:17" x14ac:dyDescent="0.25">
      <c r="A1696" s="1" t="s">
        <v>50</v>
      </c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</row>
    <row r="1697" spans="1:17" x14ac:dyDescent="0.25">
      <c r="A1697" s="1" t="s">
        <v>981</v>
      </c>
      <c r="B1697" s="1" t="s">
        <v>1066</v>
      </c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</row>
    <row r="1698" spans="1:17" x14ac:dyDescent="0.25">
      <c r="A1698" s="1" t="s">
        <v>933</v>
      </c>
      <c r="B1698" s="1" t="s">
        <v>328</v>
      </c>
      <c r="C1698" s="1" t="s">
        <v>992</v>
      </c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</row>
    <row r="1699" spans="1:17" x14ac:dyDescent="0.25">
      <c r="A1699" s="1" t="s">
        <v>1066</v>
      </c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</row>
    <row r="1700" spans="1:17" x14ac:dyDescent="0.25">
      <c r="A1700" s="1" t="s">
        <v>981</v>
      </c>
      <c r="B1700" s="1" t="s">
        <v>1019</v>
      </c>
      <c r="C1700" s="1" t="s">
        <v>983</v>
      </c>
      <c r="D1700" s="1" t="s">
        <v>10697</v>
      </c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</row>
    <row r="1701" spans="1:17" x14ac:dyDescent="0.25">
      <c r="A1701" s="1" t="s">
        <v>840</v>
      </c>
      <c r="B1701" s="1" t="s">
        <v>10959</v>
      </c>
      <c r="C1701" s="1" t="s">
        <v>918</v>
      </c>
      <c r="D1701" s="1" t="s">
        <v>25</v>
      </c>
      <c r="E1701" s="1" t="s">
        <v>997</v>
      </c>
      <c r="F1701" s="1" t="s">
        <v>920</v>
      </c>
      <c r="G1701" s="1" t="s">
        <v>924</v>
      </c>
      <c r="H1701" s="1" t="s">
        <v>921</v>
      </c>
      <c r="I1701" s="1"/>
      <c r="J1701" s="1"/>
      <c r="K1701" s="1"/>
      <c r="L1701" s="1"/>
      <c r="M1701" s="1"/>
      <c r="N1701" s="1"/>
      <c r="O1701" s="1"/>
      <c r="P1701" s="1"/>
      <c r="Q1701" s="1"/>
    </row>
    <row r="1702" spans="1:17" x14ac:dyDescent="0.25">
      <c r="A1702" s="1" t="s">
        <v>925</v>
      </c>
      <c r="B1702" s="1" t="s">
        <v>927</v>
      </c>
      <c r="C1702" s="1" t="s">
        <v>919</v>
      </c>
      <c r="D1702" s="1" t="s">
        <v>960</v>
      </c>
      <c r="E1702" s="1" t="s">
        <v>10928</v>
      </c>
      <c r="F1702" s="1" t="s">
        <v>961</v>
      </c>
      <c r="G1702" s="1" t="s">
        <v>951</v>
      </c>
      <c r="H1702" s="1" t="s">
        <v>940</v>
      </c>
      <c r="I1702" s="1" t="s">
        <v>25</v>
      </c>
      <c r="J1702" s="1" t="s">
        <v>916</v>
      </c>
      <c r="K1702" s="1" t="s">
        <v>920</v>
      </c>
      <c r="L1702" s="1" t="s">
        <v>921</v>
      </c>
      <c r="M1702" s="1"/>
      <c r="N1702" s="1"/>
      <c r="O1702" s="1"/>
      <c r="P1702" s="1"/>
      <c r="Q1702" s="1"/>
    </row>
    <row r="1703" spans="1:17" x14ac:dyDescent="0.25">
      <c r="A1703" s="1" t="s">
        <v>933</v>
      </c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</row>
    <row r="1704" spans="1:17" x14ac:dyDescent="0.25">
      <c r="A1704" s="1" t="s">
        <v>298</v>
      </c>
      <c r="B1704" s="1" t="s">
        <v>25</v>
      </c>
      <c r="C1704" s="1" t="s">
        <v>927</v>
      </c>
      <c r="D1704" s="1" t="s">
        <v>998</v>
      </c>
      <c r="E1704" s="1" t="s">
        <v>1086</v>
      </c>
      <c r="F1704" s="1" t="s">
        <v>920</v>
      </c>
      <c r="G1704" s="1" t="s">
        <v>933</v>
      </c>
      <c r="H1704" s="1" t="s">
        <v>1030</v>
      </c>
      <c r="I1704" s="1" t="s">
        <v>1061</v>
      </c>
      <c r="J1704" s="1"/>
      <c r="K1704" s="1"/>
      <c r="L1704" s="1"/>
      <c r="M1704" s="1"/>
      <c r="N1704" s="1"/>
      <c r="O1704" s="1"/>
      <c r="P1704" s="1"/>
      <c r="Q1704" s="1"/>
    </row>
    <row r="1705" spans="1:17" x14ac:dyDescent="0.25">
      <c r="A1705" s="1" t="s">
        <v>983</v>
      </c>
      <c r="B1705" s="1" t="s">
        <v>984</v>
      </c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</row>
    <row r="1706" spans="1:17" x14ac:dyDescent="0.25">
      <c r="A1706" s="1" t="s">
        <v>918</v>
      </c>
      <c r="B1706" s="1" t="s">
        <v>25</v>
      </c>
      <c r="C1706" s="1" t="s">
        <v>919</v>
      </c>
      <c r="D1706" s="1" t="s">
        <v>920</v>
      </c>
      <c r="E1706" s="1" t="s">
        <v>924</v>
      </c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</row>
    <row r="1707" spans="1:17" x14ac:dyDescent="0.25">
      <c r="A1707" s="1" t="s">
        <v>50</v>
      </c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</row>
    <row r="1708" spans="1:17" x14ac:dyDescent="0.25">
      <c r="A1708" s="1" t="s">
        <v>1136</v>
      </c>
      <c r="B1708" s="1" t="s">
        <v>1137</v>
      </c>
      <c r="C1708" s="1" t="s">
        <v>1032</v>
      </c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</row>
    <row r="1709" spans="1:17" x14ac:dyDescent="0.25">
      <c r="A1709" s="1" t="s">
        <v>918</v>
      </c>
      <c r="B1709" s="1" t="s">
        <v>25</v>
      </c>
      <c r="C1709" s="1" t="s">
        <v>920</v>
      </c>
      <c r="D1709" s="1" t="s">
        <v>933</v>
      </c>
      <c r="E1709" s="1" t="s">
        <v>921</v>
      </c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</row>
    <row r="1710" spans="1:17" x14ac:dyDescent="0.25">
      <c r="A1710" s="1" t="s">
        <v>25</v>
      </c>
      <c r="B1710" s="1" t="s">
        <v>923</v>
      </c>
      <c r="C1710" s="1" t="s">
        <v>920</v>
      </c>
      <c r="D1710" s="1" t="s">
        <v>933</v>
      </c>
      <c r="E1710" s="1" t="s">
        <v>328</v>
      </c>
      <c r="F1710" s="1" t="s">
        <v>921</v>
      </c>
      <c r="G1710" s="1" t="s">
        <v>934</v>
      </c>
      <c r="H1710" s="1" t="s">
        <v>918</v>
      </c>
      <c r="I1710" s="1" t="s">
        <v>1110</v>
      </c>
      <c r="J1710" s="1" t="s">
        <v>924</v>
      </c>
      <c r="K1710" s="1" t="s">
        <v>974</v>
      </c>
      <c r="L1710" s="1"/>
      <c r="M1710" s="1"/>
      <c r="N1710" s="1"/>
      <c r="O1710" s="1"/>
      <c r="P1710" s="1"/>
      <c r="Q1710" s="1"/>
    </row>
    <row r="1711" spans="1:17" x14ac:dyDescent="0.25">
      <c r="A1711" s="1" t="s">
        <v>840</v>
      </c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</row>
    <row r="1712" spans="1:17" x14ac:dyDescent="0.25">
      <c r="A1712" s="1" t="s">
        <v>940</v>
      </c>
      <c r="B1712" s="1" t="s">
        <v>920</v>
      </c>
      <c r="C1712" s="1" t="s">
        <v>933</v>
      </c>
      <c r="D1712" s="1" t="s">
        <v>921</v>
      </c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</row>
    <row r="1713" spans="1:17" x14ac:dyDescent="0.25">
      <c r="A1713" s="1" t="s">
        <v>1002</v>
      </c>
      <c r="B1713" s="1" t="s">
        <v>1003</v>
      </c>
      <c r="C1713" s="1" t="s">
        <v>10743</v>
      </c>
      <c r="D1713" s="1" t="s">
        <v>84</v>
      </c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</row>
    <row r="1714" spans="1:17" x14ac:dyDescent="0.25">
      <c r="A1714" s="1" t="s">
        <v>5332</v>
      </c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</row>
    <row r="1715" spans="1:17" x14ac:dyDescent="0.25">
      <c r="A1715" s="1" t="s">
        <v>84</v>
      </c>
      <c r="B1715" s="1" t="s">
        <v>1168</v>
      </c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</row>
    <row r="1716" spans="1:17" x14ac:dyDescent="0.25">
      <c r="A1716" s="1" t="s">
        <v>25</v>
      </c>
      <c r="B1716" s="1" t="s">
        <v>919</v>
      </c>
      <c r="C1716" s="1" t="s">
        <v>920</v>
      </c>
      <c r="D1716" s="1" t="s">
        <v>946</v>
      </c>
      <c r="E1716" s="1" t="s">
        <v>921</v>
      </c>
      <c r="F1716" s="1" t="s">
        <v>918</v>
      </c>
      <c r="G1716" s="1" t="s">
        <v>922</v>
      </c>
      <c r="H1716" s="1"/>
      <c r="I1716" s="1"/>
      <c r="J1716" s="1"/>
      <c r="K1716" s="1"/>
      <c r="L1716" s="1"/>
      <c r="M1716" s="1"/>
      <c r="N1716" s="1"/>
      <c r="O1716" s="1"/>
      <c r="P1716" s="1"/>
      <c r="Q1716" s="1"/>
    </row>
    <row r="1717" spans="1:17" x14ac:dyDescent="0.25">
      <c r="A1717" s="1" t="s">
        <v>2541</v>
      </c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</row>
    <row r="1718" spans="1:17" x14ac:dyDescent="0.25">
      <c r="A1718" s="1" t="s">
        <v>328</v>
      </c>
      <c r="B1718" s="1" t="s">
        <v>934</v>
      </c>
      <c r="C1718" s="1" t="s">
        <v>25</v>
      </c>
      <c r="D1718" s="1" t="s">
        <v>923</v>
      </c>
      <c r="E1718" s="1" t="s">
        <v>920</v>
      </c>
      <c r="F1718" s="1" t="s">
        <v>933</v>
      </c>
      <c r="G1718" s="1" t="s">
        <v>954</v>
      </c>
      <c r="H1718" s="1"/>
      <c r="I1718" s="1"/>
      <c r="J1718" s="1"/>
      <c r="K1718" s="1"/>
      <c r="L1718" s="1"/>
      <c r="M1718" s="1"/>
      <c r="N1718" s="1"/>
      <c r="O1718" s="1"/>
      <c r="P1718" s="1"/>
      <c r="Q1718" s="1"/>
    </row>
    <row r="1719" spans="1:17" x14ac:dyDescent="0.25">
      <c r="A1719" s="1" t="s">
        <v>25</v>
      </c>
      <c r="B1719" s="1" t="s">
        <v>1118</v>
      </c>
      <c r="C1719" s="1" t="s">
        <v>335</v>
      </c>
      <c r="D1719" s="1" t="s">
        <v>920</v>
      </c>
      <c r="E1719" s="1" t="s">
        <v>921</v>
      </c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</row>
    <row r="1720" spans="1:17" x14ac:dyDescent="0.25">
      <c r="A1720" s="1" t="s">
        <v>328</v>
      </c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</row>
    <row r="1721" spans="1:17" x14ac:dyDescent="0.25">
      <c r="A1721" s="1" t="s">
        <v>918</v>
      </c>
      <c r="B1721" s="1" t="s">
        <v>919</v>
      </c>
      <c r="C1721" s="1" t="s">
        <v>936</v>
      </c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</row>
    <row r="1722" spans="1:17" x14ac:dyDescent="0.25">
      <c r="A1722" s="1" t="s">
        <v>918</v>
      </c>
      <c r="B1722" s="1" t="s">
        <v>919</v>
      </c>
      <c r="C1722" s="1" t="s">
        <v>936</v>
      </c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</row>
    <row r="1723" spans="1:17" x14ac:dyDescent="0.25">
      <c r="A1723" s="1" t="s">
        <v>25</v>
      </c>
      <c r="B1723" s="1" t="s">
        <v>920</v>
      </c>
      <c r="C1723" s="1" t="s">
        <v>954</v>
      </c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</row>
    <row r="1724" spans="1:17" x14ac:dyDescent="0.25">
      <c r="A1724" s="1" t="s">
        <v>998</v>
      </c>
      <c r="B1724" s="1" t="s">
        <v>3528</v>
      </c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</row>
    <row r="1725" spans="1:17" x14ac:dyDescent="0.25">
      <c r="A1725" s="1" t="s">
        <v>1126</v>
      </c>
      <c r="B1725" s="1" t="s">
        <v>917</v>
      </c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</row>
    <row r="1726" spans="1:17" x14ac:dyDescent="0.25">
      <c r="A1726" s="1" t="s">
        <v>1150</v>
      </c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</row>
    <row r="1727" spans="1:17" x14ac:dyDescent="0.25">
      <c r="A1727" s="1" t="s">
        <v>10930</v>
      </c>
      <c r="B1727" s="1" t="s">
        <v>10931</v>
      </c>
      <c r="C1727" s="1" t="s">
        <v>2772</v>
      </c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</row>
    <row r="1728" spans="1:17" x14ac:dyDescent="0.25">
      <c r="A1728" s="1" t="s">
        <v>10930</v>
      </c>
      <c r="B1728" s="1" t="s">
        <v>10931</v>
      </c>
      <c r="C1728" s="1" t="s">
        <v>2772</v>
      </c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</row>
    <row r="1729" spans="1:17" x14ac:dyDescent="0.25">
      <c r="A1729" s="1" t="s">
        <v>10930</v>
      </c>
      <c r="B1729" s="1" t="s">
        <v>10931</v>
      </c>
      <c r="C1729" s="1" t="s">
        <v>2772</v>
      </c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</row>
    <row r="1730" spans="1:17" x14ac:dyDescent="0.25">
      <c r="A1730" s="1" t="s">
        <v>10930</v>
      </c>
      <c r="B1730" s="1" t="s">
        <v>10931</v>
      </c>
      <c r="C1730" s="1" t="s">
        <v>2772</v>
      </c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</row>
    <row r="1731" spans="1:17" x14ac:dyDescent="0.25">
      <c r="A1731" s="1" t="s">
        <v>934</v>
      </c>
      <c r="B1731" s="1" t="s">
        <v>1090</v>
      </c>
      <c r="C1731" s="1" t="s">
        <v>25</v>
      </c>
      <c r="D1731" s="1" t="s">
        <v>920</v>
      </c>
      <c r="E1731" s="1" t="s">
        <v>974</v>
      </c>
      <c r="F1731" s="1" t="s">
        <v>950</v>
      </c>
      <c r="G1731" s="1" t="s">
        <v>10720</v>
      </c>
      <c r="H1731" s="1" t="s">
        <v>10805</v>
      </c>
      <c r="I1731" s="1"/>
      <c r="J1731" s="1"/>
      <c r="K1731" s="1"/>
      <c r="L1731" s="1"/>
      <c r="M1731" s="1"/>
      <c r="N1731" s="1"/>
      <c r="O1731" s="1"/>
      <c r="P1731" s="1"/>
      <c r="Q1731" s="1"/>
    </row>
    <row r="1732" spans="1:17" x14ac:dyDescent="0.25">
      <c r="A1732" s="1" t="s">
        <v>1149</v>
      </c>
      <c r="B1732" s="1" t="s">
        <v>25</v>
      </c>
      <c r="C1732" s="1" t="s">
        <v>923</v>
      </c>
      <c r="D1732" s="1" t="s">
        <v>998</v>
      </c>
      <c r="E1732" s="1" t="s">
        <v>1086</v>
      </c>
      <c r="F1732" s="1" t="s">
        <v>920</v>
      </c>
      <c r="G1732" s="1" t="s">
        <v>933</v>
      </c>
      <c r="H1732" s="1" t="s">
        <v>10719</v>
      </c>
      <c r="I1732" s="1" t="s">
        <v>298</v>
      </c>
      <c r="J1732" s="1" t="s">
        <v>927</v>
      </c>
      <c r="K1732" s="1"/>
      <c r="L1732" s="1"/>
      <c r="M1732" s="1"/>
      <c r="N1732" s="1"/>
      <c r="O1732" s="1"/>
      <c r="P1732" s="1"/>
      <c r="Q1732" s="1"/>
    </row>
    <row r="1733" spans="1:17" x14ac:dyDescent="0.25">
      <c r="A1733" s="1" t="s">
        <v>918</v>
      </c>
      <c r="B1733" s="1" t="s">
        <v>949</v>
      </c>
      <c r="C1733" s="1" t="s">
        <v>25</v>
      </c>
      <c r="D1733" s="1" t="s">
        <v>923</v>
      </c>
      <c r="E1733" s="1" t="s">
        <v>919</v>
      </c>
      <c r="F1733" s="1" t="s">
        <v>920</v>
      </c>
      <c r="G1733" s="1" t="s">
        <v>974</v>
      </c>
      <c r="H1733" s="1" t="s">
        <v>921</v>
      </c>
      <c r="I1733" s="1" t="s">
        <v>934</v>
      </c>
      <c r="J1733" s="1" t="s">
        <v>948</v>
      </c>
      <c r="K1733" s="1" t="s">
        <v>916</v>
      </c>
      <c r="L1733" s="1" t="s">
        <v>328</v>
      </c>
      <c r="M1733" s="1" t="s">
        <v>950</v>
      </c>
      <c r="N1733" s="1"/>
      <c r="O1733" s="1"/>
      <c r="P1733" s="1"/>
      <c r="Q1733" s="1"/>
    </row>
    <row r="1734" spans="1:17" x14ac:dyDescent="0.25">
      <c r="A1734" s="1" t="s">
        <v>932</v>
      </c>
      <c r="B1734" s="1" t="s">
        <v>916</v>
      </c>
      <c r="C1734" s="1" t="s">
        <v>920</v>
      </c>
      <c r="D1734" s="1" t="s">
        <v>921</v>
      </c>
      <c r="E1734" s="1" t="s">
        <v>922</v>
      </c>
      <c r="F1734" s="1" t="s">
        <v>918</v>
      </c>
      <c r="G1734" s="1" t="s">
        <v>919</v>
      </c>
      <c r="H1734" s="1" t="s">
        <v>936</v>
      </c>
      <c r="I1734" s="1" t="s">
        <v>929</v>
      </c>
      <c r="J1734" s="1"/>
      <c r="K1734" s="1"/>
      <c r="L1734" s="1"/>
      <c r="M1734" s="1"/>
      <c r="N1734" s="1"/>
      <c r="O1734" s="1"/>
      <c r="P1734" s="1"/>
      <c r="Q1734" s="1"/>
    </row>
    <row r="1735" spans="1:17" x14ac:dyDescent="0.25">
      <c r="A1735" s="1" t="s">
        <v>1090</v>
      </c>
      <c r="B1735" s="1" t="s">
        <v>25</v>
      </c>
      <c r="C1735" s="1" t="s">
        <v>923</v>
      </c>
      <c r="D1735" s="1" t="s">
        <v>916</v>
      </c>
      <c r="E1735" s="1" t="s">
        <v>920</v>
      </c>
      <c r="F1735" s="1" t="s">
        <v>954</v>
      </c>
      <c r="G1735" s="1" t="s">
        <v>974</v>
      </c>
      <c r="H1735" s="1" t="s">
        <v>950</v>
      </c>
      <c r="I1735" s="1" t="s">
        <v>918</v>
      </c>
      <c r="J1735" s="1" t="s">
        <v>949</v>
      </c>
      <c r="K1735" s="1" t="s">
        <v>919</v>
      </c>
      <c r="L1735" s="1" t="s">
        <v>921</v>
      </c>
      <c r="M1735" s="1" t="s">
        <v>298</v>
      </c>
      <c r="N1735" s="1" t="s">
        <v>933</v>
      </c>
      <c r="O1735" s="1" t="s">
        <v>328</v>
      </c>
      <c r="P1735" s="1" t="s">
        <v>1013</v>
      </c>
      <c r="Q1735" s="1" t="s">
        <v>10960</v>
      </c>
    </row>
    <row r="1736" spans="1:17" x14ac:dyDescent="0.25">
      <c r="A1736" s="1" t="s">
        <v>927</v>
      </c>
      <c r="B1736" s="1" t="s">
        <v>933</v>
      </c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</row>
    <row r="1737" spans="1:17" x14ac:dyDescent="0.25">
      <c r="A1737" s="1" t="s">
        <v>918</v>
      </c>
      <c r="B1737" s="1" t="s">
        <v>25</v>
      </c>
      <c r="C1737" s="1" t="s">
        <v>923</v>
      </c>
      <c r="D1737" s="1" t="s">
        <v>973</v>
      </c>
      <c r="E1737" s="1" t="s">
        <v>916</v>
      </c>
      <c r="F1737" s="1" t="s">
        <v>920</v>
      </c>
      <c r="G1737" s="1" t="s">
        <v>954</v>
      </c>
      <c r="H1737" s="1" t="s">
        <v>974</v>
      </c>
      <c r="I1737" s="1" t="s">
        <v>921</v>
      </c>
      <c r="J1737" s="1"/>
      <c r="K1737" s="1"/>
      <c r="L1737" s="1"/>
      <c r="M1737" s="1"/>
      <c r="N1737" s="1"/>
      <c r="O1737" s="1"/>
      <c r="P1737" s="1"/>
      <c r="Q1737" s="1"/>
    </row>
    <row r="1738" spans="1:17" x14ac:dyDescent="0.25">
      <c r="A1738" s="1" t="s">
        <v>918</v>
      </c>
      <c r="B1738" s="1" t="s">
        <v>25</v>
      </c>
      <c r="C1738" s="1" t="s">
        <v>923</v>
      </c>
      <c r="D1738" s="1" t="s">
        <v>916</v>
      </c>
      <c r="E1738" s="1" t="s">
        <v>919</v>
      </c>
      <c r="F1738" s="1" t="s">
        <v>924</v>
      </c>
      <c r="G1738" s="1" t="s">
        <v>974</v>
      </c>
      <c r="H1738" s="1" t="s">
        <v>922</v>
      </c>
      <c r="I1738" s="1"/>
      <c r="J1738" s="1"/>
      <c r="K1738" s="1"/>
      <c r="L1738" s="1"/>
      <c r="M1738" s="1"/>
      <c r="N1738" s="1"/>
      <c r="O1738" s="1"/>
      <c r="P1738" s="1"/>
      <c r="Q1738" s="1"/>
    </row>
    <row r="1739" spans="1:17" x14ac:dyDescent="0.25">
      <c r="A1739" s="1" t="s">
        <v>25</v>
      </c>
      <c r="B1739" s="1" t="s">
        <v>923</v>
      </c>
      <c r="C1739" s="1" t="s">
        <v>920</v>
      </c>
      <c r="D1739" s="1" t="s">
        <v>933</v>
      </c>
      <c r="E1739" s="1" t="s">
        <v>954</v>
      </c>
      <c r="F1739" s="1" t="s">
        <v>921</v>
      </c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</row>
    <row r="1740" spans="1:17" x14ac:dyDescent="0.25">
      <c r="A1740" s="1" t="s">
        <v>25</v>
      </c>
      <c r="B1740" s="1" t="s">
        <v>923</v>
      </c>
      <c r="C1740" s="1" t="s">
        <v>997</v>
      </c>
      <c r="D1740" s="1" t="s">
        <v>927</v>
      </c>
      <c r="E1740" s="1" t="s">
        <v>10924</v>
      </c>
      <c r="F1740" s="1" t="s">
        <v>920</v>
      </c>
      <c r="G1740" s="1" t="s">
        <v>933</v>
      </c>
      <c r="H1740" s="1" t="s">
        <v>954</v>
      </c>
      <c r="I1740" s="1" t="s">
        <v>974</v>
      </c>
      <c r="J1740" s="1" t="s">
        <v>921</v>
      </c>
      <c r="K1740" s="1" t="s">
        <v>1000</v>
      </c>
      <c r="L1740" s="1"/>
      <c r="M1740" s="1"/>
      <c r="N1740" s="1"/>
      <c r="O1740" s="1"/>
      <c r="P1740" s="1"/>
      <c r="Q1740" s="1"/>
    </row>
    <row r="1741" spans="1:17" x14ac:dyDescent="0.25">
      <c r="A1741" s="1" t="s">
        <v>996</v>
      </c>
      <c r="B1741" s="1" t="s">
        <v>1053</v>
      </c>
      <c r="C1741" s="1" t="s">
        <v>1086</v>
      </c>
      <c r="D1741" s="1" t="s">
        <v>933</v>
      </c>
      <c r="E1741" s="1" t="s">
        <v>2541</v>
      </c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</row>
    <row r="1742" spans="1:17" x14ac:dyDescent="0.25">
      <c r="A1742" s="1" t="s">
        <v>1148</v>
      </c>
      <c r="B1742" s="1" t="s">
        <v>998</v>
      </c>
      <c r="C1742" s="1" t="s">
        <v>1086</v>
      </c>
      <c r="D1742" s="1" t="s">
        <v>933</v>
      </c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</row>
    <row r="1743" spans="1:17" x14ac:dyDescent="0.25">
      <c r="A1743" s="1" t="s">
        <v>918</v>
      </c>
      <c r="B1743" s="1" t="s">
        <v>919</v>
      </c>
      <c r="C1743" s="1" t="s">
        <v>936</v>
      </c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</row>
    <row r="1744" spans="1:17" x14ac:dyDescent="0.25">
      <c r="A1744" s="1" t="s">
        <v>918</v>
      </c>
      <c r="B1744" s="1" t="s">
        <v>919</v>
      </c>
      <c r="C1744" s="1" t="s">
        <v>936</v>
      </c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</row>
    <row r="1745" spans="1:17" x14ac:dyDescent="0.25">
      <c r="A1745" s="1" t="s">
        <v>918</v>
      </c>
      <c r="B1745" s="1" t="s">
        <v>919</v>
      </c>
      <c r="C1745" s="1" t="s">
        <v>936</v>
      </c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</row>
    <row r="1746" spans="1:17" x14ac:dyDescent="0.25">
      <c r="A1746" s="1" t="s">
        <v>918</v>
      </c>
      <c r="B1746" s="1" t="s">
        <v>919</v>
      </c>
      <c r="C1746" s="1" t="s">
        <v>936</v>
      </c>
      <c r="D1746" s="1" t="s">
        <v>1142</v>
      </c>
      <c r="E1746" s="1" t="s">
        <v>1143</v>
      </c>
      <c r="F1746" s="1" t="s">
        <v>1085</v>
      </c>
      <c r="G1746" s="1" t="s">
        <v>955</v>
      </c>
      <c r="H1746" s="1" t="s">
        <v>10961</v>
      </c>
      <c r="I1746" s="1" t="s">
        <v>924</v>
      </c>
      <c r="J1746" s="1" t="s">
        <v>1014</v>
      </c>
      <c r="K1746" s="1" t="s">
        <v>944</v>
      </c>
      <c r="L1746" s="1" t="s">
        <v>956</v>
      </c>
      <c r="M1746" s="1"/>
      <c r="N1746" s="1"/>
      <c r="O1746" s="1"/>
      <c r="P1746" s="1"/>
      <c r="Q1746" s="1"/>
    </row>
    <row r="1747" spans="1:17" x14ac:dyDescent="0.25">
      <c r="A1747" s="1" t="s">
        <v>919</v>
      </c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</row>
    <row r="1748" spans="1:17" x14ac:dyDescent="0.25">
      <c r="A1748" s="1" t="s">
        <v>918</v>
      </c>
      <c r="B1748" s="1" t="s">
        <v>919</v>
      </c>
      <c r="C1748" s="1" t="s">
        <v>936</v>
      </c>
      <c r="D1748" s="1" t="s">
        <v>955</v>
      </c>
      <c r="E1748" s="1" t="s">
        <v>1071</v>
      </c>
      <c r="F1748" s="1" t="s">
        <v>1014</v>
      </c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</row>
    <row r="1749" spans="1:17" x14ac:dyDescent="0.25">
      <c r="A1749" s="1" t="s">
        <v>918</v>
      </c>
      <c r="B1749" s="1" t="s">
        <v>25</v>
      </c>
      <c r="C1749" s="1" t="s">
        <v>919</v>
      </c>
      <c r="D1749" s="1" t="s">
        <v>920</v>
      </c>
      <c r="E1749" s="1" t="s">
        <v>921</v>
      </c>
      <c r="F1749" s="1" t="s">
        <v>933</v>
      </c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</row>
    <row r="1750" spans="1:17" x14ac:dyDescent="0.25">
      <c r="A1750" s="1" t="s">
        <v>10726</v>
      </c>
      <c r="B1750" s="1" t="s">
        <v>10962</v>
      </c>
      <c r="C1750" s="1" t="s">
        <v>919</v>
      </c>
      <c r="D1750" s="1" t="s">
        <v>924</v>
      </c>
      <c r="E1750" s="1" t="s">
        <v>1014</v>
      </c>
      <c r="F1750" s="1" t="s">
        <v>958</v>
      </c>
      <c r="G1750" s="1" t="s">
        <v>918</v>
      </c>
      <c r="H1750" s="1" t="s">
        <v>930</v>
      </c>
      <c r="I1750" s="1"/>
      <c r="J1750" s="1"/>
      <c r="K1750" s="1"/>
      <c r="L1750" s="1"/>
      <c r="M1750" s="1"/>
      <c r="N1750" s="1"/>
      <c r="O1750" s="1"/>
      <c r="P1750" s="1"/>
      <c r="Q1750" s="1"/>
    </row>
    <row r="1751" spans="1:17" x14ac:dyDescent="0.25">
      <c r="A1751" s="1" t="s">
        <v>50</v>
      </c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</row>
    <row r="1752" spans="1:17" x14ac:dyDescent="0.25">
      <c r="A1752" s="1" t="s">
        <v>1013</v>
      </c>
      <c r="B1752" s="1" t="s">
        <v>918</v>
      </c>
      <c r="C1752" s="1" t="s">
        <v>927</v>
      </c>
      <c r="D1752" s="1" t="s">
        <v>919</v>
      </c>
      <c r="E1752" s="1" t="s">
        <v>936</v>
      </c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</row>
    <row r="1753" spans="1:17" x14ac:dyDescent="0.25">
      <c r="A1753" s="1" t="s">
        <v>983</v>
      </c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</row>
    <row r="1754" spans="1:17" x14ac:dyDescent="0.25">
      <c r="A1754" s="1" t="s">
        <v>50</v>
      </c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</row>
    <row r="1755" spans="1:17" x14ac:dyDescent="0.25">
      <c r="A1755" s="1" t="s">
        <v>5407</v>
      </c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</row>
    <row r="1756" spans="1:17" x14ac:dyDescent="0.25">
      <c r="A1756" s="1" t="s">
        <v>5407</v>
      </c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</row>
    <row r="1757" spans="1:17" x14ac:dyDescent="0.25">
      <c r="A1757" s="1" t="s">
        <v>25</v>
      </c>
      <c r="B1757" s="1" t="s">
        <v>1086</v>
      </c>
      <c r="C1757" s="1" t="s">
        <v>919</v>
      </c>
      <c r="D1757" s="1" t="s">
        <v>920</v>
      </c>
      <c r="E1757" s="1" t="s">
        <v>921</v>
      </c>
      <c r="F1757" s="1" t="s">
        <v>1066</v>
      </c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</row>
    <row r="1758" spans="1:17" x14ac:dyDescent="0.25">
      <c r="A1758" s="1" t="s">
        <v>926</v>
      </c>
      <c r="B1758" s="1" t="s">
        <v>918</v>
      </c>
      <c r="C1758" s="1" t="s">
        <v>25</v>
      </c>
      <c r="D1758" s="1" t="s">
        <v>927</v>
      </c>
      <c r="E1758" s="1" t="s">
        <v>928</v>
      </c>
      <c r="F1758" s="1" t="s">
        <v>919</v>
      </c>
      <c r="G1758" s="1" t="s">
        <v>920</v>
      </c>
      <c r="H1758" s="1" t="s">
        <v>960</v>
      </c>
      <c r="I1758" s="1" t="s">
        <v>1147</v>
      </c>
      <c r="J1758" s="1" t="s">
        <v>925</v>
      </c>
      <c r="K1758" s="1" t="s">
        <v>929</v>
      </c>
      <c r="L1758" s="1"/>
      <c r="M1758" s="1"/>
      <c r="N1758" s="1"/>
      <c r="O1758" s="1"/>
      <c r="P1758" s="1"/>
      <c r="Q1758" s="1"/>
    </row>
    <row r="1759" spans="1:17" x14ac:dyDescent="0.25">
      <c r="A1759" s="1" t="s">
        <v>10963</v>
      </c>
      <c r="B1759" s="1" t="s">
        <v>10913</v>
      </c>
      <c r="C1759" s="1" t="s">
        <v>10917</v>
      </c>
      <c r="D1759" s="1" t="s">
        <v>1034</v>
      </c>
      <c r="E1759" s="1" t="s">
        <v>956</v>
      </c>
      <c r="F1759" s="1" t="s">
        <v>919</v>
      </c>
      <c r="G1759" s="1" t="s">
        <v>1114</v>
      </c>
      <c r="H1759" s="1"/>
      <c r="I1759" s="1"/>
      <c r="J1759" s="1"/>
      <c r="K1759" s="1"/>
      <c r="L1759" s="1"/>
      <c r="M1759" s="1"/>
      <c r="N1759" s="1"/>
      <c r="O1759" s="1"/>
      <c r="P1759" s="1"/>
      <c r="Q1759" s="1"/>
    </row>
    <row r="1760" spans="1:17" x14ac:dyDescent="0.25">
      <c r="A1760" s="1" t="s">
        <v>918</v>
      </c>
      <c r="B1760" s="1" t="s">
        <v>25</v>
      </c>
      <c r="C1760" s="1" t="s">
        <v>919</v>
      </c>
      <c r="D1760" s="1" t="s">
        <v>920</v>
      </c>
      <c r="E1760" s="1" t="s">
        <v>921</v>
      </c>
      <c r="F1760" s="1" t="s">
        <v>922</v>
      </c>
      <c r="G1760" s="1" t="s">
        <v>10964</v>
      </c>
      <c r="H1760" s="1" t="s">
        <v>936</v>
      </c>
      <c r="I1760" s="1" t="s">
        <v>929</v>
      </c>
      <c r="J1760" s="1" t="s">
        <v>10746</v>
      </c>
      <c r="K1760" s="1" t="s">
        <v>924</v>
      </c>
      <c r="L1760" s="1"/>
      <c r="M1760" s="1"/>
      <c r="N1760" s="1"/>
      <c r="O1760" s="1"/>
      <c r="P1760" s="1"/>
      <c r="Q1760" s="1"/>
    </row>
    <row r="1761" spans="1:17" x14ac:dyDescent="0.25">
      <c r="A1761" s="1" t="s">
        <v>1086</v>
      </c>
      <c r="B1761" s="1" t="s">
        <v>933</v>
      </c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</row>
    <row r="1762" spans="1:17" x14ac:dyDescent="0.25">
      <c r="A1762" s="1" t="s">
        <v>50</v>
      </c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</row>
    <row r="1763" spans="1:17" x14ac:dyDescent="0.25">
      <c r="A1763" s="1" t="s">
        <v>50</v>
      </c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</row>
    <row r="1764" spans="1:17" x14ac:dyDescent="0.25">
      <c r="A1764" s="1" t="s">
        <v>25</v>
      </c>
      <c r="B1764" s="1" t="s">
        <v>923</v>
      </c>
      <c r="C1764" s="1" t="s">
        <v>920</v>
      </c>
      <c r="D1764" s="1" t="s">
        <v>933</v>
      </c>
      <c r="E1764" s="1" t="s">
        <v>954</v>
      </c>
      <c r="F1764" s="1" t="s">
        <v>921</v>
      </c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</row>
    <row r="1765" spans="1:17" x14ac:dyDescent="0.25">
      <c r="A1765" s="1" t="s">
        <v>50</v>
      </c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</row>
    <row r="1766" spans="1:17" x14ac:dyDescent="0.25">
      <c r="A1766" s="1" t="s">
        <v>918</v>
      </c>
      <c r="B1766" s="1" t="s">
        <v>25</v>
      </c>
      <c r="C1766" s="1" t="s">
        <v>916</v>
      </c>
      <c r="D1766" s="1" t="s">
        <v>919</v>
      </c>
      <c r="E1766" s="1" t="s">
        <v>920</v>
      </c>
      <c r="F1766" s="1" t="s">
        <v>921</v>
      </c>
      <c r="G1766" s="1" t="s">
        <v>922</v>
      </c>
      <c r="H1766" s="1" t="s">
        <v>10964</v>
      </c>
      <c r="I1766" s="1" t="s">
        <v>972</v>
      </c>
      <c r="J1766" s="1" t="s">
        <v>929</v>
      </c>
      <c r="K1766" s="1" t="s">
        <v>933</v>
      </c>
      <c r="L1766" s="1"/>
      <c r="M1766" s="1"/>
      <c r="N1766" s="1"/>
      <c r="O1766" s="1"/>
      <c r="P1766" s="1"/>
      <c r="Q1766" s="1"/>
    </row>
    <row r="1767" spans="1:17" x14ac:dyDescent="0.25">
      <c r="A1767" s="1" t="s">
        <v>1149</v>
      </c>
      <c r="B1767" s="1" t="s">
        <v>25</v>
      </c>
      <c r="C1767" s="1" t="s">
        <v>923</v>
      </c>
      <c r="D1767" s="1" t="s">
        <v>998</v>
      </c>
      <c r="E1767" s="1" t="s">
        <v>1086</v>
      </c>
      <c r="F1767" s="1" t="s">
        <v>920</v>
      </c>
      <c r="G1767" s="1" t="s">
        <v>933</v>
      </c>
      <c r="H1767" s="1" t="s">
        <v>10719</v>
      </c>
      <c r="I1767" s="1"/>
      <c r="J1767" s="1"/>
      <c r="K1767" s="1"/>
      <c r="L1767" s="1"/>
      <c r="M1767" s="1"/>
      <c r="N1767" s="1"/>
      <c r="O1767" s="1"/>
      <c r="P1767" s="1"/>
      <c r="Q1767" s="1"/>
    </row>
    <row r="1768" spans="1:17" x14ac:dyDescent="0.25">
      <c r="A1768" s="1" t="s">
        <v>1074</v>
      </c>
      <c r="B1768" s="1" t="s">
        <v>955</v>
      </c>
      <c r="C1768" s="1" t="s">
        <v>1034</v>
      </c>
      <c r="D1768" s="1" t="s">
        <v>995</v>
      </c>
      <c r="E1768" s="1" t="s">
        <v>1014</v>
      </c>
      <c r="F1768" s="1" t="s">
        <v>956</v>
      </c>
      <c r="G1768" s="1" t="s">
        <v>985</v>
      </c>
      <c r="H1768" s="1" t="s">
        <v>1075</v>
      </c>
      <c r="I1768" s="1"/>
      <c r="J1768" s="1"/>
      <c r="K1768" s="1"/>
      <c r="L1768" s="1"/>
      <c r="M1768" s="1"/>
      <c r="N1768" s="1"/>
      <c r="O1768" s="1"/>
      <c r="P1768" s="1"/>
      <c r="Q1768" s="1"/>
    </row>
    <row r="1769" spans="1:17" x14ac:dyDescent="0.25">
      <c r="A1769" s="1" t="s">
        <v>25</v>
      </c>
      <c r="B1769" s="1" t="s">
        <v>927</v>
      </c>
      <c r="C1769" s="1" t="s">
        <v>981</v>
      </c>
      <c r="D1769" s="1" t="s">
        <v>920</v>
      </c>
      <c r="E1769" s="1" t="s">
        <v>933</v>
      </c>
      <c r="F1769" s="1" t="s">
        <v>921</v>
      </c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</row>
    <row r="1770" spans="1:17" x14ac:dyDescent="0.25">
      <c r="A1770" s="1" t="s">
        <v>10842</v>
      </c>
      <c r="B1770" s="1" t="s">
        <v>10843</v>
      </c>
      <c r="C1770" s="1" t="s">
        <v>927</v>
      </c>
      <c r="D1770" s="1" t="s">
        <v>933</v>
      </c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</row>
    <row r="1771" spans="1:17" x14ac:dyDescent="0.25">
      <c r="A1771" s="1" t="s">
        <v>934</v>
      </c>
      <c r="B1771" s="1" t="s">
        <v>25</v>
      </c>
      <c r="C1771" s="1" t="s">
        <v>923</v>
      </c>
      <c r="D1771" s="1" t="s">
        <v>6421</v>
      </c>
      <c r="E1771" s="1" t="s">
        <v>920</v>
      </c>
      <c r="F1771" s="1" t="s">
        <v>328</v>
      </c>
      <c r="G1771" s="1" t="s">
        <v>921</v>
      </c>
      <c r="H1771" s="1"/>
      <c r="I1771" s="1"/>
      <c r="J1771" s="1"/>
      <c r="K1771" s="1"/>
      <c r="L1771" s="1"/>
      <c r="M1771" s="1"/>
      <c r="N1771" s="1"/>
      <c r="O1771" s="1"/>
      <c r="P1771" s="1"/>
      <c r="Q1771" s="1"/>
    </row>
    <row r="1772" spans="1:17" x14ac:dyDescent="0.25">
      <c r="A1772" s="1" t="s">
        <v>298</v>
      </c>
      <c r="B1772" s="1" t="s">
        <v>25</v>
      </c>
      <c r="C1772" s="1" t="s">
        <v>927</v>
      </c>
      <c r="D1772" s="1" t="s">
        <v>998</v>
      </c>
      <c r="E1772" s="1" t="s">
        <v>1086</v>
      </c>
      <c r="F1772" s="1" t="s">
        <v>920</v>
      </c>
      <c r="G1772" s="1" t="s">
        <v>933</v>
      </c>
      <c r="H1772" s="1"/>
      <c r="I1772" s="1"/>
      <c r="J1772" s="1"/>
      <c r="K1772" s="1"/>
      <c r="L1772" s="1"/>
      <c r="M1772" s="1"/>
      <c r="N1772" s="1"/>
      <c r="O1772" s="1"/>
      <c r="P1772" s="1"/>
      <c r="Q1772" s="1"/>
    </row>
    <row r="1773" spans="1:17" x14ac:dyDescent="0.25">
      <c r="A1773" s="1" t="s">
        <v>1001</v>
      </c>
      <c r="B1773" s="1" t="s">
        <v>10697</v>
      </c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</row>
    <row r="1774" spans="1:17" x14ac:dyDescent="0.25">
      <c r="A1774" s="1" t="s">
        <v>981</v>
      </c>
      <c r="B1774" s="1" t="s">
        <v>993</v>
      </c>
      <c r="C1774" s="1" t="s">
        <v>927</v>
      </c>
      <c r="D1774" s="1" t="s">
        <v>998</v>
      </c>
      <c r="E1774" s="1" t="s">
        <v>992</v>
      </c>
      <c r="F1774" s="1" t="s">
        <v>1086</v>
      </c>
      <c r="G1774" s="1" t="s">
        <v>933</v>
      </c>
      <c r="H1774" s="1" t="s">
        <v>994</v>
      </c>
      <c r="I1774" s="1"/>
      <c r="J1774" s="1"/>
      <c r="K1774" s="1"/>
      <c r="L1774" s="1"/>
      <c r="M1774" s="1"/>
      <c r="N1774" s="1"/>
      <c r="O1774" s="1"/>
      <c r="P1774" s="1"/>
      <c r="Q1774" s="1"/>
    </row>
    <row r="1775" spans="1:17" x14ac:dyDescent="0.25">
      <c r="A1775" s="1" t="s">
        <v>918</v>
      </c>
      <c r="B1775" s="1" t="s">
        <v>25</v>
      </c>
      <c r="C1775" s="1" t="s">
        <v>927</v>
      </c>
      <c r="D1775" s="1" t="s">
        <v>919</v>
      </c>
      <c r="E1775" s="1" t="s">
        <v>920</v>
      </c>
      <c r="F1775" s="1" t="s">
        <v>936</v>
      </c>
      <c r="G1775" s="1" t="s">
        <v>1108</v>
      </c>
      <c r="H1775" s="1" t="s">
        <v>960</v>
      </c>
      <c r="I1775" s="1" t="s">
        <v>961</v>
      </c>
      <c r="J1775" s="1" t="s">
        <v>921</v>
      </c>
      <c r="K1775" s="1"/>
      <c r="L1775" s="1"/>
      <c r="M1775" s="1"/>
      <c r="N1775" s="1"/>
      <c r="O1775" s="1"/>
      <c r="P1775" s="1"/>
      <c r="Q1775" s="1"/>
    </row>
    <row r="1776" spans="1:17" x14ac:dyDescent="0.25">
      <c r="A1776" s="1" t="s">
        <v>1016</v>
      </c>
      <c r="B1776" s="1" t="s">
        <v>1019</v>
      </c>
      <c r="C1776" s="1" t="s">
        <v>983</v>
      </c>
      <c r="D1776" s="1" t="s">
        <v>10697</v>
      </c>
      <c r="E1776" s="1" t="s">
        <v>984</v>
      </c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</row>
    <row r="1777" spans="1:17" x14ac:dyDescent="0.25">
      <c r="A1777" s="1" t="s">
        <v>1053</v>
      </c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</row>
    <row r="1778" spans="1:17" x14ac:dyDescent="0.25">
      <c r="A1778" s="1" t="s">
        <v>50</v>
      </c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</row>
    <row r="1779" spans="1:17" x14ac:dyDescent="0.25">
      <c r="A1779" s="1" t="s">
        <v>996</v>
      </c>
      <c r="B1779" s="1" t="s">
        <v>2541</v>
      </c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</row>
    <row r="1780" spans="1:17" x14ac:dyDescent="0.25">
      <c r="A1780" s="1" t="s">
        <v>996</v>
      </c>
      <c r="B1780" s="1" t="s">
        <v>2541</v>
      </c>
      <c r="C1780" s="1" t="s">
        <v>1066</v>
      </c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</row>
    <row r="1781" spans="1:17" x14ac:dyDescent="0.25">
      <c r="A1781" s="1" t="s">
        <v>50</v>
      </c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</row>
    <row r="1782" spans="1:17" x14ac:dyDescent="0.25">
      <c r="A1782" s="1" t="s">
        <v>50</v>
      </c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</row>
    <row r="1783" spans="1:17" x14ac:dyDescent="0.25">
      <c r="A1783" s="1" t="s">
        <v>25</v>
      </c>
      <c r="B1783" s="1" t="s">
        <v>923</v>
      </c>
      <c r="C1783" s="1" t="s">
        <v>927</v>
      </c>
      <c r="D1783" s="1" t="s">
        <v>919</v>
      </c>
      <c r="E1783" s="1" t="s">
        <v>920</v>
      </c>
      <c r="F1783" s="1" t="s">
        <v>921</v>
      </c>
      <c r="G1783" s="1" t="s">
        <v>926</v>
      </c>
      <c r="H1783" s="1" t="s">
        <v>918</v>
      </c>
      <c r="I1783" s="1" t="s">
        <v>928</v>
      </c>
      <c r="J1783" s="1" t="s">
        <v>960</v>
      </c>
      <c r="K1783" s="1" t="s">
        <v>1147</v>
      </c>
      <c r="L1783" s="1"/>
      <c r="M1783" s="1"/>
      <c r="N1783" s="1"/>
      <c r="O1783" s="1"/>
      <c r="P1783" s="1"/>
      <c r="Q1783" s="1"/>
    </row>
    <row r="1784" spans="1:17" x14ac:dyDescent="0.25">
      <c r="A1784" s="1" t="s">
        <v>25</v>
      </c>
      <c r="B1784" s="1" t="s">
        <v>923</v>
      </c>
      <c r="C1784" s="1" t="s">
        <v>927</v>
      </c>
      <c r="D1784" s="1" t="s">
        <v>919</v>
      </c>
      <c r="E1784" s="1" t="s">
        <v>920</v>
      </c>
      <c r="F1784" s="1" t="s">
        <v>921</v>
      </c>
      <c r="G1784" s="1" t="s">
        <v>926</v>
      </c>
      <c r="H1784" s="1" t="s">
        <v>918</v>
      </c>
      <c r="I1784" s="1" t="s">
        <v>928</v>
      </c>
      <c r="J1784" s="1" t="s">
        <v>960</v>
      </c>
      <c r="K1784" s="1" t="s">
        <v>1147</v>
      </c>
      <c r="L1784" s="1"/>
      <c r="M1784" s="1"/>
      <c r="N1784" s="1"/>
      <c r="O1784" s="1"/>
      <c r="P1784" s="1"/>
      <c r="Q1784" s="1"/>
    </row>
    <row r="1785" spans="1:17" x14ac:dyDescent="0.25">
      <c r="A1785" s="1" t="s">
        <v>25</v>
      </c>
      <c r="B1785" s="1" t="s">
        <v>927</v>
      </c>
      <c r="C1785" s="1" t="s">
        <v>981</v>
      </c>
      <c r="D1785" s="1" t="s">
        <v>920</v>
      </c>
      <c r="E1785" s="1" t="s">
        <v>933</v>
      </c>
      <c r="F1785" s="1" t="s">
        <v>921</v>
      </c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</row>
    <row r="1786" spans="1:17" x14ac:dyDescent="0.25">
      <c r="A1786" s="1" t="s">
        <v>25</v>
      </c>
      <c r="B1786" s="1" t="s">
        <v>927</v>
      </c>
      <c r="C1786" s="1" t="s">
        <v>981</v>
      </c>
      <c r="D1786" s="1" t="s">
        <v>920</v>
      </c>
      <c r="E1786" s="1" t="s">
        <v>933</v>
      </c>
      <c r="F1786" s="1" t="s">
        <v>921</v>
      </c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</row>
    <row r="1787" spans="1:17" x14ac:dyDescent="0.25">
      <c r="A1787" s="1" t="s">
        <v>50</v>
      </c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</row>
    <row r="1788" spans="1:17" x14ac:dyDescent="0.25">
      <c r="A1788" s="1" t="s">
        <v>918</v>
      </c>
      <c r="B1788" s="1" t="s">
        <v>25</v>
      </c>
      <c r="C1788" s="1" t="s">
        <v>923</v>
      </c>
      <c r="D1788" s="1" t="s">
        <v>927</v>
      </c>
      <c r="E1788" s="1" t="s">
        <v>10768</v>
      </c>
      <c r="F1788" s="1" t="s">
        <v>919</v>
      </c>
      <c r="G1788" s="1" t="s">
        <v>920</v>
      </c>
      <c r="H1788" s="1" t="s">
        <v>933</v>
      </c>
      <c r="I1788" s="1" t="s">
        <v>921</v>
      </c>
      <c r="J1788" s="1"/>
      <c r="K1788" s="1"/>
      <c r="L1788" s="1"/>
      <c r="M1788" s="1"/>
      <c r="N1788" s="1"/>
      <c r="O1788" s="1"/>
      <c r="P1788" s="1"/>
      <c r="Q1788" s="1"/>
    </row>
    <row r="1789" spans="1:17" x14ac:dyDescent="0.25">
      <c r="A1789" s="1" t="s">
        <v>952</v>
      </c>
      <c r="B1789" s="1" t="s">
        <v>919</v>
      </c>
      <c r="C1789" s="1" t="s">
        <v>1037</v>
      </c>
      <c r="D1789" s="1" t="s">
        <v>1069</v>
      </c>
      <c r="E1789" s="1" t="s">
        <v>918</v>
      </c>
      <c r="F1789" s="1" t="s">
        <v>25</v>
      </c>
      <c r="G1789" s="1" t="s">
        <v>923</v>
      </c>
      <c r="H1789" s="1" t="s">
        <v>927</v>
      </c>
      <c r="I1789" s="1" t="s">
        <v>10761</v>
      </c>
      <c r="J1789" s="1" t="s">
        <v>920</v>
      </c>
      <c r="K1789" s="1" t="s">
        <v>924</v>
      </c>
      <c r="L1789" s="1" t="s">
        <v>921</v>
      </c>
      <c r="M1789" s="1"/>
      <c r="N1789" s="1"/>
      <c r="O1789" s="1"/>
      <c r="P1789" s="1"/>
      <c r="Q1789" s="1"/>
    </row>
    <row r="1790" spans="1:17" x14ac:dyDescent="0.25">
      <c r="A1790" s="1" t="s">
        <v>2927</v>
      </c>
      <c r="B1790" s="1" t="s">
        <v>1149</v>
      </c>
      <c r="C1790" s="1" t="s">
        <v>25</v>
      </c>
      <c r="D1790" s="1" t="s">
        <v>923</v>
      </c>
      <c r="E1790" s="1" t="s">
        <v>998</v>
      </c>
      <c r="F1790" s="1" t="s">
        <v>1053</v>
      </c>
      <c r="G1790" s="1" t="s">
        <v>1086</v>
      </c>
      <c r="H1790" s="1" t="s">
        <v>920</v>
      </c>
      <c r="I1790" s="1" t="s">
        <v>933</v>
      </c>
      <c r="J1790" s="1"/>
      <c r="K1790" s="1"/>
      <c r="L1790" s="1"/>
      <c r="M1790" s="1"/>
      <c r="N1790" s="1"/>
      <c r="O1790" s="1"/>
      <c r="P1790" s="1"/>
      <c r="Q1790" s="1"/>
    </row>
    <row r="1791" spans="1:17" x14ac:dyDescent="0.25">
      <c r="A1791" s="1" t="s">
        <v>1017</v>
      </c>
      <c r="B1791" s="1" t="s">
        <v>1037</v>
      </c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</row>
    <row r="1792" spans="1:17" x14ac:dyDescent="0.25">
      <c r="A1792" s="1" t="s">
        <v>50</v>
      </c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</row>
    <row r="1793" spans="1:17" x14ac:dyDescent="0.25">
      <c r="A1793" s="1" t="s">
        <v>923</v>
      </c>
      <c r="B1793" s="1" t="s">
        <v>1053</v>
      </c>
      <c r="C1793" s="1" t="s">
        <v>933</v>
      </c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</row>
    <row r="1794" spans="1:17" x14ac:dyDescent="0.25">
      <c r="A1794" s="1" t="s">
        <v>50</v>
      </c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</row>
    <row r="1795" spans="1:17" x14ac:dyDescent="0.25">
      <c r="A1795" s="1" t="s">
        <v>1160</v>
      </c>
      <c r="B1795" s="1" t="s">
        <v>998</v>
      </c>
      <c r="C1795" s="1" t="s">
        <v>1053</v>
      </c>
      <c r="D1795" s="1" t="s">
        <v>933</v>
      </c>
      <c r="E1795" s="1" t="s">
        <v>1013</v>
      </c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</row>
    <row r="1796" spans="1:17" x14ac:dyDescent="0.25">
      <c r="A1796" s="1" t="s">
        <v>50</v>
      </c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</row>
    <row r="1797" spans="1:17" x14ac:dyDescent="0.25">
      <c r="A1797" s="1" t="s">
        <v>2214</v>
      </c>
      <c r="B1797" s="1" t="s">
        <v>2541</v>
      </c>
      <c r="C1797" s="1" t="s">
        <v>994</v>
      </c>
      <c r="D1797" s="1" t="s">
        <v>10784</v>
      </c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</row>
    <row r="1798" spans="1:17" x14ac:dyDescent="0.25">
      <c r="A1798" s="1" t="s">
        <v>298</v>
      </c>
      <c r="B1798" s="1" t="s">
        <v>25</v>
      </c>
      <c r="C1798" s="1" t="s">
        <v>927</v>
      </c>
      <c r="D1798" s="1" t="s">
        <v>998</v>
      </c>
      <c r="E1798" s="1" t="s">
        <v>1086</v>
      </c>
      <c r="F1798" s="1" t="s">
        <v>920</v>
      </c>
      <c r="G1798" s="1" t="s">
        <v>933</v>
      </c>
      <c r="H1798" s="1"/>
      <c r="I1798" s="1"/>
      <c r="J1798" s="1"/>
      <c r="K1798" s="1"/>
      <c r="L1798" s="1"/>
      <c r="M1798" s="1"/>
      <c r="N1798" s="1"/>
      <c r="O1798" s="1"/>
      <c r="P1798" s="1"/>
      <c r="Q1798" s="1"/>
    </row>
    <row r="1799" spans="1:17" x14ac:dyDescent="0.25">
      <c r="A1799" s="1" t="s">
        <v>918</v>
      </c>
      <c r="B1799" s="1" t="s">
        <v>10849</v>
      </c>
      <c r="C1799" s="1" t="s">
        <v>919</v>
      </c>
      <c r="D1799" s="1" t="s">
        <v>924</v>
      </c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</row>
    <row r="1800" spans="1:17" x14ac:dyDescent="0.25">
      <c r="A1800" s="1" t="s">
        <v>992</v>
      </c>
      <c r="B1800" s="1" t="s">
        <v>993</v>
      </c>
      <c r="C1800" s="1" t="s">
        <v>994</v>
      </c>
      <c r="D1800" s="1" t="s">
        <v>1001</v>
      </c>
      <c r="E1800" s="1" t="s">
        <v>10936</v>
      </c>
      <c r="F1800" s="1" t="s">
        <v>927</v>
      </c>
      <c r="G1800" s="1" t="s">
        <v>981</v>
      </c>
      <c r="H1800" s="1" t="s">
        <v>919</v>
      </c>
      <c r="I1800" s="1"/>
      <c r="J1800" s="1"/>
      <c r="K1800" s="1"/>
      <c r="L1800" s="1"/>
      <c r="M1800" s="1"/>
      <c r="N1800" s="1"/>
      <c r="O1800" s="1"/>
      <c r="P1800" s="1"/>
      <c r="Q1800" s="1"/>
    </row>
    <row r="1801" spans="1:17" x14ac:dyDescent="0.25">
      <c r="A1801" s="1" t="s">
        <v>992</v>
      </c>
      <c r="B1801" s="1" t="s">
        <v>993</v>
      </c>
      <c r="C1801" s="1" t="s">
        <v>994</v>
      </c>
      <c r="D1801" s="1" t="s">
        <v>1066</v>
      </c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</row>
    <row r="1802" spans="1:17" x14ac:dyDescent="0.25">
      <c r="A1802" s="1" t="s">
        <v>992</v>
      </c>
      <c r="B1802" s="1" t="s">
        <v>993</v>
      </c>
      <c r="C1802" s="1" t="s">
        <v>994</v>
      </c>
      <c r="D1802" s="1" t="s">
        <v>10755</v>
      </c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</row>
    <row r="1803" spans="1:17" x14ac:dyDescent="0.25">
      <c r="A1803" s="1" t="s">
        <v>992</v>
      </c>
      <c r="B1803" s="1" t="s">
        <v>993</v>
      </c>
      <c r="C1803" s="1" t="s">
        <v>994</v>
      </c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</row>
    <row r="1804" spans="1:17" x14ac:dyDescent="0.25">
      <c r="A1804" s="1" t="s">
        <v>1001</v>
      </c>
      <c r="B1804" s="1" t="s">
        <v>925</v>
      </c>
      <c r="C1804" s="1" t="s">
        <v>937</v>
      </c>
      <c r="D1804" s="1" t="s">
        <v>1013</v>
      </c>
      <c r="E1804" s="1" t="s">
        <v>918</v>
      </c>
      <c r="F1804" s="1" t="s">
        <v>10731</v>
      </c>
      <c r="G1804" s="1" t="s">
        <v>927</v>
      </c>
      <c r="H1804" s="1" t="s">
        <v>953</v>
      </c>
      <c r="I1804" s="1" t="s">
        <v>981</v>
      </c>
      <c r="J1804" s="1" t="s">
        <v>928</v>
      </c>
      <c r="K1804" s="1" t="s">
        <v>919</v>
      </c>
      <c r="L1804" s="1" t="s">
        <v>936</v>
      </c>
      <c r="M1804" s="1" t="s">
        <v>921</v>
      </c>
      <c r="N1804" s="1" t="s">
        <v>993</v>
      </c>
      <c r="O1804" s="1"/>
      <c r="P1804" s="1"/>
      <c r="Q1804" s="1"/>
    </row>
    <row r="1805" spans="1:17" x14ac:dyDescent="0.25">
      <c r="A1805" s="1" t="s">
        <v>298</v>
      </c>
      <c r="B1805" s="1" t="s">
        <v>25</v>
      </c>
      <c r="C1805" s="1" t="s">
        <v>927</v>
      </c>
      <c r="D1805" s="1" t="s">
        <v>998</v>
      </c>
      <c r="E1805" s="1" t="s">
        <v>1086</v>
      </c>
      <c r="F1805" s="1" t="s">
        <v>920</v>
      </c>
      <c r="G1805" s="1" t="s">
        <v>933</v>
      </c>
      <c r="H1805" s="1" t="s">
        <v>1030</v>
      </c>
      <c r="I1805" s="1" t="s">
        <v>1061</v>
      </c>
      <c r="J1805" s="1"/>
      <c r="K1805" s="1"/>
      <c r="L1805" s="1"/>
      <c r="M1805" s="1"/>
      <c r="N1805" s="1"/>
      <c r="O1805" s="1"/>
      <c r="P1805" s="1"/>
      <c r="Q1805" s="1"/>
    </row>
    <row r="1806" spans="1:17" x14ac:dyDescent="0.25">
      <c r="A1806" s="1" t="s">
        <v>1001</v>
      </c>
      <c r="B1806" s="1" t="s">
        <v>918</v>
      </c>
      <c r="C1806" s="1" t="s">
        <v>25</v>
      </c>
      <c r="D1806" s="1" t="s">
        <v>927</v>
      </c>
      <c r="E1806" s="1" t="s">
        <v>919</v>
      </c>
      <c r="F1806" s="1" t="s">
        <v>920</v>
      </c>
      <c r="G1806" s="1" t="s">
        <v>936</v>
      </c>
      <c r="H1806" s="1" t="s">
        <v>921</v>
      </c>
      <c r="I1806" s="1"/>
      <c r="J1806" s="1"/>
      <c r="K1806" s="1"/>
      <c r="L1806" s="1"/>
      <c r="M1806" s="1"/>
      <c r="N1806" s="1"/>
      <c r="O1806" s="1"/>
      <c r="P1806" s="1"/>
      <c r="Q1806" s="1"/>
    </row>
    <row r="1807" spans="1:17" x14ac:dyDescent="0.25">
      <c r="A1807" s="1" t="s">
        <v>1001</v>
      </c>
      <c r="B1807" s="1" t="s">
        <v>918</v>
      </c>
      <c r="C1807" s="1" t="s">
        <v>25</v>
      </c>
      <c r="D1807" s="1" t="s">
        <v>927</v>
      </c>
      <c r="E1807" s="1" t="s">
        <v>919</v>
      </c>
      <c r="F1807" s="1" t="s">
        <v>920</v>
      </c>
      <c r="G1807" s="1" t="s">
        <v>936</v>
      </c>
      <c r="H1807" s="1" t="s">
        <v>921</v>
      </c>
      <c r="I1807" s="1"/>
      <c r="J1807" s="1"/>
      <c r="K1807" s="1"/>
      <c r="L1807" s="1"/>
      <c r="M1807" s="1"/>
      <c r="N1807" s="1"/>
      <c r="O1807" s="1"/>
      <c r="P1807" s="1"/>
      <c r="Q1807" s="1"/>
    </row>
    <row r="1808" spans="1:17" x14ac:dyDescent="0.25">
      <c r="A1808" s="1" t="s">
        <v>1001</v>
      </c>
      <c r="B1808" s="1" t="s">
        <v>918</v>
      </c>
      <c r="C1808" s="1" t="s">
        <v>25</v>
      </c>
      <c r="D1808" s="1" t="s">
        <v>927</v>
      </c>
      <c r="E1808" s="1" t="s">
        <v>919</v>
      </c>
      <c r="F1808" s="1" t="s">
        <v>920</v>
      </c>
      <c r="G1808" s="1" t="s">
        <v>936</v>
      </c>
      <c r="H1808" s="1" t="s">
        <v>921</v>
      </c>
      <c r="I1808" s="1"/>
      <c r="J1808" s="1"/>
      <c r="K1808" s="1"/>
      <c r="L1808" s="1"/>
      <c r="M1808" s="1"/>
      <c r="N1808" s="1"/>
      <c r="O1808" s="1"/>
      <c r="P1808" s="1"/>
      <c r="Q1808" s="1"/>
    </row>
    <row r="1809" spans="1:17" x14ac:dyDescent="0.25">
      <c r="A1809" s="1" t="s">
        <v>1069</v>
      </c>
      <c r="B1809" s="1" t="s">
        <v>918</v>
      </c>
      <c r="C1809" s="1" t="s">
        <v>25</v>
      </c>
      <c r="D1809" s="1" t="s">
        <v>923</v>
      </c>
      <c r="E1809" s="1" t="s">
        <v>927</v>
      </c>
      <c r="F1809" s="1" t="s">
        <v>10761</v>
      </c>
      <c r="G1809" s="1" t="s">
        <v>919</v>
      </c>
      <c r="H1809" s="1" t="s">
        <v>920</v>
      </c>
      <c r="I1809" s="1" t="s">
        <v>924</v>
      </c>
      <c r="J1809" s="1" t="s">
        <v>921</v>
      </c>
      <c r="K1809" s="1" t="s">
        <v>925</v>
      </c>
      <c r="L1809" s="1" t="s">
        <v>10774</v>
      </c>
      <c r="M1809" s="1"/>
      <c r="N1809" s="1"/>
      <c r="O1809" s="1"/>
      <c r="P1809" s="1"/>
      <c r="Q1809" s="1"/>
    </row>
    <row r="1810" spans="1:17" x14ac:dyDescent="0.25">
      <c r="A1810" s="1" t="s">
        <v>50</v>
      </c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</row>
    <row r="1811" spans="1:17" x14ac:dyDescent="0.25">
      <c r="A1811" s="1" t="s">
        <v>981</v>
      </c>
      <c r="B1811" s="1" t="s">
        <v>1066</v>
      </c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</row>
    <row r="1812" spans="1:17" x14ac:dyDescent="0.25">
      <c r="A1812" s="1" t="s">
        <v>25</v>
      </c>
      <c r="B1812" s="1" t="s">
        <v>998</v>
      </c>
      <c r="C1812" s="1" t="s">
        <v>933</v>
      </c>
      <c r="D1812" s="1" t="s">
        <v>994</v>
      </c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</row>
    <row r="1813" spans="1:17" x14ac:dyDescent="0.25">
      <c r="A1813" s="1" t="s">
        <v>50</v>
      </c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</row>
    <row r="1814" spans="1:17" x14ac:dyDescent="0.25">
      <c r="A1814" s="1" t="s">
        <v>996</v>
      </c>
      <c r="B1814" s="1" t="s">
        <v>2541</v>
      </c>
      <c r="C1814" s="1" t="s">
        <v>1066</v>
      </c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</row>
    <row r="1815" spans="1:17" x14ac:dyDescent="0.25">
      <c r="A1815" s="1" t="s">
        <v>1141</v>
      </c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</row>
    <row r="1816" spans="1:17" x14ac:dyDescent="0.25">
      <c r="A1816" s="1" t="s">
        <v>998</v>
      </c>
      <c r="B1816" s="1" t="s">
        <v>1053</v>
      </c>
      <c r="C1816" s="1" t="s">
        <v>1086</v>
      </c>
      <c r="D1816" s="1" t="s">
        <v>933</v>
      </c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</row>
    <row r="1817" spans="1:17" x14ac:dyDescent="0.25">
      <c r="A1817" s="1" t="s">
        <v>1149</v>
      </c>
      <c r="B1817" s="1" t="s">
        <v>25</v>
      </c>
      <c r="C1817" s="1" t="s">
        <v>923</v>
      </c>
      <c r="D1817" s="1" t="s">
        <v>998</v>
      </c>
      <c r="E1817" s="1" t="s">
        <v>1086</v>
      </c>
      <c r="F1817" s="1" t="s">
        <v>920</v>
      </c>
      <c r="G1817" s="1" t="s">
        <v>933</v>
      </c>
      <c r="H1817" s="1" t="s">
        <v>10719</v>
      </c>
      <c r="I1817" s="1"/>
      <c r="J1817" s="1"/>
      <c r="K1817" s="1"/>
      <c r="L1817" s="1"/>
      <c r="M1817" s="1"/>
      <c r="N1817" s="1"/>
      <c r="O1817" s="1"/>
      <c r="P1817" s="1"/>
      <c r="Q1817" s="1"/>
    </row>
    <row r="1818" spans="1:17" x14ac:dyDescent="0.25">
      <c r="A1818" s="1" t="s">
        <v>256</v>
      </c>
      <c r="B1818" s="1" t="s">
        <v>2927</v>
      </c>
      <c r="C1818" s="1" t="s">
        <v>933</v>
      </c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</row>
    <row r="1819" spans="1:17" x14ac:dyDescent="0.25">
      <c r="A1819" s="1" t="s">
        <v>958</v>
      </c>
      <c r="B1819" s="1" t="s">
        <v>1034</v>
      </c>
      <c r="C1819" s="1" t="s">
        <v>919</v>
      </c>
      <c r="D1819" s="1" t="s">
        <v>924</v>
      </c>
      <c r="E1819" s="1" t="s">
        <v>918</v>
      </c>
      <c r="F1819" s="1" t="s">
        <v>936</v>
      </c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</row>
    <row r="1820" spans="1:17" x14ac:dyDescent="0.25">
      <c r="A1820" s="1" t="s">
        <v>1069</v>
      </c>
      <c r="B1820" s="1" t="s">
        <v>918</v>
      </c>
      <c r="C1820" s="1" t="s">
        <v>25</v>
      </c>
      <c r="D1820" s="1" t="s">
        <v>923</v>
      </c>
      <c r="E1820" s="1" t="s">
        <v>927</v>
      </c>
      <c r="F1820" s="1" t="s">
        <v>10761</v>
      </c>
      <c r="G1820" s="1" t="s">
        <v>919</v>
      </c>
      <c r="H1820" s="1" t="s">
        <v>920</v>
      </c>
      <c r="I1820" s="1" t="s">
        <v>924</v>
      </c>
      <c r="J1820" s="1" t="s">
        <v>921</v>
      </c>
      <c r="K1820" s="1" t="s">
        <v>952</v>
      </c>
      <c r="L1820" s="1" t="s">
        <v>1037</v>
      </c>
      <c r="M1820" s="1"/>
      <c r="N1820" s="1"/>
      <c r="O1820" s="1"/>
      <c r="P1820" s="1"/>
      <c r="Q1820" s="1"/>
    </row>
    <row r="1821" spans="1:17" x14ac:dyDescent="0.25">
      <c r="A1821" s="1" t="s">
        <v>25</v>
      </c>
      <c r="B1821" s="1" t="s">
        <v>1086</v>
      </c>
      <c r="C1821" s="1" t="s">
        <v>919</v>
      </c>
      <c r="D1821" s="1" t="s">
        <v>920</v>
      </c>
      <c r="E1821" s="1" t="s">
        <v>921</v>
      </c>
      <c r="F1821" s="1" t="s">
        <v>1001</v>
      </c>
      <c r="G1821" s="1" t="s">
        <v>1066</v>
      </c>
      <c r="H1821" s="1"/>
      <c r="I1821" s="1"/>
      <c r="J1821" s="1"/>
      <c r="K1821" s="1"/>
      <c r="L1821" s="1"/>
      <c r="M1821" s="1"/>
      <c r="N1821" s="1"/>
      <c r="O1821" s="1"/>
      <c r="P1821" s="1"/>
      <c r="Q1821" s="1"/>
    </row>
    <row r="1822" spans="1:17" x14ac:dyDescent="0.25">
      <c r="A1822" s="1" t="s">
        <v>1053</v>
      </c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</row>
    <row r="1823" spans="1:17" x14ac:dyDescent="0.25">
      <c r="A1823" s="1" t="s">
        <v>5548</v>
      </c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</row>
    <row r="1824" spans="1:17" x14ac:dyDescent="0.25">
      <c r="A1824" s="1" t="s">
        <v>1053</v>
      </c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</row>
    <row r="1825" spans="1:17" x14ac:dyDescent="0.25">
      <c r="A1825" s="1" t="s">
        <v>996</v>
      </c>
      <c r="B1825" s="1" t="s">
        <v>25</v>
      </c>
      <c r="C1825" s="1" t="s">
        <v>997</v>
      </c>
      <c r="D1825" s="1" t="s">
        <v>927</v>
      </c>
      <c r="E1825" s="1" t="s">
        <v>998</v>
      </c>
      <c r="F1825" s="1" t="s">
        <v>933</v>
      </c>
      <c r="G1825" s="1" t="s">
        <v>993</v>
      </c>
      <c r="H1825" s="1" t="s">
        <v>994</v>
      </c>
      <c r="I1825" s="1"/>
      <c r="J1825" s="1"/>
      <c r="K1825" s="1"/>
      <c r="L1825" s="1"/>
      <c r="M1825" s="1"/>
      <c r="N1825" s="1"/>
      <c r="O1825" s="1"/>
      <c r="P1825" s="1"/>
      <c r="Q1825" s="1"/>
    </row>
    <row r="1826" spans="1:17" x14ac:dyDescent="0.25">
      <c r="A1826" s="1" t="s">
        <v>996</v>
      </c>
      <c r="B1826" s="1" t="s">
        <v>25</v>
      </c>
      <c r="C1826" s="1" t="s">
        <v>997</v>
      </c>
      <c r="D1826" s="1" t="s">
        <v>927</v>
      </c>
      <c r="E1826" s="1" t="s">
        <v>998</v>
      </c>
      <c r="F1826" s="1" t="s">
        <v>933</v>
      </c>
      <c r="G1826" s="1" t="s">
        <v>993</v>
      </c>
      <c r="H1826" s="1" t="s">
        <v>994</v>
      </c>
      <c r="I1826" s="1"/>
      <c r="J1826" s="1"/>
      <c r="K1826" s="1"/>
      <c r="L1826" s="1"/>
      <c r="M1826" s="1"/>
      <c r="N1826" s="1"/>
      <c r="O1826" s="1"/>
      <c r="P1826" s="1"/>
      <c r="Q1826" s="1"/>
    </row>
    <row r="1827" spans="1:17" x14ac:dyDescent="0.25">
      <c r="A1827" s="1" t="s">
        <v>996</v>
      </c>
      <c r="B1827" s="1" t="s">
        <v>25</v>
      </c>
      <c r="C1827" s="1" t="s">
        <v>997</v>
      </c>
      <c r="D1827" s="1" t="s">
        <v>927</v>
      </c>
      <c r="E1827" s="1" t="s">
        <v>998</v>
      </c>
      <c r="F1827" s="1" t="s">
        <v>933</v>
      </c>
      <c r="G1827" s="1" t="s">
        <v>993</v>
      </c>
      <c r="H1827" s="1" t="s">
        <v>994</v>
      </c>
      <c r="I1827" s="1"/>
      <c r="J1827" s="1"/>
      <c r="K1827" s="1"/>
      <c r="L1827" s="1"/>
      <c r="M1827" s="1"/>
      <c r="N1827" s="1"/>
      <c r="O1827" s="1"/>
      <c r="P1827" s="1"/>
      <c r="Q1827" s="1"/>
    </row>
    <row r="1828" spans="1:17" x14ac:dyDescent="0.25">
      <c r="A1828" s="1" t="s">
        <v>996</v>
      </c>
      <c r="B1828" s="1" t="s">
        <v>25</v>
      </c>
      <c r="C1828" s="1" t="s">
        <v>997</v>
      </c>
      <c r="D1828" s="1" t="s">
        <v>927</v>
      </c>
      <c r="E1828" s="1" t="s">
        <v>998</v>
      </c>
      <c r="F1828" s="1" t="s">
        <v>933</v>
      </c>
      <c r="G1828" s="1" t="s">
        <v>993</v>
      </c>
      <c r="H1828" s="1" t="s">
        <v>994</v>
      </c>
      <c r="I1828" s="1"/>
      <c r="J1828" s="1"/>
      <c r="K1828" s="1"/>
      <c r="L1828" s="1"/>
      <c r="M1828" s="1"/>
      <c r="N1828" s="1"/>
      <c r="O1828" s="1"/>
      <c r="P1828" s="1"/>
      <c r="Q1828" s="1"/>
    </row>
    <row r="1829" spans="1:17" x14ac:dyDescent="0.25">
      <c r="A1829" s="1" t="s">
        <v>996</v>
      </c>
      <c r="B1829" s="1" t="s">
        <v>25</v>
      </c>
      <c r="C1829" s="1" t="s">
        <v>997</v>
      </c>
      <c r="D1829" s="1" t="s">
        <v>927</v>
      </c>
      <c r="E1829" s="1" t="s">
        <v>998</v>
      </c>
      <c r="F1829" s="1" t="s">
        <v>933</v>
      </c>
      <c r="G1829" s="1" t="s">
        <v>993</v>
      </c>
      <c r="H1829" s="1" t="s">
        <v>994</v>
      </c>
      <c r="I1829" s="1"/>
      <c r="J1829" s="1"/>
      <c r="K1829" s="1"/>
      <c r="L1829" s="1"/>
      <c r="M1829" s="1"/>
      <c r="N1829" s="1"/>
      <c r="O1829" s="1"/>
      <c r="P1829" s="1"/>
      <c r="Q1829" s="1"/>
    </row>
    <row r="1830" spans="1:17" x14ac:dyDescent="0.25">
      <c r="A1830" s="1" t="s">
        <v>996</v>
      </c>
      <c r="B1830" s="1" t="s">
        <v>25</v>
      </c>
      <c r="C1830" s="1" t="s">
        <v>997</v>
      </c>
      <c r="D1830" s="1" t="s">
        <v>927</v>
      </c>
      <c r="E1830" s="1" t="s">
        <v>998</v>
      </c>
      <c r="F1830" s="1" t="s">
        <v>933</v>
      </c>
      <c r="G1830" s="1" t="s">
        <v>993</v>
      </c>
      <c r="H1830" s="1" t="s">
        <v>994</v>
      </c>
      <c r="I1830" s="1"/>
      <c r="J1830" s="1"/>
      <c r="K1830" s="1"/>
      <c r="L1830" s="1"/>
      <c r="M1830" s="1"/>
      <c r="N1830" s="1"/>
      <c r="O1830" s="1"/>
      <c r="P1830" s="1"/>
      <c r="Q1830" s="1"/>
    </row>
    <row r="1831" spans="1:17" x14ac:dyDescent="0.25">
      <c r="A1831" s="1" t="s">
        <v>1109</v>
      </c>
      <c r="B1831" s="1" t="s">
        <v>919</v>
      </c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</row>
    <row r="1832" spans="1:17" x14ac:dyDescent="0.25">
      <c r="A1832" s="1" t="s">
        <v>933</v>
      </c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</row>
    <row r="1833" spans="1:17" x14ac:dyDescent="0.25">
      <c r="A1833" s="1" t="s">
        <v>1041</v>
      </c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</row>
    <row r="1834" spans="1:17" x14ac:dyDescent="0.25">
      <c r="A1834" s="1" t="s">
        <v>1041</v>
      </c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</row>
    <row r="1835" spans="1:17" x14ac:dyDescent="0.25">
      <c r="A1835" s="1" t="s">
        <v>1007</v>
      </c>
      <c r="B1835" s="1" t="s">
        <v>1004</v>
      </c>
      <c r="C1835" s="1" t="s">
        <v>1005</v>
      </c>
      <c r="D1835" s="1" t="s">
        <v>1008</v>
      </c>
      <c r="E1835" s="1" t="s">
        <v>1006</v>
      </c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</row>
    <row r="1836" spans="1:17" x14ac:dyDescent="0.25">
      <c r="A1836" s="1" t="s">
        <v>1007</v>
      </c>
      <c r="B1836" s="1" t="s">
        <v>1004</v>
      </c>
      <c r="C1836" s="1" t="s">
        <v>1005</v>
      </c>
      <c r="D1836" s="1" t="s">
        <v>1008</v>
      </c>
      <c r="E1836" s="1" t="s">
        <v>1006</v>
      </c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</row>
    <row r="1837" spans="1:17" x14ac:dyDescent="0.25">
      <c r="A1837" s="1" t="s">
        <v>1004</v>
      </c>
      <c r="B1837" s="1" t="s">
        <v>1006</v>
      </c>
      <c r="C1837" s="1" t="s">
        <v>1007</v>
      </c>
      <c r="D1837" s="1" t="s">
        <v>1005</v>
      </c>
      <c r="E1837" s="1" t="s">
        <v>1008</v>
      </c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</row>
    <row r="1838" spans="1:17" x14ac:dyDescent="0.25">
      <c r="A1838" s="1" t="s">
        <v>1004</v>
      </c>
      <c r="B1838" s="1" t="s">
        <v>1006</v>
      </c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</row>
    <row r="1839" spans="1:17" x14ac:dyDescent="0.25">
      <c r="A1839" s="1" t="s">
        <v>1004</v>
      </c>
      <c r="B1839" s="1" t="s">
        <v>1006</v>
      </c>
      <c r="C1839" s="1" t="s">
        <v>1045</v>
      </c>
      <c r="D1839" s="1" t="s">
        <v>1042</v>
      </c>
      <c r="E1839" s="1" t="s">
        <v>1005</v>
      </c>
      <c r="F1839" s="1" t="s">
        <v>1009</v>
      </c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</row>
    <row r="1840" spans="1:17" x14ac:dyDescent="0.25">
      <c r="A1840" s="1" t="s">
        <v>1004</v>
      </c>
      <c r="B1840" s="1" t="s">
        <v>1006</v>
      </c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</row>
    <row r="1841" spans="1:17" x14ac:dyDescent="0.25">
      <c r="A1841" s="1" t="s">
        <v>1004</v>
      </c>
      <c r="B1841" s="1" t="s">
        <v>1006</v>
      </c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</row>
    <row r="1842" spans="1:17" x14ac:dyDescent="0.25">
      <c r="A1842" s="1" t="s">
        <v>933</v>
      </c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</row>
    <row r="1843" spans="1:17" x14ac:dyDescent="0.25">
      <c r="A1843" s="1" t="s">
        <v>948</v>
      </c>
      <c r="B1843" s="1" t="s">
        <v>918</v>
      </c>
      <c r="C1843" s="1" t="s">
        <v>25</v>
      </c>
      <c r="D1843" s="1" t="s">
        <v>919</v>
      </c>
      <c r="E1843" s="1" t="s">
        <v>920</v>
      </c>
      <c r="F1843" s="1" t="s">
        <v>954</v>
      </c>
      <c r="G1843" s="1" t="s">
        <v>10965</v>
      </c>
      <c r="H1843" s="1" t="s">
        <v>983</v>
      </c>
      <c r="I1843" s="1" t="s">
        <v>984</v>
      </c>
      <c r="J1843" s="1" t="s">
        <v>927</v>
      </c>
      <c r="K1843" s="1" t="s">
        <v>924</v>
      </c>
      <c r="L1843" s="1" t="s">
        <v>922</v>
      </c>
      <c r="M1843" s="1"/>
      <c r="N1843" s="1"/>
      <c r="O1843" s="1"/>
      <c r="P1843" s="1"/>
      <c r="Q1843" s="1"/>
    </row>
    <row r="1844" spans="1:17" x14ac:dyDescent="0.25">
      <c r="A1844" s="1" t="s">
        <v>25</v>
      </c>
      <c r="B1844" s="1" t="s">
        <v>923</v>
      </c>
      <c r="C1844" s="1" t="s">
        <v>920</v>
      </c>
      <c r="D1844" s="1" t="s">
        <v>948</v>
      </c>
      <c r="E1844" s="1" t="s">
        <v>1069</v>
      </c>
      <c r="F1844" s="1" t="s">
        <v>1070</v>
      </c>
      <c r="G1844" s="1" t="s">
        <v>916</v>
      </c>
      <c r="H1844" s="1" t="s">
        <v>1078</v>
      </c>
      <c r="I1844" s="1" t="s">
        <v>980</v>
      </c>
      <c r="J1844" s="1" t="s">
        <v>919</v>
      </c>
      <c r="K1844" s="1" t="s">
        <v>921</v>
      </c>
      <c r="L1844" s="1" t="s">
        <v>927</v>
      </c>
      <c r="M1844" s="1" t="s">
        <v>975</v>
      </c>
      <c r="N1844" s="1" t="s">
        <v>976</v>
      </c>
      <c r="O1844" s="1" t="s">
        <v>982</v>
      </c>
      <c r="P1844" s="1"/>
      <c r="Q1844" s="1"/>
    </row>
    <row r="1845" spans="1:17" x14ac:dyDescent="0.25">
      <c r="A1845" s="1" t="s">
        <v>1149</v>
      </c>
      <c r="B1845" s="1" t="s">
        <v>25</v>
      </c>
      <c r="C1845" s="1" t="s">
        <v>998</v>
      </c>
      <c r="D1845" s="1" t="s">
        <v>1086</v>
      </c>
      <c r="E1845" s="1" t="s">
        <v>920</v>
      </c>
      <c r="F1845" s="1" t="s">
        <v>933</v>
      </c>
      <c r="G1845" s="1" t="s">
        <v>974</v>
      </c>
      <c r="H1845" s="1" t="s">
        <v>10719</v>
      </c>
      <c r="I1845" s="1"/>
      <c r="J1845" s="1"/>
      <c r="K1845" s="1"/>
      <c r="L1845" s="1"/>
      <c r="M1845" s="1"/>
      <c r="N1845" s="1"/>
      <c r="O1845" s="1"/>
      <c r="P1845" s="1"/>
      <c r="Q1845" s="1"/>
    </row>
    <row r="1846" spans="1:17" x14ac:dyDescent="0.25">
      <c r="A1846" s="1" t="s">
        <v>2927</v>
      </c>
      <c r="B1846" s="1" t="s">
        <v>25</v>
      </c>
      <c r="C1846" s="1" t="s">
        <v>1167</v>
      </c>
      <c r="D1846" s="1" t="s">
        <v>998</v>
      </c>
      <c r="E1846" s="1" t="s">
        <v>1086</v>
      </c>
      <c r="F1846" s="1" t="s">
        <v>920</v>
      </c>
      <c r="G1846" s="1" t="s">
        <v>933</v>
      </c>
      <c r="H1846" s="1"/>
      <c r="I1846" s="1"/>
      <c r="J1846" s="1"/>
      <c r="K1846" s="1"/>
      <c r="L1846" s="1"/>
      <c r="M1846" s="1"/>
      <c r="N1846" s="1"/>
      <c r="O1846" s="1"/>
      <c r="P1846" s="1"/>
      <c r="Q1846" s="1"/>
    </row>
    <row r="1847" spans="1:17" x14ac:dyDescent="0.25">
      <c r="A1847" s="1" t="s">
        <v>996</v>
      </c>
      <c r="B1847" s="1" t="s">
        <v>25</v>
      </c>
      <c r="C1847" s="1" t="s">
        <v>923</v>
      </c>
      <c r="D1847" s="1" t="s">
        <v>997</v>
      </c>
      <c r="E1847" s="1" t="s">
        <v>10918</v>
      </c>
      <c r="F1847" s="1" t="s">
        <v>994</v>
      </c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</row>
    <row r="1848" spans="1:17" x14ac:dyDescent="0.25">
      <c r="A1848" s="1" t="s">
        <v>947</v>
      </c>
      <c r="B1848" s="1" t="s">
        <v>328</v>
      </c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</row>
    <row r="1849" spans="1:17" x14ac:dyDescent="0.25">
      <c r="A1849" s="1" t="s">
        <v>947</v>
      </c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</row>
    <row r="1850" spans="1:17" x14ac:dyDescent="0.25">
      <c r="A1850" s="1" t="s">
        <v>947</v>
      </c>
      <c r="B1850" s="1" t="s">
        <v>1017</v>
      </c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</row>
    <row r="1851" spans="1:17" x14ac:dyDescent="0.25">
      <c r="A1851" s="1" t="s">
        <v>918</v>
      </c>
      <c r="B1851" s="1" t="s">
        <v>25</v>
      </c>
      <c r="C1851" s="1" t="s">
        <v>923</v>
      </c>
      <c r="D1851" s="1" t="s">
        <v>1078</v>
      </c>
      <c r="E1851" s="1" t="s">
        <v>919</v>
      </c>
      <c r="F1851" s="1" t="s">
        <v>920</v>
      </c>
      <c r="G1851" s="1" t="s">
        <v>924</v>
      </c>
      <c r="H1851" s="1" t="s">
        <v>921</v>
      </c>
      <c r="I1851" s="1" t="s">
        <v>925</v>
      </c>
      <c r="J1851" s="1" t="s">
        <v>10813</v>
      </c>
      <c r="K1851" s="1" t="s">
        <v>927</v>
      </c>
      <c r="L1851" s="1" t="s">
        <v>997</v>
      </c>
      <c r="M1851" s="1"/>
      <c r="N1851" s="1"/>
      <c r="O1851" s="1"/>
      <c r="P1851" s="1"/>
      <c r="Q1851" s="1"/>
    </row>
    <row r="1852" spans="1:17" x14ac:dyDescent="0.25">
      <c r="A1852" s="1" t="s">
        <v>1013</v>
      </c>
      <c r="B1852" s="1" t="s">
        <v>919</v>
      </c>
      <c r="C1852" s="1" t="s">
        <v>1037</v>
      </c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</row>
    <row r="1853" spans="1:17" x14ac:dyDescent="0.25">
      <c r="A1853" s="1" t="s">
        <v>1013</v>
      </c>
      <c r="B1853" s="1" t="s">
        <v>919</v>
      </c>
      <c r="C1853" s="1" t="s">
        <v>1037</v>
      </c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</row>
    <row r="1854" spans="1:17" x14ac:dyDescent="0.25">
      <c r="A1854" s="1" t="s">
        <v>1013</v>
      </c>
      <c r="B1854" s="1" t="s">
        <v>919</v>
      </c>
      <c r="C1854" s="1" t="s">
        <v>1037</v>
      </c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</row>
    <row r="1855" spans="1:17" x14ac:dyDescent="0.25">
      <c r="A1855" s="1" t="s">
        <v>918</v>
      </c>
      <c r="B1855" s="1" t="s">
        <v>919</v>
      </c>
      <c r="C1855" s="1" t="s">
        <v>1037</v>
      </c>
      <c r="D1855" s="1" t="s">
        <v>936</v>
      </c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</row>
    <row r="1856" spans="1:17" x14ac:dyDescent="0.25">
      <c r="A1856" s="1" t="s">
        <v>996</v>
      </c>
      <c r="B1856" s="1" t="s">
        <v>2541</v>
      </c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</row>
    <row r="1857" spans="1:17" x14ac:dyDescent="0.25">
      <c r="A1857" s="1" t="s">
        <v>1000</v>
      </c>
      <c r="B1857" s="1" t="s">
        <v>921</v>
      </c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</row>
    <row r="1858" spans="1:17" x14ac:dyDescent="0.25">
      <c r="A1858" s="1" t="s">
        <v>946</v>
      </c>
      <c r="B1858" s="1" t="s">
        <v>947</v>
      </c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</row>
    <row r="1859" spans="1:17" x14ac:dyDescent="0.25">
      <c r="A1859" s="1" t="s">
        <v>50</v>
      </c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</row>
    <row r="1860" spans="1:17" x14ac:dyDescent="0.25">
      <c r="A1860" s="1" t="s">
        <v>975</v>
      </c>
      <c r="B1860" s="1" t="s">
        <v>1023</v>
      </c>
      <c r="C1860" s="1" t="s">
        <v>10956</v>
      </c>
      <c r="D1860" s="1" t="s">
        <v>1029</v>
      </c>
      <c r="E1860" s="1" t="s">
        <v>983</v>
      </c>
      <c r="F1860" s="1" t="s">
        <v>1060</v>
      </c>
      <c r="G1860" s="1" t="s">
        <v>298</v>
      </c>
      <c r="H1860" s="1" t="s">
        <v>1031</v>
      </c>
      <c r="I1860" s="1" t="s">
        <v>25</v>
      </c>
      <c r="J1860" s="1" t="s">
        <v>923</v>
      </c>
      <c r="K1860" s="1" t="s">
        <v>997</v>
      </c>
      <c r="L1860" s="1" t="s">
        <v>10966</v>
      </c>
      <c r="M1860" s="1"/>
      <c r="N1860" s="1"/>
      <c r="O1860" s="1"/>
      <c r="P1860" s="1"/>
      <c r="Q1860" s="1"/>
    </row>
    <row r="1861" spans="1:17" x14ac:dyDescent="0.25">
      <c r="A1861" s="1" t="s">
        <v>997</v>
      </c>
      <c r="B1861" s="1" t="s">
        <v>996</v>
      </c>
      <c r="C1861" s="1" t="s">
        <v>998</v>
      </c>
      <c r="D1861" s="1" t="s">
        <v>933</v>
      </c>
      <c r="E1861" s="1" t="s">
        <v>2541</v>
      </c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</row>
    <row r="1862" spans="1:17" x14ac:dyDescent="0.25">
      <c r="A1862" s="1" t="s">
        <v>50</v>
      </c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</row>
    <row r="1863" spans="1:17" x14ac:dyDescent="0.25">
      <c r="A1863" s="1" t="s">
        <v>978</v>
      </c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</row>
    <row r="1864" spans="1:17" x14ac:dyDescent="0.25">
      <c r="A1864" s="1" t="s">
        <v>933</v>
      </c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</row>
    <row r="1865" spans="1:17" x14ac:dyDescent="0.25">
      <c r="A1865" s="1" t="s">
        <v>918</v>
      </c>
      <c r="B1865" s="1" t="s">
        <v>25</v>
      </c>
      <c r="C1865" s="1" t="s">
        <v>923</v>
      </c>
      <c r="D1865" s="1" t="s">
        <v>1078</v>
      </c>
      <c r="E1865" s="1" t="s">
        <v>919</v>
      </c>
      <c r="F1865" s="1" t="s">
        <v>920</v>
      </c>
      <c r="G1865" s="1" t="s">
        <v>924</v>
      </c>
      <c r="H1865" s="1" t="s">
        <v>921</v>
      </c>
      <c r="I1865" s="1" t="s">
        <v>927</v>
      </c>
      <c r="J1865" s="1" t="s">
        <v>939</v>
      </c>
      <c r="K1865" s="1" t="s">
        <v>928</v>
      </c>
      <c r="L1865" s="1" t="s">
        <v>929</v>
      </c>
      <c r="M1865" s="1" t="s">
        <v>10849</v>
      </c>
      <c r="N1865" s="1" t="s">
        <v>10967</v>
      </c>
      <c r="O1865" s="1" t="s">
        <v>10968</v>
      </c>
      <c r="P1865" s="1" t="s">
        <v>10969</v>
      </c>
      <c r="Q1865" s="1" t="s">
        <v>10970</v>
      </c>
    </row>
    <row r="1866" spans="1:17" x14ac:dyDescent="0.25">
      <c r="A1866" s="1" t="s">
        <v>298</v>
      </c>
      <c r="B1866" s="1" t="s">
        <v>25</v>
      </c>
      <c r="C1866" s="1" t="s">
        <v>927</v>
      </c>
      <c r="D1866" s="1" t="s">
        <v>998</v>
      </c>
      <c r="E1866" s="1" t="s">
        <v>1086</v>
      </c>
      <c r="F1866" s="1" t="s">
        <v>920</v>
      </c>
      <c r="G1866" s="1" t="s">
        <v>933</v>
      </c>
      <c r="H1866" s="1"/>
      <c r="I1866" s="1"/>
      <c r="J1866" s="1"/>
      <c r="K1866" s="1"/>
      <c r="L1866" s="1"/>
      <c r="M1866" s="1"/>
      <c r="N1866" s="1"/>
      <c r="O1866" s="1"/>
      <c r="P1866" s="1"/>
      <c r="Q1866" s="1"/>
    </row>
    <row r="1867" spans="1:17" x14ac:dyDescent="0.25">
      <c r="A1867" s="1" t="s">
        <v>933</v>
      </c>
      <c r="B1867" s="1" t="s">
        <v>981</v>
      </c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</row>
    <row r="1868" spans="1:17" x14ac:dyDescent="0.25">
      <c r="A1868" s="1" t="s">
        <v>1110</v>
      </c>
      <c r="B1868" s="1" t="s">
        <v>923</v>
      </c>
      <c r="C1868" s="1" t="s">
        <v>954</v>
      </c>
      <c r="D1868" s="1" t="s">
        <v>10971</v>
      </c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</row>
    <row r="1869" spans="1:17" x14ac:dyDescent="0.25">
      <c r="A1869" s="1" t="s">
        <v>50</v>
      </c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</row>
    <row r="1870" spans="1:17" x14ac:dyDescent="0.25">
      <c r="A1870" s="1" t="s">
        <v>840</v>
      </c>
      <c r="B1870" s="1" t="s">
        <v>923</v>
      </c>
      <c r="C1870" s="1" t="s">
        <v>954</v>
      </c>
      <c r="D1870" s="1" t="s">
        <v>1141</v>
      </c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</row>
    <row r="1871" spans="1:17" x14ac:dyDescent="0.25">
      <c r="A1871" s="1" t="s">
        <v>996</v>
      </c>
      <c r="B1871" s="1" t="s">
        <v>997</v>
      </c>
      <c r="C1871" s="1" t="s">
        <v>2541</v>
      </c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</row>
    <row r="1872" spans="1:17" x14ac:dyDescent="0.25">
      <c r="A1872" s="1" t="s">
        <v>996</v>
      </c>
      <c r="B1872" s="1" t="s">
        <v>2541</v>
      </c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</row>
    <row r="1873" spans="1:17" x14ac:dyDescent="0.25">
      <c r="A1873" s="1" t="s">
        <v>925</v>
      </c>
      <c r="B1873" s="1" t="s">
        <v>918</v>
      </c>
      <c r="C1873" s="1" t="s">
        <v>927</v>
      </c>
      <c r="D1873" s="1" t="s">
        <v>981</v>
      </c>
      <c r="E1873" s="1" t="s">
        <v>928</v>
      </c>
      <c r="F1873" s="1" t="s">
        <v>921</v>
      </c>
      <c r="G1873" s="1" t="s">
        <v>929</v>
      </c>
      <c r="H1873" s="1" t="s">
        <v>948</v>
      </c>
      <c r="I1873" s="1" t="s">
        <v>298</v>
      </c>
      <c r="J1873" s="1" t="s">
        <v>25</v>
      </c>
      <c r="K1873" s="1" t="s">
        <v>923</v>
      </c>
      <c r="L1873" s="1" t="s">
        <v>997</v>
      </c>
      <c r="M1873" s="1" t="s">
        <v>1167</v>
      </c>
      <c r="N1873" s="1" t="s">
        <v>998</v>
      </c>
      <c r="O1873" s="1" t="s">
        <v>1086</v>
      </c>
      <c r="P1873" s="1" t="s">
        <v>920</v>
      </c>
      <c r="Q1873" s="1" t="s">
        <v>933</v>
      </c>
    </row>
    <row r="1874" spans="1:17" x14ac:dyDescent="0.25">
      <c r="A1874" s="1" t="s">
        <v>975</v>
      </c>
      <c r="B1874" s="1" t="s">
        <v>90</v>
      </c>
      <c r="C1874" s="1" t="s">
        <v>964</v>
      </c>
      <c r="D1874" s="1" t="s">
        <v>10830</v>
      </c>
      <c r="E1874" s="1" t="s">
        <v>982</v>
      </c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</row>
    <row r="1875" spans="1:17" x14ac:dyDescent="0.25">
      <c r="A1875" s="1" t="s">
        <v>948</v>
      </c>
      <c r="B1875" s="1" t="s">
        <v>298</v>
      </c>
      <c r="C1875" s="1" t="s">
        <v>25</v>
      </c>
      <c r="D1875" s="1" t="s">
        <v>923</v>
      </c>
      <c r="E1875" s="1" t="s">
        <v>997</v>
      </c>
      <c r="F1875" s="1" t="s">
        <v>927</v>
      </c>
      <c r="G1875" s="1" t="s">
        <v>1167</v>
      </c>
      <c r="H1875" s="1" t="s">
        <v>998</v>
      </c>
      <c r="I1875" s="1" t="s">
        <v>1086</v>
      </c>
      <c r="J1875" s="1" t="s">
        <v>920</v>
      </c>
      <c r="K1875" s="1" t="s">
        <v>933</v>
      </c>
      <c r="L1875" s="1" t="s">
        <v>1001</v>
      </c>
      <c r="M1875" s="1" t="s">
        <v>937</v>
      </c>
      <c r="N1875" s="1"/>
      <c r="O1875" s="1"/>
      <c r="P1875" s="1"/>
      <c r="Q1875" s="1"/>
    </row>
    <row r="1876" spans="1:17" x14ac:dyDescent="0.25">
      <c r="A1876" s="1" t="s">
        <v>948</v>
      </c>
      <c r="B1876" s="1" t="s">
        <v>298</v>
      </c>
      <c r="C1876" s="1" t="s">
        <v>25</v>
      </c>
      <c r="D1876" s="1" t="s">
        <v>923</v>
      </c>
      <c r="E1876" s="1" t="s">
        <v>997</v>
      </c>
      <c r="F1876" s="1" t="s">
        <v>927</v>
      </c>
      <c r="G1876" s="1" t="s">
        <v>1167</v>
      </c>
      <c r="H1876" s="1" t="s">
        <v>998</v>
      </c>
      <c r="I1876" s="1" t="s">
        <v>1086</v>
      </c>
      <c r="J1876" s="1" t="s">
        <v>920</v>
      </c>
      <c r="K1876" s="1" t="s">
        <v>933</v>
      </c>
      <c r="L1876" s="1" t="s">
        <v>958</v>
      </c>
      <c r="M1876" s="1" t="s">
        <v>10972</v>
      </c>
      <c r="N1876" s="1"/>
      <c r="O1876" s="1"/>
      <c r="P1876" s="1"/>
      <c r="Q1876" s="1"/>
    </row>
    <row r="1877" spans="1:17" x14ac:dyDescent="0.25">
      <c r="A1877" s="1" t="s">
        <v>948</v>
      </c>
      <c r="B1877" s="1" t="s">
        <v>298</v>
      </c>
      <c r="C1877" s="1" t="s">
        <v>25</v>
      </c>
      <c r="D1877" s="1" t="s">
        <v>923</v>
      </c>
      <c r="E1877" s="1" t="s">
        <v>997</v>
      </c>
      <c r="F1877" s="1" t="s">
        <v>927</v>
      </c>
      <c r="G1877" s="1" t="s">
        <v>1167</v>
      </c>
      <c r="H1877" s="1" t="s">
        <v>998</v>
      </c>
      <c r="I1877" s="1" t="s">
        <v>1086</v>
      </c>
      <c r="J1877" s="1" t="s">
        <v>920</v>
      </c>
      <c r="K1877" s="1" t="s">
        <v>933</v>
      </c>
      <c r="L1877" s="1"/>
      <c r="M1877" s="1"/>
      <c r="N1877" s="1"/>
      <c r="O1877" s="1"/>
      <c r="P1877" s="1"/>
      <c r="Q1877" s="1"/>
    </row>
    <row r="1878" spans="1:17" x14ac:dyDescent="0.25">
      <c r="A1878" s="1" t="s">
        <v>918</v>
      </c>
      <c r="B1878" s="1" t="s">
        <v>25</v>
      </c>
      <c r="C1878" s="1" t="s">
        <v>919</v>
      </c>
      <c r="D1878" s="1" t="s">
        <v>920</v>
      </c>
      <c r="E1878" s="1" t="s">
        <v>921</v>
      </c>
      <c r="F1878" s="1" t="s">
        <v>1149</v>
      </c>
      <c r="G1878" s="1" t="s">
        <v>923</v>
      </c>
      <c r="H1878" s="1" t="s">
        <v>998</v>
      </c>
      <c r="I1878" s="1" t="s">
        <v>1086</v>
      </c>
      <c r="J1878" s="1" t="s">
        <v>933</v>
      </c>
      <c r="K1878" s="1" t="s">
        <v>10719</v>
      </c>
      <c r="L1878" s="1" t="s">
        <v>1020</v>
      </c>
      <c r="M1878" s="1" t="s">
        <v>10732</v>
      </c>
      <c r="N1878" s="1"/>
      <c r="O1878" s="1"/>
      <c r="P1878" s="1"/>
      <c r="Q1878" s="1"/>
    </row>
    <row r="1879" spans="1:17" x14ac:dyDescent="0.25">
      <c r="A1879" s="1" t="s">
        <v>1030</v>
      </c>
      <c r="B1879" s="1" t="s">
        <v>1013</v>
      </c>
      <c r="C1879" s="1" t="s">
        <v>919</v>
      </c>
      <c r="D1879" s="1" t="s">
        <v>1070</v>
      </c>
      <c r="E1879" s="1" t="s">
        <v>976</v>
      </c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</row>
    <row r="1880" spans="1:17" x14ac:dyDescent="0.25">
      <c r="A1880" s="1" t="s">
        <v>1030</v>
      </c>
      <c r="B1880" s="1" t="s">
        <v>1013</v>
      </c>
      <c r="C1880" s="1" t="s">
        <v>919</v>
      </c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</row>
    <row r="1881" spans="1:17" x14ac:dyDescent="0.25">
      <c r="A1881" s="1" t="s">
        <v>1149</v>
      </c>
      <c r="B1881" s="1" t="s">
        <v>25</v>
      </c>
      <c r="C1881" s="1" t="s">
        <v>920</v>
      </c>
      <c r="D1881" s="1" t="s">
        <v>1086</v>
      </c>
      <c r="E1881" s="1" t="s">
        <v>933</v>
      </c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</row>
    <row r="1882" spans="1:17" x14ac:dyDescent="0.25">
      <c r="A1882" s="1" t="s">
        <v>981</v>
      </c>
      <c r="B1882" s="1" t="s">
        <v>983</v>
      </c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</row>
    <row r="1883" spans="1:17" x14ac:dyDescent="0.25">
      <c r="A1883" s="1" t="s">
        <v>948</v>
      </c>
      <c r="B1883" s="1" t="s">
        <v>918</v>
      </c>
      <c r="C1883" s="1" t="s">
        <v>25</v>
      </c>
      <c r="D1883" s="1" t="s">
        <v>919</v>
      </c>
      <c r="E1883" s="1" t="s">
        <v>920</v>
      </c>
      <c r="F1883" s="1" t="s">
        <v>954</v>
      </c>
      <c r="G1883" s="1" t="s">
        <v>927</v>
      </c>
      <c r="H1883" s="1" t="s">
        <v>1056</v>
      </c>
      <c r="I1883" s="1" t="s">
        <v>981</v>
      </c>
      <c r="J1883" s="1"/>
      <c r="K1883" s="1"/>
      <c r="L1883" s="1"/>
      <c r="M1883" s="1"/>
      <c r="N1883" s="1"/>
      <c r="O1883" s="1"/>
      <c r="P1883" s="1"/>
      <c r="Q1883" s="1"/>
    </row>
    <row r="1884" spans="1:17" x14ac:dyDescent="0.25">
      <c r="A1884" s="1" t="s">
        <v>918</v>
      </c>
      <c r="B1884" s="1" t="s">
        <v>927</v>
      </c>
      <c r="C1884" s="1" t="s">
        <v>919</v>
      </c>
      <c r="D1884" s="1" t="s">
        <v>10973</v>
      </c>
      <c r="E1884" s="1" t="s">
        <v>10727</v>
      </c>
      <c r="F1884" s="1" t="s">
        <v>10974</v>
      </c>
      <c r="G1884" s="1" t="s">
        <v>6421</v>
      </c>
      <c r="H1884" s="1"/>
      <c r="I1884" s="1"/>
      <c r="J1884" s="1"/>
      <c r="K1884" s="1"/>
      <c r="L1884" s="1"/>
      <c r="M1884" s="1"/>
      <c r="N1884" s="1"/>
      <c r="O1884" s="1"/>
      <c r="P1884" s="1"/>
      <c r="Q1884" s="1"/>
    </row>
    <row r="1885" spans="1:17" x14ac:dyDescent="0.25">
      <c r="A1885" s="1" t="s">
        <v>996</v>
      </c>
      <c r="B1885" s="1" t="s">
        <v>2541</v>
      </c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</row>
    <row r="1886" spans="1:17" x14ac:dyDescent="0.25">
      <c r="A1886" s="1" t="s">
        <v>921</v>
      </c>
      <c r="B1886" s="1" t="s">
        <v>927</v>
      </c>
      <c r="C1886" s="1" t="s">
        <v>981</v>
      </c>
      <c r="D1886" s="1" t="s">
        <v>999</v>
      </c>
      <c r="E1886" s="1" t="s">
        <v>993</v>
      </c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</row>
    <row r="1887" spans="1:17" x14ac:dyDescent="0.25">
      <c r="A1887" s="1" t="s">
        <v>996</v>
      </c>
      <c r="B1887" s="1" t="s">
        <v>997</v>
      </c>
      <c r="C1887" s="1" t="s">
        <v>998</v>
      </c>
      <c r="D1887" s="1" t="s">
        <v>992</v>
      </c>
      <c r="E1887" s="1" t="s">
        <v>933</v>
      </c>
      <c r="F1887" s="1" t="s">
        <v>994</v>
      </c>
      <c r="G1887" s="1" t="s">
        <v>927</v>
      </c>
      <c r="H1887" s="1" t="s">
        <v>953</v>
      </c>
      <c r="I1887" s="1" t="s">
        <v>943</v>
      </c>
      <c r="J1887" s="1" t="s">
        <v>983</v>
      </c>
      <c r="K1887" s="1" t="s">
        <v>919</v>
      </c>
      <c r="L1887" s="1" t="s">
        <v>984</v>
      </c>
      <c r="M1887" s="1"/>
      <c r="N1887" s="1"/>
      <c r="O1887" s="1"/>
      <c r="P1887" s="1"/>
      <c r="Q1887" s="1"/>
    </row>
    <row r="1888" spans="1:17" x14ac:dyDescent="0.25">
      <c r="A1888" s="1" t="s">
        <v>25</v>
      </c>
      <c r="B1888" s="1" t="s">
        <v>919</v>
      </c>
      <c r="C1888" s="1" t="s">
        <v>920</v>
      </c>
      <c r="D1888" s="1" t="s">
        <v>921</v>
      </c>
      <c r="E1888" s="1" t="s">
        <v>1001</v>
      </c>
      <c r="F1888" s="1" t="s">
        <v>1016</v>
      </c>
      <c r="G1888" s="1" t="s">
        <v>152</v>
      </c>
      <c r="H1888" s="1"/>
      <c r="I1888" s="1"/>
      <c r="J1888" s="1"/>
      <c r="K1888" s="1"/>
      <c r="L1888" s="1"/>
      <c r="M1888" s="1"/>
      <c r="N1888" s="1"/>
      <c r="O1888" s="1"/>
      <c r="P1888" s="1"/>
      <c r="Q1888" s="1"/>
    </row>
    <row r="1889" spans="1:17" x14ac:dyDescent="0.25">
      <c r="A1889" s="1" t="s">
        <v>996</v>
      </c>
      <c r="B1889" s="1" t="s">
        <v>25</v>
      </c>
      <c r="C1889" s="1" t="s">
        <v>997</v>
      </c>
      <c r="D1889" s="1" t="s">
        <v>927</v>
      </c>
      <c r="E1889" s="1" t="s">
        <v>998</v>
      </c>
      <c r="F1889" s="1" t="s">
        <v>992</v>
      </c>
      <c r="G1889" s="1" t="s">
        <v>933</v>
      </c>
      <c r="H1889" s="1" t="s">
        <v>994</v>
      </c>
      <c r="I1889" s="1"/>
      <c r="J1889" s="1"/>
      <c r="K1889" s="1"/>
      <c r="L1889" s="1"/>
      <c r="M1889" s="1"/>
      <c r="N1889" s="1"/>
      <c r="O1889" s="1"/>
      <c r="P1889" s="1"/>
      <c r="Q1889" s="1"/>
    </row>
    <row r="1890" spans="1:17" x14ac:dyDescent="0.25">
      <c r="A1890" s="1" t="s">
        <v>50</v>
      </c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</row>
    <row r="1891" spans="1:17" x14ac:dyDescent="0.25">
      <c r="A1891" s="1" t="s">
        <v>25</v>
      </c>
      <c r="B1891" s="1" t="s">
        <v>923</v>
      </c>
      <c r="C1891" s="1" t="s">
        <v>997</v>
      </c>
      <c r="D1891" s="1" t="s">
        <v>927</v>
      </c>
      <c r="E1891" s="1" t="s">
        <v>10924</v>
      </c>
      <c r="F1891" s="1" t="s">
        <v>920</v>
      </c>
      <c r="G1891" s="1" t="s">
        <v>933</v>
      </c>
      <c r="H1891" s="1" t="s">
        <v>954</v>
      </c>
      <c r="I1891" s="1" t="s">
        <v>974</v>
      </c>
      <c r="J1891" s="1" t="s">
        <v>921</v>
      </c>
      <c r="K1891" s="1" t="s">
        <v>998</v>
      </c>
      <c r="L1891" s="1" t="s">
        <v>1086</v>
      </c>
      <c r="M1891" s="1" t="s">
        <v>992</v>
      </c>
      <c r="N1891" s="1"/>
      <c r="O1891" s="1"/>
      <c r="P1891" s="1"/>
      <c r="Q1891" s="1"/>
    </row>
    <row r="1892" spans="1:17" x14ac:dyDescent="0.25">
      <c r="A1892" s="1" t="s">
        <v>25</v>
      </c>
      <c r="B1892" s="1" t="s">
        <v>923</v>
      </c>
      <c r="C1892" s="1" t="s">
        <v>1086</v>
      </c>
      <c r="D1892" s="1" t="s">
        <v>920</v>
      </c>
      <c r="E1892" s="1" t="s">
        <v>933</v>
      </c>
      <c r="F1892" s="1" t="s">
        <v>954</v>
      </c>
      <c r="G1892" s="1" t="s">
        <v>974</v>
      </c>
      <c r="H1892" s="1" t="s">
        <v>10719</v>
      </c>
      <c r="I1892" s="1" t="s">
        <v>950</v>
      </c>
      <c r="J1892" s="1" t="s">
        <v>921</v>
      </c>
      <c r="K1892" s="1" t="s">
        <v>10720</v>
      </c>
      <c r="L1892" s="1" t="s">
        <v>1141</v>
      </c>
      <c r="M1892" s="1"/>
      <c r="N1892" s="1"/>
      <c r="O1892" s="1"/>
      <c r="P1892" s="1"/>
      <c r="Q1892" s="1"/>
    </row>
    <row r="1893" spans="1:17" x14ac:dyDescent="0.25">
      <c r="A1893" s="1" t="s">
        <v>25</v>
      </c>
      <c r="B1893" s="1" t="s">
        <v>923</v>
      </c>
      <c r="C1893" s="1" t="s">
        <v>920</v>
      </c>
      <c r="D1893" s="1" t="s">
        <v>933</v>
      </c>
      <c r="E1893" s="1" t="s">
        <v>954</v>
      </c>
      <c r="F1893" s="1" t="s">
        <v>1141</v>
      </c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</row>
    <row r="1894" spans="1:17" x14ac:dyDescent="0.25">
      <c r="A1894" s="1" t="s">
        <v>1086</v>
      </c>
      <c r="B1894" s="1" t="s">
        <v>933</v>
      </c>
      <c r="C1894" s="1" t="s">
        <v>2541</v>
      </c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</row>
    <row r="1895" spans="1:17" x14ac:dyDescent="0.25">
      <c r="A1895" s="1" t="s">
        <v>993</v>
      </c>
      <c r="B1895" s="1" t="s">
        <v>996</v>
      </c>
      <c r="C1895" s="1" t="s">
        <v>25</v>
      </c>
      <c r="D1895" s="1" t="s">
        <v>997</v>
      </c>
      <c r="E1895" s="1" t="s">
        <v>927</v>
      </c>
      <c r="F1895" s="1" t="s">
        <v>998</v>
      </c>
      <c r="G1895" s="1" t="s">
        <v>994</v>
      </c>
      <c r="H1895" s="1"/>
      <c r="I1895" s="1"/>
      <c r="J1895" s="1"/>
      <c r="K1895" s="1"/>
      <c r="L1895" s="1"/>
      <c r="M1895" s="1"/>
      <c r="N1895" s="1"/>
      <c r="O1895" s="1"/>
      <c r="P1895" s="1"/>
      <c r="Q1895" s="1"/>
    </row>
    <row r="1896" spans="1:17" x14ac:dyDescent="0.25">
      <c r="A1896" s="1" t="s">
        <v>25</v>
      </c>
      <c r="B1896" s="1" t="s">
        <v>927</v>
      </c>
      <c r="C1896" s="1" t="s">
        <v>998</v>
      </c>
      <c r="D1896" s="1" t="s">
        <v>1086</v>
      </c>
      <c r="E1896" s="1" t="s">
        <v>920</v>
      </c>
      <c r="F1896" s="1" t="s">
        <v>933</v>
      </c>
      <c r="G1896" s="1" t="s">
        <v>921</v>
      </c>
      <c r="H1896" s="1" t="s">
        <v>926</v>
      </c>
      <c r="I1896" s="1" t="s">
        <v>10731</v>
      </c>
      <c r="J1896" s="1" t="s">
        <v>10975</v>
      </c>
      <c r="K1896" s="1" t="s">
        <v>981</v>
      </c>
      <c r="L1896" s="1" t="s">
        <v>928</v>
      </c>
      <c r="M1896" s="1"/>
      <c r="N1896" s="1"/>
      <c r="O1896" s="1"/>
      <c r="P1896" s="1"/>
      <c r="Q1896" s="1"/>
    </row>
    <row r="1897" spans="1:17" x14ac:dyDescent="0.25">
      <c r="A1897" s="1" t="s">
        <v>2541</v>
      </c>
      <c r="B1897" s="1" t="s">
        <v>1001</v>
      </c>
      <c r="C1897" s="1" t="s">
        <v>10751</v>
      </c>
      <c r="D1897" s="1" t="s">
        <v>927</v>
      </c>
      <c r="E1897" s="1" t="s">
        <v>919</v>
      </c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</row>
    <row r="1898" spans="1:17" x14ac:dyDescent="0.25">
      <c r="A1898" s="1" t="s">
        <v>996</v>
      </c>
      <c r="B1898" s="1" t="s">
        <v>999</v>
      </c>
      <c r="C1898" s="1" t="s">
        <v>921</v>
      </c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</row>
    <row r="1899" spans="1:17" x14ac:dyDescent="0.25">
      <c r="A1899" s="1" t="s">
        <v>918</v>
      </c>
      <c r="B1899" s="1" t="s">
        <v>1143</v>
      </c>
      <c r="C1899" s="1" t="s">
        <v>955</v>
      </c>
      <c r="D1899" s="1" t="s">
        <v>995</v>
      </c>
      <c r="E1899" s="1" t="s">
        <v>919</v>
      </c>
      <c r="F1899" s="1" t="s">
        <v>924</v>
      </c>
      <c r="G1899" s="1" t="s">
        <v>1014</v>
      </c>
      <c r="H1899" s="1" t="s">
        <v>944</v>
      </c>
      <c r="I1899" s="1" t="s">
        <v>956</v>
      </c>
      <c r="J1899" s="1" t="s">
        <v>1013</v>
      </c>
      <c r="K1899" s="1" t="s">
        <v>941</v>
      </c>
      <c r="L1899" s="1" t="s">
        <v>1034</v>
      </c>
      <c r="M1899" s="1" t="s">
        <v>10741</v>
      </c>
      <c r="N1899" s="1" t="s">
        <v>10739</v>
      </c>
      <c r="O1899" s="1" t="s">
        <v>10871</v>
      </c>
      <c r="P1899" s="1"/>
      <c r="Q1899" s="1"/>
    </row>
    <row r="1900" spans="1:17" x14ac:dyDescent="0.25">
      <c r="A1900" s="1" t="s">
        <v>335</v>
      </c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</row>
    <row r="1901" spans="1:17" x14ac:dyDescent="0.25">
      <c r="A1901" s="1" t="s">
        <v>940</v>
      </c>
      <c r="B1901" s="1" t="s">
        <v>1011</v>
      </c>
      <c r="C1901" s="1" t="s">
        <v>25</v>
      </c>
      <c r="D1901" s="1" t="s">
        <v>920</v>
      </c>
      <c r="E1901" s="1" t="s">
        <v>921</v>
      </c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</row>
    <row r="1902" spans="1:17" x14ac:dyDescent="0.25">
      <c r="A1902" s="1" t="s">
        <v>934</v>
      </c>
      <c r="B1902" s="1" t="s">
        <v>918</v>
      </c>
      <c r="C1902" s="1" t="s">
        <v>25</v>
      </c>
      <c r="D1902" s="1" t="s">
        <v>919</v>
      </c>
      <c r="E1902" s="1" t="s">
        <v>920</v>
      </c>
      <c r="F1902" s="1" t="s">
        <v>924</v>
      </c>
      <c r="G1902" s="1" t="s">
        <v>955</v>
      </c>
      <c r="H1902" s="1" t="s">
        <v>1071</v>
      </c>
      <c r="I1902" s="1" t="s">
        <v>1014</v>
      </c>
      <c r="J1902" s="1"/>
      <c r="K1902" s="1"/>
      <c r="L1902" s="1"/>
      <c r="M1902" s="1"/>
      <c r="N1902" s="1"/>
      <c r="O1902" s="1"/>
      <c r="P1902" s="1"/>
      <c r="Q1902" s="1"/>
    </row>
    <row r="1903" spans="1:17" x14ac:dyDescent="0.25">
      <c r="A1903" s="1" t="s">
        <v>918</v>
      </c>
      <c r="B1903" s="1" t="s">
        <v>1110</v>
      </c>
      <c r="C1903" s="1" t="s">
        <v>25</v>
      </c>
      <c r="D1903" s="1" t="s">
        <v>923</v>
      </c>
      <c r="E1903" s="1" t="s">
        <v>919</v>
      </c>
      <c r="F1903" s="1" t="s">
        <v>920</v>
      </c>
      <c r="G1903" s="1" t="s">
        <v>954</v>
      </c>
      <c r="H1903" s="1" t="s">
        <v>328</v>
      </c>
      <c r="I1903" s="1" t="s">
        <v>921</v>
      </c>
      <c r="J1903" s="1" t="s">
        <v>964</v>
      </c>
      <c r="K1903" s="1" t="s">
        <v>934</v>
      </c>
      <c r="L1903" s="1" t="s">
        <v>965</v>
      </c>
      <c r="M1903" s="1" t="s">
        <v>840</v>
      </c>
      <c r="N1903" s="1"/>
      <c r="O1903" s="1"/>
      <c r="P1903" s="1"/>
      <c r="Q1903" s="1"/>
    </row>
    <row r="1904" spans="1:17" x14ac:dyDescent="0.25">
      <c r="A1904" s="1" t="s">
        <v>10743</v>
      </c>
      <c r="B1904" s="1" t="s">
        <v>84</v>
      </c>
      <c r="C1904" s="1" t="s">
        <v>10976</v>
      </c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</row>
    <row r="1905" spans="1:17" x14ac:dyDescent="0.25">
      <c r="A1905" s="1" t="s">
        <v>918</v>
      </c>
      <c r="B1905" s="1" t="s">
        <v>949</v>
      </c>
      <c r="C1905" s="1" t="s">
        <v>25</v>
      </c>
      <c r="D1905" s="1" t="s">
        <v>923</v>
      </c>
      <c r="E1905" s="1" t="s">
        <v>919</v>
      </c>
      <c r="F1905" s="1" t="s">
        <v>920</v>
      </c>
      <c r="G1905" s="1" t="s">
        <v>974</v>
      </c>
      <c r="H1905" s="1" t="s">
        <v>921</v>
      </c>
      <c r="I1905" s="1" t="s">
        <v>924</v>
      </c>
      <c r="J1905" s="1" t="s">
        <v>1076</v>
      </c>
      <c r="K1905" s="1" t="s">
        <v>1077</v>
      </c>
      <c r="L1905" s="1" t="s">
        <v>983</v>
      </c>
      <c r="M1905" s="1" t="s">
        <v>984</v>
      </c>
      <c r="N1905" s="1"/>
      <c r="O1905" s="1"/>
      <c r="P1905" s="1"/>
      <c r="Q1905" s="1"/>
    </row>
    <row r="1906" spans="1:17" x14ac:dyDescent="0.25">
      <c r="A1906" s="1" t="s">
        <v>923</v>
      </c>
      <c r="B1906" s="1" t="s">
        <v>934</v>
      </c>
      <c r="C1906" s="1" t="s">
        <v>25</v>
      </c>
      <c r="D1906" s="1" t="s">
        <v>6421</v>
      </c>
      <c r="E1906" s="1" t="s">
        <v>920</v>
      </c>
      <c r="F1906" s="1" t="s">
        <v>328</v>
      </c>
      <c r="G1906" s="1" t="s">
        <v>921</v>
      </c>
      <c r="H1906" s="1" t="s">
        <v>1013</v>
      </c>
      <c r="I1906" s="1"/>
      <c r="J1906" s="1"/>
      <c r="K1906" s="1"/>
      <c r="L1906" s="1"/>
      <c r="M1906" s="1"/>
      <c r="N1906" s="1"/>
      <c r="O1906" s="1"/>
      <c r="P1906" s="1"/>
      <c r="Q1906" s="1"/>
    </row>
    <row r="1907" spans="1:17" x14ac:dyDescent="0.25">
      <c r="A1907" s="1" t="s">
        <v>994</v>
      </c>
      <c r="B1907" s="1" t="s">
        <v>933</v>
      </c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</row>
    <row r="1908" spans="1:17" x14ac:dyDescent="0.25">
      <c r="A1908" s="1" t="s">
        <v>918</v>
      </c>
      <c r="B1908" s="1" t="s">
        <v>25</v>
      </c>
      <c r="C1908" s="1" t="s">
        <v>1148</v>
      </c>
      <c r="D1908" s="1" t="s">
        <v>923</v>
      </c>
      <c r="E1908" s="1" t="s">
        <v>927</v>
      </c>
      <c r="F1908" s="1" t="s">
        <v>1086</v>
      </c>
      <c r="G1908" s="1" t="s">
        <v>920</v>
      </c>
      <c r="H1908" s="1"/>
      <c r="I1908" s="1"/>
      <c r="J1908" s="1"/>
      <c r="K1908" s="1"/>
      <c r="L1908" s="1"/>
      <c r="M1908" s="1"/>
      <c r="N1908" s="1"/>
      <c r="O1908" s="1"/>
      <c r="P1908" s="1"/>
      <c r="Q1908" s="1"/>
    </row>
    <row r="1909" spans="1:17" x14ac:dyDescent="0.25">
      <c r="A1909" s="1" t="s">
        <v>1053</v>
      </c>
      <c r="B1909" s="1" t="s">
        <v>10977</v>
      </c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</row>
    <row r="1910" spans="1:17" x14ac:dyDescent="0.25">
      <c r="A1910" s="1" t="s">
        <v>10885</v>
      </c>
      <c r="B1910" s="1" t="s">
        <v>10886</v>
      </c>
      <c r="C1910" s="1" t="s">
        <v>10887</v>
      </c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</row>
    <row r="1911" spans="1:17" x14ac:dyDescent="0.25">
      <c r="A1911" s="1" t="s">
        <v>10885</v>
      </c>
      <c r="B1911" s="1" t="s">
        <v>10886</v>
      </c>
      <c r="C1911" s="1" t="s">
        <v>10887</v>
      </c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</row>
    <row r="1912" spans="1:17" x14ac:dyDescent="0.25">
      <c r="A1912" s="1" t="s">
        <v>25</v>
      </c>
      <c r="B1912" s="1" t="s">
        <v>927</v>
      </c>
      <c r="C1912" s="1" t="s">
        <v>998</v>
      </c>
      <c r="D1912" s="1" t="s">
        <v>920</v>
      </c>
      <c r="E1912" s="1" t="s">
        <v>933</v>
      </c>
      <c r="F1912" s="1" t="s">
        <v>921</v>
      </c>
      <c r="G1912" s="1" t="s">
        <v>1000</v>
      </c>
      <c r="H1912" s="1"/>
      <c r="I1912" s="1"/>
      <c r="J1912" s="1"/>
      <c r="K1912" s="1"/>
      <c r="L1912" s="1"/>
      <c r="M1912" s="1"/>
      <c r="N1912" s="1"/>
      <c r="O1912" s="1"/>
      <c r="P1912" s="1"/>
      <c r="Q1912" s="1"/>
    </row>
    <row r="1913" spans="1:17" x14ac:dyDescent="0.25">
      <c r="A1913" s="1" t="s">
        <v>50</v>
      </c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</row>
    <row r="1914" spans="1:17" x14ac:dyDescent="0.25">
      <c r="A1914" s="1" t="s">
        <v>50</v>
      </c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</row>
    <row r="1915" spans="1:17" x14ac:dyDescent="0.25">
      <c r="A1915" s="1" t="s">
        <v>50</v>
      </c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</row>
    <row r="1916" spans="1:17" x14ac:dyDescent="0.25">
      <c r="A1916" s="1" t="s">
        <v>996</v>
      </c>
      <c r="B1916" s="1" t="s">
        <v>2541</v>
      </c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</row>
    <row r="1917" spans="1:17" x14ac:dyDescent="0.25">
      <c r="A1917" s="1" t="s">
        <v>10804</v>
      </c>
      <c r="B1917" s="1" t="s">
        <v>961</v>
      </c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</row>
    <row r="1918" spans="1:17" x14ac:dyDescent="0.25">
      <c r="A1918" s="1" t="s">
        <v>997</v>
      </c>
      <c r="B1918" s="1" t="s">
        <v>927</v>
      </c>
      <c r="C1918" s="1" t="s">
        <v>998</v>
      </c>
      <c r="D1918" s="1" t="s">
        <v>1086</v>
      </c>
      <c r="E1918" s="1" t="s">
        <v>933</v>
      </c>
      <c r="F1918" s="1" t="s">
        <v>994</v>
      </c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</row>
    <row r="1919" spans="1:17" x14ac:dyDescent="0.25">
      <c r="A1919" s="1" t="s">
        <v>983</v>
      </c>
      <c r="B1919" s="1" t="s">
        <v>10833</v>
      </c>
      <c r="C1919" s="1" t="s">
        <v>10834</v>
      </c>
      <c r="D1919" s="1" t="s">
        <v>10835</v>
      </c>
      <c r="E1919" s="1" t="s">
        <v>984</v>
      </c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</row>
    <row r="1920" spans="1:17" x14ac:dyDescent="0.25">
      <c r="A1920" s="1" t="s">
        <v>1149</v>
      </c>
      <c r="B1920" s="1" t="s">
        <v>25</v>
      </c>
      <c r="C1920" s="1" t="s">
        <v>923</v>
      </c>
      <c r="D1920" s="1" t="s">
        <v>998</v>
      </c>
      <c r="E1920" s="1" t="s">
        <v>1086</v>
      </c>
      <c r="F1920" s="1" t="s">
        <v>920</v>
      </c>
      <c r="G1920" s="1" t="s">
        <v>933</v>
      </c>
      <c r="H1920" s="1" t="s">
        <v>10719</v>
      </c>
      <c r="I1920" s="1" t="s">
        <v>992</v>
      </c>
      <c r="J1920" s="1"/>
      <c r="K1920" s="1"/>
      <c r="L1920" s="1"/>
      <c r="M1920" s="1"/>
      <c r="N1920" s="1"/>
      <c r="O1920" s="1"/>
      <c r="P1920" s="1"/>
      <c r="Q1920" s="1"/>
    </row>
    <row r="1921" spans="1:17" x14ac:dyDescent="0.25">
      <c r="A1921" s="1" t="s">
        <v>1149</v>
      </c>
      <c r="B1921" s="1" t="s">
        <v>25</v>
      </c>
      <c r="C1921" s="1" t="s">
        <v>923</v>
      </c>
      <c r="D1921" s="1" t="s">
        <v>998</v>
      </c>
      <c r="E1921" s="1" t="s">
        <v>1086</v>
      </c>
      <c r="F1921" s="1" t="s">
        <v>920</v>
      </c>
      <c r="G1921" s="1" t="s">
        <v>933</v>
      </c>
      <c r="H1921" s="1" t="s">
        <v>10719</v>
      </c>
      <c r="I1921" s="1" t="s">
        <v>978</v>
      </c>
      <c r="J1921" s="1"/>
      <c r="K1921" s="1"/>
      <c r="L1921" s="1"/>
      <c r="M1921" s="1"/>
      <c r="N1921" s="1"/>
      <c r="O1921" s="1"/>
      <c r="P1921" s="1"/>
      <c r="Q1921" s="1"/>
    </row>
    <row r="1922" spans="1:17" x14ac:dyDescent="0.25">
      <c r="A1922" s="1" t="s">
        <v>1149</v>
      </c>
      <c r="B1922" s="1" t="s">
        <v>25</v>
      </c>
      <c r="C1922" s="1" t="s">
        <v>923</v>
      </c>
      <c r="D1922" s="1" t="s">
        <v>998</v>
      </c>
      <c r="E1922" s="1" t="s">
        <v>1086</v>
      </c>
      <c r="F1922" s="1" t="s">
        <v>920</v>
      </c>
      <c r="G1922" s="1" t="s">
        <v>933</v>
      </c>
      <c r="H1922" s="1" t="s">
        <v>10719</v>
      </c>
      <c r="I1922" s="1" t="s">
        <v>978</v>
      </c>
      <c r="J1922" s="1" t="s">
        <v>2927</v>
      </c>
      <c r="K1922" s="1" t="s">
        <v>1053</v>
      </c>
      <c r="L1922" s="1"/>
      <c r="M1922" s="1"/>
      <c r="N1922" s="1"/>
      <c r="O1922" s="1"/>
      <c r="P1922" s="1"/>
      <c r="Q1922" s="1"/>
    </row>
    <row r="1923" spans="1:17" x14ac:dyDescent="0.25">
      <c r="A1923" s="1" t="s">
        <v>918</v>
      </c>
      <c r="B1923" s="1" t="s">
        <v>1136</v>
      </c>
      <c r="C1923" s="1" t="s">
        <v>1137</v>
      </c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</row>
    <row r="1924" spans="1:17" x14ac:dyDescent="0.25">
      <c r="A1924" s="1" t="s">
        <v>918</v>
      </c>
      <c r="B1924" s="1" t="s">
        <v>1136</v>
      </c>
      <c r="C1924" s="1" t="s">
        <v>1137</v>
      </c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</row>
    <row r="1925" spans="1:17" x14ac:dyDescent="0.25">
      <c r="A1925" s="1" t="s">
        <v>50</v>
      </c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</row>
    <row r="1926" spans="1:17" x14ac:dyDescent="0.25">
      <c r="A1926" s="1" t="s">
        <v>50</v>
      </c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</row>
    <row r="1927" spans="1:17" x14ac:dyDescent="0.25">
      <c r="A1927" s="1" t="s">
        <v>50</v>
      </c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</row>
    <row r="1928" spans="1:17" x14ac:dyDescent="0.25">
      <c r="A1928" s="1" t="s">
        <v>50</v>
      </c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</row>
    <row r="1929" spans="1:17" x14ac:dyDescent="0.25">
      <c r="A1929" s="1" t="s">
        <v>50</v>
      </c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</row>
    <row r="1930" spans="1:17" x14ac:dyDescent="0.25">
      <c r="A1930" s="1" t="s">
        <v>50</v>
      </c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</row>
    <row r="1931" spans="1:17" x14ac:dyDescent="0.25">
      <c r="A1931" s="1" t="s">
        <v>1149</v>
      </c>
      <c r="B1931" s="1" t="s">
        <v>25</v>
      </c>
      <c r="C1931" s="1" t="s">
        <v>920</v>
      </c>
      <c r="D1931" s="1" t="s">
        <v>927</v>
      </c>
      <c r="E1931" s="1" t="s">
        <v>998</v>
      </c>
      <c r="F1931" s="1" t="s">
        <v>1086</v>
      </c>
      <c r="G1931" s="1" t="s">
        <v>933</v>
      </c>
      <c r="H1931" s="1" t="s">
        <v>921</v>
      </c>
      <c r="I1931" s="1"/>
      <c r="J1931" s="1"/>
      <c r="K1931" s="1"/>
      <c r="L1931" s="1"/>
      <c r="M1931" s="1"/>
      <c r="N1931" s="1"/>
      <c r="O1931" s="1"/>
      <c r="P1931" s="1"/>
      <c r="Q1931" s="1"/>
    </row>
    <row r="1932" spans="1:17" x14ac:dyDescent="0.25">
      <c r="A1932" s="1" t="s">
        <v>1149</v>
      </c>
      <c r="B1932" s="1" t="s">
        <v>25</v>
      </c>
      <c r="C1932" s="1" t="s">
        <v>920</v>
      </c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</row>
    <row r="1933" spans="1:17" x14ac:dyDescent="0.25">
      <c r="A1933" s="1" t="s">
        <v>1107</v>
      </c>
      <c r="B1933" s="1" t="s">
        <v>918</v>
      </c>
      <c r="C1933" s="1" t="s">
        <v>919</v>
      </c>
      <c r="D1933" s="1" t="s">
        <v>945</v>
      </c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</row>
    <row r="1934" spans="1:17" x14ac:dyDescent="0.25">
      <c r="A1934" s="1" t="s">
        <v>1107</v>
      </c>
      <c r="B1934" s="1" t="s">
        <v>918</v>
      </c>
      <c r="C1934" s="1" t="s">
        <v>919</v>
      </c>
      <c r="D1934" s="1" t="s">
        <v>945</v>
      </c>
      <c r="E1934" s="1" t="s">
        <v>10978</v>
      </c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</row>
    <row r="1935" spans="1:17" x14ac:dyDescent="0.25">
      <c r="A1935" s="1" t="s">
        <v>1107</v>
      </c>
      <c r="B1935" s="1" t="s">
        <v>918</v>
      </c>
      <c r="C1935" s="1" t="s">
        <v>919</v>
      </c>
      <c r="D1935" s="1" t="s">
        <v>945</v>
      </c>
      <c r="E1935" s="1" t="s">
        <v>10734</v>
      </c>
      <c r="F1935" s="1" t="s">
        <v>955</v>
      </c>
      <c r="G1935" s="1" t="s">
        <v>1014</v>
      </c>
      <c r="H1935" s="1"/>
      <c r="I1935" s="1"/>
      <c r="J1935" s="1"/>
      <c r="K1935" s="1"/>
      <c r="L1935" s="1"/>
      <c r="M1935" s="1"/>
      <c r="N1935" s="1"/>
      <c r="O1935" s="1"/>
      <c r="P1935" s="1"/>
      <c r="Q1935" s="1"/>
    </row>
    <row r="1936" spans="1:17" x14ac:dyDescent="0.25">
      <c r="A1936" s="1" t="s">
        <v>934</v>
      </c>
      <c r="B1936" s="1" t="s">
        <v>948</v>
      </c>
      <c r="C1936" s="1" t="s">
        <v>918</v>
      </c>
      <c r="D1936" s="1" t="s">
        <v>949</v>
      </c>
      <c r="E1936" s="1" t="s">
        <v>25</v>
      </c>
      <c r="F1936" s="1" t="s">
        <v>916</v>
      </c>
      <c r="G1936" s="1" t="s">
        <v>919</v>
      </c>
      <c r="H1936" s="1" t="s">
        <v>920</v>
      </c>
      <c r="I1936" s="1" t="s">
        <v>328</v>
      </c>
      <c r="J1936" s="1" t="s">
        <v>950</v>
      </c>
      <c r="K1936" s="1" t="s">
        <v>921</v>
      </c>
      <c r="L1936" s="1" t="s">
        <v>922</v>
      </c>
      <c r="M1936" s="1" t="s">
        <v>924</v>
      </c>
      <c r="N1936" s="1" t="s">
        <v>936</v>
      </c>
      <c r="O1936" s="1" t="s">
        <v>929</v>
      </c>
      <c r="P1936" s="1"/>
      <c r="Q1936" s="1"/>
    </row>
    <row r="1937" spans="1:17" x14ac:dyDescent="0.25">
      <c r="A1937" s="1" t="s">
        <v>918</v>
      </c>
      <c r="B1937" s="1" t="s">
        <v>919</v>
      </c>
      <c r="C1937" s="1" t="s">
        <v>920</v>
      </c>
      <c r="D1937" s="1" t="s">
        <v>936</v>
      </c>
      <c r="E1937" s="1" t="s">
        <v>921</v>
      </c>
      <c r="F1937" s="1" t="s">
        <v>929</v>
      </c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</row>
    <row r="1938" spans="1:17" x14ac:dyDescent="0.25">
      <c r="A1938" s="1" t="s">
        <v>918</v>
      </c>
      <c r="B1938" s="1" t="s">
        <v>919</v>
      </c>
      <c r="C1938" s="1" t="s">
        <v>920</v>
      </c>
      <c r="D1938" s="1" t="s">
        <v>936</v>
      </c>
      <c r="E1938" s="1" t="s">
        <v>921</v>
      </c>
      <c r="F1938" s="1" t="s">
        <v>929</v>
      </c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</row>
    <row r="1939" spans="1:17" x14ac:dyDescent="0.25">
      <c r="A1939" s="1" t="s">
        <v>918</v>
      </c>
      <c r="B1939" s="1" t="s">
        <v>919</v>
      </c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</row>
    <row r="1940" spans="1:17" x14ac:dyDescent="0.25">
      <c r="A1940" s="1" t="s">
        <v>918</v>
      </c>
      <c r="B1940" s="1" t="s">
        <v>919</v>
      </c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</row>
    <row r="1941" spans="1:17" x14ac:dyDescent="0.25">
      <c r="A1941" s="1" t="s">
        <v>996</v>
      </c>
      <c r="B1941" s="1" t="s">
        <v>2541</v>
      </c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</row>
    <row r="1942" spans="1:17" x14ac:dyDescent="0.25">
      <c r="A1942" s="1" t="s">
        <v>996</v>
      </c>
      <c r="B1942" s="1" t="s">
        <v>997</v>
      </c>
      <c r="C1942" s="1" t="s">
        <v>2541</v>
      </c>
      <c r="D1942" s="1" t="s">
        <v>994</v>
      </c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</row>
    <row r="1943" spans="1:17" x14ac:dyDescent="0.25">
      <c r="A1943" s="1" t="s">
        <v>50</v>
      </c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</row>
    <row r="1944" spans="1:17" x14ac:dyDescent="0.25">
      <c r="A1944" s="1" t="s">
        <v>50</v>
      </c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</row>
    <row r="1945" spans="1:17" x14ac:dyDescent="0.25">
      <c r="A1945" s="1" t="s">
        <v>25</v>
      </c>
      <c r="B1945" s="1" t="s">
        <v>923</v>
      </c>
      <c r="C1945" s="1" t="s">
        <v>920</v>
      </c>
      <c r="D1945" s="1" t="s">
        <v>933</v>
      </c>
      <c r="E1945" s="1" t="s">
        <v>954</v>
      </c>
      <c r="F1945" s="1" t="s">
        <v>974</v>
      </c>
      <c r="G1945" s="1" t="s">
        <v>1054</v>
      </c>
      <c r="H1945" s="1" t="s">
        <v>4887</v>
      </c>
      <c r="I1945" s="1" t="s">
        <v>1000</v>
      </c>
      <c r="J1945" s="1"/>
      <c r="K1945" s="1"/>
      <c r="L1945" s="1"/>
      <c r="M1945" s="1"/>
      <c r="N1945" s="1"/>
      <c r="O1945" s="1"/>
      <c r="P1945" s="1"/>
      <c r="Q1945" s="1"/>
    </row>
    <row r="1946" spans="1:17" x14ac:dyDescent="0.25">
      <c r="A1946" s="1" t="s">
        <v>2541</v>
      </c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</row>
    <row r="1947" spans="1:17" x14ac:dyDescent="0.25">
      <c r="A1947" s="1" t="s">
        <v>918</v>
      </c>
      <c r="B1947" s="1" t="s">
        <v>927</v>
      </c>
      <c r="C1947" s="1" t="s">
        <v>919</v>
      </c>
      <c r="D1947" s="1" t="s">
        <v>936</v>
      </c>
      <c r="E1947" s="1" t="s">
        <v>1037</v>
      </c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</row>
    <row r="1948" spans="1:17" x14ac:dyDescent="0.25">
      <c r="A1948" s="1" t="s">
        <v>948</v>
      </c>
      <c r="B1948" s="1" t="s">
        <v>1051</v>
      </c>
      <c r="C1948" s="1" t="s">
        <v>25</v>
      </c>
      <c r="D1948" s="1" t="s">
        <v>923</v>
      </c>
      <c r="E1948" s="1" t="s">
        <v>1053</v>
      </c>
      <c r="F1948" s="1" t="s">
        <v>1086</v>
      </c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</row>
    <row r="1949" spans="1:17" x14ac:dyDescent="0.25">
      <c r="A1949" s="1" t="s">
        <v>918</v>
      </c>
      <c r="B1949" s="1" t="s">
        <v>919</v>
      </c>
      <c r="C1949" s="1" t="s">
        <v>920</v>
      </c>
      <c r="D1949" s="1" t="s">
        <v>936</v>
      </c>
      <c r="E1949" s="1" t="s">
        <v>921</v>
      </c>
      <c r="F1949" s="1" t="s">
        <v>929</v>
      </c>
      <c r="G1949" s="1" t="s">
        <v>948</v>
      </c>
      <c r="H1949" s="1" t="s">
        <v>25</v>
      </c>
      <c r="I1949" s="1" t="s">
        <v>954</v>
      </c>
      <c r="J1949" s="1"/>
      <c r="K1949" s="1"/>
      <c r="L1949" s="1"/>
      <c r="M1949" s="1"/>
      <c r="N1949" s="1"/>
      <c r="O1949" s="1"/>
      <c r="P1949" s="1"/>
      <c r="Q1949" s="1"/>
    </row>
    <row r="1950" spans="1:17" x14ac:dyDescent="0.25">
      <c r="A1950" s="1" t="s">
        <v>996</v>
      </c>
      <c r="B1950" s="1" t="s">
        <v>25</v>
      </c>
      <c r="C1950" s="1" t="s">
        <v>923</v>
      </c>
      <c r="D1950" s="1" t="s">
        <v>997</v>
      </c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</row>
    <row r="1951" spans="1:17" x14ac:dyDescent="0.25">
      <c r="A1951" s="1" t="s">
        <v>25</v>
      </c>
      <c r="B1951" s="1" t="s">
        <v>1086</v>
      </c>
      <c r="C1951" s="1" t="s">
        <v>919</v>
      </c>
      <c r="D1951" s="1" t="s">
        <v>920</v>
      </c>
      <c r="E1951" s="1" t="s">
        <v>921</v>
      </c>
      <c r="F1951" s="1" t="s">
        <v>1019</v>
      </c>
      <c r="G1951" s="1" t="s">
        <v>983</v>
      </c>
      <c r="H1951" s="1" t="s">
        <v>924</v>
      </c>
      <c r="I1951" s="1" t="s">
        <v>1020</v>
      </c>
      <c r="J1951" s="1" t="s">
        <v>984</v>
      </c>
      <c r="K1951" s="1" t="s">
        <v>1021</v>
      </c>
      <c r="L1951" s="1"/>
      <c r="M1951" s="1"/>
      <c r="N1951" s="1"/>
      <c r="O1951" s="1"/>
      <c r="P1951" s="1"/>
      <c r="Q1951" s="1"/>
    </row>
    <row r="1952" spans="1:17" x14ac:dyDescent="0.25">
      <c r="A1952" s="1" t="s">
        <v>948</v>
      </c>
      <c r="B1952" s="1" t="s">
        <v>25</v>
      </c>
      <c r="C1952" s="1" t="s">
        <v>923</v>
      </c>
      <c r="D1952" s="1" t="s">
        <v>1053</v>
      </c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</row>
    <row r="1953" spans="1:17" x14ac:dyDescent="0.25">
      <c r="A1953" s="1" t="s">
        <v>996</v>
      </c>
      <c r="B1953" s="1" t="s">
        <v>25</v>
      </c>
      <c r="C1953" s="1" t="s">
        <v>923</v>
      </c>
      <c r="D1953" s="1" t="s">
        <v>997</v>
      </c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</row>
    <row r="1954" spans="1:17" x14ac:dyDescent="0.25">
      <c r="A1954" s="1" t="s">
        <v>948</v>
      </c>
      <c r="B1954" s="1" t="s">
        <v>298</v>
      </c>
      <c r="C1954" s="1" t="s">
        <v>1149</v>
      </c>
      <c r="D1954" s="1" t="s">
        <v>25</v>
      </c>
      <c r="E1954" s="1" t="s">
        <v>923</v>
      </c>
      <c r="F1954" s="1" t="s">
        <v>997</v>
      </c>
      <c r="G1954" s="1" t="s">
        <v>954</v>
      </c>
      <c r="H1954" s="1" t="s">
        <v>994</v>
      </c>
      <c r="I1954" s="1" t="s">
        <v>1069</v>
      </c>
      <c r="J1954" s="1" t="s">
        <v>1052</v>
      </c>
      <c r="K1954" s="1" t="s">
        <v>10979</v>
      </c>
      <c r="L1954" s="1" t="s">
        <v>1150</v>
      </c>
      <c r="M1954" s="1" t="s">
        <v>10980</v>
      </c>
      <c r="N1954" s="1" t="s">
        <v>1086</v>
      </c>
      <c r="O1954" s="1"/>
      <c r="P1954" s="1"/>
      <c r="Q1954" s="1"/>
    </row>
    <row r="1955" spans="1:17" x14ac:dyDescent="0.25">
      <c r="A1955" s="1" t="s">
        <v>1149</v>
      </c>
      <c r="B1955" s="1" t="s">
        <v>923</v>
      </c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</row>
    <row r="1956" spans="1:17" x14ac:dyDescent="0.25">
      <c r="A1956" s="1" t="s">
        <v>948</v>
      </c>
      <c r="B1956" s="1" t="s">
        <v>1149</v>
      </c>
      <c r="C1956" s="1" t="s">
        <v>25</v>
      </c>
      <c r="D1956" s="1" t="s">
        <v>923</v>
      </c>
      <c r="E1956" s="1" t="s">
        <v>997</v>
      </c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</row>
    <row r="1957" spans="1:17" x14ac:dyDescent="0.25">
      <c r="A1957" s="1" t="s">
        <v>1149</v>
      </c>
      <c r="B1957" s="1" t="s">
        <v>25</v>
      </c>
      <c r="C1957" s="1" t="s">
        <v>923</v>
      </c>
      <c r="D1957" s="1" t="s">
        <v>998</v>
      </c>
      <c r="E1957" s="1" t="s">
        <v>1086</v>
      </c>
      <c r="F1957" s="1" t="s">
        <v>920</v>
      </c>
      <c r="G1957" s="1" t="s">
        <v>933</v>
      </c>
      <c r="H1957" s="1" t="s">
        <v>10719</v>
      </c>
      <c r="I1957" s="1" t="s">
        <v>948</v>
      </c>
      <c r="J1957" s="1" t="s">
        <v>298</v>
      </c>
      <c r="K1957" s="1" t="s">
        <v>997</v>
      </c>
      <c r="L1957" s="1" t="s">
        <v>1150</v>
      </c>
      <c r="M1957" s="1"/>
      <c r="N1957" s="1"/>
      <c r="O1957" s="1"/>
      <c r="P1957" s="1"/>
      <c r="Q1957" s="1"/>
    </row>
    <row r="1958" spans="1:17" x14ac:dyDescent="0.25">
      <c r="A1958" s="1" t="s">
        <v>948</v>
      </c>
      <c r="B1958" s="1" t="s">
        <v>3439</v>
      </c>
      <c r="C1958" s="1" t="s">
        <v>25</v>
      </c>
      <c r="D1958" s="1" t="s">
        <v>923</v>
      </c>
      <c r="E1958" s="1" t="s">
        <v>1053</v>
      </c>
      <c r="F1958" s="1" t="s">
        <v>10814</v>
      </c>
      <c r="G1958" s="1" t="s">
        <v>256</v>
      </c>
      <c r="H1958" s="1" t="s">
        <v>298</v>
      </c>
      <c r="I1958" s="1" t="s">
        <v>2927</v>
      </c>
      <c r="J1958" s="1" t="s">
        <v>1069</v>
      </c>
      <c r="K1958" s="1" t="s">
        <v>1051</v>
      </c>
      <c r="L1958" s="1"/>
      <c r="M1958" s="1"/>
      <c r="N1958" s="1"/>
      <c r="O1958" s="1"/>
      <c r="P1958" s="1"/>
      <c r="Q1958" s="1"/>
    </row>
    <row r="1959" spans="1:17" x14ac:dyDescent="0.25">
      <c r="A1959" s="1" t="s">
        <v>948</v>
      </c>
      <c r="B1959" s="1" t="s">
        <v>10788</v>
      </c>
      <c r="C1959" s="1" t="s">
        <v>1149</v>
      </c>
      <c r="D1959" s="1" t="s">
        <v>25</v>
      </c>
      <c r="E1959" s="1" t="s">
        <v>923</v>
      </c>
      <c r="F1959" s="1" t="s">
        <v>997</v>
      </c>
      <c r="G1959" s="1" t="s">
        <v>931</v>
      </c>
      <c r="H1959" s="1" t="s">
        <v>1150</v>
      </c>
      <c r="I1959" s="1"/>
      <c r="J1959" s="1"/>
      <c r="K1959" s="1"/>
      <c r="L1959" s="1"/>
      <c r="M1959" s="1"/>
      <c r="N1959" s="1"/>
      <c r="O1959" s="1"/>
      <c r="P1959" s="1"/>
      <c r="Q1959" s="1"/>
    </row>
    <row r="1960" spans="1:17" x14ac:dyDescent="0.25">
      <c r="A1960" s="1" t="s">
        <v>948</v>
      </c>
      <c r="B1960" s="1" t="s">
        <v>298</v>
      </c>
      <c r="C1960" s="1" t="s">
        <v>1149</v>
      </c>
      <c r="D1960" s="1" t="s">
        <v>25</v>
      </c>
      <c r="E1960" s="1" t="s">
        <v>923</v>
      </c>
      <c r="F1960" s="1" t="s">
        <v>997</v>
      </c>
      <c r="G1960" s="1" t="s">
        <v>954</v>
      </c>
      <c r="H1960" s="1" t="s">
        <v>994</v>
      </c>
      <c r="I1960" s="1" t="s">
        <v>937</v>
      </c>
      <c r="J1960" s="1" t="s">
        <v>1013</v>
      </c>
      <c r="K1960" s="1" t="s">
        <v>1057</v>
      </c>
      <c r="L1960" s="1" t="s">
        <v>927</v>
      </c>
      <c r="M1960" s="1" t="s">
        <v>928</v>
      </c>
      <c r="N1960" s="1" t="s">
        <v>1059</v>
      </c>
      <c r="O1960" s="1" t="s">
        <v>922</v>
      </c>
      <c r="P1960" s="1"/>
      <c r="Q1960" s="1"/>
    </row>
    <row r="1961" spans="1:17" x14ac:dyDescent="0.25">
      <c r="A1961" s="1" t="s">
        <v>948</v>
      </c>
      <c r="B1961" s="1" t="s">
        <v>298</v>
      </c>
      <c r="C1961" s="1" t="s">
        <v>1149</v>
      </c>
      <c r="D1961" s="1" t="s">
        <v>25</v>
      </c>
      <c r="E1961" s="1" t="s">
        <v>923</v>
      </c>
      <c r="F1961" s="1" t="s">
        <v>997</v>
      </c>
      <c r="G1961" s="1" t="s">
        <v>954</v>
      </c>
      <c r="H1961" s="1" t="s">
        <v>994</v>
      </c>
      <c r="I1961" s="1" t="s">
        <v>1166</v>
      </c>
      <c r="J1961" s="1" t="s">
        <v>1150</v>
      </c>
      <c r="K1961" s="1" t="s">
        <v>1053</v>
      </c>
      <c r="L1961" s="1" t="s">
        <v>1086</v>
      </c>
      <c r="M1961" s="1" t="s">
        <v>1001</v>
      </c>
      <c r="N1961" s="1" t="s">
        <v>937</v>
      </c>
      <c r="O1961" s="1"/>
      <c r="P1961" s="1"/>
      <c r="Q1961" s="1"/>
    </row>
    <row r="1962" spans="1:17" x14ac:dyDescent="0.25">
      <c r="A1962" s="1" t="s">
        <v>964</v>
      </c>
      <c r="B1962" s="1" t="s">
        <v>948</v>
      </c>
      <c r="C1962" s="1" t="s">
        <v>1069</v>
      </c>
      <c r="D1962" s="1" t="s">
        <v>25</v>
      </c>
      <c r="E1962" s="1" t="s">
        <v>923</v>
      </c>
      <c r="F1962" s="1" t="s">
        <v>1078</v>
      </c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</row>
    <row r="1963" spans="1:17" x14ac:dyDescent="0.25">
      <c r="A1963" s="1" t="s">
        <v>964</v>
      </c>
      <c r="B1963" s="1" t="s">
        <v>948</v>
      </c>
      <c r="C1963" s="1" t="s">
        <v>1069</v>
      </c>
      <c r="D1963" s="1" t="s">
        <v>25</v>
      </c>
      <c r="E1963" s="1" t="s">
        <v>923</v>
      </c>
      <c r="F1963" s="1" t="s">
        <v>1078</v>
      </c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</row>
    <row r="1964" spans="1:17" x14ac:dyDescent="0.25">
      <c r="A1964" s="1" t="s">
        <v>964</v>
      </c>
      <c r="B1964" s="1" t="s">
        <v>948</v>
      </c>
      <c r="C1964" s="1" t="s">
        <v>1069</v>
      </c>
      <c r="D1964" s="1" t="s">
        <v>25</v>
      </c>
      <c r="E1964" s="1" t="s">
        <v>923</v>
      </c>
      <c r="F1964" s="1" t="s">
        <v>1078</v>
      </c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</row>
    <row r="1965" spans="1:17" x14ac:dyDescent="0.25">
      <c r="A1965" s="1" t="s">
        <v>948</v>
      </c>
      <c r="B1965" s="1" t="s">
        <v>918</v>
      </c>
      <c r="C1965" s="1" t="s">
        <v>25</v>
      </c>
      <c r="D1965" s="1" t="s">
        <v>923</v>
      </c>
      <c r="E1965" s="1" t="s">
        <v>997</v>
      </c>
      <c r="F1965" s="1" t="s">
        <v>927</v>
      </c>
      <c r="G1965" s="1" t="s">
        <v>916</v>
      </c>
      <c r="H1965" s="1" t="s">
        <v>1078</v>
      </c>
      <c r="I1965" s="1" t="s">
        <v>919</v>
      </c>
      <c r="J1965" s="1" t="s">
        <v>920</v>
      </c>
      <c r="K1965" s="1" t="s">
        <v>328</v>
      </c>
      <c r="L1965" s="1" t="s">
        <v>921</v>
      </c>
      <c r="M1965" s="1"/>
      <c r="N1965" s="1"/>
      <c r="O1965" s="1"/>
      <c r="P1965" s="1"/>
      <c r="Q1965" s="1"/>
    </row>
    <row r="1966" spans="1:17" x14ac:dyDescent="0.25">
      <c r="A1966" s="1" t="s">
        <v>948</v>
      </c>
      <c r="B1966" s="1" t="s">
        <v>918</v>
      </c>
      <c r="C1966" s="1" t="s">
        <v>25</v>
      </c>
      <c r="D1966" s="1" t="s">
        <v>923</v>
      </c>
      <c r="E1966" s="1" t="s">
        <v>997</v>
      </c>
      <c r="F1966" s="1" t="s">
        <v>927</v>
      </c>
      <c r="G1966" s="1" t="s">
        <v>916</v>
      </c>
      <c r="H1966" s="1" t="s">
        <v>1078</v>
      </c>
      <c r="I1966" s="1" t="s">
        <v>919</v>
      </c>
      <c r="J1966" s="1" t="s">
        <v>920</v>
      </c>
      <c r="K1966" s="1" t="s">
        <v>328</v>
      </c>
      <c r="L1966" s="1" t="s">
        <v>921</v>
      </c>
      <c r="M1966" s="1" t="s">
        <v>924</v>
      </c>
      <c r="N1966" s="1"/>
      <c r="O1966" s="1"/>
      <c r="P1966" s="1"/>
      <c r="Q1966" s="1"/>
    </row>
    <row r="1967" spans="1:17" x14ac:dyDescent="0.25">
      <c r="A1967" s="1" t="s">
        <v>948</v>
      </c>
      <c r="B1967" s="1" t="s">
        <v>1069</v>
      </c>
      <c r="C1967" s="1" t="s">
        <v>25</v>
      </c>
      <c r="D1967" s="1" t="s">
        <v>1070</v>
      </c>
      <c r="E1967" s="1" t="s">
        <v>1114</v>
      </c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</row>
    <row r="1968" spans="1:17" x14ac:dyDescent="0.25">
      <c r="A1968" s="1" t="s">
        <v>964</v>
      </c>
      <c r="B1968" s="1" t="s">
        <v>10751</v>
      </c>
      <c r="C1968" s="1" t="s">
        <v>10755</v>
      </c>
      <c r="D1968" s="1" t="s">
        <v>10724</v>
      </c>
      <c r="E1968" s="1" t="s">
        <v>25</v>
      </c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</row>
    <row r="1969" spans="1:17" x14ac:dyDescent="0.25">
      <c r="A1969" s="1" t="s">
        <v>964</v>
      </c>
      <c r="B1969" s="1" t="s">
        <v>10751</v>
      </c>
      <c r="C1969" s="1" t="s">
        <v>10755</v>
      </c>
      <c r="D1969" s="1" t="s">
        <v>10724</v>
      </c>
      <c r="E1969" s="1" t="s">
        <v>25</v>
      </c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</row>
    <row r="1970" spans="1:17" x14ac:dyDescent="0.25">
      <c r="A1970" s="1" t="s">
        <v>25</v>
      </c>
      <c r="B1970" s="1" t="s">
        <v>923</v>
      </c>
      <c r="C1970" s="1" t="s">
        <v>920</v>
      </c>
      <c r="D1970" s="1" t="s">
        <v>948</v>
      </c>
      <c r="E1970" s="1" t="s">
        <v>1069</v>
      </c>
      <c r="F1970" s="1" t="s">
        <v>1070</v>
      </c>
      <c r="G1970" s="1" t="s">
        <v>916</v>
      </c>
      <c r="H1970" s="1" t="s">
        <v>1078</v>
      </c>
      <c r="I1970" s="1" t="s">
        <v>980</v>
      </c>
      <c r="J1970" s="1" t="s">
        <v>919</v>
      </c>
      <c r="K1970" s="1" t="s">
        <v>921</v>
      </c>
      <c r="L1970" s="1"/>
      <c r="M1970" s="1"/>
      <c r="N1970" s="1"/>
      <c r="O1970" s="1"/>
      <c r="P1970" s="1"/>
      <c r="Q1970" s="1"/>
    </row>
    <row r="1971" spans="1:17" x14ac:dyDescent="0.25">
      <c r="A1971" s="1" t="s">
        <v>948</v>
      </c>
      <c r="B1971" s="1" t="s">
        <v>1069</v>
      </c>
      <c r="C1971" s="1" t="s">
        <v>25</v>
      </c>
      <c r="D1971" s="1" t="s">
        <v>1070</v>
      </c>
      <c r="E1971" s="1" t="s">
        <v>10739</v>
      </c>
      <c r="F1971" s="1" t="s">
        <v>955</v>
      </c>
      <c r="G1971" s="1" t="s">
        <v>1014</v>
      </c>
      <c r="H1971" s="1" t="s">
        <v>10740</v>
      </c>
      <c r="I1971" s="1"/>
      <c r="J1971" s="1"/>
      <c r="K1971" s="1"/>
      <c r="L1971" s="1"/>
      <c r="M1971" s="1"/>
      <c r="N1971" s="1"/>
      <c r="O1971" s="1"/>
      <c r="P1971" s="1"/>
      <c r="Q1971" s="1"/>
    </row>
    <row r="1972" spans="1:17" x14ac:dyDescent="0.25">
      <c r="A1972" s="1" t="s">
        <v>10739</v>
      </c>
      <c r="B1972" s="1" t="s">
        <v>955</v>
      </c>
      <c r="C1972" s="1" t="s">
        <v>1014</v>
      </c>
      <c r="D1972" s="1" t="s">
        <v>10740</v>
      </c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</row>
    <row r="1973" spans="1:17" x14ac:dyDescent="0.25">
      <c r="A1973" s="1" t="s">
        <v>918</v>
      </c>
      <c r="B1973" s="1" t="s">
        <v>25</v>
      </c>
      <c r="C1973" s="1" t="s">
        <v>919</v>
      </c>
      <c r="D1973" s="1" t="s">
        <v>920</v>
      </c>
      <c r="E1973" s="1" t="s">
        <v>921</v>
      </c>
      <c r="F1973" s="1" t="s">
        <v>3842</v>
      </c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</row>
    <row r="1974" spans="1:17" x14ac:dyDescent="0.25">
      <c r="A1974" s="1" t="s">
        <v>918</v>
      </c>
      <c r="B1974" s="1" t="s">
        <v>25</v>
      </c>
      <c r="C1974" s="1" t="s">
        <v>919</v>
      </c>
      <c r="D1974" s="1" t="s">
        <v>920</v>
      </c>
      <c r="E1974" s="1" t="s">
        <v>921</v>
      </c>
      <c r="F1974" s="1" t="s">
        <v>1001</v>
      </c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</row>
    <row r="1975" spans="1:17" x14ac:dyDescent="0.25">
      <c r="A1975" s="1" t="s">
        <v>918</v>
      </c>
      <c r="B1975" s="1" t="s">
        <v>25</v>
      </c>
      <c r="C1975" s="1" t="s">
        <v>919</v>
      </c>
      <c r="D1975" s="1" t="s">
        <v>920</v>
      </c>
      <c r="E1975" s="1" t="s">
        <v>921</v>
      </c>
      <c r="F1975" s="1" t="s">
        <v>1000</v>
      </c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</row>
    <row r="1976" spans="1:17" x14ac:dyDescent="0.25">
      <c r="A1976" s="1" t="s">
        <v>918</v>
      </c>
      <c r="B1976" s="1" t="s">
        <v>25</v>
      </c>
      <c r="C1976" s="1" t="s">
        <v>919</v>
      </c>
      <c r="D1976" s="1" t="s">
        <v>920</v>
      </c>
      <c r="E1976" s="1" t="s">
        <v>921</v>
      </c>
      <c r="F1976" s="1" t="s">
        <v>1149</v>
      </c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</row>
    <row r="1977" spans="1:17" x14ac:dyDescent="0.25">
      <c r="A1977" s="1" t="s">
        <v>918</v>
      </c>
      <c r="B1977" s="1" t="s">
        <v>25</v>
      </c>
      <c r="C1977" s="1" t="s">
        <v>919</v>
      </c>
      <c r="D1977" s="1" t="s">
        <v>920</v>
      </c>
      <c r="E1977" s="1" t="s">
        <v>921</v>
      </c>
      <c r="F1977" s="1" t="s">
        <v>10805</v>
      </c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</row>
    <row r="1978" spans="1:17" x14ac:dyDescent="0.25">
      <c r="A1978" s="1" t="s">
        <v>25</v>
      </c>
      <c r="B1978" s="1" t="s">
        <v>919</v>
      </c>
      <c r="C1978" s="1" t="s">
        <v>920</v>
      </c>
      <c r="D1978" s="1" t="s">
        <v>921</v>
      </c>
      <c r="E1978" s="1" t="s">
        <v>918</v>
      </c>
      <c r="F1978" s="1" t="s">
        <v>927</v>
      </c>
      <c r="G1978" s="1" t="s">
        <v>936</v>
      </c>
      <c r="H1978" s="1" t="s">
        <v>1108</v>
      </c>
      <c r="I1978" s="1" t="s">
        <v>960</v>
      </c>
      <c r="J1978" s="1" t="s">
        <v>961</v>
      </c>
      <c r="K1978" s="1" t="s">
        <v>955</v>
      </c>
      <c r="L1978" s="1" t="s">
        <v>924</v>
      </c>
      <c r="M1978" s="1" t="s">
        <v>1014</v>
      </c>
      <c r="N1978" s="1" t="s">
        <v>944</v>
      </c>
      <c r="O1978" s="1" t="s">
        <v>956</v>
      </c>
      <c r="P1978" s="1"/>
      <c r="Q1978" s="1"/>
    </row>
    <row r="1979" spans="1:17" x14ac:dyDescent="0.25">
      <c r="A1979" s="1" t="s">
        <v>918</v>
      </c>
      <c r="B1979" s="1" t="s">
        <v>919</v>
      </c>
      <c r="C1979" s="1" t="s">
        <v>936</v>
      </c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</row>
    <row r="1980" spans="1:17" x14ac:dyDescent="0.25">
      <c r="A1980" s="1" t="s">
        <v>927</v>
      </c>
      <c r="B1980" s="1" t="s">
        <v>981</v>
      </c>
      <c r="C1980" s="1" t="s">
        <v>1066</v>
      </c>
      <c r="D1980" s="1" t="s">
        <v>920</v>
      </c>
      <c r="E1980" s="1" t="s">
        <v>1020</v>
      </c>
      <c r="F1980" s="1" t="s">
        <v>921</v>
      </c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</row>
    <row r="1981" spans="1:17" x14ac:dyDescent="0.25">
      <c r="A1981" s="1" t="s">
        <v>25</v>
      </c>
      <c r="B1981" s="1" t="s">
        <v>1086</v>
      </c>
      <c r="C1981" s="1" t="s">
        <v>920</v>
      </c>
      <c r="D1981" s="1" t="s">
        <v>933</v>
      </c>
      <c r="E1981" s="1" t="s">
        <v>978</v>
      </c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</row>
    <row r="1982" spans="1:17" x14ac:dyDescent="0.25">
      <c r="A1982" s="1" t="s">
        <v>25</v>
      </c>
      <c r="B1982" s="1" t="s">
        <v>1086</v>
      </c>
      <c r="C1982" s="1" t="s">
        <v>920</v>
      </c>
      <c r="D1982" s="1" t="s">
        <v>933</v>
      </c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</row>
    <row r="1983" spans="1:17" x14ac:dyDescent="0.25">
      <c r="A1983" s="1" t="s">
        <v>25</v>
      </c>
      <c r="B1983" s="1" t="s">
        <v>1086</v>
      </c>
      <c r="C1983" s="1" t="s">
        <v>920</v>
      </c>
      <c r="D1983" s="1" t="s">
        <v>933</v>
      </c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</row>
    <row r="1984" spans="1:17" x14ac:dyDescent="0.25">
      <c r="A1984" s="1" t="s">
        <v>25</v>
      </c>
      <c r="B1984" s="1" t="s">
        <v>1086</v>
      </c>
      <c r="C1984" s="1" t="s">
        <v>920</v>
      </c>
      <c r="D1984" s="1" t="s">
        <v>933</v>
      </c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</row>
    <row r="1985" spans="1:17" x14ac:dyDescent="0.25">
      <c r="A1985" s="1" t="s">
        <v>25</v>
      </c>
      <c r="B1985" s="1" t="s">
        <v>923</v>
      </c>
      <c r="C1985" s="1" t="s">
        <v>998</v>
      </c>
      <c r="D1985" s="1" t="s">
        <v>1053</v>
      </c>
      <c r="E1985" s="1" t="s">
        <v>933</v>
      </c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</row>
    <row r="1986" spans="1:17" x14ac:dyDescent="0.25">
      <c r="A1986" s="1" t="s">
        <v>948</v>
      </c>
      <c r="B1986" s="1" t="s">
        <v>1149</v>
      </c>
      <c r="C1986" s="1" t="s">
        <v>25</v>
      </c>
      <c r="D1986" s="1" t="s">
        <v>923</v>
      </c>
      <c r="E1986" s="1" t="s">
        <v>997</v>
      </c>
      <c r="F1986" s="1" t="s">
        <v>1150</v>
      </c>
      <c r="G1986" s="1" t="s">
        <v>1086</v>
      </c>
      <c r="H1986" s="1"/>
      <c r="I1986" s="1"/>
      <c r="J1986" s="1"/>
      <c r="K1986" s="1"/>
      <c r="L1986" s="1"/>
      <c r="M1986" s="1"/>
      <c r="N1986" s="1"/>
      <c r="O1986" s="1"/>
      <c r="P1986" s="1"/>
      <c r="Q1986" s="1"/>
    </row>
    <row r="1987" spans="1:17" x14ac:dyDescent="0.25">
      <c r="A1987" s="1" t="s">
        <v>2927</v>
      </c>
      <c r="B1987" s="1" t="s">
        <v>1149</v>
      </c>
      <c r="C1987" s="1" t="s">
        <v>25</v>
      </c>
      <c r="D1987" s="1" t="s">
        <v>923</v>
      </c>
      <c r="E1987" s="1" t="s">
        <v>998</v>
      </c>
      <c r="F1987" s="1" t="s">
        <v>1053</v>
      </c>
      <c r="G1987" s="1" t="s">
        <v>1086</v>
      </c>
      <c r="H1987" s="1" t="s">
        <v>920</v>
      </c>
      <c r="I1987" s="1" t="s">
        <v>933</v>
      </c>
      <c r="J1987" s="1"/>
      <c r="K1987" s="1"/>
      <c r="L1987" s="1"/>
      <c r="M1987" s="1"/>
      <c r="N1987" s="1"/>
      <c r="O1987" s="1"/>
      <c r="P1987" s="1"/>
      <c r="Q1987" s="1"/>
    </row>
    <row r="1988" spans="1:17" x14ac:dyDescent="0.25">
      <c r="A1988" s="1" t="s">
        <v>918</v>
      </c>
      <c r="B1988" s="1" t="s">
        <v>919</v>
      </c>
      <c r="C1988" s="1" t="s">
        <v>936</v>
      </c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</row>
    <row r="1989" spans="1:17" x14ac:dyDescent="0.25">
      <c r="A1989" s="1" t="s">
        <v>996</v>
      </c>
      <c r="B1989" s="1" t="s">
        <v>1149</v>
      </c>
      <c r="C1989" s="1" t="s">
        <v>923</v>
      </c>
      <c r="D1989" s="1" t="s">
        <v>997</v>
      </c>
      <c r="E1989" s="1" t="s">
        <v>994</v>
      </c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</row>
    <row r="1990" spans="1:17" x14ac:dyDescent="0.25">
      <c r="A1990" s="1" t="s">
        <v>90</v>
      </c>
      <c r="B1990" s="1" t="s">
        <v>996</v>
      </c>
      <c r="C1990" s="1" t="s">
        <v>25</v>
      </c>
      <c r="D1990" s="1" t="s">
        <v>923</v>
      </c>
      <c r="E1990" s="1" t="s">
        <v>997</v>
      </c>
      <c r="F1990" s="1" t="s">
        <v>927</v>
      </c>
      <c r="G1990" s="1" t="s">
        <v>998</v>
      </c>
      <c r="H1990" s="1" t="s">
        <v>1086</v>
      </c>
      <c r="I1990" s="1" t="s">
        <v>994</v>
      </c>
      <c r="J1990" s="1"/>
      <c r="K1990" s="1"/>
      <c r="L1990" s="1"/>
      <c r="M1990" s="1"/>
      <c r="N1990" s="1"/>
      <c r="O1990" s="1"/>
      <c r="P1990" s="1"/>
      <c r="Q1990" s="1"/>
    </row>
    <row r="1991" spans="1:17" x14ac:dyDescent="0.25">
      <c r="A1991" s="1" t="s">
        <v>1001</v>
      </c>
      <c r="B1991" s="1" t="s">
        <v>996</v>
      </c>
      <c r="C1991" s="1" t="s">
        <v>933</v>
      </c>
      <c r="D1991" s="1" t="s">
        <v>2541</v>
      </c>
      <c r="E1991" s="1" t="s">
        <v>999</v>
      </c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</row>
    <row r="1992" spans="1:17" x14ac:dyDescent="0.25">
      <c r="A1992" s="1" t="s">
        <v>996</v>
      </c>
      <c r="B1992" s="1" t="s">
        <v>25</v>
      </c>
      <c r="C1992" s="1" t="s">
        <v>997</v>
      </c>
      <c r="D1992" s="1" t="s">
        <v>927</v>
      </c>
      <c r="E1992" s="1" t="s">
        <v>998</v>
      </c>
      <c r="F1992" s="1" t="s">
        <v>933</v>
      </c>
      <c r="G1992" s="1" t="s">
        <v>993</v>
      </c>
      <c r="H1992" s="1" t="s">
        <v>994</v>
      </c>
      <c r="I1992" s="1"/>
      <c r="J1992" s="1"/>
      <c r="K1992" s="1"/>
      <c r="L1992" s="1"/>
      <c r="M1992" s="1"/>
      <c r="N1992" s="1"/>
      <c r="O1992" s="1"/>
      <c r="P1992" s="1"/>
      <c r="Q1992" s="1"/>
    </row>
    <row r="1993" spans="1:17" x14ac:dyDescent="0.25">
      <c r="A1993" s="1" t="s">
        <v>923</v>
      </c>
      <c r="B1993" s="1" t="s">
        <v>1000</v>
      </c>
      <c r="C1993" s="1" t="s">
        <v>921</v>
      </c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</row>
    <row r="1994" spans="1:17" x14ac:dyDescent="0.25">
      <c r="A1994" s="1" t="s">
        <v>2927</v>
      </c>
      <c r="B1994" s="1" t="s">
        <v>1149</v>
      </c>
      <c r="C1994" s="1" t="s">
        <v>25</v>
      </c>
      <c r="D1994" s="1" t="s">
        <v>923</v>
      </c>
      <c r="E1994" s="1" t="s">
        <v>998</v>
      </c>
      <c r="F1994" s="1" t="s">
        <v>1053</v>
      </c>
      <c r="G1994" s="1" t="s">
        <v>1086</v>
      </c>
      <c r="H1994" s="1" t="s">
        <v>920</v>
      </c>
      <c r="I1994" s="1" t="s">
        <v>933</v>
      </c>
      <c r="J1994" s="1"/>
      <c r="K1994" s="1"/>
      <c r="L1994" s="1"/>
      <c r="M1994" s="1"/>
      <c r="N1994" s="1"/>
      <c r="O1994" s="1"/>
      <c r="P1994" s="1"/>
      <c r="Q1994" s="1"/>
    </row>
    <row r="1995" spans="1:17" x14ac:dyDescent="0.25">
      <c r="A1995" s="1" t="s">
        <v>931</v>
      </c>
      <c r="B1995" s="1" t="s">
        <v>932</v>
      </c>
      <c r="C1995" s="1" t="s">
        <v>25</v>
      </c>
      <c r="D1995" s="1" t="s">
        <v>923</v>
      </c>
      <c r="E1995" s="1" t="s">
        <v>916</v>
      </c>
      <c r="F1995" s="1" t="s">
        <v>920</v>
      </c>
      <c r="G1995" s="1" t="s">
        <v>974</v>
      </c>
      <c r="H1995" s="1" t="s">
        <v>921</v>
      </c>
      <c r="I1995" s="1"/>
      <c r="J1995" s="1"/>
      <c r="K1995" s="1"/>
      <c r="L1995" s="1"/>
      <c r="M1995" s="1"/>
      <c r="N1995" s="1"/>
      <c r="O1995" s="1"/>
      <c r="P1995" s="1"/>
      <c r="Q1995" s="1"/>
    </row>
    <row r="1996" spans="1:17" x14ac:dyDescent="0.25">
      <c r="A1996" s="1" t="s">
        <v>1149</v>
      </c>
      <c r="B1996" s="1" t="s">
        <v>25</v>
      </c>
      <c r="C1996" s="1" t="s">
        <v>920</v>
      </c>
      <c r="D1996" s="1" t="s">
        <v>927</v>
      </c>
      <c r="E1996" s="1" t="s">
        <v>998</v>
      </c>
      <c r="F1996" s="1" t="s">
        <v>1086</v>
      </c>
      <c r="G1996" s="1" t="s">
        <v>933</v>
      </c>
      <c r="H1996" s="1" t="s">
        <v>921</v>
      </c>
      <c r="I1996" s="1" t="s">
        <v>948</v>
      </c>
      <c r="J1996" s="1" t="s">
        <v>923</v>
      </c>
      <c r="K1996" s="1" t="s">
        <v>997</v>
      </c>
      <c r="L1996" s="1" t="s">
        <v>1150</v>
      </c>
      <c r="M1996" s="1"/>
      <c r="N1996" s="1"/>
      <c r="O1996" s="1"/>
      <c r="P1996" s="1"/>
      <c r="Q1996" s="1"/>
    </row>
    <row r="1997" spans="1:17" x14ac:dyDescent="0.25">
      <c r="A1997" s="1" t="s">
        <v>981</v>
      </c>
      <c r="B1997" s="1" t="s">
        <v>1019</v>
      </c>
      <c r="C1997" s="1" t="s">
        <v>983</v>
      </c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</row>
    <row r="1998" spans="1:17" x14ac:dyDescent="0.25">
      <c r="A1998" s="1" t="s">
        <v>25</v>
      </c>
      <c r="B1998" s="1" t="s">
        <v>919</v>
      </c>
      <c r="C1998" s="1" t="s">
        <v>920</v>
      </c>
      <c r="D1998" s="1" t="s">
        <v>921</v>
      </c>
      <c r="E1998" s="1" t="s">
        <v>1001</v>
      </c>
      <c r="F1998" s="1" t="s">
        <v>927</v>
      </c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</row>
    <row r="1999" spans="1:17" x14ac:dyDescent="0.25">
      <c r="A1999" s="1" t="s">
        <v>25</v>
      </c>
      <c r="B1999" s="1" t="s">
        <v>1086</v>
      </c>
      <c r="C1999" s="1" t="s">
        <v>919</v>
      </c>
      <c r="D1999" s="1" t="s">
        <v>920</v>
      </c>
      <c r="E1999" s="1" t="s">
        <v>921</v>
      </c>
      <c r="F1999" s="1" t="s">
        <v>948</v>
      </c>
      <c r="G1999" s="1" t="s">
        <v>298</v>
      </c>
      <c r="H1999" s="1" t="s">
        <v>923</v>
      </c>
      <c r="I1999" s="1" t="s">
        <v>10981</v>
      </c>
      <c r="J1999" s="1"/>
      <c r="K1999" s="1"/>
      <c r="L1999" s="1"/>
      <c r="M1999" s="1"/>
      <c r="N1999" s="1"/>
      <c r="O1999" s="1"/>
      <c r="P1999" s="1"/>
      <c r="Q1999" s="1"/>
    </row>
    <row r="2000" spans="1:17" x14ac:dyDescent="0.25">
      <c r="A2000" s="1" t="s">
        <v>983</v>
      </c>
      <c r="B2000" s="1" t="s">
        <v>984</v>
      </c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</row>
    <row r="2001" spans="1:17" x14ac:dyDescent="0.25">
      <c r="A2001" s="1" t="s">
        <v>918</v>
      </c>
      <c r="B2001" s="1" t="s">
        <v>955</v>
      </c>
      <c r="C2001" s="1" t="s">
        <v>943</v>
      </c>
      <c r="D2001" s="1" t="s">
        <v>919</v>
      </c>
      <c r="E2001" s="1" t="s">
        <v>924</v>
      </c>
      <c r="F2001" s="1" t="s">
        <v>945</v>
      </c>
      <c r="G2001" s="1" t="s">
        <v>936</v>
      </c>
      <c r="H2001" s="1" t="s">
        <v>930</v>
      </c>
      <c r="I2001" s="1"/>
      <c r="J2001" s="1"/>
      <c r="K2001" s="1"/>
      <c r="L2001" s="1"/>
      <c r="M2001" s="1"/>
      <c r="N2001" s="1"/>
      <c r="O2001" s="1"/>
      <c r="P2001" s="1"/>
      <c r="Q2001" s="1"/>
    </row>
    <row r="2002" spans="1:17" x14ac:dyDescent="0.25">
      <c r="A2002" s="1" t="s">
        <v>10982</v>
      </c>
      <c r="B2002" s="1" t="s">
        <v>10899</v>
      </c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</row>
    <row r="2003" spans="1:17" x14ac:dyDescent="0.25">
      <c r="A2003" s="1" t="s">
        <v>10982</v>
      </c>
      <c r="B2003" s="1" t="s">
        <v>10899</v>
      </c>
      <c r="C2003" s="1" t="s">
        <v>925</v>
      </c>
      <c r="D2003" s="1" t="s">
        <v>1000</v>
      </c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</row>
    <row r="2004" spans="1:17" x14ac:dyDescent="0.25">
      <c r="A2004" s="1" t="s">
        <v>1053</v>
      </c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</row>
    <row r="2005" spans="1:17" x14ac:dyDescent="0.25">
      <c r="A2005" s="1" t="s">
        <v>923</v>
      </c>
      <c r="B2005" s="1" t="s">
        <v>1000</v>
      </c>
      <c r="C2005" s="1" t="s">
        <v>921</v>
      </c>
      <c r="D2005" s="1" t="s">
        <v>935</v>
      </c>
      <c r="E2005" s="1" t="s">
        <v>920</v>
      </c>
      <c r="F2005" s="1" t="s">
        <v>10808</v>
      </c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</row>
    <row r="2006" spans="1:17" x14ac:dyDescent="0.25">
      <c r="A2006" s="1" t="s">
        <v>5933</v>
      </c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</row>
    <row r="2007" spans="1:17" x14ac:dyDescent="0.25">
      <c r="A2007" s="1" t="s">
        <v>5933</v>
      </c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</row>
    <row r="2008" spans="1:17" x14ac:dyDescent="0.25">
      <c r="A2008" s="1" t="s">
        <v>935</v>
      </c>
      <c r="B2008" s="1" t="s">
        <v>920</v>
      </c>
      <c r="C2008" s="1" t="s">
        <v>923</v>
      </c>
      <c r="D2008" s="1" t="s">
        <v>1053</v>
      </c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</row>
    <row r="2009" spans="1:17" x14ac:dyDescent="0.25">
      <c r="A2009" s="1" t="s">
        <v>1069</v>
      </c>
      <c r="B2009" s="1" t="s">
        <v>25</v>
      </c>
      <c r="C2009" s="1" t="s">
        <v>923</v>
      </c>
      <c r="D2009" s="1" t="s">
        <v>916</v>
      </c>
      <c r="E2009" s="1" t="s">
        <v>1107</v>
      </c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</row>
    <row r="2010" spans="1:17" x14ac:dyDescent="0.25">
      <c r="A2010" s="1" t="s">
        <v>1053</v>
      </c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</row>
    <row r="2011" spans="1:17" x14ac:dyDescent="0.25">
      <c r="A2011" s="1" t="s">
        <v>1053</v>
      </c>
      <c r="B2011" s="1" t="s">
        <v>933</v>
      </c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</row>
    <row r="2012" spans="1:17" x14ac:dyDescent="0.25">
      <c r="A2012" s="1" t="s">
        <v>918</v>
      </c>
      <c r="B2012" s="1" t="s">
        <v>25</v>
      </c>
      <c r="C2012" s="1" t="s">
        <v>916</v>
      </c>
      <c r="D2012" s="1" t="s">
        <v>919</v>
      </c>
      <c r="E2012" s="1" t="s">
        <v>920</v>
      </c>
      <c r="F2012" s="1" t="s">
        <v>921</v>
      </c>
      <c r="G2012" s="1" t="s">
        <v>922</v>
      </c>
      <c r="H2012" s="1" t="s">
        <v>10964</v>
      </c>
      <c r="I2012" s="1" t="s">
        <v>972</v>
      </c>
      <c r="J2012" s="1" t="s">
        <v>929</v>
      </c>
      <c r="K2012" s="1"/>
      <c r="L2012" s="1"/>
      <c r="M2012" s="1"/>
      <c r="N2012" s="1"/>
      <c r="O2012" s="1"/>
      <c r="P2012" s="1"/>
      <c r="Q2012" s="1"/>
    </row>
    <row r="2013" spans="1:17" x14ac:dyDescent="0.25">
      <c r="A2013" s="1" t="s">
        <v>996</v>
      </c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</row>
    <row r="2014" spans="1:17" x14ac:dyDescent="0.25">
      <c r="A2014" s="1" t="s">
        <v>996</v>
      </c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</row>
    <row r="2015" spans="1:17" x14ac:dyDescent="0.25">
      <c r="A2015" s="1" t="s">
        <v>996</v>
      </c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</row>
    <row r="2016" spans="1:17" x14ac:dyDescent="0.25">
      <c r="A2016" s="1" t="s">
        <v>996</v>
      </c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</row>
    <row r="2017" spans="1:17" x14ac:dyDescent="0.25">
      <c r="A2017" s="1" t="s">
        <v>983</v>
      </c>
      <c r="B2017" s="1" t="s">
        <v>984</v>
      </c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</row>
    <row r="2018" spans="1:17" x14ac:dyDescent="0.25">
      <c r="A2018" s="1" t="s">
        <v>10983</v>
      </c>
      <c r="B2018" s="1" t="s">
        <v>10984</v>
      </c>
      <c r="C2018" s="1" t="s">
        <v>10985</v>
      </c>
      <c r="D2018" s="1" t="s">
        <v>989</v>
      </c>
      <c r="E2018" s="1" t="s">
        <v>984</v>
      </c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</row>
    <row r="2019" spans="1:17" x14ac:dyDescent="0.25">
      <c r="A2019" s="1" t="s">
        <v>1149</v>
      </c>
      <c r="B2019" s="1" t="s">
        <v>923</v>
      </c>
      <c r="C2019" s="1" t="s">
        <v>998</v>
      </c>
      <c r="D2019" s="1" t="s">
        <v>1150</v>
      </c>
      <c r="E2019" s="1" t="s">
        <v>1053</v>
      </c>
      <c r="F2019" s="1" t="s">
        <v>1086</v>
      </c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</row>
    <row r="2020" spans="1:17" x14ac:dyDescent="0.25">
      <c r="A2020" s="1" t="s">
        <v>25</v>
      </c>
      <c r="B2020" s="1" t="s">
        <v>927</v>
      </c>
      <c r="C2020" s="1" t="s">
        <v>998</v>
      </c>
      <c r="D2020" s="1" t="s">
        <v>1086</v>
      </c>
      <c r="E2020" s="1" t="s">
        <v>920</v>
      </c>
      <c r="F2020" s="1" t="s">
        <v>933</v>
      </c>
      <c r="G2020" s="1" t="s">
        <v>921</v>
      </c>
      <c r="H2020" s="1" t="s">
        <v>992</v>
      </c>
      <c r="I2020" s="1"/>
      <c r="J2020" s="1"/>
      <c r="K2020" s="1"/>
      <c r="L2020" s="1"/>
      <c r="M2020" s="1"/>
      <c r="N2020" s="1"/>
      <c r="O2020" s="1"/>
      <c r="P2020" s="1"/>
      <c r="Q2020" s="1"/>
    </row>
    <row r="2021" spans="1:17" x14ac:dyDescent="0.25">
      <c r="A2021" s="1" t="s">
        <v>1070</v>
      </c>
      <c r="B2021" s="1" t="s">
        <v>976</v>
      </c>
      <c r="C2021" s="1" t="s">
        <v>1029</v>
      </c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</row>
    <row r="2022" spans="1:17" x14ac:dyDescent="0.25">
      <c r="A2022" s="1" t="s">
        <v>975</v>
      </c>
      <c r="B2022" s="1" t="s">
        <v>925</v>
      </c>
      <c r="C2022" s="1" t="s">
        <v>10731</v>
      </c>
      <c r="D2022" s="1" t="s">
        <v>1058</v>
      </c>
      <c r="E2022" s="1" t="s">
        <v>927</v>
      </c>
      <c r="F2022" s="1" t="s">
        <v>960</v>
      </c>
      <c r="G2022" s="1" t="s">
        <v>10986</v>
      </c>
      <c r="H2022" s="1" t="s">
        <v>1147</v>
      </c>
      <c r="I2022" s="1"/>
      <c r="J2022" s="1"/>
      <c r="K2022" s="1"/>
      <c r="L2022" s="1"/>
      <c r="M2022" s="1"/>
      <c r="N2022" s="1"/>
      <c r="O2022" s="1"/>
      <c r="P2022" s="1"/>
      <c r="Q2022" s="1"/>
    </row>
    <row r="2023" spans="1:17" x14ac:dyDescent="0.25">
      <c r="A2023" s="1" t="s">
        <v>925</v>
      </c>
      <c r="B2023" s="1" t="s">
        <v>927</v>
      </c>
      <c r="C2023" s="1" t="s">
        <v>919</v>
      </c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</row>
    <row r="2024" spans="1:17" x14ac:dyDescent="0.25">
      <c r="A2024" s="1" t="s">
        <v>50</v>
      </c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</row>
    <row r="2025" spans="1:17" x14ac:dyDescent="0.25">
      <c r="A2025" s="1" t="s">
        <v>25</v>
      </c>
      <c r="B2025" s="1" t="s">
        <v>1053</v>
      </c>
      <c r="C2025" s="1" t="s">
        <v>256</v>
      </c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</row>
    <row r="2026" spans="1:17" x14ac:dyDescent="0.25">
      <c r="A2026" s="1" t="s">
        <v>918</v>
      </c>
      <c r="B2026" s="1" t="s">
        <v>943</v>
      </c>
      <c r="C2026" s="1" t="s">
        <v>919</v>
      </c>
      <c r="D2026" s="1" t="s">
        <v>924</v>
      </c>
      <c r="E2026" s="1" t="s">
        <v>1079</v>
      </c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</row>
    <row r="2027" spans="1:17" x14ac:dyDescent="0.25">
      <c r="A2027" s="1" t="s">
        <v>918</v>
      </c>
      <c r="B2027" s="1" t="s">
        <v>25</v>
      </c>
      <c r="C2027" s="1" t="s">
        <v>923</v>
      </c>
      <c r="D2027" s="1" t="s">
        <v>973</v>
      </c>
      <c r="E2027" s="1" t="s">
        <v>916</v>
      </c>
      <c r="F2027" s="1" t="s">
        <v>920</v>
      </c>
      <c r="G2027" s="1" t="s">
        <v>954</v>
      </c>
      <c r="H2027" s="1" t="s">
        <v>974</v>
      </c>
      <c r="I2027" s="1" t="s">
        <v>921</v>
      </c>
      <c r="J2027" s="1"/>
      <c r="K2027" s="1"/>
      <c r="L2027" s="1"/>
      <c r="M2027" s="1"/>
      <c r="N2027" s="1"/>
      <c r="O2027" s="1"/>
      <c r="P2027" s="1"/>
      <c r="Q2027" s="1"/>
    </row>
    <row r="2028" spans="1:17" x14ac:dyDescent="0.25">
      <c r="A2028" s="1" t="s">
        <v>1141</v>
      </c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</row>
    <row r="2029" spans="1:17" x14ac:dyDescent="0.25">
      <c r="A2029" s="1" t="s">
        <v>1069</v>
      </c>
      <c r="B2029" s="1" t="s">
        <v>923</v>
      </c>
      <c r="C2029" s="1" t="s">
        <v>999</v>
      </c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</row>
    <row r="2030" spans="1:17" x14ac:dyDescent="0.25">
      <c r="A2030" s="1" t="s">
        <v>1069</v>
      </c>
      <c r="B2030" s="1" t="s">
        <v>923</v>
      </c>
      <c r="C2030" s="1" t="s">
        <v>999</v>
      </c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</row>
    <row r="2031" spans="1:17" x14ac:dyDescent="0.25">
      <c r="A2031" s="1" t="s">
        <v>1069</v>
      </c>
      <c r="B2031" s="1" t="s">
        <v>923</v>
      </c>
      <c r="C2031" s="1" t="s">
        <v>999</v>
      </c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</row>
    <row r="2032" spans="1:17" x14ac:dyDescent="0.25">
      <c r="A2032" s="1" t="s">
        <v>1150</v>
      </c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</row>
    <row r="2033" spans="1:17" x14ac:dyDescent="0.25">
      <c r="A2033" s="1" t="s">
        <v>50</v>
      </c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</row>
    <row r="2034" spans="1:17" x14ac:dyDescent="0.25">
      <c r="A2034" s="1" t="s">
        <v>998</v>
      </c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</row>
    <row r="2035" spans="1:17" x14ac:dyDescent="0.25">
      <c r="A2035" s="1" t="s">
        <v>934</v>
      </c>
      <c r="B2035" s="1" t="s">
        <v>25</v>
      </c>
      <c r="C2035" s="1" t="s">
        <v>923</v>
      </c>
      <c r="D2035" s="1" t="s">
        <v>920</v>
      </c>
      <c r="E2035" s="1" t="s">
        <v>933</v>
      </c>
      <c r="F2035" s="1" t="s">
        <v>954</v>
      </c>
      <c r="G2035" s="1" t="s">
        <v>974</v>
      </c>
      <c r="H2035" s="1" t="s">
        <v>1141</v>
      </c>
      <c r="I2035" s="1" t="s">
        <v>960</v>
      </c>
      <c r="J2035" s="1"/>
      <c r="K2035" s="1"/>
      <c r="L2035" s="1"/>
      <c r="M2035" s="1"/>
      <c r="N2035" s="1"/>
      <c r="O2035" s="1"/>
      <c r="P2035" s="1"/>
      <c r="Q2035" s="1"/>
    </row>
    <row r="2036" spans="1:17" x14ac:dyDescent="0.25">
      <c r="A2036" s="1" t="s">
        <v>2927</v>
      </c>
      <c r="B2036" s="1" t="s">
        <v>1053</v>
      </c>
      <c r="C2036" s="1" t="s">
        <v>1086</v>
      </c>
      <c r="D2036" s="1" t="s">
        <v>933</v>
      </c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</row>
    <row r="2037" spans="1:17" x14ac:dyDescent="0.25">
      <c r="A2037" s="1" t="s">
        <v>50</v>
      </c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</row>
    <row r="2038" spans="1:17" x14ac:dyDescent="0.25">
      <c r="A2038" s="1" t="s">
        <v>50</v>
      </c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</row>
    <row r="2039" spans="1:17" x14ac:dyDescent="0.25">
      <c r="A2039" s="1" t="s">
        <v>50</v>
      </c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</row>
    <row r="2040" spans="1:17" x14ac:dyDescent="0.25">
      <c r="A2040" s="1" t="s">
        <v>50</v>
      </c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</row>
    <row r="2041" spans="1:17" x14ac:dyDescent="0.25">
      <c r="A2041" s="1" t="s">
        <v>25</v>
      </c>
      <c r="B2041" s="1" t="s">
        <v>997</v>
      </c>
      <c r="C2041" s="1" t="s">
        <v>927</v>
      </c>
      <c r="D2041" s="1" t="s">
        <v>998</v>
      </c>
      <c r="E2041" s="1" t="s">
        <v>920</v>
      </c>
      <c r="F2041" s="1" t="s">
        <v>933</v>
      </c>
      <c r="G2041" s="1" t="s">
        <v>994</v>
      </c>
      <c r="H2041" s="1" t="s">
        <v>923</v>
      </c>
      <c r="I2041" s="1" t="s">
        <v>1053</v>
      </c>
      <c r="J2041" s="1" t="s">
        <v>1086</v>
      </c>
      <c r="K2041" s="1"/>
      <c r="L2041" s="1"/>
      <c r="M2041" s="1"/>
      <c r="N2041" s="1"/>
      <c r="O2041" s="1"/>
      <c r="P2041" s="1"/>
      <c r="Q2041" s="1"/>
    </row>
    <row r="2042" spans="1:17" x14ac:dyDescent="0.25">
      <c r="A2042" s="1" t="s">
        <v>918</v>
      </c>
      <c r="B2042" s="1" t="s">
        <v>25</v>
      </c>
      <c r="C2042" s="1" t="s">
        <v>1148</v>
      </c>
      <c r="D2042" s="1" t="s">
        <v>923</v>
      </c>
      <c r="E2042" s="1" t="s">
        <v>927</v>
      </c>
      <c r="F2042" s="1" t="s">
        <v>1086</v>
      </c>
      <c r="G2042" s="1" t="s">
        <v>920</v>
      </c>
      <c r="H2042" s="1"/>
      <c r="I2042" s="1"/>
      <c r="J2042" s="1"/>
      <c r="K2042" s="1"/>
      <c r="L2042" s="1"/>
      <c r="M2042" s="1"/>
      <c r="N2042" s="1"/>
      <c r="O2042" s="1"/>
      <c r="P2042" s="1"/>
      <c r="Q2042" s="1"/>
    </row>
    <row r="2043" spans="1:17" x14ac:dyDescent="0.25">
      <c r="A2043" s="1" t="s">
        <v>948</v>
      </c>
      <c r="B2043" s="1" t="s">
        <v>298</v>
      </c>
      <c r="C2043" s="1" t="s">
        <v>1149</v>
      </c>
      <c r="D2043" s="1" t="s">
        <v>25</v>
      </c>
      <c r="E2043" s="1" t="s">
        <v>923</v>
      </c>
      <c r="F2043" s="1" t="s">
        <v>997</v>
      </c>
      <c r="G2043" s="1" t="s">
        <v>954</v>
      </c>
      <c r="H2043" s="1" t="s">
        <v>994</v>
      </c>
      <c r="I2043" s="1" t="s">
        <v>922</v>
      </c>
      <c r="J2043" s="1"/>
      <c r="K2043" s="1"/>
      <c r="L2043" s="1"/>
      <c r="M2043" s="1"/>
      <c r="N2043" s="1"/>
      <c r="O2043" s="1"/>
      <c r="P2043" s="1"/>
      <c r="Q2043" s="1"/>
    </row>
    <row r="2044" spans="1:17" x14ac:dyDescent="0.25">
      <c r="A2044" s="1" t="s">
        <v>1018</v>
      </c>
      <c r="B2044" s="1" t="s">
        <v>1019</v>
      </c>
      <c r="C2044" s="1" t="s">
        <v>983</v>
      </c>
      <c r="D2044" s="1" t="s">
        <v>1020</v>
      </c>
      <c r="E2044" s="1" t="s">
        <v>984</v>
      </c>
      <c r="F2044" s="1" t="s">
        <v>1021</v>
      </c>
      <c r="G2044" s="1" t="s">
        <v>1080</v>
      </c>
      <c r="H2044" s="1"/>
      <c r="I2044" s="1"/>
      <c r="J2044" s="1"/>
      <c r="K2044" s="1"/>
      <c r="L2044" s="1"/>
      <c r="M2044" s="1"/>
      <c r="N2044" s="1"/>
      <c r="O2044" s="1"/>
      <c r="P2044" s="1"/>
      <c r="Q2044" s="1"/>
    </row>
    <row r="2045" spans="1:17" x14ac:dyDescent="0.25">
      <c r="A2045" s="1" t="s">
        <v>918</v>
      </c>
      <c r="B2045" s="1" t="s">
        <v>1110</v>
      </c>
      <c r="C2045" s="1" t="s">
        <v>25</v>
      </c>
      <c r="D2045" s="1" t="s">
        <v>923</v>
      </c>
      <c r="E2045" s="1" t="s">
        <v>919</v>
      </c>
      <c r="F2045" s="1" t="s">
        <v>920</v>
      </c>
      <c r="G2045" s="1" t="s">
        <v>954</v>
      </c>
      <c r="H2045" s="1" t="s">
        <v>328</v>
      </c>
      <c r="I2045" s="1" t="s">
        <v>921</v>
      </c>
      <c r="J2045" s="1" t="s">
        <v>1001</v>
      </c>
      <c r="K2045" s="1" t="s">
        <v>927</v>
      </c>
      <c r="L2045" s="1" t="s">
        <v>936</v>
      </c>
      <c r="M2045" s="1" t="s">
        <v>961</v>
      </c>
      <c r="N2045" s="1" t="s">
        <v>933</v>
      </c>
      <c r="O2045" s="1"/>
      <c r="P2045" s="1"/>
      <c r="Q2045" s="1"/>
    </row>
    <row r="2046" spans="1:17" x14ac:dyDescent="0.25">
      <c r="A2046" s="1" t="s">
        <v>948</v>
      </c>
      <c r="B2046" s="1" t="s">
        <v>1149</v>
      </c>
      <c r="C2046" s="1" t="s">
        <v>25</v>
      </c>
      <c r="D2046" s="1" t="s">
        <v>923</v>
      </c>
      <c r="E2046" s="1" t="s">
        <v>997</v>
      </c>
      <c r="F2046" s="1" t="s">
        <v>1150</v>
      </c>
      <c r="G2046" s="1" t="s">
        <v>1086</v>
      </c>
      <c r="H2046" s="1"/>
      <c r="I2046" s="1"/>
      <c r="J2046" s="1"/>
      <c r="K2046" s="1"/>
      <c r="L2046" s="1"/>
      <c r="M2046" s="1"/>
      <c r="N2046" s="1"/>
      <c r="O2046" s="1"/>
      <c r="P2046" s="1"/>
      <c r="Q2046" s="1"/>
    </row>
    <row r="2047" spans="1:17" x14ac:dyDescent="0.25">
      <c r="A2047" s="1" t="s">
        <v>298</v>
      </c>
      <c r="B2047" s="1" t="s">
        <v>25</v>
      </c>
      <c r="C2047" s="1" t="s">
        <v>923</v>
      </c>
      <c r="D2047" s="1" t="s">
        <v>997</v>
      </c>
      <c r="E2047" s="1" t="s">
        <v>927</v>
      </c>
      <c r="F2047" s="1" t="s">
        <v>998</v>
      </c>
      <c r="G2047" s="1" t="s">
        <v>992</v>
      </c>
      <c r="H2047" s="1" t="s">
        <v>1086</v>
      </c>
      <c r="I2047" s="1" t="s">
        <v>920</v>
      </c>
      <c r="J2047" s="1" t="s">
        <v>933</v>
      </c>
      <c r="K2047" s="1" t="s">
        <v>994</v>
      </c>
      <c r="L2047" s="1" t="s">
        <v>1001</v>
      </c>
      <c r="M2047" s="1" t="s">
        <v>981</v>
      </c>
      <c r="N2047" s="1" t="s">
        <v>939</v>
      </c>
      <c r="O2047" s="1" t="s">
        <v>1066</v>
      </c>
      <c r="P2047" s="1" t="s">
        <v>993</v>
      </c>
      <c r="Q2047" s="1"/>
    </row>
    <row r="2048" spans="1:17" x14ac:dyDescent="0.25">
      <c r="A2048" s="1" t="s">
        <v>25</v>
      </c>
      <c r="B2048" s="1" t="s">
        <v>919</v>
      </c>
      <c r="C2048" s="1" t="s">
        <v>920</v>
      </c>
      <c r="D2048" s="1" t="s">
        <v>921</v>
      </c>
      <c r="E2048" s="1" t="s">
        <v>918</v>
      </c>
      <c r="F2048" s="1" t="s">
        <v>924</v>
      </c>
      <c r="G2048" s="1" t="s">
        <v>961</v>
      </c>
      <c r="H2048" s="1"/>
      <c r="I2048" s="1"/>
      <c r="J2048" s="1"/>
      <c r="K2048" s="1"/>
      <c r="L2048" s="1"/>
      <c r="M2048" s="1"/>
      <c r="N2048" s="1"/>
      <c r="O2048" s="1"/>
      <c r="P2048" s="1"/>
      <c r="Q2048" s="1"/>
    </row>
    <row r="2049" spans="1:17" x14ac:dyDescent="0.25">
      <c r="A2049" s="1" t="s">
        <v>10987</v>
      </c>
      <c r="B2049" s="1" t="s">
        <v>10988</v>
      </c>
      <c r="C2049" s="1" t="s">
        <v>10989</v>
      </c>
      <c r="D2049" s="1" t="s">
        <v>10990</v>
      </c>
      <c r="E2049" s="1" t="s">
        <v>10904</v>
      </c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</row>
    <row r="2050" spans="1:17" x14ac:dyDescent="0.25">
      <c r="A2050" s="1" t="s">
        <v>50</v>
      </c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</row>
    <row r="2051" spans="1:17" x14ac:dyDescent="0.25">
      <c r="A2051" s="1" t="s">
        <v>1045</v>
      </c>
      <c r="B2051" s="1" t="s">
        <v>1042</v>
      </c>
      <c r="C2051" s="1" t="s">
        <v>999</v>
      </c>
      <c r="D2051" s="1" t="s">
        <v>921</v>
      </c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</row>
    <row r="2052" spans="1:17" x14ac:dyDescent="0.25">
      <c r="A2052" s="1" t="s">
        <v>923</v>
      </c>
      <c r="B2052" s="1" t="s">
        <v>1113</v>
      </c>
      <c r="C2052" s="1" t="s">
        <v>328</v>
      </c>
      <c r="D2052" s="1" t="s">
        <v>25</v>
      </c>
      <c r="E2052" s="1" t="s">
        <v>920</v>
      </c>
      <c r="F2052" s="1" t="s">
        <v>921</v>
      </c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</row>
    <row r="2053" spans="1:17" x14ac:dyDescent="0.25">
      <c r="A2053" s="1" t="s">
        <v>923</v>
      </c>
      <c r="B2053" s="1" t="s">
        <v>1113</v>
      </c>
      <c r="C2053" s="1" t="s">
        <v>328</v>
      </c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</row>
    <row r="2054" spans="1:17" x14ac:dyDescent="0.25">
      <c r="A2054" s="1" t="s">
        <v>1001</v>
      </c>
      <c r="B2054" s="1" t="s">
        <v>918</v>
      </c>
      <c r="C2054" s="1" t="s">
        <v>927</v>
      </c>
      <c r="D2054" s="1" t="s">
        <v>1000</v>
      </c>
      <c r="E2054" s="1" t="s">
        <v>919</v>
      </c>
      <c r="F2054" s="1" t="s">
        <v>936</v>
      </c>
      <c r="G2054" s="1" t="s">
        <v>921</v>
      </c>
      <c r="H2054" s="1"/>
      <c r="I2054" s="1"/>
      <c r="J2054" s="1"/>
      <c r="K2054" s="1"/>
      <c r="L2054" s="1"/>
      <c r="M2054" s="1"/>
      <c r="N2054" s="1"/>
      <c r="O2054" s="1"/>
      <c r="P2054" s="1"/>
      <c r="Q2054" s="1"/>
    </row>
    <row r="2055" spans="1:17" x14ac:dyDescent="0.25">
      <c r="A2055" s="1" t="s">
        <v>998</v>
      </c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</row>
    <row r="2056" spans="1:17" x14ac:dyDescent="0.25">
      <c r="A2056" s="1" t="s">
        <v>25</v>
      </c>
      <c r="B2056" s="1" t="s">
        <v>1053</v>
      </c>
      <c r="C2056" s="1" t="s">
        <v>256</v>
      </c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</row>
    <row r="2057" spans="1:17" x14ac:dyDescent="0.25">
      <c r="A2057" s="1" t="s">
        <v>1000</v>
      </c>
      <c r="B2057" s="1" t="s">
        <v>921</v>
      </c>
      <c r="C2057" s="1" t="s">
        <v>918</v>
      </c>
      <c r="D2057" s="1" t="s">
        <v>25</v>
      </c>
      <c r="E2057" s="1" t="s">
        <v>923</v>
      </c>
      <c r="F2057" s="1" t="s">
        <v>919</v>
      </c>
      <c r="G2057" s="1" t="s">
        <v>920</v>
      </c>
      <c r="H2057" s="1" t="s">
        <v>933</v>
      </c>
      <c r="I2057" s="1"/>
      <c r="J2057" s="1"/>
      <c r="K2057" s="1"/>
      <c r="L2057" s="1"/>
      <c r="M2057" s="1"/>
      <c r="N2057" s="1"/>
      <c r="O2057" s="1"/>
      <c r="P2057" s="1"/>
      <c r="Q2057" s="1"/>
    </row>
    <row r="2058" spans="1:17" x14ac:dyDescent="0.25">
      <c r="A2058" s="1" t="s">
        <v>923</v>
      </c>
      <c r="B2058" s="1" t="s">
        <v>934</v>
      </c>
      <c r="C2058" s="1" t="s">
        <v>25</v>
      </c>
      <c r="D2058" s="1" t="s">
        <v>6421</v>
      </c>
      <c r="E2058" s="1" t="s">
        <v>920</v>
      </c>
      <c r="F2058" s="1" t="s">
        <v>328</v>
      </c>
      <c r="G2058" s="1" t="s">
        <v>921</v>
      </c>
      <c r="H2058" s="1" t="s">
        <v>1013</v>
      </c>
      <c r="I2058" s="1"/>
      <c r="J2058" s="1"/>
      <c r="K2058" s="1"/>
      <c r="L2058" s="1"/>
      <c r="M2058" s="1"/>
      <c r="N2058" s="1"/>
      <c r="O2058" s="1"/>
      <c r="P2058" s="1"/>
      <c r="Q2058" s="1"/>
    </row>
    <row r="2059" spans="1:17" x14ac:dyDescent="0.25">
      <c r="A2059" s="1" t="s">
        <v>1001</v>
      </c>
      <c r="B2059" s="1" t="s">
        <v>927</v>
      </c>
      <c r="C2059" s="1" t="s">
        <v>992</v>
      </c>
      <c r="D2059" s="1" t="s">
        <v>981</v>
      </c>
      <c r="E2059" s="1" t="s">
        <v>1066</v>
      </c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</row>
    <row r="2060" spans="1:17" x14ac:dyDescent="0.25">
      <c r="A2060" s="1" t="s">
        <v>1001</v>
      </c>
      <c r="B2060" s="1" t="s">
        <v>1019</v>
      </c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</row>
    <row r="2061" spans="1:17" x14ac:dyDescent="0.25">
      <c r="A2061" s="1" t="s">
        <v>2927</v>
      </c>
      <c r="B2061" s="1" t="s">
        <v>25</v>
      </c>
      <c r="C2061" s="1" t="s">
        <v>981</v>
      </c>
      <c r="D2061" s="1" t="s">
        <v>1086</v>
      </c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</row>
    <row r="2062" spans="1:17" x14ac:dyDescent="0.25">
      <c r="A2062" s="1" t="s">
        <v>25</v>
      </c>
      <c r="B2062" s="1" t="s">
        <v>927</v>
      </c>
      <c r="C2062" s="1" t="s">
        <v>10837</v>
      </c>
      <c r="D2062" s="1" t="s">
        <v>981</v>
      </c>
      <c r="E2062" s="1" t="s">
        <v>994</v>
      </c>
      <c r="F2062" s="1" t="s">
        <v>979</v>
      </c>
      <c r="G2062" s="1" t="s">
        <v>1029</v>
      </c>
      <c r="H2062" s="1" t="s">
        <v>939</v>
      </c>
      <c r="I2062" s="1" t="s">
        <v>983</v>
      </c>
      <c r="J2062" s="1"/>
      <c r="K2062" s="1"/>
      <c r="L2062" s="1"/>
      <c r="M2062" s="1"/>
      <c r="N2062" s="1"/>
      <c r="O2062" s="1"/>
      <c r="P2062" s="1"/>
      <c r="Q2062" s="1"/>
    </row>
    <row r="2063" spans="1:17" x14ac:dyDescent="0.25">
      <c r="A2063" s="1" t="s">
        <v>1001</v>
      </c>
      <c r="B2063" s="1" t="s">
        <v>927</v>
      </c>
      <c r="C2063" s="1" t="s">
        <v>919</v>
      </c>
      <c r="D2063" s="1" t="s">
        <v>960</v>
      </c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</row>
    <row r="2064" spans="1:17" x14ac:dyDescent="0.25">
      <c r="A2064" s="1" t="s">
        <v>918</v>
      </c>
      <c r="B2064" s="1" t="s">
        <v>919</v>
      </c>
      <c r="C2064" s="1" t="s">
        <v>936</v>
      </c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</row>
    <row r="2065" spans="1:17" x14ac:dyDescent="0.25">
      <c r="A2065" s="1" t="s">
        <v>981</v>
      </c>
      <c r="B2065" s="1" t="s">
        <v>983</v>
      </c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</row>
    <row r="2066" spans="1:17" x14ac:dyDescent="0.25">
      <c r="A2066" s="1" t="s">
        <v>298</v>
      </c>
      <c r="B2066" s="1" t="s">
        <v>25</v>
      </c>
      <c r="C2066" s="1" t="s">
        <v>923</v>
      </c>
      <c r="D2066" s="1" t="s">
        <v>997</v>
      </c>
      <c r="E2066" s="1" t="s">
        <v>927</v>
      </c>
      <c r="F2066" s="1" t="s">
        <v>998</v>
      </c>
      <c r="G2066" s="1" t="s">
        <v>992</v>
      </c>
      <c r="H2066" s="1" t="s">
        <v>1086</v>
      </c>
      <c r="I2066" s="1" t="s">
        <v>920</v>
      </c>
      <c r="J2066" s="1" t="s">
        <v>933</v>
      </c>
      <c r="K2066" s="1" t="s">
        <v>994</v>
      </c>
      <c r="L2066" s="1" t="s">
        <v>919</v>
      </c>
      <c r="M2066" s="1" t="s">
        <v>921</v>
      </c>
      <c r="N2066" s="1"/>
      <c r="O2066" s="1"/>
      <c r="P2066" s="1"/>
      <c r="Q2066" s="1"/>
    </row>
    <row r="2067" spans="1:17" x14ac:dyDescent="0.25">
      <c r="A2067" s="1" t="s">
        <v>2927</v>
      </c>
      <c r="B2067" s="1" t="s">
        <v>1069</v>
      </c>
      <c r="C2067" s="1" t="s">
        <v>25</v>
      </c>
      <c r="D2067" s="1" t="s">
        <v>923</v>
      </c>
      <c r="E2067" s="1" t="s">
        <v>998</v>
      </c>
      <c r="F2067" s="1" t="s">
        <v>1053</v>
      </c>
      <c r="G2067" s="1" t="s">
        <v>1086</v>
      </c>
      <c r="H2067" s="1" t="s">
        <v>933</v>
      </c>
      <c r="I2067" s="1"/>
      <c r="J2067" s="1"/>
      <c r="K2067" s="1"/>
      <c r="L2067" s="1"/>
      <c r="M2067" s="1"/>
      <c r="N2067" s="1"/>
      <c r="O2067" s="1"/>
      <c r="P2067" s="1"/>
      <c r="Q2067" s="1"/>
    </row>
    <row r="2068" spans="1:17" x14ac:dyDescent="0.25">
      <c r="A2068" s="1" t="s">
        <v>998</v>
      </c>
      <c r="B2068" s="1" t="s">
        <v>994</v>
      </c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</row>
    <row r="2069" spans="1:17" x14ac:dyDescent="0.25">
      <c r="A2069" s="1" t="s">
        <v>1053</v>
      </c>
      <c r="B2069" s="1" t="s">
        <v>10991</v>
      </c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</row>
    <row r="2070" spans="1:17" x14ac:dyDescent="0.25">
      <c r="A2070" s="1" t="s">
        <v>933</v>
      </c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</row>
    <row r="2071" spans="1:17" x14ac:dyDescent="0.25">
      <c r="A2071" s="1" t="s">
        <v>50</v>
      </c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</row>
    <row r="2072" spans="1:17" x14ac:dyDescent="0.25">
      <c r="A2072" s="1" t="s">
        <v>50</v>
      </c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</row>
    <row r="2073" spans="1:17" x14ac:dyDescent="0.25">
      <c r="A2073" s="1" t="s">
        <v>1053</v>
      </c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</row>
    <row r="2074" spans="1:17" x14ac:dyDescent="0.25">
      <c r="A2074" s="1" t="s">
        <v>25</v>
      </c>
      <c r="B2074" s="1" t="s">
        <v>923</v>
      </c>
      <c r="C2074" s="1" t="s">
        <v>1086</v>
      </c>
      <c r="D2074" s="1" t="s">
        <v>920</v>
      </c>
      <c r="E2074" s="1" t="s">
        <v>933</v>
      </c>
      <c r="F2074" s="1" t="s">
        <v>954</v>
      </c>
      <c r="G2074" s="1" t="s">
        <v>974</v>
      </c>
      <c r="H2074" s="1" t="s">
        <v>10719</v>
      </c>
      <c r="I2074" s="1" t="s">
        <v>950</v>
      </c>
      <c r="J2074" s="1" t="s">
        <v>921</v>
      </c>
      <c r="K2074" s="1" t="s">
        <v>10720</v>
      </c>
      <c r="L2074" s="1" t="s">
        <v>1001</v>
      </c>
      <c r="M2074" s="1" t="s">
        <v>927</v>
      </c>
      <c r="N2074" s="1" t="s">
        <v>919</v>
      </c>
      <c r="O2074" s="1" t="s">
        <v>960</v>
      </c>
      <c r="P2074" s="1"/>
      <c r="Q2074" s="1"/>
    </row>
    <row r="2075" spans="1:17" x14ac:dyDescent="0.25">
      <c r="A2075" s="1" t="s">
        <v>25</v>
      </c>
      <c r="B2075" s="1" t="s">
        <v>923</v>
      </c>
      <c r="C2075" s="1" t="s">
        <v>1086</v>
      </c>
      <c r="D2075" s="1" t="s">
        <v>920</v>
      </c>
      <c r="E2075" s="1" t="s">
        <v>933</v>
      </c>
      <c r="F2075" s="1" t="s">
        <v>954</v>
      </c>
      <c r="G2075" s="1" t="s">
        <v>974</v>
      </c>
      <c r="H2075" s="1" t="s">
        <v>10719</v>
      </c>
      <c r="I2075" s="1" t="s">
        <v>950</v>
      </c>
      <c r="J2075" s="1" t="s">
        <v>921</v>
      </c>
      <c r="K2075" s="1" t="s">
        <v>10720</v>
      </c>
      <c r="L2075" s="1" t="s">
        <v>918</v>
      </c>
      <c r="M2075" s="1" t="s">
        <v>10779</v>
      </c>
      <c r="N2075" s="1" t="s">
        <v>919</v>
      </c>
      <c r="O2075" s="1" t="s">
        <v>936</v>
      </c>
      <c r="P2075" s="1"/>
      <c r="Q2075" s="1"/>
    </row>
    <row r="2076" spans="1:17" x14ac:dyDescent="0.25">
      <c r="A2076" s="1" t="s">
        <v>25</v>
      </c>
      <c r="B2076" s="1" t="s">
        <v>923</v>
      </c>
      <c r="C2076" s="1" t="s">
        <v>1086</v>
      </c>
      <c r="D2076" s="1" t="s">
        <v>920</v>
      </c>
      <c r="E2076" s="1" t="s">
        <v>933</v>
      </c>
      <c r="F2076" s="1" t="s">
        <v>954</v>
      </c>
      <c r="G2076" s="1" t="s">
        <v>974</v>
      </c>
      <c r="H2076" s="1" t="s">
        <v>10719</v>
      </c>
      <c r="I2076" s="1" t="s">
        <v>950</v>
      </c>
      <c r="J2076" s="1" t="s">
        <v>921</v>
      </c>
      <c r="K2076" s="1" t="s">
        <v>10720</v>
      </c>
      <c r="L2076" s="1"/>
      <c r="M2076" s="1"/>
      <c r="N2076" s="1"/>
      <c r="O2076" s="1"/>
      <c r="P2076" s="1"/>
      <c r="Q2076" s="1"/>
    </row>
    <row r="2077" spans="1:17" x14ac:dyDescent="0.25">
      <c r="A2077" s="1" t="s">
        <v>25</v>
      </c>
      <c r="B2077" s="1" t="s">
        <v>923</v>
      </c>
      <c r="C2077" s="1" t="s">
        <v>1086</v>
      </c>
      <c r="D2077" s="1" t="s">
        <v>920</v>
      </c>
      <c r="E2077" s="1" t="s">
        <v>933</v>
      </c>
      <c r="F2077" s="1" t="s">
        <v>954</v>
      </c>
      <c r="G2077" s="1" t="s">
        <v>974</v>
      </c>
      <c r="H2077" s="1" t="s">
        <v>10719</v>
      </c>
      <c r="I2077" s="1" t="s">
        <v>950</v>
      </c>
      <c r="J2077" s="1" t="s">
        <v>921</v>
      </c>
      <c r="K2077" s="1" t="s">
        <v>10720</v>
      </c>
      <c r="L2077" s="1"/>
      <c r="M2077" s="1"/>
      <c r="N2077" s="1"/>
      <c r="O2077" s="1"/>
      <c r="P2077" s="1"/>
      <c r="Q2077" s="1"/>
    </row>
    <row r="2078" spans="1:17" x14ac:dyDescent="0.25">
      <c r="A2078" s="1" t="s">
        <v>25</v>
      </c>
      <c r="B2078" s="1" t="s">
        <v>923</v>
      </c>
      <c r="C2078" s="1" t="s">
        <v>1086</v>
      </c>
      <c r="D2078" s="1" t="s">
        <v>920</v>
      </c>
      <c r="E2078" s="1" t="s">
        <v>933</v>
      </c>
      <c r="F2078" s="1" t="s">
        <v>954</v>
      </c>
      <c r="G2078" s="1" t="s">
        <v>974</v>
      </c>
      <c r="H2078" s="1" t="s">
        <v>10719</v>
      </c>
      <c r="I2078" s="1" t="s">
        <v>950</v>
      </c>
      <c r="J2078" s="1" t="s">
        <v>921</v>
      </c>
      <c r="K2078" s="1" t="s">
        <v>10720</v>
      </c>
      <c r="L2078" s="1" t="s">
        <v>10919</v>
      </c>
      <c r="M2078" s="1"/>
      <c r="N2078" s="1"/>
      <c r="O2078" s="1"/>
      <c r="P2078" s="1"/>
      <c r="Q2078" s="1"/>
    </row>
    <row r="2079" spans="1:17" x14ac:dyDescent="0.25">
      <c r="A2079" s="1" t="s">
        <v>50</v>
      </c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</row>
    <row r="2080" spans="1:17" x14ac:dyDescent="0.25">
      <c r="A2080" s="1" t="s">
        <v>50</v>
      </c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</row>
    <row r="2081" spans="1:17" x14ac:dyDescent="0.25">
      <c r="A2081" s="1" t="s">
        <v>933</v>
      </c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</row>
    <row r="2082" spans="1:17" x14ac:dyDescent="0.25">
      <c r="A2082" s="1" t="s">
        <v>933</v>
      </c>
      <c r="B2082" s="1" t="s">
        <v>1066</v>
      </c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</row>
    <row r="2083" spans="1:17" x14ac:dyDescent="0.25">
      <c r="A2083" s="1" t="s">
        <v>1066</v>
      </c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</row>
    <row r="2084" spans="1:17" x14ac:dyDescent="0.25">
      <c r="A2084" s="1" t="s">
        <v>50</v>
      </c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</row>
    <row r="2085" spans="1:17" x14ac:dyDescent="0.25">
      <c r="A2085" s="1" t="s">
        <v>50</v>
      </c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</row>
    <row r="2086" spans="1:17" x14ac:dyDescent="0.25">
      <c r="A2086" s="1" t="s">
        <v>50</v>
      </c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</row>
    <row r="2087" spans="1:17" x14ac:dyDescent="0.25">
      <c r="A2087" s="1" t="s">
        <v>996</v>
      </c>
      <c r="B2087" s="1" t="s">
        <v>2541</v>
      </c>
      <c r="C2087" s="1" t="s">
        <v>10807</v>
      </c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</row>
    <row r="2088" spans="1:17" x14ac:dyDescent="0.25">
      <c r="A2088" s="1" t="s">
        <v>50</v>
      </c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</row>
    <row r="2089" spans="1:17" x14ac:dyDescent="0.25">
      <c r="A2089" s="1" t="s">
        <v>1053</v>
      </c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</row>
    <row r="2090" spans="1:17" x14ac:dyDescent="0.25">
      <c r="A2090" s="1" t="s">
        <v>933</v>
      </c>
      <c r="B2090" s="1" t="s">
        <v>328</v>
      </c>
      <c r="C2090" s="1" t="s">
        <v>298</v>
      </c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</row>
    <row r="2091" spans="1:17" x14ac:dyDescent="0.25">
      <c r="A2091" s="1" t="s">
        <v>50</v>
      </c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</row>
    <row r="2092" spans="1:17" x14ac:dyDescent="0.25">
      <c r="A2092" s="1" t="s">
        <v>50</v>
      </c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</row>
    <row r="2093" spans="1:17" x14ac:dyDescent="0.25">
      <c r="A2093" s="1" t="s">
        <v>50</v>
      </c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</row>
    <row r="2094" spans="1:17" x14ac:dyDescent="0.25">
      <c r="A2094" s="1" t="s">
        <v>25</v>
      </c>
      <c r="B2094" s="1" t="s">
        <v>997</v>
      </c>
      <c r="C2094" s="1" t="s">
        <v>927</v>
      </c>
      <c r="D2094" s="1" t="s">
        <v>994</v>
      </c>
      <c r="E2094" s="1" t="s">
        <v>10739</v>
      </c>
      <c r="F2094" s="1" t="s">
        <v>10870</v>
      </c>
      <c r="G2094" s="1" t="s">
        <v>955</v>
      </c>
      <c r="H2094" s="1" t="s">
        <v>924</v>
      </c>
      <c r="I2094" s="1" t="s">
        <v>1014</v>
      </c>
      <c r="J2094" s="1" t="s">
        <v>981</v>
      </c>
      <c r="K2094" s="1" t="s">
        <v>933</v>
      </c>
      <c r="L2094" s="1"/>
      <c r="M2094" s="1"/>
      <c r="N2094" s="1"/>
      <c r="O2094" s="1"/>
      <c r="P2094" s="1"/>
      <c r="Q2094" s="1"/>
    </row>
    <row r="2095" spans="1:17" x14ac:dyDescent="0.25">
      <c r="A2095" s="1" t="s">
        <v>25</v>
      </c>
      <c r="B2095" s="1" t="s">
        <v>927</v>
      </c>
      <c r="C2095" s="1" t="s">
        <v>10992</v>
      </c>
      <c r="D2095" s="1" t="s">
        <v>10993</v>
      </c>
      <c r="E2095" s="1" t="s">
        <v>10918</v>
      </c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</row>
    <row r="2096" spans="1:17" x14ac:dyDescent="0.25">
      <c r="A2096" s="1" t="s">
        <v>25</v>
      </c>
      <c r="B2096" s="1" t="s">
        <v>927</v>
      </c>
      <c r="C2096" s="1" t="s">
        <v>10992</v>
      </c>
      <c r="D2096" s="1" t="s">
        <v>10993</v>
      </c>
      <c r="E2096" s="1" t="s">
        <v>10918</v>
      </c>
      <c r="F2096" s="1" t="s">
        <v>1149</v>
      </c>
      <c r="G2096" s="1" t="s">
        <v>923</v>
      </c>
      <c r="H2096" s="1" t="s">
        <v>997</v>
      </c>
      <c r="I2096" s="1"/>
      <c r="J2096" s="1"/>
      <c r="K2096" s="1"/>
      <c r="L2096" s="1"/>
      <c r="M2096" s="1"/>
      <c r="N2096" s="1"/>
      <c r="O2096" s="1"/>
      <c r="P2096" s="1"/>
      <c r="Q2096" s="1"/>
    </row>
    <row r="2097" spans="1:17" x14ac:dyDescent="0.25">
      <c r="A2097" s="1" t="s">
        <v>6110</v>
      </c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</row>
    <row r="2098" spans="1:17" x14ac:dyDescent="0.25">
      <c r="A2098" s="1" t="s">
        <v>998</v>
      </c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</row>
    <row r="2099" spans="1:17" x14ac:dyDescent="0.25">
      <c r="A2099" s="1" t="s">
        <v>998</v>
      </c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</row>
    <row r="2100" spans="1:17" x14ac:dyDescent="0.25">
      <c r="A2100" s="1" t="s">
        <v>998</v>
      </c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</row>
    <row r="2101" spans="1:17" x14ac:dyDescent="0.25">
      <c r="A2101" s="1" t="s">
        <v>998</v>
      </c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</row>
    <row r="2102" spans="1:17" x14ac:dyDescent="0.25">
      <c r="A2102" s="1" t="s">
        <v>10757</v>
      </c>
      <c r="B2102" s="1" t="s">
        <v>989</v>
      </c>
      <c r="C2102" s="1" t="s">
        <v>984</v>
      </c>
      <c r="D2102" s="1" t="s">
        <v>10994</v>
      </c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</row>
    <row r="2103" spans="1:17" x14ac:dyDescent="0.25">
      <c r="A2103" s="1" t="s">
        <v>918</v>
      </c>
      <c r="B2103" s="1" t="s">
        <v>25</v>
      </c>
      <c r="C2103" s="1" t="s">
        <v>923</v>
      </c>
      <c r="D2103" s="1" t="s">
        <v>927</v>
      </c>
      <c r="E2103" s="1" t="s">
        <v>10768</v>
      </c>
      <c r="F2103" s="1" t="s">
        <v>919</v>
      </c>
      <c r="G2103" s="1" t="s">
        <v>920</v>
      </c>
      <c r="H2103" s="1" t="s">
        <v>933</v>
      </c>
      <c r="I2103" s="1" t="s">
        <v>921</v>
      </c>
      <c r="J2103" s="1" t="s">
        <v>936</v>
      </c>
      <c r="K2103" s="1"/>
      <c r="L2103" s="1"/>
      <c r="M2103" s="1"/>
      <c r="N2103" s="1"/>
      <c r="O2103" s="1"/>
      <c r="P2103" s="1"/>
      <c r="Q2103" s="1"/>
    </row>
    <row r="2104" spans="1:17" x14ac:dyDescent="0.25">
      <c r="A2104" s="1" t="s">
        <v>922</v>
      </c>
      <c r="B2104" s="1" t="s">
        <v>918</v>
      </c>
      <c r="C2104" s="1" t="s">
        <v>25</v>
      </c>
      <c r="D2104" s="1" t="s">
        <v>923</v>
      </c>
      <c r="E2104" s="1" t="s">
        <v>927</v>
      </c>
      <c r="F2104" s="1" t="s">
        <v>10768</v>
      </c>
      <c r="G2104" s="1" t="s">
        <v>919</v>
      </c>
      <c r="H2104" s="1" t="s">
        <v>920</v>
      </c>
      <c r="I2104" s="1" t="s">
        <v>933</v>
      </c>
      <c r="J2104" s="1" t="s">
        <v>921</v>
      </c>
      <c r="K2104" s="1" t="s">
        <v>1085</v>
      </c>
      <c r="L2104" s="1" t="s">
        <v>955</v>
      </c>
      <c r="M2104" s="1" t="s">
        <v>924</v>
      </c>
      <c r="N2104" s="1" t="s">
        <v>1014</v>
      </c>
      <c r="O2104" s="1" t="s">
        <v>944</v>
      </c>
      <c r="P2104" s="1" t="s">
        <v>10995</v>
      </c>
      <c r="Q2104" s="1" t="s">
        <v>945</v>
      </c>
    </row>
    <row r="2105" spans="1:17" x14ac:dyDescent="0.25">
      <c r="A2105" s="1" t="s">
        <v>25</v>
      </c>
      <c r="B2105" s="1" t="s">
        <v>997</v>
      </c>
      <c r="C2105" s="1" t="s">
        <v>927</v>
      </c>
      <c r="D2105" s="1" t="s">
        <v>998</v>
      </c>
      <c r="E2105" s="1" t="s">
        <v>920</v>
      </c>
      <c r="F2105" s="1" t="s">
        <v>933</v>
      </c>
      <c r="G2105" s="1" t="s">
        <v>994</v>
      </c>
      <c r="H2105" s="1" t="s">
        <v>996</v>
      </c>
      <c r="I2105" s="1" t="s">
        <v>923</v>
      </c>
      <c r="J2105" s="1"/>
      <c r="K2105" s="1"/>
      <c r="L2105" s="1"/>
      <c r="M2105" s="1"/>
      <c r="N2105" s="1"/>
      <c r="O2105" s="1"/>
      <c r="P2105" s="1"/>
      <c r="Q2105" s="1"/>
    </row>
    <row r="2106" spans="1:17" x14ac:dyDescent="0.25">
      <c r="A2106" s="1" t="s">
        <v>918</v>
      </c>
      <c r="B2106" s="1" t="s">
        <v>25</v>
      </c>
      <c r="C2106" s="1" t="s">
        <v>923</v>
      </c>
      <c r="D2106" s="1" t="s">
        <v>927</v>
      </c>
      <c r="E2106" s="1" t="s">
        <v>10768</v>
      </c>
      <c r="F2106" s="1" t="s">
        <v>919</v>
      </c>
      <c r="G2106" s="1" t="s">
        <v>920</v>
      </c>
      <c r="H2106" s="1" t="s">
        <v>933</v>
      </c>
      <c r="I2106" s="1" t="s">
        <v>921</v>
      </c>
      <c r="J2106" s="1" t="s">
        <v>967</v>
      </c>
      <c r="K2106" s="1" t="s">
        <v>1065</v>
      </c>
      <c r="L2106" s="1" t="s">
        <v>10700</v>
      </c>
      <c r="M2106" s="1" t="s">
        <v>969</v>
      </c>
      <c r="N2106" s="1" t="s">
        <v>970</v>
      </c>
      <c r="O2106" s="1"/>
      <c r="P2106" s="1"/>
      <c r="Q2106" s="1"/>
    </row>
    <row r="2107" spans="1:17" x14ac:dyDescent="0.25">
      <c r="A2107" s="1" t="s">
        <v>1066</v>
      </c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</row>
    <row r="2108" spans="1:17" x14ac:dyDescent="0.25">
      <c r="A2108" s="1" t="s">
        <v>2927</v>
      </c>
      <c r="B2108" s="1" t="s">
        <v>933</v>
      </c>
      <c r="C2108" s="1" t="s">
        <v>1069</v>
      </c>
      <c r="D2108" s="1" t="s">
        <v>25</v>
      </c>
      <c r="E2108" s="1" t="s">
        <v>923</v>
      </c>
      <c r="F2108" s="1" t="s">
        <v>998</v>
      </c>
      <c r="G2108" s="1" t="s">
        <v>1053</v>
      </c>
      <c r="H2108" s="1" t="s">
        <v>1086</v>
      </c>
      <c r="I2108" s="1"/>
      <c r="J2108" s="1"/>
      <c r="K2108" s="1"/>
      <c r="L2108" s="1"/>
      <c r="M2108" s="1"/>
      <c r="N2108" s="1"/>
      <c r="O2108" s="1"/>
      <c r="P2108" s="1"/>
      <c r="Q2108" s="1"/>
    </row>
    <row r="2109" spans="1:17" x14ac:dyDescent="0.25">
      <c r="A2109" s="1" t="s">
        <v>2927</v>
      </c>
      <c r="B2109" s="1" t="s">
        <v>1069</v>
      </c>
      <c r="C2109" s="1" t="s">
        <v>25</v>
      </c>
      <c r="D2109" s="1" t="s">
        <v>923</v>
      </c>
      <c r="E2109" s="1" t="s">
        <v>998</v>
      </c>
      <c r="F2109" s="1" t="s">
        <v>1053</v>
      </c>
      <c r="G2109" s="1" t="s">
        <v>1086</v>
      </c>
      <c r="H2109" s="1" t="s">
        <v>933</v>
      </c>
      <c r="I2109" s="1"/>
      <c r="J2109" s="1"/>
      <c r="K2109" s="1"/>
      <c r="L2109" s="1"/>
      <c r="M2109" s="1"/>
      <c r="N2109" s="1"/>
      <c r="O2109" s="1"/>
      <c r="P2109" s="1"/>
      <c r="Q2109" s="1"/>
    </row>
    <row r="2110" spans="1:17" x14ac:dyDescent="0.25">
      <c r="A2110" s="1" t="s">
        <v>2927</v>
      </c>
      <c r="B2110" s="1" t="s">
        <v>1069</v>
      </c>
      <c r="C2110" s="1" t="s">
        <v>25</v>
      </c>
      <c r="D2110" s="1" t="s">
        <v>923</v>
      </c>
      <c r="E2110" s="1" t="s">
        <v>998</v>
      </c>
      <c r="F2110" s="1" t="s">
        <v>1053</v>
      </c>
      <c r="G2110" s="1" t="s">
        <v>1086</v>
      </c>
      <c r="H2110" s="1" t="s">
        <v>933</v>
      </c>
      <c r="I2110" s="1"/>
      <c r="J2110" s="1"/>
      <c r="K2110" s="1"/>
      <c r="L2110" s="1"/>
      <c r="M2110" s="1"/>
      <c r="N2110" s="1"/>
      <c r="O2110" s="1"/>
      <c r="P2110" s="1"/>
      <c r="Q2110" s="1"/>
    </row>
    <row r="2111" spans="1:17" x14ac:dyDescent="0.25">
      <c r="A2111" s="1" t="s">
        <v>50</v>
      </c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</row>
    <row r="2112" spans="1:17" x14ac:dyDescent="0.25">
      <c r="A2112" s="1" t="s">
        <v>933</v>
      </c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</row>
    <row r="2113" spans="1:17" x14ac:dyDescent="0.25">
      <c r="A2113" s="1" t="s">
        <v>1149</v>
      </c>
      <c r="B2113" s="1" t="s">
        <v>25</v>
      </c>
      <c r="C2113" s="1" t="s">
        <v>923</v>
      </c>
      <c r="D2113" s="1" t="s">
        <v>997</v>
      </c>
      <c r="E2113" s="1" t="s">
        <v>998</v>
      </c>
      <c r="F2113" s="1" t="s">
        <v>933</v>
      </c>
      <c r="G2113" s="1" t="s">
        <v>994</v>
      </c>
      <c r="H2113" s="1"/>
      <c r="I2113" s="1"/>
      <c r="J2113" s="1"/>
      <c r="K2113" s="1"/>
      <c r="L2113" s="1"/>
      <c r="M2113" s="1"/>
      <c r="N2113" s="1"/>
      <c r="O2113" s="1"/>
      <c r="P2113" s="1"/>
      <c r="Q2113" s="1"/>
    </row>
    <row r="2114" spans="1:17" x14ac:dyDescent="0.25">
      <c r="A2114" s="1" t="s">
        <v>1001</v>
      </c>
      <c r="B2114" s="1" t="s">
        <v>918</v>
      </c>
      <c r="C2114" s="1" t="s">
        <v>927</v>
      </c>
      <c r="D2114" s="1" t="s">
        <v>1000</v>
      </c>
      <c r="E2114" s="1" t="s">
        <v>919</v>
      </c>
      <c r="F2114" s="1" t="s">
        <v>936</v>
      </c>
      <c r="G2114" s="1" t="s">
        <v>921</v>
      </c>
      <c r="H2114" s="1" t="s">
        <v>1110</v>
      </c>
      <c r="I2114" s="1" t="s">
        <v>25</v>
      </c>
      <c r="J2114" s="1" t="s">
        <v>923</v>
      </c>
      <c r="K2114" s="1" t="s">
        <v>920</v>
      </c>
      <c r="L2114" s="1" t="s">
        <v>954</v>
      </c>
      <c r="M2114" s="1" t="s">
        <v>328</v>
      </c>
      <c r="N2114" s="1"/>
      <c r="O2114" s="1"/>
      <c r="P2114" s="1"/>
      <c r="Q2114" s="1"/>
    </row>
    <row r="2115" spans="1:17" x14ac:dyDescent="0.25">
      <c r="A2115" s="1" t="s">
        <v>1066</v>
      </c>
      <c r="B2115" s="1" t="s">
        <v>981</v>
      </c>
      <c r="C2115" s="1" t="s">
        <v>1019</v>
      </c>
      <c r="D2115" s="1" t="s">
        <v>983</v>
      </c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</row>
    <row r="2116" spans="1:17" x14ac:dyDescent="0.25">
      <c r="A2116" s="1" t="s">
        <v>1167</v>
      </c>
      <c r="B2116" s="1" t="s">
        <v>998</v>
      </c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</row>
    <row r="2117" spans="1:17" x14ac:dyDescent="0.25">
      <c r="A2117" s="1" t="s">
        <v>1019</v>
      </c>
      <c r="B2117" s="1" t="s">
        <v>983</v>
      </c>
      <c r="C2117" s="1" t="s">
        <v>984</v>
      </c>
      <c r="D2117" s="1" t="s">
        <v>1001</v>
      </c>
      <c r="E2117" s="1" t="s">
        <v>927</v>
      </c>
      <c r="F2117" s="1" t="s">
        <v>992</v>
      </c>
      <c r="G2117" s="1" t="s">
        <v>981</v>
      </c>
      <c r="H2117" s="1" t="s">
        <v>1066</v>
      </c>
      <c r="I2117" s="1" t="s">
        <v>919</v>
      </c>
      <c r="J2117" s="1" t="s">
        <v>993</v>
      </c>
      <c r="K2117" s="1"/>
      <c r="L2117" s="1"/>
      <c r="M2117" s="1"/>
      <c r="N2117" s="1"/>
      <c r="O2117" s="1"/>
      <c r="P2117" s="1"/>
      <c r="Q2117" s="1"/>
    </row>
    <row r="2118" spans="1:17" x14ac:dyDescent="0.25">
      <c r="A2118" s="1" t="s">
        <v>964</v>
      </c>
      <c r="B2118" s="1" t="s">
        <v>10751</v>
      </c>
      <c r="C2118" s="1" t="s">
        <v>10755</v>
      </c>
      <c r="D2118" s="1" t="s">
        <v>10724</v>
      </c>
      <c r="E2118" s="1" t="s">
        <v>25</v>
      </c>
      <c r="F2118" s="1" t="s">
        <v>1109</v>
      </c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</row>
    <row r="2119" spans="1:17" x14ac:dyDescent="0.25">
      <c r="A2119" s="1" t="s">
        <v>964</v>
      </c>
      <c r="B2119" s="1" t="s">
        <v>10751</v>
      </c>
      <c r="C2119" s="1" t="s">
        <v>10755</v>
      </c>
      <c r="D2119" s="1" t="s">
        <v>10724</v>
      </c>
      <c r="E2119" s="1" t="s">
        <v>25</v>
      </c>
      <c r="F2119" s="1" t="s">
        <v>1109</v>
      </c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</row>
    <row r="2120" spans="1:17" x14ac:dyDescent="0.25">
      <c r="A2120" s="1" t="s">
        <v>948</v>
      </c>
      <c r="B2120" s="1" t="s">
        <v>298</v>
      </c>
      <c r="C2120" s="1" t="s">
        <v>1149</v>
      </c>
      <c r="D2120" s="1" t="s">
        <v>25</v>
      </c>
      <c r="E2120" s="1" t="s">
        <v>923</v>
      </c>
      <c r="F2120" s="1" t="s">
        <v>997</v>
      </c>
      <c r="G2120" s="1" t="s">
        <v>954</v>
      </c>
      <c r="H2120" s="1" t="s">
        <v>994</v>
      </c>
      <c r="I2120" s="1"/>
      <c r="J2120" s="1"/>
      <c r="K2120" s="1"/>
      <c r="L2120" s="1"/>
      <c r="M2120" s="1"/>
      <c r="N2120" s="1"/>
      <c r="O2120" s="1"/>
      <c r="P2120" s="1"/>
      <c r="Q2120" s="1"/>
    </row>
    <row r="2121" spans="1:17" x14ac:dyDescent="0.25">
      <c r="A2121" s="1" t="s">
        <v>1053</v>
      </c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</row>
    <row r="2122" spans="1:17" x14ac:dyDescent="0.25">
      <c r="A2122" s="1" t="s">
        <v>947</v>
      </c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</row>
    <row r="2123" spans="1:17" x14ac:dyDescent="0.25">
      <c r="A2123" s="1" t="s">
        <v>923</v>
      </c>
      <c r="B2123" s="1" t="s">
        <v>918</v>
      </c>
      <c r="C2123" s="1" t="s">
        <v>919</v>
      </c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</row>
    <row r="2124" spans="1:17" x14ac:dyDescent="0.25">
      <c r="A2124" s="1" t="s">
        <v>1053</v>
      </c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</row>
    <row r="2125" spans="1:17" x14ac:dyDescent="0.25">
      <c r="A2125" s="1" t="s">
        <v>918</v>
      </c>
      <c r="B2125" s="1" t="s">
        <v>25</v>
      </c>
      <c r="C2125" s="1" t="s">
        <v>927</v>
      </c>
      <c r="D2125" s="1" t="s">
        <v>919</v>
      </c>
      <c r="E2125" s="1" t="s">
        <v>920</v>
      </c>
      <c r="F2125" s="1" t="s">
        <v>921</v>
      </c>
      <c r="G2125" s="1" t="s">
        <v>981</v>
      </c>
      <c r="H2125" s="1"/>
      <c r="I2125" s="1"/>
      <c r="J2125" s="1"/>
      <c r="K2125" s="1"/>
      <c r="L2125" s="1"/>
      <c r="M2125" s="1"/>
      <c r="N2125" s="1"/>
      <c r="O2125" s="1"/>
      <c r="P2125" s="1"/>
      <c r="Q2125" s="1"/>
    </row>
    <row r="2126" spans="1:17" x14ac:dyDescent="0.25">
      <c r="A2126" s="1" t="s">
        <v>1031</v>
      </c>
      <c r="B2126" s="1" t="s">
        <v>1032</v>
      </c>
      <c r="C2126" s="1" t="s">
        <v>1033</v>
      </c>
      <c r="D2126" s="1" t="s">
        <v>918</v>
      </c>
      <c r="E2126" s="1" t="s">
        <v>932</v>
      </c>
      <c r="F2126" s="1" t="s">
        <v>916</v>
      </c>
      <c r="G2126" s="1" t="s">
        <v>920</v>
      </c>
      <c r="H2126" s="1" t="s">
        <v>921</v>
      </c>
      <c r="I2126" s="1"/>
      <c r="J2126" s="1"/>
      <c r="K2126" s="1"/>
      <c r="L2126" s="1"/>
      <c r="M2126" s="1"/>
      <c r="N2126" s="1"/>
      <c r="O2126" s="1"/>
      <c r="P2126" s="1"/>
      <c r="Q2126" s="1"/>
    </row>
    <row r="2127" spans="1:17" x14ac:dyDescent="0.25">
      <c r="A2127" s="1" t="s">
        <v>934</v>
      </c>
      <c r="B2127" s="1" t="s">
        <v>918</v>
      </c>
      <c r="C2127" s="1" t="s">
        <v>1110</v>
      </c>
      <c r="D2127" s="1" t="s">
        <v>25</v>
      </c>
      <c r="E2127" s="1" t="s">
        <v>923</v>
      </c>
      <c r="F2127" s="1" t="s">
        <v>920</v>
      </c>
      <c r="G2127" s="1" t="s">
        <v>924</v>
      </c>
      <c r="H2127" s="1" t="s">
        <v>974</v>
      </c>
      <c r="I2127" s="1" t="s">
        <v>921</v>
      </c>
      <c r="J2127" s="1" t="s">
        <v>919</v>
      </c>
      <c r="K2127" s="1"/>
      <c r="L2127" s="1"/>
      <c r="M2127" s="1"/>
      <c r="N2127" s="1"/>
      <c r="O2127" s="1"/>
      <c r="P2127" s="1"/>
      <c r="Q2127" s="1"/>
    </row>
    <row r="2128" spans="1:17" x14ac:dyDescent="0.25">
      <c r="A2128" s="1" t="s">
        <v>918</v>
      </c>
      <c r="B2128" s="1" t="s">
        <v>25</v>
      </c>
      <c r="C2128" s="1" t="s">
        <v>927</v>
      </c>
      <c r="D2128" s="1" t="s">
        <v>919</v>
      </c>
      <c r="E2128" s="1" t="s">
        <v>920</v>
      </c>
      <c r="F2128" s="1" t="s">
        <v>921</v>
      </c>
      <c r="G2128" s="1" t="s">
        <v>10913</v>
      </c>
      <c r="H2128" s="1" t="s">
        <v>10914</v>
      </c>
      <c r="I2128" s="1"/>
      <c r="J2128" s="1"/>
      <c r="K2128" s="1"/>
      <c r="L2128" s="1"/>
      <c r="M2128" s="1"/>
      <c r="N2128" s="1"/>
      <c r="O2128" s="1"/>
      <c r="P2128" s="1"/>
      <c r="Q2128" s="1"/>
    </row>
    <row r="2129" spans="1:17" x14ac:dyDescent="0.25">
      <c r="A2129" s="1" t="s">
        <v>934</v>
      </c>
      <c r="B2129" s="1" t="s">
        <v>918</v>
      </c>
      <c r="C2129" s="1" t="s">
        <v>1110</v>
      </c>
      <c r="D2129" s="1" t="s">
        <v>25</v>
      </c>
      <c r="E2129" s="1" t="s">
        <v>923</v>
      </c>
      <c r="F2129" s="1" t="s">
        <v>920</v>
      </c>
      <c r="G2129" s="1" t="s">
        <v>924</v>
      </c>
      <c r="H2129" s="1" t="s">
        <v>974</v>
      </c>
      <c r="I2129" s="1" t="s">
        <v>921</v>
      </c>
      <c r="J2129" s="1" t="s">
        <v>10996</v>
      </c>
      <c r="K2129" s="1"/>
      <c r="L2129" s="1"/>
      <c r="M2129" s="1"/>
      <c r="N2129" s="1"/>
      <c r="O2129" s="1"/>
      <c r="P2129" s="1"/>
      <c r="Q2129" s="1"/>
    </row>
    <row r="2130" spans="1:17" x14ac:dyDescent="0.25">
      <c r="A2130" s="1" t="s">
        <v>1001</v>
      </c>
      <c r="B2130" s="1" t="s">
        <v>1109</v>
      </c>
      <c r="C2130" s="1" t="s">
        <v>927</v>
      </c>
      <c r="D2130" s="1" t="s">
        <v>981</v>
      </c>
      <c r="E2130" s="1" t="s">
        <v>10944</v>
      </c>
      <c r="F2130" s="1" t="s">
        <v>952</v>
      </c>
      <c r="G2130" s="1" t="s">
        <v>919</v>
      </c>
      <c r="H2130" s="1" t="s">
        <v>1020</v>
      </c>
      <c r="I2130" s="1"/>
      <c r="J2130" s="1"/>
      <c r="K2130" s="1"/>
      <c r="L2130" s="1"/>
      <c r="M2130" s="1"/>
      <c r="N2130" s="1"/>
      <c r="O2130" s="1"/>
      <c r="P2130" s="1"/>
      <c r="Q2130" s="1"/>
    </row>
    <row r="2131" spans="1:17" x14ac:dyDescent="0.25">
      <c r="A2131" s="1" t="s">
        <v>918</v>
      </c>
      <c r="B2131" s="1" t="s">
        <v>940</v>
      </c>
      <c r="C2131" s="1" t="s">
        <v>1031</v>
      </c>
      <c r="D2131" s="1" t="s">
        <v>1110</v>
      </c>
      <c r="E2131" s="1" t="s">
        <v>25</v>
      </c>
      <c r="F2131" s="1" t="s">
        <v>923</v>
      </c>
      <c r="G2131" s="1" t="s">
        <v>916</v>
      </c>
      <c r="H2131" s="1" t="s">
        <v>920</v>
      </c>
      <c r="I2131" s="1" t="s">
        <v>954</v>
      </c>
      <c r="J2131" s="1" t="s">
        <v>974</v>
      </c>
      <c r="K2131" s="1" t="s">
        <v>921</v>
      </c>
      <c r="L2131" s="1" t="s">
        <v>1033</v>
      </c>
      <c r="M2131" s="1"/>
      <c r="N2131" s="1"/>
      <c r="O2131" s="1"/>
      <c r="P2131" s="1"/>
      <c r="Q2131" s="1"/>
    </row>
    <row r="2132" spans="1:17" x14ac:dyDescent="0.25">
      <c r="A2132" s="1" t="s">
        <v>1108</v>
      </c>
      <c r="B2132" s="1" t="s">
        <v>918</v>
      </c>
      <c r="C2132" s="1" t="s">
        <v>940</v>
      </c>
      <c r="D2132" s="1" t="s">
        <v>1031</v>
      </c>
      <c r="E2132" s="1" t="s">
        <v>1110</v>
      </c>
      <c r="F2132" s="1" t="s">
        <v>25</v>
      </c>
      <c r="G2132" s="1" t="s">
        <v>923</v>
      </c>
      <c r="H2132" s="1" t="s">
        <v>916</v>
      </c>
      <c r="I2132" s="1" t="s">
        <v>920</v>
      </c>
      <c r="J2132" s="1" t="s">
        <v>954</v>
      </c>
      <c r="K2132" s="1" t="s">
        <v>974</v>
      </c>
      <c r="L2132" s="1" t="s">
        <v>921</v>
      </c>
      <c r="M2132" s="1" t="s">
        <v>1033</v>
      </c>
      <c r="N2132" s="1"/>
      <c r="O2132" s="1"/>
      <c r="P2132" s="1"/>
      <c r="Q2132" s="1"/>
    </row>
    <row r="2133" spans="1:17" x14ac:dyDescent="0.25">
      <c r="A2133" s="1" t="s">
        <v>918</v>
      </c>
      <c r="B2133" s="1" t="s">
        <v>25</v>
      </c>
      <c r="C2133" s="1" t="s">
        <v>923</v>
      </c>
      <c r="D2133" s="1" t="s">
        <v>919</v>
      </c>
      <c r="E2133" s="1" t="s">
        <v>920</v>
      </c>
      <c r="F2133" s="1" t="s">
        <v>921</v>
      </c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</row>
    <row r="2134" spans="1:17" x14ac:dyDescent="0.25">
      <c r="A2134" s="1" t="s">
        <v>918</v>
      </c>
      <c r="B2134" s="1" t="s">
        <v>25</v>
      </c>
      <c r="C2134" s="1" t="s">
        <v>923</v>
      </c>
      <c r="D2134" s="1" t="s">
        <v>920</v>
      </c>
      <c r="E2134" s="1" t="s">
        <v>954</v>
      </c>
      <c r="F2134" s="1" t="s">
        <v>974</v>
      </c>
      <c r="G2134" s="1" t="s">
        <v>90</v>
      </c>
      <c r="H2134" s="1" t="s">
        <v>964</v>
      </c>
      <c r="I2134" s="1" t="s">
        <v>933</v>
      </c>
      <c r="J2134" s="1"/>
      <c r="K2134" s="1"/>
      <c r="L2134" s="1"/>
      <c r="M2134" s="1"/>
      <c r="N2134" s="1"/>
      <c r="O2134" s="1"/>
      <c r="P2134" s="1"/>
      <c r="Q2134" s="1"/>
    </row>
    <row r="2135" spans="1:17" x14ac:dyDescent="0.25">
      <c r="A2135" s="1" t="s">
        <v>918</v>
      </c>
      <c r="B2135" s="1" t="s">
        <v>25</v>
      </c>
      <c r="C2135" s="1" t="s">
        <v>923</v>
      </c>
      <c r="D2135" s="1" t="s">
        <v>919</v>
      </c>
      <c r="E2135" s="1" t="s">
        <v>920</v>
      </c>
      <c r="F2135" s="1" t="s">
        <v>921</v>
      </c>
      <c r="G2135" s="1" t="s">
        <v>1031</v>
      </c>
      <c r="H2135" s="1" t="s">
        <v>916</v>
      </c>
      <c r="I2135" s="1" t="s">
        <v>954</v>
      </c>
      <c r="J2135" s="1" t="s">
        <v>974</v>
      </c>
      <c r="K2135" s="1" t="s">
        <v>1033</v>
      </c>
      <c r="L2135" s="1"/>
      <c r="M2135" s="1"/>
      <c r="N2135" s="1"/>
      <c r="O2135" s="1"/>
      <c r="P2135" s="1"/>
      <c r="Q2135" s="1"/>
    </row>
    <row r="2136" spans="1:17" x14ac:dyDescent="0.25">
      <c r="A2136" s="1" t="s">
        <v>934</v>
      </c>
      <c r="B2136" s="1" t="s">
        <v>918</v>
      </c>
      <c r="C2136" s="1" t="s">
        <v>1110</v>
      </c>
      <c r="D2136" s="1" t="s">
        <v>25</v>
      </c>
      <c r="E2136" s="1" t="s">
        <v>923</v>
      </c>
      <c r="F2136" s="1" t="s">
        <v>920</v>
      </c>
      <c r="G2136" s="1" t="s">
        <v>924</v>
      </c>
      <c r="H2136" s="1" t="s">
        <v>974</v>
      </c>
      <c r="I2136" s="1" t="s">
        <v>921</v>
      </c>
      <c r="J2136" s="1" t="s">
        <v>1001</v>
      </c>
      <c r="K2136" s="1" t="s">
        <v>1109</v>
      </c>
      <c r="L2136" s="1" t="s">
        <v>927</v>
      </c>
      <c r="M2136" s="1" t="s">
        <v>981</v>
      </c>
      <c r="N2136" s="1" t="s">
        <v>10944</v>
      </c>
      <c r="O2136" s="1" t="s">
        <v>952</v>
      </c>
      <c r="P2136" s="1" t="s">
        <v>919</v>
      </c>
      <c r="Q2136" s="1" t="s">
        <v>1020</v>
      </c>
    </row>
    <row r="2137" spans="1:17" x14ac:dyDescent="0.25">
      <c r="A2137" s="1" t="s">
        <v>934</v>
      </c>
      <c r="B2137" s="1" t="s">
        <v>918</v>
      </c>
      <c r="C2137" s="1" t="s">
        <v>1110</v>
      </c>
      <c r="D2137" s="1" t="s">
        <v>25</v>
      </c>
      <c r="E2137" s="1" t="s">
        <v>923</v>
      </c>
      <c r="F2137" s="1" t="s">
        <v>916</v>
      </c>
      <c r="G2137" s="1" t="s">
        <v>920</v>
      </c>
      <c r="H2137" s="1" t="s">
        <v>954</v>
      </c>
      <c r="I2137" s="1" t="s">
        <v>974</v>
      </c>
      <c r="J2137" s="1" t="s">
        <v>10997</v>
      </c>
      <c r="K2137" s="1" t="s">
        <v>924</v>
      </c>
      <c r="L2137" s="1"/>
      <c r="M2137" s="1"/>
      <c r="N2137" s="1"/>
      <c r="O2137" s="1"/>
      <c r="P2137" s="1"/>
      <c r="Q2137" s="1"/>
    </row>
    <row r="2138" spans="1:17" x14ac:dyDescent="0.25">
      <c r="A2138" s="1" t="s">
        <v>25</v>
      </c>
      <c r="B2138" s="1" t="s">
        <v>919</v>
      </c>
      <c r="C2138" s="1" t="s">
        <v>920</v>
      </c>
      <c r="D2138" s="1" t="s">
        <v>954</v>
      </c>
      <c r="E2138" s="1" t="s">
        <v>933</v>
      </c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</row>
    <row r="2139" spans="1:17" x14ac:dyDescent="0.25">
      <c r="A2139" s="1" t="s">
        <v>2927</v>
      </c>
      <c r="B2139" s="1" t="s">
        <v>1051</v>
      </c>
      <c r="C2139" s="1" t="s">
        <v>25</v>
      </c>
      <c r="D2139" s="1" t="s">
        <v>1053</v>
      </c>
      <c r="E2139" s="1" t="s">
        <v>1086</v>
      </c>
      <c r="F2139" s="1" t="s">
        <v>933</v>
      </c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</row>
    <row r="2140" spans="1:17" x14ac:dyDescent="0.25">
      <c r="A2140" s="1" t="s">
        <v>2927</v>
      </c>
      <c r="B2140" s="1" t="s">
        <v>1051</v>
      </c>
      <c r="C2140" s="1" t="s">
        <v>25</v>
      </c>
      <c r="D2140" s="1" t="s">
        <v>1053</v>
      </c>
      <c r="E2140" s="1" t="s">
        <v>1086</v>
      </c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</row>
    <row r="2141" spans="1:17" x14ac:dyDescent="0.25">
      <c r="A2141" s="1" t="s">
        <v>2927</v>
      </c>
      <c r="B2141" s="1" t="s">
        <v>1051</v>
      </c>
      <c r="C2141" s="1" t="s">
        <v>25</v>
      </c>
      <c r="D2141" s="1" t="s">
        <v>1053</v>
      </c>
      <c r="E2141" s="1" t="s">
        <v>1086</v>
      </c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</row>
    <row r="2142" spans="1:17" x14ac:dyDescent="0.25">
      <c r="A2142" s="1" t="s">
        <v>918</v>
      </c>
      <c r="B2142" s="1" t="s">
        <v>25</v>
      </c>
      <c r="C2142" s="1" t="s">
        <v>919</v>
      </c>
      <c r="D2142" s="1" t="s">
        <v>920</v>
      </c>
      <c r="E2142" s="1" t="s">
        <v>936</v>
      </c>
      <c r="F2142" s="1" t="s">
        <v>921</v>
      </c>
      <c r="G2142" s="1" t="s">
        <v>929</v>
      </c>
      <c r="H2142" s="1"/>
      <c r="I2142" s="1"/>
      <c r="J2142" s="1"/>
      <c r="K2142" s="1"/>
      <c r="L2142" s="1"/>
      <c r="M2142" s="1"/>
      <c r="N2142" s="1"/>
      <c r="O2142" s="1"/>
      <c r="P2142" s="1"/>
      <c r="Q2142" s="1"/>
    </row>
    <row r="2143" spans="1:17" x14ac:dyDescent="0.25">
      <c r="A2143" s="1" t="s">
        <v>918</v>
      </c>
      <c r="B2143" s="1" t="s">
        <v>25</v>
      </c>
      <c r="C2143" s="1" t="s">
        <v>919</v>
      </c>
      <c r="D2143" s="1" t="s">
        <v>920</v>
      </c>
      <c r="E2143" s="1" t="s">
        <v>936</v>
      </c>
      <c r="F2143" s="1" t="s">
        <v>921</v>
      </c>
      <c r="G2143" s="1" t="s">
        <v>929</v>
      </c>
      <c r="H2143" s="1"/>
      <c r="I2143" s="1"/>
      <c r="J2143" s="1"/>
      <c r="K2143" s="1"/>
      <c r="L2143" s="1"/>
      <c r="M2143" s="1"/>
      <c r="N2143" s="1"/>
      <c r="O2143" s="1"/>
      <c r="P2143" s="1"/>
      <c r="Q2143" s="1"/>
    </row>
    <row r="2144" spans="1:17" x14ac:dyDescent="0.25">
      <c r="A2144" s="1" t="s">
        <v>927</v>
      </c>
      <c r="B2144" s="1" t="s">
        <v>981</v>
      </c>
      <c r="C2144" s="1" t="s">
        <v>1066</v>
      </c>
      <c r="D2144" s="1" t="s">
        <v>920</v>
      </c>
      <c r="E2144" s="1" t="s">
        <v>1020</v>
      </c>
      <c r="F2144" s="1" t="s">
        <v>921</v>
      </c>
      <c r="G2144" s="1" t="s">
        <v>978</v>
      </c>
      <c r="H2144" s="1"/>
      <c r="I2144" s="1"/>
      <c r="J2144" s="1"/>
      <c r="K2144" s="1"/>
      <c r="L2144" s="1"/>
      <c r="M2144" s="1"/>
      <c r="N2144" s="1"/>
      <c r="O2144" s="1"/>
      <c r="P2144" s="1"/>
      <c r="Q2144" s="1"/>
    </row>
    <row r="2145" spans="1:17" x14ac:dyDescent="0.25">
      <c r="A2145" s="1" t="s">
        <v>50</v>
      </c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</row>
    <row r="2146" spans="1:17" x14ac:dyDescent="0.25">
      <c r="A2146" s="1" t="s">
        <v>298</v>
      </c>
      <c r="B2146" s="1" t="s">
        <v>1069</v>
      </c>
      <c r="C2146" s="1" t="s">
        <v>25</v>
      </c>
      <c r="D2146" s="1" t="s">
        <v>923</v>
      </c>
      <c r="E2146" s="1" t="s">
        <v>998</v>
      </c>
      <c r="F2146" s="1" t="s">
        <v>1053</v>
      </c>
      <c r="G2146" s="1" t="s">
        <v>994</v>
      </c>
      <c r="H2146" s="1" t="s">
        <v>996</v>
      </c>
      <c r="I2146" s="1" t="s">
        <v>2541</v>
      </c>
      <c r="J2146" s="1"/>
      <c r="K2146" s="1"/>
      <c r="L2146" s="1"/>
      <c r="M2146" s="1"/>
      <c r="N2146" s="1"/>
      <c r="O2146" s="1"/>
      <c r="P2146" s="1"/>
      <c r="Q2146" s="1"/>
    </row>
    <row r="2147" spans="1:17" x14ac:dyDescent="0.25">
      <c r="A2147" s="1" t="s">
        <v>927</v>
      </c>
      <c r="B2147" s="1" t="s">
        <v>992</v>
      </c>
      <c r="C2147" s="1" t="s">
        <v>1066</v>
      </c>
      <c r="D2147" s="1" t="s">
        <v>993</v>
      </c>
      <c r="E2147" s="1" t="s">
        <v>994</v>
      </c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</row>
    <row r="2148" spans="1:17" x14ac:dyDescent="0.25">
      <c r="A2148" s="1" t="s">
        <v>979</v>
      </c>
      <c r="B2148" s="1" t="s">
        <v>998</v>
      </c>
      <c r="C2148" s="1" t="s">
        <v>987</v>
      </c>
      <c r="D2148" s="1" t="s">
        <v>10998</v>
      </c>
      <c r="E2148" s="1" t="s">
        <v>993</v>
      </c>
      <c r="F2148" s="1" t="s">
        <v>994</v>
      </c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</row>
    <row r="2149" spans="1:17" x14ac:dyDescent="0.25">
      <c r="A2149" s="1" t="s">
        <v>25</v>
      </c>
      <c r="B2149" s="1" t="s">
        <v>923</v>
      </c>
      <c r="C2149" s="1" t="s">
        <v>916</v>
      </c>
      <c r="D2149" s="1" t="s">
        <v>1078</v>
      </c>
      <c r="E2149" s="1" t="s">
        <v>980</v>
      </c>
      <c r="F2149" s="1" t="s">
        <v>919</v>
      </c>
      <c r="G2149" s="1" t="s">
        <v>920</v>
      </c>
      <c r="H2149" s="1" t="s">
        <v>921</v>
      </c>
      <c r="I2149" s="1" t="s">
        <v>925</v>
      </c>
      <c r="J2149" s="1" t="s">
        <v>918</v>
      </c>
      <c r="K2149" s="1" t="s">
        <v>10813</v>
      </c>
      <c r="L2149" s="1" t="s">
        <v>927</v>
      </c>
      <c r="M2149" s="1"/>
      <c r="N2149" s="1"/>
      <c r="O2149" s="1"/>
      <c r="P2149" s="1"/>
      <c r="Q2149" s="1"/>
    </row>
    <row r="2150" spans="1:17" x14ac:dyDescent="0.25">
      <c r="A2150" s="1" t="s">
        <v>925</v>
      </c>
      <c r="B2150" s="1" t="s">
        <v>918</v>
      </c>
      <c r="C2150" s="1" t="s">
        <v>10813</v>
      </c>
      <c r="D2150" s="1" t="s">
        <v>927</v>
      </c>
      <c r="E2150" s="1" t="s">
        <v>919</v>
      </c>
      <c r="F2150" s="1" t="s">
        <v>921</v>
      </c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</row>
    <row r="2151" spans="1:17" x14ac:dyDescent="0.25">
      <c r="A2151" s="1" t="s">
        <v>921</v>
      </c>
      <c r="B2151" s="1" t="s">
        <v>975</v>
      </c>
      <c r="C2151" s="1" t="s">
        <v>90</v>
      </c>
      <c r="D2151" s="1" t="s">
        <v>964</v>
      </c>
      <c r="E2151" s="1" t="s">
        <v>10751</v>
      </c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</row>
    <row r="2152" spans="1:17" x14ac:dyDescent="0.25">
      <c r="A2152" s="1" t="s">
        <v>983</v>
      </c>
      <c r="B2152" s="1" t="s">
        <v>984</v>
      </c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</row>
    <row r="2153" spans="1:17" x14ac:dyDescent="0.25">
      <c r="A2153" s="1" t="s">
        <v>983</v>
      </c>
      <c r="B2153" s="1" t="s">
        <v>984</v>
      </c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</row>
    <row r="2154" spans="1:17" x14ac:dyDescent="0.25">
      <c r="A2154" s="1" t="s">
        <v>986</v>
      </c>
      <c r="B2154" s="1" t="s">
        <v>919</v>
      </c>
      <c r="C2154" s="1" t="s">
        <v>10914</v>
      </c>
      <c r="D2154" s="1" t="s">
        <v>10713</v>
      </c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</row>
    <row r="2155" spans="1:17" x14ac:dyDescent="0.25">
      <c r="A2155" s="1" t="s">
        <v>918</v>
      </c>
      <c r="B2155" s="1" t="s">
        <v>10849</v>
      </c>
      <c r="C2155" s="1" t="s">
        <v>919</v>
      </c>
      <c r="D2155" s="1" t="s">
        <v>924</v>
      </c>
      <c r="E2155" s="1" t="s">
        <v>929</v>
      </c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</row>
    <row r="2156" spans="1:17" x14ac:dyDescent="0.25">
      <c r="A2156" s="1" t="s">
        <v>918</v>
      </c>
      <c r="B2156" s="1" t="s">
        <v>8695</v>
      </c>
      <c r="C2156" s="1" t="s">
        <v>919</v>
      </c>
      <c r="D2156" s="1" t="s">
        <v>1020</v>
      </c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</row>
    <row r="2157" spans="1:17" x14ac:dyDescent="0.25">
      <c r="A2157" s="1" t="s">
        <v>10997</v>
      </c>
      <c r="B2157" s="1" t="s">
        <v>918</v>
      </c>
      <c r="C2157" s="1" t="s">
        <v>924</v>
      </c>
      <c r="D2157" s="1" t="s">
        <v>948</v>
      </c>
      <c r="E2157" s="1" t="s">
        <v>25</v>
      </c>
      <c r="F2157" s="1" t="s">
        <v>919</v>
      </c>
      <c r="G2157" s="1" t="s">
        <v>920</v>
      </c>
      <c r="H2157" s="1" t="s">
        <v>954</v>
      </c>
      <c r="I2157" s="1" t="s">
        <v>10808</v>
      </c>
      <c r="J2157" s="1" t="s">
        <v>958</v>
      </c>
      <c r="K2157" s="1" t="s">
        <v>927</v>
      </c>
      <c r="L2157" s="1" t="s">
        <v>928</v>
      </c>
      <c r="M2157" s="1" t="s">
        <v>936</v>
      </c>
      <c r="N2157" s="1" t="s">
        <v>930</v>
      </c>
      <c r="O2157" s="1" t="s">
        <v>945</v>
      </c>
      <c r="P2157" s="1"/>
      <c r="Q2157" s="1"/>
    </row>
    <row r="2158" spans="1:17" x14ac:dyDescent="0.25">
      <c r="A2158" s="1" t="s">
        <v>10997</v>
      </c>
      <c r="B2158" s="1" t="s">
        <v>918</v>
      </c>
      <c r="C2158" s="1" t="s">
        <v>924</v>
      </c>
      <c r="D2158" s="1" t="s">
        <v>1013</v>
      </c>
      <c r="E2158" s="1" t="s">
        <v>919</v>
      </c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</row>
    <row r="2159" spans="1:17" x14ac:dyDescent="0.25">
      <c r="A2159" s="1" t="s">
        <v>10997</v>
      </c>
      <c r="B2159" s="1" t="s">
        <v>918</v>
      </c>
      <c r="C2159" s="1" t="s">
        <v>924</v>
      </c>
      <c r="D2159" s="1" t="s">
        <v>1107</v>
      </c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</row>
    <row r="2160" spans="1:17" x14ac:dyDescent="0.25">
      <c r="A2160" s="1" t="s">
        <v>10997</v>
      </c>
      <c r="B2160" s="1" t="s">
        <v>918</v>
      </c>
      <c r="C2160" s="1" t="s">
        <v>924</v>
      </c>
      <c r="D2160" s="1" t="s">
        <v>927</v>
      </c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</row>
    <row r="2161" spans="1:17" x14ac:dyDescent="0.25">
      <c r="A2161" s="1" t="s">
        <v>1085</v>
      </c>
      <c r="B2161" s="1" t="s">
        <v>955</v>
      </c>
      <c r="C2161" s="1" t="s">
        <v>924</v>
      </c>
      <c r="D2161" s="1" t="s">
        <v>1014</v>
      </c>
      <c r="E2161" s="1" t="s">
        <v>944</v>
      </c>
      <c r="F2161" s="1" t="s">
        <v>956</v>
      </c>
      <c r="G2161" s="1" t="s">
        <v>1034</v>
      </c>
      <c r="H2161" s="1"/>
      <c r="I2161" s="1"/>
      <c r="J2161" s="1"/>
      <c r="K2161" s="1"/>
      <c r="L2161" s="1"/>
      <c r="M2161" s="1"/>
      <c r="N2161" s="1"/>
      <c r="O2161" s="1"/>
      <c r="P2161" s="1"/>
      <c r="Q2161" s="1"/>
    </row>
    <row r="2162" spans="1:17" x14ac:dyDescent="0.25">
      <c r="A2162" s="1" t="s">
        <v>918</v>
      </c>
      <c r="B2162" s="1" t="s">
        <v>25</v>
      </c>
      <c r="C2162" s="1" t="s">
        <v>919</v>
      </c>
      <c r="D2162" s="1" t="s">
        <v>920</v>
      </c>
      <c r="E2162" s="1" t="s">
        <v>921</v>
      </c>
      <c r="F2162" s="1" t="s">
        <v>922</v>
      </c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</row>
    <row r="2163" spans="1:17" x14ac:dyDescent="0.25">
      <c r="A2163" s="1" t="s">
        <v>1061</v>
      </c>
      <c r="B2163" s="1" t="s">
        <v>983</v>
      </c>
      <c r="C2163" s="1" t="s">
        <v>919</v>
      </c>
      <c r="D2163" s="1" t="s">
        <v>1020</v>
      </c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</row>
    <row r="2164" spans="1:17" x14ac:dyDescent="0.25">
      <c r="A2164" s="1" t="s">
        <v>941</v>
      </c>
      <c r="B2164" s="1" t="s">
        <v>918</v>
      </c>
      <c r="C2164" s="1" t="s">
        <v>955</v>
      </c>
      <c r="D2164" s="1" t="s">
        <v>919</v>
      </c>
      <c r="E2164" s="1" t="s">
        <v>924</v>
      </c>
      <c r="F2164" s="1" t="s">
        <v>1014</v>
      </c>
      <c r="G2164" s="1" t="s">
        <v>944</v>
      </c>
      <c r="H2164" s="1" t="s">
        <v>925</v>
      </c>
      <c r="I2164" s="1" t="s">
        <v>10774</v>
      </c>
      <c r="J2164" s="1"/>
      <c r="K2164" s="1"/>
      <c r="L2164" s="1"/>
      <c r="M2164" s="1"/>
      <c r="N2164" s="1"/>
      <c r="O2164" s="1"/>
      <c r="P2164" s="1"/>
      <c r="Q2164" s="1"/>
    </row>
    <row r="2165" spans="1:17" x14ac:dyDescent="0.25">
      <c r="A2165" s="1" t="s">
        <v>918</v>
      </c>
      <c r="B2165" s="1" t="s">
        <v>25</v>
      </c>
      <c r="C2165" s="1" t="s">
        <v>919</v>
      </c>
      <c r="D2165" s="1" t="s">
        <v>920</v>
      </c>
      <c r="E2165" s="1" t="s">
        <v>921</v>
      </c>
      <c r="F2165" s="1" t="s">
        <v>922</v>
      </c>
      <c r="G2165" s="1" t="s">
        <v>10964</v>
      </c>
      <c r="H2165" s="1" t="s">
        <v>10849</v>
      </c>
      <c r="I2165" s="1" t="s">
        <v>924</v>
      </c>
      <c r="J2165" s="1" t="s">
        <v>936</v>
      </c>
      <c r="K2165" s="1" t="s">
        <v>929</v>
      </c>
      <c r="L2165" s="1"/>
      <c r="M2165" s="1"/>
      <c r="N2165" s="1"/>
      <c r="O2165" s="1"/>
      <c r="P2165" s="1"/>
      <c r="Q2165" s="1"/>
    </row>
    <row r="2166" spans="1:17" x14ac:dyDescent="0.25">
      <c r="A2166" s="1" t="s">
        <v>918</v>
      </c>
      <c r="B2166" s="1" t="s">
        <v>1031</v>
      </c>
      <c r="C2166" s="1" t="s">
        <v>25</v>
      </c>
      <c r="D2166" s="1" t="s">
        <v>923</v>
      </c>
      <c r="E2166" s="1" t="s">
        <v>976</v>
      </c>
      <c r="F2166" s="1" t="s">
        <v>916</v>
      </c>
      <c r="G2166" s="1" t="s">
        <v>920</v>
      </c>
      <c r="H2166" s="1" t="s">
        <v>921</v>
      </c>
      <c r="I2166" s="1" t="s">
        <v>1033</v>
      </c>
      <c r="J2166" s="1"/>
      <c r="K2166" s="1"/>
      <c r="L2166" s="1"/>
      <c r="M2166" s="1"/>
      <c r="N2166" s="1"/>
      <c r="O2166" s="1"/>
      <c r="P2166" s="1"/>
      <c r="Q2166" s="1"/>
    </row>
    <row r="2167" spans="1:17" x14ac:dyDescent="0.25">
      <c r="A2167" s="1" t="s">
        <v>1035</v>
      </c>
      <c r="B2167" s="1" t="s">
        <v>1034</v>
      </c>
      <c r="C2167" s="1" t="s">
        <v>1014</v>
      </c>
      <c r="D2167" s="1" t="s">
        <v>941</v>
      </c>
      <c r="E2167" s="1" t="s">
        <v>956</v>
      </c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</row>
    <row r="2168" spans="1:17" x14ac:dyDescent="0.25">
      <c r="A2168" s="1" t="s">
        <v>6268</v>
      </c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</row>
    <row r="2169" spans="1:17" x14ac:dyDescent="0.25">
      <c r="A2169" s="1" t="s">
        <v>6268</v>
      </c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</row>
    <row r="2170" spans="1:17" x14ac:dyDescent="0.25">
      <c r="A2170" s="1" t="s">
        <v>6272</v>
      </c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</row>
    <row r="2171" spans="1:17" x14ac:dyDescent="0.25">
      <c r="A2171" s="1" t="s">
        <v>6272</v>
      </c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</row>
    <row r="2172" spans="1:17" x14ac:dyDescent="0.25">
      <c r="A2172" s="1" t="s">
        <v>10999</v>
      </c>
      <c r="B2172" s="1" t="s">
        <v>1091</v>
      </c>
      <c r="C2172" s="1" t="s">
        <v>939</v>
      </c>
      <c r="D2172" s="1" t="s">
        <v>928</v>
      </c>
      <c r="E2172" s="1" t="s">
        <v>1059</v>
      </c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</row>
    <row r="2173" spans="1:17" x14ac:dyDescent="0.25">
      <c r="A2173" s="1" t="s">
        <v>10999</v>
      </c>
      <c r="B2173" s="1" t="s">
        <v>1091</v>
      </c>
      <c r="C2173" s="1" t="s">
        <v>939</v>
      </c>
      <c r="D2173" s="1" t="s">
        <v>928</v>
      </c>
      <c r="E2173" s="1" t="s">
        <v>1059</v>
      </c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</row>
    <row r="2174" spans="1:17" x14ac:dyDescent="0.25">
      <c r="A2174" s="1" t="s">
        <v>10999</v>
      </c>
      <c r="B2174" s="1" t="s">
        <v>1091</v>
      </c>
      <c r="C2174" s="1" t="s">
        <v>939</v>
      </c>
      <c r="D2174" s="1" t="s">
        <v>928</v>
      </c>
      <c r="E2174" s="1" t="s">
        <v>1059</v>
      </c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</row>
    <row r="2175" spans="1:17" x14ac:dyDescent="0.25">
      <c r="A2175" s="1" t="s">
        <v>10999</v>
      </c>
      <c r="B2175" s="1" t="s">
        <v>1091</v>
      </c>
      <c r="C2175" s="1" t="s">
        <v>939</v>
      </c>
      <c r="D2175" s="1" t="s">
        <v>928</v>
      </c>
      <c r="E2175" s="1" t="s">
        <v>1059</v>
      </c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</row>
    <row r="2176" spans="1:17" x14ac:dyDescent="0.25">
      <c r="A2176" s="1" t="s">
        <v>918</v>
      </c>
      <c r="B2176" s="1" t="s">
        <v>25</v>
      </c>
      <c r="C2176" s="1" t="s">
        <v>923</v>
      </c>
      <c r="D2176" s="1" t="s">
        <v>919</v>
      </c>
      <c r="E2176" s="1" t="s">
        <v>920</v>
      </c>
      <c r="F2176" s="1" t="s">
        <v>921</v>
      </c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</row>
    <row r="2177" spans="1:17" x14ac:dyDescent="0.25">
      <c r="A2177" s="1" t="s">
        <v>921</v>
      </c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</row>
    <row r="2178" spans="1:17" x14ac:dyDescent="0.25">
      <c r="A2178" s="1" t="s">
        <v>10741</v>
      </c>
      <c r="B2178" s="1" t="s">
        <v>1034</v>
      </c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</row>
    <row r="2179" spans="1:17" x14ac:dyDescent="0.25">
      <c r="A2179" s="1" t="s">
        <v>918</v>
      </c>
      <c r="B2179" s="1" t="s">
        <v>25</v>
      </c>
      <c r="C2179" s="1" t="s">
        <v>916</v>
      </c>
      <c r="D2179" s="1" t="s">
        <v>919</v>
      </c>
      <c r="E2179" s="1" t="s">
        <v>920</v>
      </c>
      <c r="F2179" s="1" t="s">
        <v>921</v>
      </c>
      <c r="G2179" s="1" t="s">
        <v>10957</v>
      </c>
      <c r="H2179" s="1"/>
      <c r="I2179" s="1"/>
      <c r="J2179" s="1"/>
      <c r="K2179" s="1"/>
      <c r="L2179" s="1"/>
      <c r="M2179" s="1"/>
      <c r="N2179" s="1"/>
      <c r="O2179" s="1"/>
      <c r="P2179" s="1"/>
      <c r="Q2179" s="1"/>
    </row>
    <row r="2180" spans="1:17" x14ac:dyDescent="0.25">
      <c r="A2180" s="1" t="s">
        <v>50</v>
      </c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</row>
    <row r="2181" spans="1:17" x14ac:dyDescent="0.25">
      <c r="A2181" s="1" t="s">
        <v>918</v>
      </c>
      <c r="B2181" s="1" t="s">
        <v>924</v>
      </c>
      <c r="C2181" s="1" t="s">
        <v>1439</v>
      </c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</row>
    <row r="2182" spans="1:17" x14ac:dyDescent="0.25">
      <c r="A2182" s="1" t="s">
        <v>90</v>
      </c>
      <c r="B2182" s="1" t="s">
        <v>918</v>
      </c>
      <c r="C2182" s="1" t="s">
        <v>920</v>
      </c>
      <c r="D2182" s="1" t="s">
        <v>921</v>
      </c>
      <c r="E2182" s="1" t="s">
        <v>965</v>
      </c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</row>
    <row r="2183" spans="1:17" x14ac:dyDescent="0.25">
      <c r="A2183" s="1" t="s">
        <v>1004</v>
      </c>
      <c r="B2183" s="1" t="s">
        <v>1005</v>
      </c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</row>
    <row r="2184" spans="1:17" x14ac:dyDescent="0.25">
      <c r="A2184" s="1" t="s">
        <v>918</v>
      </c>
      <c r="B2184" s="1" t="s">
        <v>927</v>
      </c>
      <c r="C2184" s="1" t="s">
        <v>919</v>
      </c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</row>
    <row r="2185" spans="1:17" x14ac:dyDescent="0.25">
      <c r="A2185" s="1" t="s">
        <v>1013</v>
      </c>
      <c r="B2185" s="1" t="s">
        <v>919</v>
      </c>
      <c r="C2185" s="1" t="s">
        <v>1037</v>
      </c>
      <c r="D2185" s="1" t="s">
        <v>918</v>
      </c>
      <c r="E2185" s="1" t="s">
        <v>936</v>
      </c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</row>
    <row r="2186" spans="1:17" x14ac:dyDescent="0.25">
      <c r="A2186" s="1" t="s">
        <v>50</v>
      </c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</row>
    <row r="2187" spans="1:17" x14ac:dyDescent="0.25">
      <c r="A2187" s="1" t="s">
        <v>918</v>
      </c>
      <c r="B2187" s="1" t="s">
        <v>25</v>
      </c>
      <c r="C2187" s="1" t="s">
        <v>923</v>
      </c>
      <c r="D2187" s="1" t="s">
        <v>916</v>
      </c>
      <c r="E2187" s="1" t="s">
        <v>919</v>
      </c>
      <c r="F2187" s="1" t="s">
        <v>920</v>
      </c>
      <c r="G2187" s="1" t="s">
        <v>924</v>
      </c>
      <c r="H2187" s="1" t="s">
        <v>921</v>
      </c>
      <c r="I2187" s="1" t="s">
        <v>922</v>
      </c>
      <c r="J2187" s="1" t="s">
        <v>936</v>
      </c>
      <c r="K2187" s="1" t="s">
        <v>1097</v>
      </c>
      <c r="L2187" s="1" t="s">
        <v>929</v>
      </c>
      <c r="M2187" s="1"/>
      <c r="N2187" s="1"/>
      <c r="O2187" s="1"/>
      <c r="P2187" s="1"/>
      <c r="Q2187" s="1"/>
    </row>
    <row r="2188" spans="1:17" x14ac:dyDescent="0.25">
      <c r="A2188" s="1" t="s">
        <v>1001</v>
      </c>
      <c r="B2188" s="1" t="s">
        <v>918</v>
      </c>
      <c r="C2188" s="1" t="s">
        <v>927</v>
      </c>
      <c r="D2188" s="1" t="s">
        <v>919</v>
      </c>
      <c r="E2188" s="1" t="s">
        <v>936</v>
      </c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</row>
    <row r="2189" spans="1:17" x14ac:dyDescent="0.25">
      <c r="A2189" s="1" t="s">
        <v>1007</v>
      </c>
      <c r="B2189" s="1" t="s">
        <v>1004</v>
      </c>
      <c r="C2189" s="1" t="s">
        <v>1005</v>
      </c>
      <c r="D2189" s="1" t="s">
        <v>1008</v>
      </c>
      <c r="E2189" s="1" t="s">
        <v>1006</v>
      </c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</row>
    <row r="2190" spans="1:17" x14ac:dyDescent="0.25">
      <c r="A2190" s="1" t="s">
        <v>2331</v>
      </c>
      <c r="B2190" s="1" t="s">
        <v>11000</v>
      </c>
      <c r="C2190" s="1" t="s">
        <v>1019</v>
      </c>
      <c r="D2190" s="1" t="s">
        <v>983</v>
      </c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</row>
    <row r="2191" spans="1:17" x14ac:dyDescent="0.25">
      <c r="A2191" s="1" t="s">
        <v>1035</v>
      </c>
      <c r="B2191" s="1" t="s">
        <v>1034</v>
      </c>
      <c r="C2191" s="1" t="s">
        <v>1014</v>
      </c>
      <c r="D2191" s="1" t="s">
        <v>956</v>
      </c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</row>
    <row r="2192" spans="1:17" x14ac:dyDescent="0.25">
      <c r="A2192" s="1" t="s">
        <v>983</v>
      </c>
      <c r="B2192" s="1" t="s">
        <v>984</v>
      </c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</row>
    <row r="2193" spans="1:17" x14ac:dyDescent="0.25">
      <c r="A2193" s="1" t="s">
        <v>4152</v>
      </c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</row>
    <row r="2194" spans="1:17" x14ac:dyDescent="0.25">
      <c r="A2194" s="1" t="s">
        <v>1041</v>
      </c>
      <c r="B2194" s="1" t="s">
        <v>1087</v>
      </c>
      <c r="C2194" s="1" t="s">
        <v>999</v>
      </c>
      <c r="D2194" s="1" t="s">
        <v>921</v>
      </c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</row>
    <row r="2195" spans="1:17" x14ac:dyDescent="0.25">
      <c r="A2195" s="1" t="s">
        <v>1041</v>
      </c>
      <c r="B2195" s="1" t="s">
        <v>1087</v>
      </c>
      <c r="C2195" s="1" t="s">
        <v>999</v>
      </c>
      <c r="D2195" s="1" t="s">
        <v>921</v>
      </c>
      <c r="E2195" s="1" t="s">
        <v>10894</v>
      </c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</row>
    <row r="2196" spans="1:17" x14ac:dyDescent="0.25">
      <c r="A2196" s="1" t="s">
        <v>1041</v>
      </c>
      <c r="B2196" s="1" t="s">
        <v>1087</v>
      </c>
      <c r="C2196" s="1" t="s">
        <v>999</v>
      </c>
      <c r="D2196" s="1" t="s">
        <v>921</v>
      </c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</row>
    <row r="2197" spans="1:17" x14ac:dyDescent="0.25">
      <c r="A2197" s="1" t="s">
        <v>1041</v>
      </c>
      <c r="B2197" s="1" t="s">
        <v>1087</v>
      </c>
      <c r="C2197" s="1" t="s">
        <v>999</v>
      </c>
      <c r="D2197" s="1" t="s">
        <v>921</v>
      </c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</row>
    <row r="2198" spans="1:17" x14ac:dyDescent="0.25">
      <c r="A2198" s="1" t="s">
        <v>1041</v>
      </c>
      <c r="B2198" s="1" t="s">
        <v>1087</v>
      </c>
      <c r="C2198" s="1" t="s">
        <v>999</v>
      </c>
      <c r="D2198" s="1" t="s">
        <v>921</v>
      </c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</row>
    <row r="2199" spans="1:17" x14ac:dyDescent="0.25">
      <c r="A2199" s="1" t="s">
        <v>1041</v>
      </c>
      <c r="B2199" s="1" t="s">
        <v>1087</v>
      </c>
      <c r="C2199" s="1" t="s">
        <v>999</v>
      </c>
      <c r="D2199" s="1" t="s">
        <v>921</v>
      </c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</row>
    <row r="2200" spans="1:17" x14ac:dyDescent="0.25">
      <c r="A2200" s="1" t="s">
        <v>918</v>
      </c>
      <c r="B2200" s="1" t="s">
        <v>25</v>
      </c>
      <c r="C2200" s="1" t="s">
        <v>1148</v>
      </c>
      <c r="D2200" s="1" t="s">
        <v>923</v>
      </c>
      <c r="E2200" s="1" t="s">
        <v>927</v>
      </c>
      <c r="F2200" s="1" t="s">
        <v>1086</v>
      </c>
      <c r="G2200" s="1" t="s">
        <v>920</v>
      </c>
      <c r="H2200" s="1"/>
      <c r="I2200" s="1"/>
      <c r="J2200" s="1"/>
      <c r="K2200" s="1"/>
      <c r="L2200" s="1"/>
      <c r="M2200" s="1"/>
      <c r="N2200" s="1"/>
      <c r="O2200" s="1"/>
      <c r="P2200" s="1"/>
      <c r="Q2200" s="1"/>
    </row>
    <row r="2201" spans="1:17" x14ac:dyDescent="0.25">
      <c r="A2201" s="1" t="s">
        <v>918</v>
      </c>
      <c r="B2201" s="1" t="s">
        <v>25</v>
      </c>
      <c r="C2201" s="1" t="s">
        <v>1148</v>
      </c>
      <c r="D2201" s="1" t="s">
        <v>923</v>
      </c>
      <c r="E2201" s="1" t="s">
        <v>927</v>
      </c>
      <c r="F2201" s="1" t="s">
        <v>1086</v>
      </c>
      <c r="G2201" s="1" t="s">
        <v>920</v>
      </c>
      <c r="H2201" s="1"/>
      <c r="I2201" s="1"/>
      <c r="J2201" s="1"/>
      <c r="K2201" s="1"/>
      <c r="L2201" s="1"/>
      <c r="M2201" s="1"/>
      <c r="N2201" s="1"/>
      <c r="O2201" s="1"/>
      <c r="P2201" s="1"/>
      <c r="Q2201" s="1"/>
    </row>
    <row r="2202" spans="1:17" x14ac:dyDescent="0.25">
      <c r="A2202" s="1" t="s">
        <v>979</v>
      </c>
      <c r="B2202" s="1" t="s">
        <v>980</v>
      </c>
      <c r="C2202" s="1" t="s">
        <v>11001</v>
      </c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</row>
    <row r="2203" spans="1:17" x14ac:dyDescent="0.25">
      <c r="A2203" s="1" t="s">
        <v>979</v>
      </c>
      <c r="B2203" s="1" t="s">
        <v>980</v>
      </c>
      <c r="C2203" s="1" t="s">
        <v>11001</v>
      </c>
      <c r="D2203" s="1" t="s">
        <v>10724</v>
      </c>
      <c r="E2203" s="1" t="s">
        <v>1058</v>
      </c>
      <c r="F2203" s="1" t="s">
        <v>939</v>
      </c>
      <c r="G2203" s="1" t="s">
        <v>11002</v>
      </c>
      <c r="H2203" s="1"/>
      <c r="I2203" s="1"/>
      <c r="J2203" s="1"/>
      <c r="K2203" s="1"/>
      <c r="L2203" s="1"/>
      <c r="M2203" s="1"/>
      <c r="N2203" s="1"/>
      <c r="O2203" s="1"/>
      <c r="P2203" s="1"/>
      <c r="Q2203" s="1"/>
    </row>
    <row r="2204" spans="1:17" x14ac:dyDescent="0.25">
      <c r="A2204" s="1" t="s">
        <v>50</v>
      </c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</row>
    <row r="2205" spans="1:17" x14ac:dyDescent="0.25">
      <c r="A2205" s="1" t="s">
        <v>933</v>
      </c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</row>
    <row r="2206" spans="1:17" x14ac:dyDescent="0.25">
      <c r="A2206" s="1" t="s">
        <v>918</v>
      </c>
      <c r="B2206" s="1" t="s">
        <v>25</v>
      </c>
      <c r="C2206" s="1" t="s">
        <v>916</v>
      </c>
      <c r="D2206" s="1" t="s">
        <v>919</v>
      </c>
      <c r="E2206" s="1" t="s">
        <v>920</v>
      </c>
      <c r="F2206" s="1" t="s">
        <v>921</v>
      </c>
      <c r="G2206" s="1" t="s">
        <v>946</v>
      </c>
      <c r="H2206" s="1" t="s">
        <v>922</v>
      </c>
      <c r="I2206" s="1"/>
      <c r="J2206" s="1"/>
      <c r="K2206" s="1"/>
      <c r="L2206" s="1"/>
      <c r="M2206" s="1"/>
      <c r="N2206" s="1"/>
      <c r="O2206" s="1"/>
      <c r="P2206" s="1"/>
      <c r="Q2206" s="1"/>
    </row>
    <row r="2207" spans="1:17" x14ac:dyDescent="0.25">
      <c r="A2207" s="1" t="s">
        <v>918</v>
      </c>
      <c r="B2207" s="1" t="s">
        <v>25</v>
      </c>
      <c r="C2207" s="1" t="s">
        <v>1148</v>
      </c>
      <c r="D2207" s="1" t="s">
        <v>923</v>
      </c>
      <c r="E2207" s="1" t="s">
        <v>927</v>
      </c>
      <c r="F2207" s="1" t="s">
        <v>1086</v>
      </c>
      <c r="G2207" s="1" t="s">
        <v>920</v>
      </c>
      <c r="H2207" s="1" t="s">
        <v>996</v>
      </c>
      <c r="I2207" s="1" t="s">
        <v>997</v>
      </c>
      <c r="J2207" s="1" t="s">
        <v>10741</v>
      </c>
      <c r="K2207" s="1" t="s">
        <v>10826</v>
      </c>
      <c r="L2207" s="1" t="s">
        <v>986</v>
      </c>
      <c r="M2207" s="1" t="s">
        <v>10797</v>
      </c>
      <c r="N2207" s="1"/>
      <c r="O2207" s="1"/>
      <c r="P2207" s="1"/>
      <c r="Q2207" s="1"/>
    </row>
    <row r="2208" spans="1:17" x14ac:dyDescent="0.25">
      <c r="A2208" s="1" t="s">
        <v>918</v>
      </c>
      <c r="B2208" s="1" t="s">
        <v>25</v>
      </c>
      <c r="C2208" s="1" t="s">
        <v>923</v>
      </c>
      <c r="D2208" s="1" t="s">
        <v>916</v>
      </c>
      <c r="E2208" s="1" t="s">
        <v>919</v>
      </c>
      <c r="F2208" s="1" t="s">
        <v>924</v>
      </c>
      <c r="G2208" s="1" t="s">
        <v>974</v>
      </c>
      <c r="H2208" s="1" t="s">
        <v>922</v>
      </c>
      <c r="I2208" s="1"/>
      <c r="J2208" s="1"/>
      <c r="K2208" s="1"/>
      <c r="L2208" s="1"/>
      <c r="M2208" s="1"/>
      <c r="N2208" s="1"/>
      <c r="O2208" s="1"/>
      <c r="P2208" s="1"/>
      <c r="Q2208" s="1"/>
    </row>
    <row r="2209" spans="1:17" x14ac:dyDescent="0.25">
      <c r="A2209" s="1" t="s">
        <v>918</v>
      </c>
      <c r="B2209" s="1" t="s">
        <v>25</v>
      </c>
      <c r="C2209" s="1" t="s">
        <v>923</v>
      </c>
      <c r="D2209" s="1" t="s">
        <v>916</v>
      </c>
      <c r="E2209" s="1" t="s">
        <v>919</v>
      </c>
      <c r="F2209" s="1" t="s">
        <v>924</v>
      </c>
      <c r="G2209" s="1" t="s">
        <v>974</v>
      </c>
      <c r="H2209" s="1" t="s">
        <v>922</v>
      </c>
      <c r="I2209" s="1" t="s">
        <v>958</v>
      </c>
      <c r="J2209" s="1" t="s">
        <v>955</v>
      </c>
      <c r="K2209" s="1" t="s">
        <v>986</v>
      </c>
      <c r="L2209" s="1" t="s">
        <v>1040</v>
      </c>
      <c r="M2209" s="1" t="s">
        <v>941</v>
      </c>
      <c r="N2209" s="1" t="s">
        <v>1014</v>
      </c>
      <c r="O2209" s="1" t="s">
        <v>956</v>
      </c>
      <c r="P2209" s="1"/>
      <c r="Q2209" s="1"/>
    </row>
    <row r="2210" spans="1:17" x14ac:dyDescent="0.25">
      <c r="A2210" s="1" t="s">
        <v>918</v>
      </c>
      <c r="B2210" s="1" t="s">
        <v>25</v>
      </c>
      <c r="C2210" s="1" t="s">
        <v>923</v>
      </c>
      <c r="D2210" s="1" t="s">
        <v>916</v>
      </c>
      <c r="E2210" s="1" t="s">
        <v>919</v>
      </c>
      <c r="F2210" s="1" t="s">
        <v>924</v>
      </c>
      <c r="G2210" s="1" t="s">
        <v>974</v>
      </c>
      <c r="H2210" s="1" t="s">
        <v>922</v>
      </c>
      <c r="I2210" s="1"/>
      <c r="J2210" s="1"/>
      <c r="K2210" s="1"/>
      <c r="L2210" s="1"/>
      <c r="M2210" s="1"/>
      <c r="N2210" s="1"/>
      <c r="O2210" s="1"/>
      <c r="P2210" s="1"/>
      <c r="Q2210" s="1"/>
    </row>
    <row r="2211" spans="1:17" x14ac:dyDescent="0.25">
      <c r="A2211" s="1" t="s">
        <v>256</v>
      </c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</row>
    <row r="2212" spans="1:17" x14ac:dyDescent="0.25">
      <c r="A2212" s="1" t="s">
        <v>996</v>
      </c>
      <c r="B2212" s="1" t="s">
        <v>25</v>
      </c>
      <c r="C2212" s="1" t="s">
        <v>997</v>
      </c>
      <c r="D2212" s="1" t="s">
        <v>927</v>
      </c>
      <c r="E2212" s="1" t="s">
        <v>998</v>
      </c>
      <c r="F2212" s="1" t="s">
        <v>992</v>
      </c>
      <c r="G2212" s="1" t="s">
        <v>933</v>
      </c>
      <c r="H2212" s="1" t="s">
        <v>994</v>
      </c>
      <c r="I2212" s="1"/>
      <c r="J2212" s="1"/>
      <c r="K2212" s="1"/>
      <c r="L2212" s="1"/>
      <c r="M2212" s="1"/>
      <c r="N2212" s="1"/>
      <c r="O2212" s="1"/>
      <c r="P2212" s="1"/>
      <c r="Q2212" s="1"/>
    </row>
    <row r="2213" spans="1:17" x14ac:dyDescent="0.25">
      <c r="A2213" s="1" t="s">
        <v>996</v>
      </c>
      <c r="B2213" s="1" t="s">
        <v>25</v>
      </c>
      <c r="C2213" s="1" t="s">
        <v>997</v>
      </c>
      <c r="D2213" s="1" t="s">
        <v>927</v>
      </c>
      <c r="E2213" s="1" t="s">
        <v>998</v>
      </c>
      <c r="F2213" s="1" t="s">
        <v>992</v>
      </c>
      <c r="G2213" s="1" t="s">
        <v>933</v>
      </c>
      <c r="H2213" s="1" t="s">
        <v>994</v>
      </c>
      <c r="I2213" s="1"/>
      <c r="J2213" s="1"/>
      <c r="K2213" s="1"/>
      <c r="L2213" s="1"/>
      <c r="M2213" s="1"/>
      <c r="N2213" s="1"/>
      <c r="O2213" s="1"/>
      <c r="P2213" s="1"/>
      <c r="Q2213" s="1"/>
    </row>
    <row r="2214" spans="1:17" x14ac:dyDescent="0.25">
      <c r="A2214" s="1" t="s">
        <v>996</v>
      </c>
      <c r="B2214" s="1" t="s">
        <v>25</v>
      </c>
      <c r="C2214" s="1" t="s">
        <v>997</v>
      </c>
      <c r="D2214" s="1" t="s">
        <v>927</v>
      </c>
      <c r="E2214" s="1" t="s">
        <v>998</v>
      </c>
      <c r="F2214" s="1" t="s">
        <v>994</v>
      </c>
      <c r="G2214" s="1" t="s">
        <v>933</v>
      </c>
      <c r="H2214" s="1"/>
      <c r="I2214" s="1"/>
      <c r="J2214" s="1"/>
      <c r="K2214" s="1"/>
      <c r="L2214" s="1"/>
      <c r="M2214" s="1"/>
      <c r="N2214" s="1"/>
      <c r="O2214" s="1"/>
      <c r="P2214" s="1"/>
      <c r="Q2214" s="1"/>
    </row>
    <row r="2215" spans="1:17" x14ac:dyDescent="0.25">
      <c r="A2215" s="1" t="s">
        <v>11003</v>
      </c>
      <c r="B2215" s="1" t="s">
        <v>923</v>
      </c>
      <c r="C2215" s="1" t="s">
        <v>976</v>
      </c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</row>
    <row r="2216" spans="1:17" x14ac:dyDescent="0.25">
      <c r="A2216" s="1" t="s">
        <v>918</v>
      </c>
      <c r="B2216" s="1" t="s">
        <v>952</v>
      </c>
      <c r="C2216" s="1" t="s">
        <v>919</v>
      </c>
      <c r="D2216" s="1" t="s">
        <v>936</v>
      </c>
      <c r="E2216" s="1" t="s">
        <v>972</v>
      </c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</row>
    <row r="2217" spans="1:17" x14ac:dyDescent="0.25">
      <c r="A2217" s="1" t="s">
        <v>25</v>
      </c>
      <c r="B2217" s="1" t="s">
        <v>923</v>
      </c>
      <c r="C2217" s="1" t="s">
        <v>920</v>
      </c>
      <c r="D2217" s="1" t="s">
        <v>933</v>
      </c>
      <c r="E2217" s="1" t="s">
        <v>954</v>
      </c>
      <c r="F2217" s="1" t="s">
        <v>921</v>
      </c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</row>
    <row r="2218" spans="1:17" x14ac:dyDescent="0.25">
      <c r="A2218" s="1" t="s">
        <v>918</v>
      </c>
      <c r="B2218" s="1" t="s">
        <v>25</v>
      </c>
      <c r="C2218" s="1" t="s">
        <v>1148</v>
      </c>
      <c r="D2218" s="1" t="s">
        <v>923</v>
      </c>
      <c r="E2218" s="1" t="s">
        <v>927</v>
      </c>
      <c r="F2218" s="1" t="s">
        <v>1086</v>
      </c>
      <c r="G2218" s="1" t="s">
        <v>920</v>
      </c>
      <c r="H2218" s="1"/>
      <c r="I2218" s="1"/>
      <c r="J2218" s="1"/>
      <c r="K2218" s="1"/>
      <c r="L2218" s="1"/>
      <c r="M2218" s="1"/>
      <c r="N2218" s="1"/>
      <c r="O2218" s="1"/>
      <c r="P2218" s="1"/>
      <c r="Q2218" s="1"/>
    </row>
    <row r="2219" spans="1:17" x14ac:dyDescent="0.25">
      <c r="A2219" s="1" t="s">
        <v>1052</v>
      </c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</row>
    <row r="2220" spans="1:17" x14ac:dyDescent="0.25">
      <c r="A2220" s="1" t="s">
        <v>1052</v>
      </c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</row>
    <row r="2221" spans="1:17" x14ac:dyDescent="0.25">
      <c r="A2221" s="1" t="s">
        <v>1001</v>
      </c>
      <c r="B2221" s="1" t="s">
        <v>10936</v>
      </c>
      <c r="C2221" s="1" t="s">
        <v>927</v>
      </c>
      <c r="D2221" s="1" t="s">
        <v>981</v>
      </c>
      <c r="E2221" s="1" t="s">
        <v>919</v>
      </c>
      <c r="F2221" s="1" t="s">
        <v>923</v>
      </c>
      <c r="G2221" s="1" t="s">
        <v>1049</v>
      </c>
      <c r="H2221" s="1"/>
      <c r="I2221" s="1"/>
      <c r="J2221" s="1"/>
      <c r="K2221" s="1"/>
      <c r="L2221" s="1"/>
      <c r="M2221" s="1"/>
      <c r="N2221" s="1"/>
      <c r="O2221" s="1"/>
      <c r="P2221" s="1"/>
      <c r="Q2221" s="1"/>
    </row>
    <row r="2222" spans="1:17" x14ac:dyDescent="0.25">
      <c r="A2222" s="1" t="s">
        <v>1038</v>
      </c>
      <c r="B2222" s="1" t="s">
        <v>919</v>
      </c>
      <c r="C2222" s="1" t="s">
        <v>10730</v>
      </c>
      <c r="D2222" s="1" t="s">
        <v>918</v>
      </c>
      <c r="E2222" s="1" t="s">
        <v>25</v>
      </c>
      <c r="F2222" s="1" t="s">
        <v>923</v>
      </c>
      <c r="G2222" s="1" t="s">
        <v>916</v>
      </c>
      <c r="H2222" s="1" t="s">
        <v>924</v>
      </c>
      <c r="I2222" s="1" t="s">
        <v>974</v>
      </c>
      <c r="J2222" s="1" t="s">
        <v>922</v>
      </c>
      <c r="K2222" s="1"/>
      <c r="L2222" s="1"/>
      <c r="M2222" s="1"/>
      <c r="N2222" s="1"/>
      <c r="O2222" s="1"/>
      <c r="P2222" s="1"/>
      <c r="Q2222" s="1"/>
    </row>
    <row r="2223" spans="1:17" x14ac:dyDescent="0.25">
      <c r="A2223" s="1" t="s">
        <v>992</v>
      </c>
      <c r="B2223" s="1" t="s">
        <v>933</v>
      </c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</row>
    <row r="2224" spans="1:17" x14ac:dyDescent="0.25">
      <c r="A2224" s="1" t="s">
        <v>981</v>
      </c>
      <c r="B2224" s="1" t="s">
        <v>1066</v>
      </c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</row>
    <row r="2225" spans="1:17" x14ac:dyDescent="0.25">
      <c r="A2225" s="1" t="s">
        <v>996</v>
      </c>
      <c r="B2225" s="1" t="s">
        <v>997</v>
      </c>
      <c r="C2225" s="1" t="s">
        <v>998</v>
      </c>
      <c r="D2225" s="1" t="s">
        <v>933</v>
      </c>
      <c r="E2225" s="1" t="s">
        <v>2541</v>
      </c>
      <c r="F2225" s="1" t="s">
        <v>994</v>
      </c>
      <c r="G2225" s="1" t="s">
        <v>1001</v>
      </c>
      <c r="H2225" s="1" t="s">
        <v>4258</v>
      </c>
      <c r="I2225" s="1" t="s">
        <v>10751</v>
      </c>
      <c r="J2225" s="1" t="s">
        <v>1109</v>
      </c>
      <c r="K2225" s="1" t="s">
        <v>992</v>
      </c>
      <c r="L2225" s="1" t="s">
        <v>927</v>
      </c>
      <c r="M2225" s="1" t="s">
        <v>1086</v>
      </c>
      <c r="N2225" s="1"/>
      <c r="O2225" s="1"/>
      <c r="P2225" s="1"/>
      <c r="Q2225" s="1"/>
    </row>
    <row r="2226" spans="1:17" x14ac:dyDescent="0.25">
      <c r="A2226" s="1" t="s">
        <v>996</v>
      </c>
      <c r="B2226" s="1" t="s">
        <v>997</v>
      </c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</row>
    <row r="2227" spans="1:17" x14ac:dyDescent="0.25">
      <c r="A2227" s="1" t="s">
        <v>298</v>
      </c>
      <c r="B2227" s="1" t="s">
        <v>25</v>
      </c>
      <c r="C2227" s="1" t="s">
        <v>923</v>
      </c>
      <c r="D2227" s="1" t="s">
        <v>998</v>
      </c>
      <c r="E2227" s="1" t="s">
        <v>1053</v>
      </c>
      <c r="F2227" s="1" t="s">
        <v>933</v>
      </c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</row>
    <row r="2228" spans="1:17" x14ac:dyDescent="0.25">
      <c r="A2228" s="1" t="s">
        <v>996</v>
      </c>
      <c r="B2228" s="1" t="s">
        <v>2541</v>
      </c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</row>
    <row r="2229" spans="1:17" x14ac:dyDescent="0.25">
      <c r="A2229" s="1" t="s">
        <v>25</v>
      </c>
      <c r="B2229" s="1" t="s">
        <v>1086</v>
      </c>
      <c r="C2229" s="1" t="s">
        <v>920</v>
      </c>
      <c r="D2229" s="1" t="s">
        <v>933</v>
      </c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</row>
    <row r="2230" spans="1:17" x14ac:dyDescent="0.25">
      <c r="A2230" s="1" t="s">
        <v>50</v>
      </c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</row>
    <row r="2231" spans="1:17" x14ac:dyDescent="0.25">
      <c r="A2231" s="1" t="s">
        <v>996</v>
      </c>
      <c r="B2231" s="1" t="s">
        <v>997</v>
      </c>
      <c r="C2231" s="1" t="s">
        <v>998</v>
      </c>
      <c r="D2231" s="1" t="s">
        <v>6421</v>
      </c>
      <c r="E2231" s="1" t="s">
        <v>2541</v>
      </c>
      <c r="F2231" s="1" t="s">
        <v>994</v>
      </c>
      <c r="G2231" s="1" t="s">
        <v>1001</v>
      </c>
      <c r="H2231" s="1" t="s">
        <v>927</v>
      </c>
      <c r="I2231" s="1" t="s">
        <v>919</v>
      </c>
      <c r="J2231" s="1" t="s">
        <v>10841</v>
      </c>
      <c r="K2231" s="1" t="s">
        <v>993</v>
      </c>
      <c r="L2231" s="1"/>
      <c r="M2231" s="1"/>
      <c r="N2231" s="1"/>
      <c r="O2231" s="1"/>
      <c r="P2231" s="1"/>
      <c r="Q2231" s="1"/>
    </row>
    <row r="2232" spans="1:17" x14ac:dyDescent="0.25">
      <c r="A2232" s="1" t="s">
        <v>1000</v>
      </c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</row>
    <row r="2233" spans="1:17" x14ac:dyDescent="0.25">
      <c r="A2233" s="1" t="s">
        <v>996</v>
      </c>
      <c r="B2233" s="1" t="s">
        <v>25</v>
      </c>
      <c r="C2233" s="1" t="s">
        <v>997</v>
      </c>
      <c r="D2233" s="1" t="s">
        <v>927</v>
      </c>
      <c r="E2233" s="1" t="s">
        <v>998</v>
      </c>
      <c r="F2233" s="1" t="s">
        <v>994</v>
      </c>
      <c r="G2233" s="1" t="s">
        <v>933</v>
      </c>
      <c r="H2233" s="1"/>
      <c r="I2233" s="1"/>
      <c r="J2233" s="1"/>
      <c r="K2233" s="1"/>
      <c r="L2233" s="1"/>
      <c r="M2233" s="1"/>
      <c r="N2233" s="1"/>
      <c r="O2233" s="1"/>
      <c r="P2233" s="1"/>
      <c r="Q2233" s="1"/>
    </row>
    <row r="2234" spans="1:17" x14ac:dyDescent="0.25">
      <c r="A2234" s="1" t="s">
        <v>256</v>
      </c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</row>
    <row r="2235" spans="1:17" x14ac:dyDescent="0.25">
      <c r="A2235" s="1" t="s">
        <v>256</v>
      </c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</row>
    <row r="2236" spans="1:17" x14ac:dyDescent="0.25">
      <c r="A2236" s="1" t="s">
        <v>983</v>
      </c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</row>
    <row r="2237" spans="1:17" x14ac:dyDescent="0.25">
      <c r="A2237" s="1" t="s">
        <v>1001</v>
      </c>
      <c r="B2237" s="1" t="s">
        <v>936</v>
      </c>
      <c r="C2237" s="1" t="s">
        <v>1037</v>
      </c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</row>
    <row r="2238" spans="1:17" x14ac:dyDescent="0.25">
      <c r="A2238" s="1" t="s">
        <v>1001</v>
      </c>
      <c r="B2238" s="1" t="s">
        <v>936</v>
      </c>
      <c r="C2238" s="1" t="s">
        <v>1037</v>
      </c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</row>
    <row r="2239" spans="1:17" x14ac:dyDescent="0.25">
      <c r="A2239" s="1" t="s">
        <v>918</v>
      </c>
      <c r="B2239" s="1" t="s">
        <v>25</v>
      </c>
      <c r="C2239" s="1" t="s">
        <v>919</v>
      </c>
      <c r="D2239" s="1" t="s">
        <v>920</v>
      </c>
      <c r="E2239" s="1" t="s">
        <v>933</v>
      </c>
      <c r="F2239" s="1" t="s">
        <v>924</v>
      </c>
      <c r="G2239" s="1" t="s">
        <v>921</v>
      </c>
      <c r="H2239" s="1" t="s">
        <v>1001</v>
      </c>
      <c r="I2239" s="1" t="s">
        <v>936</v>
      </c>
      <c r="J2239" s="1" t="s">
        <v>1037</v>
      </c>
      <c r="K2239" s="1"/>
      <c r="L2239" s="1"/>
      <c r="M2239" s="1"/>
      <c r="N2239" s="1"/>
      <c r="O2239" s="1"/>
      <c r="P2239" s="1"/>
      <c r="Q2239" s="1"/>
    </row>
    <row r="2240" spans="1:17" x14ac:dyDescent="0.25">
      <c r="A2240" s="1" t="s">
        <v>923</v>
      </c>
      <c r="B2240" s="1" t="s">
        <v>1113</v>
      </c>
      <c r="C2240" s="1" t="s">
        <v>328</v>
      </c>
      <c r="D2240" s="1" t="s">
        <v>84</v>
      </c>
      <c r="E2240" s="1" t="s">
        <v>25</v>
      </c>
      <c r="F2240" s="1" t="s">
        <v>10696</v>
      </c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</row>
    <row r="2241" spans="1:17" x14ac:dyDescent="0.25">
      <c r="A2241" s="1" t="s">
        <v>923</v>
      </c>
      <c r="B2241" s="1" t="s">
        <v>998</v>
      </c>
      <c r="C2241" s="1" t="s">
        <v>1053</v>
      </c>
      <c r="D2241" s="1" t="s">
        <v>1086</v>
      </c>
      <c r="E2241" s="1" t="s">
        <v>933</v>
      </c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</row>
    <row r="2242" spans="1:17" x14ac:dyDescent="0.25">
      <c r="A2242" s="1" t="s">
        <v>1053</v>
      </c>
      <c r="B2242" s="1" t="s">
        <v>1069</v>
      </c>
      <c r="C2242" s="1" t="s">
        <v>25</v>
      </c>
      <c r="D2242" s="1" t="s">
        <v>923</v>
      </c>
      <c r="E2242" s="1" t="s">
        <v>998</v>
      </c>
      <c r="F2242" s="1" t="s">
        <v>256</v>
      </c>
      <c r="G2242" s="1" t="s">
        <v>1086</v>
      </c>
      <c r="H2242" s="1" t="s">
        <v>933</v>
      </c>
      <c r="I2242" s="1"/>
      <c r="J2242" s="1"/>
      <c r="K2242" s="1"/>
      <c r="L2242" s="1"/>
      <c r="M2242" s="1"/>
      <c r="N2242" s="1"/>
      <c r="O2242" s="1"/>
      <c r="P2242" s="1"/>
      <c r="Q2242" s="1"/>
    </row>
    <row r="2243" spans="1:17" x14ac:dyDescent="0.25">
      <c r="A2243" s="1" t="s">
        <v>923</v>
      </c>
      <c r="B2243" s="1" t="s">
        <v>998</v>
      </c>
      <c r="C2243" s="1" t="s">
        <v>1053</v>
      </c>
      <c r="D2243" s="1" t="s">
        <v>1086</v>
      </c>
      <c r="E2243" s="1" t="s">
        <v>933</v>
      </c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</row>
    <row r="2244" spans="1:17" x14ac:dyDescent="0.25">
      <c r="A2244" s="1" t="s">
        <v>2927</v>
      </c>
      <c r="B2244" s="1" t="s">
        <v>1149</v>
      </c>
      <c r="C2244" s="1" t="s">
        <v>25</v>
      </c>
      <c r="D2244" s="1" t="s">
        <v>923</v>
      </c>
      <c r="E2244" s="1" t="s">
        <v>998</v>
      </c>
      <c r="F2244" s="1" t="s">
        <v>1053</v>
      </c>
      <c r="G2244" s="1" t="s">
        <v>1086</v>
      </c>
      <c r="H2244" s="1" t="s">
        <v>920</v>
      </c>
      <c r="I2244" s="1" t="s">
        <v>933</v>
      </c>
      <c r="J2244" s="1"/>
      <c r="K2244" s="1"/>
      <c r="L2244" s="1"/>
      <c r="M2244" s="1"/>
      <c r="N2244" s="1"/>
      <c r="O2244" s="1"/>
      <c r="P2244" s="1"/>
      <c r="Q2244" s="1"/>
    </row>
    <row r="2245" spans="1:17" x14ac:dyDescent="0.25">
      <c r="A2245" s="1" t="s">
        <v>1088</v>
      </c>
      <c r="B2245" s="1" t="s">
        <v>996</v>
      </c>
      <c r="C2245" s="1" t="s">
        <v>1089</v>
      </c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</row>
    <row r="2246" spans="1:17" x14ac:dyDescent="0.25">
      <c r="A2246" s="1" t="s">
        <v>256</v>
      </c>
      <c r="B2246" s="1" t="s">
        <v>1049</v>
      </c>
      <c r="C2246" s="1" t="s">
        <v>1066</v>
      </c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</row>
    <row r="2247" spans="1:17" x14ac:dyDescent="0.25">
      <c r="A2247" s="1" t="s">
        <v>1107</v>
      </c>
      <c r="B2247" s="1" t="s">
        <v>918</v>
      </c>
      <c r="C2247" s="1" t="s">
        <v>919</v>
      </c>
      <c r="D2247" s="1" t="s">
        <v>945</v>
      </c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</row>
    <row r="2248" spans="1:17" x14ac:dyDescent="0.25">
      <c r="A2248" s="1" t="s">
        <v>960</v>
      </c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</row>
    <row r="2249" spans="1:17" x14ac:dyDescent="0.25">
      <c r="A2249" s="1" t="s">
        <v>25</v>
      </c>
      <c r="B2249" s="1" t="s">
        <v>923</v>
      </c>
      <c r="C2249" s="1" t="s">
        <v>920</v>
      </c>
      <c r="D2249" s="1" t="s">
        <v>948</v>
      </c>
      <c r="E2249" s="1" t="s">
        <v>1069</v>
      </c>
      <c r="F2249" s="1" t="s">
        <v>1070</v>
      </c>
      <c r="G2249" s="1" t="s">
        <v>916</v>
      </c>
      <c r="H2249" s="1" t="s">
        <v>1078</v>
      </c>
      <c r="I2249" s="1" t="s">
        <v>980</v>
      </c>
      <c r="J2249" s="1" t="s">
        <v>919</v>
      </c>
      <c r="K2249" s="1" t="s">
        <v>921</v>
      </c>
      <c r="L2249" s="1" t="s">
        <v>1013</v>
      </c>
      <c r="M2249" s="1" t="s">
        <v>960</v>
      </c>
      <c r="N2249" s="1"/>
      <c r="O2249" s="1"/>
      <c r="P2249" s="1"/>
      <c r="Q2249" s="1"/>
    </row>
    <row r="2250" spans="1:17" x14ac:dyDescent="0.25">
      <c r="A2250" s="1" t="s">
        <v>960</v>
      </c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</row>
    <row r="2251" spans="1:17" x14ac:dyDescent="0.25">
      <c r="A2251" s="1" t="s">
        <v>934</v>
      </c>
      <c r="B2251" s="1" t="s">
        <v>918</v>
      </c>
      <c r="C2251" s="1" t="s">
        <v>25</v>
      </c>
      <c r="D2251" s="1" t="s">
        <v>919</v>
      </c>
      <c r="E2251" s="1" t="s">
        <v>920</v>
      </c>
      <c r="F2251" s="1" t="s">
        <v>924</v>
      </c>
      <c r="G2251" s="1" t="s">
        <v>964</v>
      </c>
      <c r="H2251" s="1" t="s">
        <v>1109</v>
      </c>
      <c r="I2251" s="1"/>
      <c r="J2251" s="1"/>
      <c r="K2251" s="1"/>
      <c r="L2251" s="1"/>
      <c r="M2251" s="1"/>
      <c r="N2251" s="1"/>
      <c r="O2251" s="1"/>
      <c r="P2251" s="1"/>
      <c r="Q2251" s="1"/>
    </row>
    <row r="2252" spans="1:17" x14ac:dyDescent="0.25">
      <c r="A2252" s="1" t="s">
        <v>964</v>
      </c>
      <c r="B2252" s="1" t="s">
        <v>1109</v>
      </c>
      <c r="C2252" s="1" t="s">
        <v>919</v>
      </c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</row>
    <row r="2253" spans="1:17" x14ac:dyDescent="0.25">
      <c r="A2253" s="1" t="s">
        <v>964</v>
      </c>
      <c r="B2253" s="1" t="s">
        <v>1109</v>
      </c>
      <c r="C2253" s="1" t="s">
        <v>919</v>
      </c>
      <c r="D2253" s="1" t="s">
        <v>10739</v>
      </c>
      <c r="E2253" s="1" t="s">
        <v>955</v>
      </c>
      <c r="F2253" s="1" t="s">
        <v>1014</v>
      </c>
      <c r="G2253" s="1" t="s">
        <v>10740</v>
      </c>
      <c r="H2253" s="1"/>
      <c r="I2253" s="1"/>
      <c r="J2253" s="1"/>
      <c r="K2253" s="1"/>
      <c r="L2253" s="1"/>
      <c r="M2253" s="1"/>
      <c r="N2253" s="1"/>
      <c r="O2253" s="1"/>
      <c r="P2253" s="1"/>
      <c r="Q2253" s="1"/>
    </row>
    <row r="2254" spans="1:17" x14ac:dyDescent="0.25">
      <c r="A2254" s="1" t="s">
        <v>964</v>
      </c>
      <c r="B2254" s="1" t="s">
        <v>1109</v>
      </c>
      <c r="C2254" s="1" t="s">
        <v>919</v>
      </c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</row>
    <row r="2255" spans="1:17" x14ac:dyDescent="0.25">
      <c r="A2255" s="1" t="s">
        <v>964</v>
      </c>
      <c r="B2255" s="1" t="s">
        <v>1109</v>
      </c>
      <c r="C2255" s="1" t="s">
        <v>919</v>
      </c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</row>
    <row r="2256" spans="1:17" x14ac:dyDescent="0.25">
      <c r="A2256" s="1" t="s">
        <v>1167</v>
      </c>
      <c r="B2256" s="1" t="s">
        <v>1053</v>
      </c>
      <c r="C2256" s="1" t="s">
        <v>1086</v>
      </c>
      <c r="D2256" s="1" t="s">
        <v>933</v>
      </c>
      <c r="E2256" s="1" t="s">
        <v>1066</v>
      </c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</row>
    <row r="2257" spans="1:17" x14ac:dyDescent="0.25">
      <c r="A2257" s="1" t="s">
        <v>1167</v>
      </c>
      <c r="B2257" s="1" t="s">
        <v>1053</v>
      </c>
      <c r="C2257" s="1" t="s">
        <v>1086</v>
      </c>
      <c r="D2257" s="1" t="s">
        <v>933</v>
      </c>
      <c r="E2257" s="1" t="s">
        <v>1066</v>
      </c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</row>
    <row r="2258" spans="1:17" x14ac:dyDescent="0.25">
      <c r="A2258" s="1" t="s">
        <v>947</v>
      </c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</row>
    <row r="2259" spans="1:17" x14ac:dyDescent="0.25">
      <c r="A2259" s="1" t="s">
        <v>6421</v>
      </c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</row>
    <row r="2260" spans="1:17" x14ac:dyDescent="0.25">
      <c r="A2260" s="1" t="s">
        <v>50</v>
      </c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</row>
    <row r="2261" spans="1:17" x14ac:dyDescent="0.25">
      <c r="A2261" s="1" t="s">
        <v>50</v>
      </c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</row>
    <row r="2262" spans="1:17" x14ac:dyDescent="0.25">
      <c r="A2262" s="1" t="s">
        <v>25</v>
      </c>
      <c r="B2262" s="1" t="s">
        <v>923</v>
      </c>
      <c r="C2262" s="1" t="s">
        <v>916</v>
      </c>
      <c r="D2262" s="1" t="s">
        <v>920</v>
      </c>
      <c r="E2262" s="1" t="s">
        <v>933</v>
      </c>
      <c r="F2262" s="1" t="s">
        <v>954</v>
      </c>
      <c r="G2262" s="1" t="s">
        <v>974</v>
      </c>
      <c r="H2262" s="1" t="s">
        <v>921</v>
      </c>
      <c r="I2262" s="1"/>
      <c r="J2262" s="1"/>
      <c r="K2262" s="1"/>
      <c r="L2262" s="1"/>
      <c r="M2262" s="1"/>
      <c r="N2262" s="1"/>
      <c r="O2262" s="1"/>
      <c r="P2262" s="1"/>
      <c r="Q2262" s="1"/>
    </row>
    <row r="2263" spans="1:17" x14ac:dyDescent="0.25">
      <c r="A2263" s="1" t="s">
        <v>996</v>
      </c>
      <c r="B2263" s="1" t="s">
        <v>2541</v>
      </c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</row>
    <row r="2264" spans="1:17" x14ac:dyDescent="0.25">
      <c r="A2264" s="1" t="s">
        <v>50</v>
      </c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</row>
    <row r="2265" spans="1:17" x14ac:dyDescent="0.25">
      <c r="A2265" s="1" t="s">
        <v>1119</v>
      </c>
      <c r="B2265" s="1" t="s">
        <v>1121</v>
      </c>
      <c r="C2265" s="1" t="s">
        <v>837</v>
      </c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</row>
    <row r="2266" spans="1:17" x14ac:dyDescent="0.25">
      <c r="A2266" s="1" t="s">
        <v>2927</v>
      </c>
      <c r="B2266" s="1" t="s">
        <v>1069</v>
      </c>
      <c r="C2266" s="1" t="s">
        <v>25</v>
      </c>
      <c r="D2266" s="1" t="s">
        <v>923</v>
      </c>
      <c r="E2266" s="1" t="s">
        <v>1053</v>
      </c>
      <c r="F2266" s="1" t="s">
        <v>1086</v>
      </c>
      <c r="G2266" s="1" t="s">
        <v>933</v>
      </c>
      <c r="H2266" s="1"/>
      <c r="I2266" s="1"/>
      <c r="J2266" s="1"/>
      <c r="K2266" s="1"/>
      <c r="L2266" s="1"/>
      <c r="M2266" s="1"/>
      <c r="N2266" s="1"/>
      <c r="O2266" s="1"/>
      <c r="P2266" s="1"/>
      <c r="Q2266" s="1"/>
    </row>
    <row r="2267" spans="1:17" x14ac:dyDescent="0.25">
      <c r="A2267" s="1" t="s">
        <v>25</v>
      </c>
      <c r="B2267" s="1" t="s">
        <v>920</v>
      </c>
      <c r="C2267" s="1" t="s">
        <v>954</v>
      </c>
      <c r="D2267" s="1" t="s">
        <v>974</v>
      </c>
      <c r="E2267" s="1" t="s">
        <v>950</v>
      </c>
      <c r="F2267" s="1" t="s">
        <v>10720</v>
      </c>
      <c r="G2267" s="1" t="s">
        <v>10719</v>
      </c>
      <c r="H2267" s="1"/>
      <c r="I2267" s="1"/>
      <c r="J2267" s="1"/>
      <c r="K2267" s="1"/>
      <c r="L2267" s="1"/>
      <c r="M2267" s="1"/>
      <c r="N2267" s="1"/>
      <c r="O2267" s="1"/>
      <c r="P2267" s="1"/>
      <c r="Q2267" s="1"/>
    </row>
    <row r="2268" spans="1:17" x14ac:dyDescent="0.25">
      <c r="A2268" s="1" t="s">
        <v>996</v>
      </c>
      <c r="B2268" s="1" t="s">
        <v>25</v>
      </c>
      <c r="C2268" s="1" t="s">
        <v>997</v>
      </c>
      <c r="D2268" s="1" t="s">
        <v>927</v>
      </c>
      <c r="E2268" s="1" t="s">
        <v>998</v>
      </c>
      <c r="F2268" s="1" t="s">
        <v>933</v>
      </c>
      <c r="G2268" s="1" t="s">
        <v>993</v>
      </c>
      <c r="H2268" s="1" t="s">
        <v>994</v>
      </c>
      <c r="I2268" s="1"/>
      <c r="J2268" s="1"/>
      <c r="K2268" s="1"/>
      <c r="L2268" s="1"/>
      <c r="M2268" s="1"/>
      <c r="N2268" s="1"/>
      <c r="O2268" s="1"/>
      <c r="P2268" s="1"/>
      <c r="Q2268" s="1"/>
    </row>
    <row r="2269" spans="1:17" x14ac:dyDescent="0.25">
      <c r="A2269" s="1" t="s">
        <v>1001</v>
      </c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</row>
    <row r="2270" spans="1:17" x14ac:dyDescent="0.25">
      <c r="A2270" s="1" t="s">
        <v>1053</v>
      </c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</row>
    <row r="2271" spans="1:17" x14ac:dyDescent="0.25">
      <c r="A2271" s="1" t="s">
        <v>50</v>
      </c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</row>
    <row r="2272" spans="1:17" x14ac:dyDescent="0.25">
      <c r="A2272" s="1" t="s">
        <v>1439</v>
      </c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</row>
    <row r="2273" spans="1:17" x14ac:dyDescent="0.25">
      <c r="A2273" s="1" t="s">
        <v>1069</v>
      </c>
      <c r="B2273" s="1" t="s">
        <v>25</v>
      </c>
      <c r="C2273" s="1" t="s">
        <v>923</v>
      </c>
      <c r="D2273" s="1" t="s">
        <v>998</v>
      </c>
      <c r="E2273" s="1" t="s">
        <v>1053</v>
      </c>
      <c r="F2273" s="1" t="s">
        <v>10937</v>
      </c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</row>
    <row r="2274" spans="1:17" x14ac:dyDescent="0.25">
      <c r="A2274" s="1" t="s">
        <v>50</v>
      </c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</row>
    <row r="2275" spans="1:17" x14ac:dyDescent="0.25">
      <c r="A2275" s="1" t="s">
        <v>50</v>
      </c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</row>
    <row r="2276" spans="1:17" x14ac:dyDescent="0.25">
      <c r="A2276" s="1" t="s">
        <v>50</v>
      </c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</row>
    <row r="2277" spans="1:17" x14ac:dyDescent="0.25">
      <c r="A2277" s="1" t="s">
        <v>1167</v>
      </c>
      <c r="B2277" s="1" t="s">
        <v>1053</v>
      </c>
      <c r="C2277" s="1" t="s">
        <v>1086</v>
      </c>
      <c r="D2277" s="1" t="s">
        <v>933</v>
      </c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</row>
    <row r="2278" spans="1:17" x14ac:dyDescent="0.25">
      <c r="A2278" s="1" t="s">
        <v>933</v>
      </c>
      <c r="B2278" s="1" t="s">
        <v>2541</v>
      </c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</row>
    <row r="2279" spans="1:17" x14ac:dyDescent="0.25">
      <c r="A2279" s="1" t="s">
        <v>25</v>
      </c>
      <c r="B2279" s="1" t="s">
        <v>920</v>
      </c>
      <c r="C2279" s="1" t="s">
        <v>933</v>
      </c>
      <c r="D2279" s="1" t="s">
        <v>921</v>
      </c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</row>
    <row r="2280" spans="1:17" x14ac:dyDescent="0.25">
      <c r="A2280" s="1" t="s">
        <v>933</v>
      </c>
      <c r="B2280" s="1" t="s">
        <v>981</v>
      </c>
      <c r="C2280" s="1" t="s">
        <v>10722</v>
      </c>
      <c r="D2280" s="1" t="s">
        <v>1167</v>
      </c>
      <c r="E2280" s="1" t="s">
        <v>1053</v>
      </c>
      <c r="F2280" s="1" t="s">
        <v>1086</v>
      </c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</row>
    <row r="2281" spans="1:17" x14ac:dyDescent="0.25">
      <c r="A2281" s="1" t="s">
        <v>1086</v>
      </c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</row>
    <row r="2282" spans="1:17" x14ac:dyDescent="0.25">
      <c r="A2282" s="1" t="s">
        <v>25</v>
      </c>
      <c r="B2282" s="1" t="s">
        <v>920</v>
      </c>
      <c r="C2282" s="1" t="s">
        <v>954</v>
      </c>
      <c r="D2282" s="1" t="s">
        <v>974</v>
      </c>
      <c r="E2282" s="1" t="s">
        <v>950</v>
      </c>
      <c r="F2282" s="1" t="s">
        <v>10720</v>
      </c>
      <c r="G2282" s="1" t="s">
        <v>10719</v>
      </c>
      <c r="H2282" s="1" t="s">
        <v>1053</v>
      </c>
      <c r="I2282" s="1"/>
      <c r="J2282" s="1"/>
      <c r="K2282" s="1"/>
      <c r="L2282" s="1"/>
      <c r="M2282" s="1"/>
      <c r="N2282" s="1"/>
      <c r="O2282" s="1"/>
      <c r="P2282" s="1"/>
      <c r="Q2282" s="1"/>
    </row>
    <row r="2283" spans="1:17" x14ac:dyDescent="0.25">
      <c r="A2283" s="1" t="s">
        <v>3439</v>
      </c>
      <c r="B2283" s="1" t="s">
        <v>1011</v>
      </c>
      <c r="C2283" s="1" t="s">
        <v>840</v>
      </c>
      <c r="D2283" s="1" t="s">
        <v>921</v>
      </c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</row>
    <row r="2284" spans="1:17" x14ac:dyDescent="0.25">
      <c r="A2284" s="1" t="s">
        <v>1069</v>
      </c>
      <c r="B2284" s="1" t="s">
        <v>923</v>
      </c>
      <c r="C2284" s="1" t="s">
        <v>998</v>
      </c>
      <c r="D2284" s="1" t="s">
        <v>1053</v>
      </c>
      <c r="E2284" s="1" t="s">
        <v>933</v>
      </c>
      <c r="F2284" s="1" t="s">
        <v>1141</v>
      </c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</row>
    <row r="2285" spans="1:17" x14ac:dyDescent="0.25">
      <c r="A2285" s="1" t="s">
        <v>50</v>
      </c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</row>
    <row r="2286" spans="1:17" x14ac:dyDescent="0.25">
      <c r="A2286" s="1" t="s">
        <v>50</v>
      </c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</row>
    <row r="2287" spans="1:17" x14ac:dyDescent="0.25">
      <c r="A2287" s="1" t="s">
        <v>50</v>
      </c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</row>
    <row r="2288" spans="1:17" x14ac:dyDescent="0.25">
      <c r="A2288" s="1" t="s">
        <v>2927</v>
      </c>
      <c r="B2288" s="1" t="s">
        <v>1051</v>
      </c>
      <c r="C2288" s="1" t="s">
        <v>25</v>
      </c>
      <c r="D2288" s="1" t="s">
        <v>1053</v>
      </c>
      <c r="E2288" s="1" t="s">
        <v>1086</v>
      </c>
      <c r="F2288" s="1" t="s">
        <v>933</v>
      </c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</row>
    <row r="2289" spans="1:17" x14ac:dyDescent="0.25">
      <c r="A2289" s="1" t="s">
        <v>1053</v>
      </c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</row>
    <row r="2290" spans="1:17" x14ac:dyDescent="0.25">
      <c r="A2290" s="1" t="s">
        <v>918</v>
      </c>
      <c r="B2290" s="1" t="s">
        <v>25</v>
      </c>
      <c r="C2290" s="1" t="s">
        <v>923</v>
      </c>
      <c r="D2290" s="1" t="s">
        <v>973</v>
      </c>
      <c r="E2290" s="1" t="s">
        <v>916</v>
      </c>
      <c r="F2290" s="1" t="s">
        <v>920</v>
      </c>
      <c r="G2290" s="1" t="s">
        <v>954</v>
      </c>
      <c r="H2290" s="1" t="s">
        <v>974</v>
      </c>
      <c r="I2290" s="1" t="s">
        <v>921</v>
      </c>
      <c r="J2290" s="1" t="s">
        <v>1001</v>
      </c>
      <c r="K2290" s="1" t="s">
        <v>927</v>
      </c>
      <c r="L2290" s="1" t="s">
        <v>981</v>
      </c>
      <c r="M2290" s="1" t="s">
        <v>919</v>
      </c>
      <c r="N2290" s="1"/>
      <c r="O2290" s="1"/>
      <c r="P2290" s="1"/>
      <c r="Q2290" s="1"/>
    </row>
    <row r="2291" spans="1:17" x14ac:dyDescent="0.25">
      <c r="A2291" s="1" t="s">
        <v>50</v>
      </c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</row>
    <row r="2292" spans="1:17" x14ac:dyDescent="0.25">
      <c r="A2292" s="1" t="s">
        <v>50</v>
      </c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</row>
    <row r="2293" spans="1:17" x14ac:dyDescent="0.25">
      <c r="A2293" s="1" t="s">
        <v>6492</v>
      </c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</row>
    <row r="2294" spans="1:17" x14ac:dyDescent="0.25">
      <c r="A2294" s="1" t="s">
        <v>996</v>
      </c>
      <c r="B2294" s="1" t="s">
        <v>25</v>
      </c>
      <c r="C2294" s="1" t="s">
        <v>1053</v>
      </c>
      <c r="D2294" s="1" t="s">
        <v>2541</v>
      </c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</row>
    <row r="2295" spans="1:17" x14ac:dyDescent="0.25">
      <c r="A2295" s="1" t="s">
        <v>1086</v>
      </c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</row>
    <row r="2296" spans="1:17" x14ac:dyDescent="0.25">
      <c r="A2296" s="1" t="s">
        <v>1086</v>
      </c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</row>
    <row r="2297" spans="1:17" x14ac:dyDescent="0.25">
      <c r="A2297" s="1" t="s">
        <v>1086</v>
      </c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</row>
    <row r="2298" spans="1:17" x14ac:dyDescent="0.25">
      <c r="A2298" s="1" t="s">
        <v>948</v>
      </c>
      <c r="B2298" s="1" t="s">
        <v>1069</v>
      </c>
      <c r="C2298" s="1" t="s">
        <v>1149</v>
      </c>
      <c r="D2298" s="1" t="s">
        <v>25</v>
      </c>
      <c r="E2298" s="1" t="s">
        <v>923</v>
      </c>
      <c r="F2298" s="1" t="s">
        <v>998</v>
      </c>
      <c r="G2298" s="1" t="s">
        <v>1150</v>
      </c>
      <c r="H2298" s="1" t="s">
        <v>1086</v>
      </c>
      <c r="I2298" s="1" t="s">
        <v>10766</v>
      </c>
      <c r="J2298" s="1"/>
      <c r="K2298" s="1"/>
      <c r="L2298" s="1"/>
      <c r="M2298" s="1"/>
      <c r="N2298" s="1"/>
      <c r="O2298" s="1"/>
      <c r="P2298" s="1"/>
      <c r="Q2298" s="1"/>
    </row>
    <row r="2299" spans="1:17" x14ac:dyDescent="0.25">
      <c r="A2299" s="1" t="s">
        <v>940</v>
      </c>
      <c r="B2299" s="1" t="s">
        <v>1011</v>
      </c>
      <c r="C2299" s="1" t="s">
        <v>981</v>
      </c>
      <c r="D2299" s="1" t="s">
        <v>10830</v>
      </c>
      <c r="E2299" s="1" t="s">
        <v>999</v>
      </c>
      <c r="F2299" s="1" t="s">
        <v>921</v>
      </c>
      <c r="G2299" s="1" t="s">
        <v>993</v>
      </c>
      <c r="H2299" s="1"/>
      <c r="I2299" s="1"/>
      <c r="J2299" s="1"/>
      <c r="K2299" s="1"/>
      <c r="L2299" s="1"/>
      <c r="M2299" s="1"/>
      <c r="N2299" s="1"/>
      <c r="O2299" s="1"/>
      <c r="P2299" s="1"/>
      <c r="Q2299" s="1"/>
    </row>
    <row r="2300" spans="1:17" x14ac:dyDescent="0.25">
      <c r="A2300" s="1" t="s">
        <v>923</v>
      </c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</row>
    <row r="2301" spans="1:17" x14ac:dyDescent="0.25">
      <c r="A2301" s="1" t="s">
        <v>948</v>
      </c>
      <c r="B2301" s="1" t="s">
        <v>3439</v>
      </c>
      <c r="C2301" s="1" t="s">
        <v>25</v>
      </c>
      <c r="D2301" s="1" t="s">
        <v>923</v>
      </c>
      <c r="E2301" s="1" t="s">
        <v>1053</v>
      </c>
      <c r="F2301" s="1" t="s">
        <v>10814</v>
      </c>
      <c r="G2301" s="1" t="s">
        <v>256</v>
      </c>
      <c r="H2301" s="1" t="s">
        <v>10741</v>
      </c>
      <c r="I2301" s="1" t="s">
        <v>10826</v>
      </c>
      <c r="J2301" s="1" t="s">
        <v>986</v>
      </c>
      <c r="K2301" s="1" t="s">
        <v>10797</v>
      </c>
      <c r="L2301" s="1"/>
      <c r="M2301" s="1"/>
      <c r="N2301" s="1"/>
      <c r="O2301" s="1"/>
      <c r="P2301" s="1"/>
      <c r="Q2301" s="1"/>
    </row>
    <row r="2302" spans="1:17" x14ac:dyDescent="0.25">
      <c r="A2302" s="1" t="s">
        <v>298</v>
      </c>
      <c r="B2302" s="1" t="s">
        <v>25</v>
      </c>
      <c r="C2302" s="1" t="s">
        <v>923</v>
      </c>
      <c r="D2302" s="1" t="s">
        <v>997</v>
      </c>
      <c r="E2302" s="1" t="s">
        <v>927</v>
      </c>
      <c r="F2302" s="1" t="s">
        <v>998</v>
      </c>
      <c r="G2302" s="1" t="s">
        <v>992</v>
      </c>
      <c r="H2302" s="1" t="s">
        <v>1086</v>
      </c>
      <c r="I2302" s="1" t="s">
        <v>920</v>
      </c>
      <c r="J2302" s="1" t="s">
        <v>933</v>
      </c>
      <c r="K2302" s="1" t="s">
        <v>994</v>
      </c>
      <c r="L2302" s="1" t="s">
        <v>996</v>
      </c>
      <c r="M2302" s="1" t="s">
        <v>2541</v>
      </c>
      <c r="N2302" s="1"/>
      <c r="O2302" s="1"/>
      <c r="P2302" s="1"/>
      <c r="Q2302" s="1"/>
    </row>
    <row r="2303" spans="1:17" x14ac:dyDescent="0.25">
      <c r="A2303" s="1" t="s">
        <v>1041</v>
      </c>
      <c r="B2303" s="1" t="s">
        <v>999</v>
      </c>
      <c r="C2303" s="1" t="s">
        <v>921</v>
      </c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</row>
    <row r="2304" spans="1:17" x14ac:dyDescent="0.25">
      <c r="A2304" s="1" t="s">
        <v>940</v>
      </c>
      <c r="B2304" s="1" t="s">
        <v>1011</v>
      </c>
      <c r="C2304" s="1" t="s">
        <v>25</v>
      </c>
      <c r="D2304" s="1" t="s">
        <v>920</v>
      </c>
      <c r="E2304" s="1" t="s">
        <v>921</v>
      </c>
      <c r="F2304" s="1" t="s">
        <v>1041</v>
      </c>
      <c r="G2304" s="1" t="s">
        <v>999</v>
      </c>
      <c r="H2304" s="1"/>
      <c r="I2304" s="1"/>
      <c r="J2304" s="1"/>
      <c r="K2304" s="1"/>
      <c r="L2304" s="1"/>
      <c r="M2304" s="1"/>
      <c r="N2304" s="1"/>
      <c r="O2304" s="1"/>
      <c r="P2304" s="1"/>
      <c r="Q2304" s="1"/>
    </row>
    <row r="2305" spans="1:17" x14ac:dyDescent="0.25">
      <c r="A2305" s="1" t="s">
        <v>50</v>
      </c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</row>
    <row r="2306" spans="1:17" x14ac:dyDescent="0.25">
      <c r="A2306" s="1" t="s">
        <v>50</v>
      </c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</row>
    <row r="2307" spans="1:17" x14ac:dyDescent="0.25">
      <c r="A2307" s="1" t="s">
        <v>50</v>
      </c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</row>
    <row r="2308" spans="1:17" x14ac:dyDescent="0.25">
      <c r="A2308" s="1" t="s">
        <v>50</v>
      </c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</row>
    <row r="2309" spans="1:17" x14ac:dyDescent="0.25">
      <c r="A2309" s="1" t="s">
        <v>50</v>
      </c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</row>
    <row r="2310" spans="1:17" x14ac:dyDescent="0.25">
      <c r="A2310" s="1" t="s">
        <v>50</v>
      </c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</row>
    <row r="2311" spans="1:17" x14ac:dyDescent="0.25">
      <c r="A2311" s="1" t="s">
        <v>50</v>
      </c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</row>
    <row r="2312" spans="1:17" x14ac:dyDescent="0.25">
      <c r="A2312" s="1" t="s">
        <v>50</v>
      </c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</row>
    <row r="2313" spans="1:17" x14ac:dyDescent="0.25">
      <c r="A2313" s="1" t="s">
        <v>50</v>
      </c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</row>
    <row r="2314" spans="1:17" x14ac:dyDescent="0.25">
      <c r="A2314" s="1" t="s">
        <v>50</v>
      </c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</row>
    <row r="2315" spans="1:17" x14ac:dyDescent="0.25">
      <c r="A2315" s="1" t="s">
        <v>50</v>
      </c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</row>
    <row r="2316" spans="1:17" x14ac:dyDescent="0.25">
      <c r="A2316" s="1" t="s">
        <v>50</v>
      </c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</row>
    <row r="2317" spans="1:17" x14ac:dyDescent="0.25">
      <c r="A2317" s="1" t="s">
        <v>50</v>
      </c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</row>
    <row r="2318" spans="1:17" x14ac:dyDescent="0.25">
      <c r="A2318" s="1" t="s">
        <v>50</v>
      </c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</row>
    <row r="2319" spans="1:17" x14ac:dyDescent="0.25">
      <c r="A2319" s="1" t="s">
        <v>50</v>
      </c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</row>
    <row r="2320" spans="1:17" x14ac:dyDescent="0.25">
      <c r="A2320" s="1" t="s">
        <v>50</v>
      </c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</row>
    <row r="2321" spans="1:17" x14ac:dyDescent="0.25">
      <c r="A2321" s="1" t="s">
        <v>50</v>
      </c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</row>
    <row r="2322" spans="1:17" x14ac:dyDescent="0.25">
      <c r="A2322" s="1" t="s">
        <v>50</v>
      </c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</row>
    <row r="2323" spans="1:17" x14ac:dyDescent="0.25">
      <c r="A2323" s="1" t="s">
        <v>918</v>
      </c>
      <c r="B2323" s="1" t="s">
        <v>1136</v>
      </c>
      <c r="C2323" s="1" t="s">
        <v>1157</v>
      </c>
      <c r="D2323" s="1" t="s">
        <v>10752</v>
      </c>
      <c r="E2323" s="1" t="s">
        <v>920</v>
      </c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</row>
    <row r="2324" spans="1:17" x14ac:dyDescent="0.25">
      <c r="A2324" s="1" t="s">
        <v>918</v>
      </c>
      <c r="B2324" s="1" t="s">
        <v>25</v>
      </c>
      <c r="C2324" s="1" t="s">
        <v>923</v>
      </c>
      <c r="D2324" s="1" t="s">
        <v>919</v>
      </c>
      <c r="E2324" s="1" t="s">
        <v>920</v>
      </c>
      <c r="F2324" s="1" t="s">
        <v>921</v>
      </c>
      <c r="G2324" s="1" t="s">
        <v>925</v>
      </c>
      <c r="H2324" s="1" t="s">
        <v>927</v>
      </c>
      <c r="I2324" s="1" t="s">
        <v>928</v>
      </c>
      <c r="J2324" s="1" t="s">
        <v>960</v>
      </c>
      <c r="K2324" s="1" t="s">
        <v>961</v>
      </c>
      <c r="L2324" s="1" t="s">
        <v>1147</v>
      </c>
      <c r="M2324" s="1"/>
      <c r="N2324" s="1"/>
      <c r="O2324" s="1"/>
      <c r="P2324" s="1"/>
      <c r="Q2324" s="1"/>
    </row>
    <row r="2325" spans="1:17" x14ac:dyDescent="0.25">
      <c r="A2325" s="1" t="s">
        <v>1041</v>
      </c>
      <c r="B2325" s="1" t="s">
        <v>1042</v>
      </c>
      <c r="C2325" s="1" t="s">
        <v>999</v>
      </c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</row>
    <row r="2326" spans="1:17" x14ac:dyDescent="0.25">
      <c r="A2326" s="1" t="s">
        <v>1045</v>
      </c>
      <c r="B2326" s="1" t="s">
        <v>1042</v>
      </c>
      <c r="C2326" s="1" t="s">
        <v>1006</v>
      </c>
      <c r="D2326" s="1" t="s">
        <v>921</v>
      </c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</row>
    <row r="2327" spans="1:17" x14ac:dyDescent="0.25">
      <c r="A2327" s="1" t="s">
        <v>1041</v>
      </c>
      <c r="B2327" s="1" t="s">
        <v>1042</v>
      </c>
      <c r="C2327" s="1" t="s">
        <v>999</v>
      </c>
      <c r="D2327" s="1" t="s">
        <v>1007</v>
      </c>
      <c r="E2327" s="1" t="s">
        <v>1004</v>
      </c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</row>
    <row r="2328" spans="1:17" x14ac:dyDescent="0.25">
      <c r="A2328" s="1" t="s">
        <v>997</v>
      </c>
      <c r="B2328" s="1" t="s">
        <v>994</v>
      </c>
      <c r="C2328" s="1" t="s">
        <v>1017</v>
      </c>
      <c r="D2328" s="1" t="s">
        <v>10698</v>
      </c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</row>
    <row r="2329" spans="1:17" x14ac:dyDescent="0.25">
      <c r="A2329" s="1" t="s">
        <v>955</v>
      </c>
      <c r="B2329" s="1" t="s">
        <v>924</v>
      </c>
      <c r="C2329" s="1" t="s">
        <v>1014</v>
      </c>
      <c r="D2329" s="1" t="s">
        <v>1001</v>
      </c>
      <c r="E2329" s="1" t="s">
        <v>927</v>
      </c>
      <c r="F2329" s="1" t="s">
        <v>919</v>
      </c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</row>
    <row r="2330" spans="1:17" x14ac:dyDescent="0.25">
      <c r="A2330" s="1" t="s">
        <v>298</v>
      </c>
      <c r="B2330" s="1" t="s">
        <v>1069</v>
      </c>
      <c r="C2330" s="1" t="s">
        <v>923</v>
      </c>
      <c r="D2330" s="1" t="s">
        <v>1053</v>
      </c>
      <c r="E2330" s="1" t="s">
        <v>926</v>
      </c>
      <c r="F2330" s="1" t="s">
        <v>10731</v>
      </c>
      <c r="G2330" s="1" t="s">
        <v>927</v>
      </c>
      <c r="H2330" s="1" t="s">
        <v>10975</v>
      </c>
      <c r="I2330" s="1" t="s">
        <v>981</v>
      </c>
      <c r="J2330" s="1" t="s">
        <v>928</v>
      </c>
      <c r="K2330" s="1" t="s">
        <v>2927</v>
      </c>
      <c r="L2330" s="1" t="s">
        <v>25</v>
      </c>
      <c r="M2330" s="1" t="s">
        <v>998</v>
      </c>
      <c r="N2330" s="1" t="s">
        <v>1086</v>
      </c>
      <c r="O2330" s="1"/>
      <c r="P2330" s="1"/>
      <c r="Q2330" s="1"/>
    </row>
    <row r="2331" spans="1:17" x14ac:dyDescent="0.25">
      <c r="A2331" s="1" t="s">
        <v>948</v>
      </c>
      <c r="B2331" s="1" t="s">
        <v>1051</v>
      </c>
      <c r="C2331" s="1" t="s">
        <v>25</v>
      </c>
      <c r="D2331" s="1" t="s">
        <v>923</v>
      </c>
      <c r="E2331" s="1" t="s">
        <v>1053</v>
      </c>
      <c r="F2331" s="1" t="s">
        <v>1086</v>
      </c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</row>
    <row r="2332" spans="1:17" x14ac:dyDescent="0.25">
      <c r="A2332" s="1" t="s">
        <v>1053</v>
      </c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</row>
    <row r="2333" spans="1:17" x14ac:dyDescent="0.25">
      <c r="A2333" s="1" t="s">
        <v>948</v>
      </c>
      <c r="B2333" s="1" t="s">
        <v>3439</v>
      </c>
      <c r="C2333" s="1" t="s">
        <v>25</v>
      </c>
      <c r="D2333" s="1" t="s">
        <v>923</v>
      </c>
      <c r="E2333" s="1" t="s">
        <v>1053</v>
      </c>
      <c r="F2333" s="1" t="s">
        <v>10814</v>
      </c>
      <c r="G2333" s="1" t="s">
        <v>256</v>
      </c>
      <c r="H2333" s="1" t="s">
        <v>1051</v>
      </c>
      <c r="I2333" s="1" t="s">
        <v>1086</v>
      </c>
      <c r="J2333" s="1"/>
      <c r="K2333" s="1"/>
      <c r="L2333" s="1"/>
      <c r="M2333" s="1"/>
      <c r="N2333" s="1"/>
      <c r="O2333" s="1"/>
      <c r="P2333" s="1"/>
      <c r="Q2333" s="1"/>
    </row>
    <row r="2334" spans="1:17" x14ac:dyDescent="0.25">
      <c r="A2334" s="1" t="s">
        <v>948</v>
      </c>
      <c r="B2334" s="1" t="s">
        <v>1051</v>
      </c>
      <c r="C2334" s="1" t="s">
        <v>25</v>
      </c>
      <c r="D2334" s="1" t="s">
        <v>923</v>
      </c>
      <c r="E2334" s="1" t="s">
        <v>1053</v>
      </c>
      <c r="F2334" s="1" t="s">
        <v>1086</v>
      </c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</row>
    <row r="2335" spans="1:17" x14ac:dyDescent="0.25">
      <c r="A2335" s="1" t="s">
        <v>948</v>
      </c>
      <c r="B2335" s="1" t="s">
        <v>1051</v>
      </c>
      <c r="C2335" s="1" t="s">
        <v>25</v>
      </c>
      <c r="D2335" s="1" t="s">
        <v>923</v>
      </c>
      <c r="E2335" s="1" t="s">
        <v>1053</v>
      </c>
      <c r="F2335" s="1" t="s">
        <v>1086</v>
      </c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</row>
    <row r="2336" spans="1:17" x14ac:dyDescent="0.25">
      <c r="A2336" s="1" t="s">
        <v>948</v>
      </c>
      <c r="B2336" s="1" t="s">
        <v>1051</v>
      </c>
      <c r="C2336" s="1" t="s">
        <v>25</v>
      </c>
      <c r="D2336" s="1" t="s">
        <v>923</v>
      </c>
      <c r="E2336" s="1" t="s">
        <v>1053</v>
      </c>
      <c r="F2336" s="1" t="s">
        <v>1086</v>
      </c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</row>
    <row r="2337" spans="1:17" x14ac:dyDescent="0.25">
      <c r="A2337" s="1" t="s">
        <v>1031</v>
      </c>
      <c r="B2337" s="1" t="s">
        <v>923</v>
      </c>
      <c r="C2337" s="1" t="s">
        <v>1033</v>
      </c>
      <c r="D2337" s="1" t="s">
        <v>11004</v>
      </c>
      <c r="E2337" s="1" t="s">
        <v>1032</v>
      </c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</row>
    <row r="2338" spans="1:17" x14ac:dyDescent="0.25">
      <c r="A2338" s="1" t="s">
        <v>1011</v>
      </c>
      <c r="B2338" s="1" t="s">
        <v>921</v>
      </c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</row>
    <row r="2339" spans="1:17" x14ac:dyDescent="0.25">
      <c r="A2339" s="1" t="s">
        <v>948</v>
      </c>
      <c r="B2339" s="1" t="s">
        <v>1051</v>
      </c>
      <c r="C2339" s="1" t="s">
        <v>25</v>
      </c>
      <c r="D2339" s="1" t="s">
        <v>923</v>
      </c>
      <c r="E2339" s="1" t="s">
        <v>1053</v>
      </c>
      <c r="F2339" s="1" t="s">
        <v>1086</v>
      </c>
      <c r="G2339" s="1" t="s">
        <v>298</v>
      </c>
      <c r="H2339" s="1" t="s">
        <v>1069</v>
      </c>
      <c r="I2339" s="1" t="s">
        <v>926</v>
      </c>
      <c r="J2339" s="1" t="s">
        <v>10731</v>
      </c>
      <c r="K2339" s="1" t="s">
        <v>927</v>
      </c>
      <c r="L2339" s="1" t="s">
        <v>10975</v>
      </c>
      <c r="M2339" s="1" t="s">
        <v>981</v>
      </c>
      <c r="N2339" s="1" t="s">
        <v>928</v>
      </c>
      <c r="O2339" s="1"/>
      <c r="P2339" s="1"/>
      <c r="Q2339" s="1"/>
    </row>
    <row r="2340" spans="1:17" x14ac:dyDescent="0.25">
      <c r="A2340" s="1" t="s">
        <v>25</v>
      </c>
      <c r="B2340" s="1" t="s">
        <v>923</v>
      </c>
      <c r="C2340" s="1" t="s">
        <v>920</v>
      </c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</row>
    <row r="2341" spans="1:17" x14ac:dyDescent="0.25">
      <c r="A2341" s="1" t="s">
        <v>948</v>
      </c>
      <c r="B2341" s="1" t="s">
        <v>1069</v>
      </c>
      <c r="C2341" s="1" t="s">
        <v>25</v>
      </c>
      <c r="D2341" s="1" t="s">
        <v>1070</v>
      </c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</row>
    <row r="2342" spans="1:17" x14ac:dyDescent="0.25">
      <c r="A2342" s="1" t="s">
        <v>948</v>
      </c>
      <c r="B2342" s="1" t="s">
        <v>1069</v>
      </c>
      <c r="C2342" s="1" t="s">
        <v>25</v>
      </c>
      <c r="D2342" s="1" t="s">
        <v>1070</v>
      </c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</row>
    <row r="2343" spans="1:17" x14ac:dyDescent="0.25">
      <c r="A2343" s="1" t="s">
        <v>948</v>
      </c>
      <c r="B2343" s="1" t="s">
        <v>1069</v>
      </c>
      <c r="C2343" s="1" t="s">
        <v>25</v>
      </c>
      <c r="D2343" s="1" t="s">
        <v>1070</v>
      </c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</row>
    <row r="2344" spans="1:17" x14ac:dyDescent="0.25">
      <c r="A2344" s="1" t="s">
        <v>948</v>
      </c>
      <c r="B2344" s="1" t="s">
        <v>1069</v>
      </c>
      <c r="C2344" s="1" t="s">
        <v>25</v>
      </c>
      <c r="D2344" s="1" t="s">
        <v>1070</v>
      </c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</row>
    <row r="2345" spans="1:17" x14ac:dyDescent="0.25">
      <c r="A2345" s="1" t="s">
        <v>948</v>
      </c>
      <c r="B2345" s="1" t="s">
        <v>1069</v>
      </c>
      <c r="C2345" s="1" t="s">
        <v>25</v>
      </c>
      <c r="D2345" s="1" t="s">
        <v>1070</v>
      </c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</row>
    <row r="2346" spans="1:17" x14ac:dyDescent="0.25">
      <c r="A2346" s="1" t="s">
        <v>298</v>
      </c>
      <c r="B2346" s="1" t="s">
        <v>25</v>
      </c>
      <c r="C2346" s="1" t="s">
        <v>923</v>
      </c>
      <c r="D2346" s="1" t="s">
        <v>920</v>
      </c>
      <c r="E2346" s="1" t="s">
        <v>974</v>
      </c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</row>
    <row r="2347" spans="1:17" x14ac:dyDescent="0.25">
      <c r="A2347" s="1" t="s">
        <v>298</v>
      </c>
      <c r="B2347" s="1" t="s">
        <v>25</v>
      </c>
      <c r="C2347" s="1" t="s">
        <v>923</v>
      </c>
      <c r="D2347" s="1" t="s">
        <v>920</v>
      </c>
      <c r="E2347" s="1" t="s">
        <v>974</v>
      </c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</row>
    <row r="2348" spans="1:17" x14ac:dyDescent="0.25">
      <c r="A2348" s="1" t="s">
        <v>1031</v>
      </c>
      <c r="B2348" s="1" t="s">
        <v>25</v>
      </c>
      <c r="C2348" s="1" t="s">
        <v>923</v>
      </c>
      <c r="D2348" s="1" t="s">
        <v>916</v>
      </c>
      <c r="E2348" s="1" t="s">
        <v>920</v>
      </c>
      <c r="F2348" s="1" t="s">
        <v>974</v>
      </c>
      <c r="G2348" s="1" t="s">
        <v>1033</v>
      </c>
      <c r="H2348" s="1"/>
      <c r="I2348" s="1"/>
      <c r="J2348" s="1"/>
      <c r="K2348" s="1"/>
      <c r="L2348" s="1"/>
      <c r="M2348" s="1"/>
      <c r="N2348" s="1"/>
      <c r="O2348" s="1"/>
      <c r="P2348" s="1"/>
      <c r="Q2348" s="1"/>
    </row>
    <row r="2349" spans="1:17" x14ac:dyDescent="0.25">
      <c r="A2349" s="1" t="s">
        <v>1031</v>
      </c>
      <c r="B2349" s="1" t="s">
        <v>25</v>
      </c>
      <c r="C2349" s="1" t="s">
        <v>923</v>
      </c>
      <c r="D2349" s="1" t="s">
        <v>916</v>
      </c>
      <c r="E2349" s="1" t="s">
        <v>920</v>
      </c>
      <c r="F2349" s="1" t="s">
        <v>974</v>
      </c>
      <c r="G2349" s="1" t="s">
        <v>1033</v>
      </c>
      <c r="H2349" s="1"/>
      <c r="I2349" s="1"/>
      <c r="J2349" s="1"/>
      <c r="K2349" s="1"/>
      <c r="L2349" s="1"/>
      <c r="M2349" s="1"/>
      <c r="N2349" s="1"/>
      <c r="O2349" s="1"/>
      <c r="P2349" s="1"/>
      <c r="Q2349" s="1"/>
    </row>
    <row r="2350" spans="1:17" x14ac:dyDescent="0.25">
      <c r="A2350" s="1" t="s">
        <v>1031</v>
      </c>
      <c r="B2350" s="1" t="s">
        <v>25</v>
      </c>
      <c r="C2350" s="1" t="s">
        <v>923</v>
      </c>
      <c r="D2350" s="1" t="s">
        <v>916</v>
      </c>
      <c r="E2350" s="1" t="s">
        <v>920</v>
      </c>
      <c r="F2350" s="1" t="s">
        <v>974</v>
      </c>
      <c r="G2350" s="1" t="s">
        <v>1033</v>
      </c>
      <c r="H2350" s="1"/>
      <c r="I2350" s="1"/>
      <c r="J2350" s="1"/>
      <c r="K2350" s="1"/>
      <c r="L2350" s="1"/>
      <c r="M2350" s="1"/>
      <c r="N2350" s="1"/>
      <c r="O2350" s="1"/>
      <c r="P2350" s="1"/>
      <c r="Q2350" s="1"/>
    </row>
    <row r="2351" spans="1:17" x14ac:dyDescent="0.25">
      <c r="A2351" s="1" t="s">
        <v>298</v>
      </c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</row>
    <row r="2352" spans="1:17" x14ac:dyDescent="0.25">
      <c r="A2352" s="1" t="s">
        <v>298</v>
      </c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</row>
    <row r="2353" spans="1:17" x14ac:dyDescent="0.25">
      <c r="A2353" s="1" t="s">
        <v>918</v>
      </c>
      <c r="B2353" s="1" t="s">
        <v>25</v>
      </c>
      <c r="C2353" s="1" t="s">
        <v>923</v>
      </c>
      <c r="D2353" s="1" t="s">
        <v>916</v>
      </c>
      <c r="E2353" s="1" t="s">
        <v>920</v>
      </c>
      <c r="F2353" s="1" t="s">
        <v>921</v>
      </c>
      <c r="G2353" s="1" t="s">
        <v>298</v>
      </c>
      <c r="H2353" s="1" t="s">
        <v>1013</v>
      </c>
      <c r="I2353" s="1"/>
      <c r="J2353" s="1"/>
      <c r="K2353" s="1"/>
      <c r="L2353" s="1"/>
      <c r="M2353" s="1"/>
      <c r="N2353" s="1"/>
      <c r="O2353" s="1"/>
      <c r="P2353" s="1"/>
      <c r="Q2353" s="1"/>
    </row>
    <row r="2354" spans="1:17" x14ac:dyDescent="0.25">
      <c r="A2354" s="1" t="s">
        <v>1019</v>
      </c>
      <c r="B2354" s="1" t="s">
        <v>983</v>
      </c>
      <c r="C2354" s="1" t="s">
        <v>984</v>
      </c>
      <c r="D2354" s="1" t="s">
        <v>927</v>
      </c>
      <c r="E2354" s="1" t="s">
        <v>919</v>
      </c>
      <c r="F2354" s="1" t="s">
        <v>924</v>
      </c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</row>
    <row r="2355" spans="1:17" x14ac:dyDescent="0.25">
      <c r="A2355" s="1" t="s">
        <v>1090</v>
      </c>
      <c r="B2355" s="1" t="s">
        <v>25</v>
      </c>
      <c r="C2355" s="1" t="s">
        <v>920</v>
      </c>
      <c r="D2355" s="1" t="s">
        <v>974</v>
      </c>
      <c r="E2355" s="1" t="s">
        <v>950</v>
      </c>
      <c r="F2355" s="1" t="s">
        <v>1013</v>
      </c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</row>
    <row r="2356" spans="1:17" x14ac:dyDescent="0.25">
      <c r="A2356" s="1" t="s">
        <v>1041</v>
      </c>
      <c r="B2356" s="1" t="s">
        <v>1042</v>
      </c>
      <c r="C2356" s="1" t="s">
        <v>999</v>
      </c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</row>
    <row r="2357" spans="1:17" x14ac:dyDescent="0.25">
      <c r="A2357" s="1" t="s">
        <v>298</v>
      </c>
      <c r="B2357" s="1" t="s">
        <v>25</v>
      </c>
      <c r="C2357" s="1" t="s">
        <v>923</v>
      </c>
      <c r="D2357" s="1" t="s">
        <v>927</v>
      </c>
      <c r="E2357" s="1" t="s">
        <v>981</v>
      </c>
      <c r="F2357" s="1" t="s">
        <v>920</v>
      </c>
      <c r="G2357" s="1" t="s">
        <v>933</v>
      </c>
      <c r="H2357" s="1" t="s">
        <v>921</v>
      </c>
      <c r="I2357" s="1"/>
      <c r="J2357" s="1"/>
      <c r="K2357" s="1"/>
      <c r="L2357" s="1"/>
      <c r="M2357" s="1"/>
      <c r="N2357" s="1"/>
      <c r="O2357" s="1"/>
      <c r="P2357" s="1"/>
      <c r="Q2357" s="1"/>
    </row>
    <row r="2358" spans="1:17" x14ac:dyDescent="0.25">
      <c r="A2358" s="1" t="s">
        <v>25</v>
      </c>
      <c r="B2358" s="1" t="s">
        <v>923</v>
      </c>
      <c r="C2358" s="1" t="s">
        <v>920</v>
      </c>
      <c r="D2358" s="1" t="s">
        <v>933</v>
      </c>
      <c r="E2358" s="1" t="s">
        <v>954</v>
      </c>
      <c r="F2358" s="1" t="s">
        <v>921</v>
      </c>
      <c r="G2358" s="1" t="s">
        <v>10779</v>
      </c>
      <c r="H2358" s="1"/>
      <c r="I2358" s="1"/>
      <c r="J2358" s="1"/>
      <c r="K2358" s="1"/>
      <c r="L2358" s="1"/>
      <c r="M2358" s="1"/>
      <c r="N2358" s="1"/>
      <c r="O2358" s="1"/>
      <c r="P2358" s="1"/>
      <c r="Q2358" s="1"/>
    </row>
    <row r="2359" spans="1:17" x14ac:dyDescent="0.25">
      <c r="A2359" s="1" t="s">
        <v>25</v>
      </c>
      <c r="B2359" s="1" t="s">
        <v>923</v>
      </c>
      <c r="C2359" s="1" t="s">
        <v>920</v>
      </c>
      <c r="D2359" s="1" t="s">
        <v>933</v>
      </c>
      <c r="E2359" s="1" t="s">
        <v>954</v>
      </c>
      <c r="F2359" s="1" t="s">
        <v>921</v>
      </c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</row>
    <row r="2360" spans="1:17" x14ac:dyDescent="0.25">
      <c r="A2360" s="1" t="s">
        <v>25</v>
      </c>
      <c r="B2360" s="1" t="s">
        <v>923</v>
      </c>
      <c r="C2360" s="1" t="s">
        <v>920</v>
      </c>
      <c r="D2360" s="1" t="s">
        <v>933</v>
      </c>
      <c r="E2360" s="1" t="s">
        <v>954</v>
      </c>
      <c r="F2360" s="1" t="s">
        <v>921</v>
      </c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</row>
    <row r="2361" spans="1:17" x14ac:dyDescent="0.25">
      <c r="A2361" s="1" t="s">
        <v>25</v>
      </c>
      <c r="B2361" s="1" t="s">
        <v>923</v>
      </c>
      <c r="C2361" s="1" t="s">
        <v>920</v>
      </c>
      <c r="D2361" s="1" t="s">
        <v>933</v>
      </c>
      <c r="E2361" s="1" t="s">
        <v>954</v>
      </c>
      <c r="F2361" s="1" t="s">
        <v>921</v>
      </c>
      <c r="G2361" s="1" t="s">
        <v>11005</v>
      </c>
      <c r="H2361" s="1"/>
      <c r="I2361" s="1"/>
      <c r="J2361" s="1"/>
      <c r="K2361" s="1"/>
      <c r="L2361" s="1"/>
      <c r="M2361" s="1"/>
      <c r="N2361" s="1"/>
      <c r="O2361" s="1"/>
      <c r="P2361" s="1"/>
      <c r="Q2361" s="1"/>
    </row>
    <row r="2362" spans="1:17" x14ac:dyDescent="0.25">
      <c r="A2362" s="1" t="s">
        <v>25</v>
      </c>
      <c r="B2362" s="1" t="s">
        <v>923</v>
      </c>
      <c r="C2362" s="1" t="s">
        <v>920</v>
      </c>
      <c r="D2362" s="1" t="s">
        <v>933</v>
      </c>
      <c r="E2362" s="1" t="s">
        <v>954</v>
      </c>
      <c r="F2362" s="1" t="s">
        <v>921</v>
      </c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</row>
    <row r="2363" spans="1:17" x14ac:dyDescent="0.25">
      <c r="A2363" s="1" t="s">
        <v>1004</v>
      </c>
      <c r="B2363" s="1" t="s">
        <v>1043</v>
      </c>
      <c r="C2363" s="1" t="s">
        <v>1006</v>
      </c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</row>
    <row r="2364" spans="1:17" x14ac:dyDescent="0.25">
      <c r="A2364" s="1" t="s">
        <v>1004</v>
      </c>
      <c r="B2364" s="1" t="s">
        <v>1043</v>
      </c>
      <c r="C2364" s="1" t="s">
        <v>1006</v>
      </c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</row>
    <row r="2365" spans="1:17" x14ac:dyDescent="0.25">
      <c r="A2365" s="1" t="s">
        <v>1004</v>
      </c>
      <c r="B2365" s="1" t="s">
        <v>1043</v>
      </c>
      <c r="C2365" s="1" t="s">
        <v>1006</v>
      </c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</row>
    <row r="2366" spans="1:17" x14ac:dyDescent="0.25">
      <c r="A2366" s="1" t="s">
        <v>918</v>
      </c>
      <c r="B2366" s="1" t="s">
        <v>919</v>
      </c>
      <c r="C2366" s="1" t="s">
        <v>924</v>
      </c>
      <c r="D2366" s="1" t="s">
        <v>1076</v>
      </c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</row>
    <row r="2367" spans="1:17" x14ac:dyDescent="0.25">
      <c r="A2367" s="1" t="s">
        <v>918</v>
      </c>
      <c r="B2367" s="1" t="s">
        <v>919</v>
      </c>
      <c r="C2367" s="1" t="s">
        <v>924</v>
      </c>
      <c r="D2367" s="1" t="s">
        <v>1076</v>
      </c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</row>
    <row r="2368" spans="1:17" x14ac:dyDescent="0.25">
      <c r="A2368" s="1" t="s">
        <v>918</v>
      </c>
      <c r="B2368" s="1" t="s">
        <v>919</v>
      </c>
      <c r="C2368" s="1" t="s">
        <v>924</v>
      </c>
      <c r="D2368" s="1" t="s">
        <v>1076</v>
      </c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</row>
    <row r="2369" spans="1:17" x14ac:dyDescent="0.25">
      <c r="A2369" s="1" t="s">
        <v>924</v>
      </c>
      <c r="B2369" s="1" t="s">
        <v>1076</v>
      </c>
      <c r="C2369" s="1" t="s">
        <v>8695</v>
      </c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</row>
    <row r="2370" spans="1:17" x14ac:dyDescent="0.25">
      <c r="A2370" s="1" t="s">
        <v>918</v>
      </c>
      <c r="B2370" s="1" t="s">
        <v>25</v>
      </c>
      <c r="C2370" s="1" t="s">
        <v>916</v>
      </c>
      <c r="D2370" s="1" t="s">
        <v>919</v>
      </c>
      <c r="E2370" s="1" t="s">
        <v>920</v>
      </c>
      <c r="F2370" s="1" t="s">
        <v>921</v>
      </c>
      <c r="G2370" s="1" t="s">
        <v>922</v>
      </c>
      <c r="H2370" s="1" t="s">
        <v>10964</v>
      </c>
      <c r="I2370" s="1" t="s">
        <v>936</v>
      </c>
      <c r="J2370" s="1" t="s">
        <v>929</v>
      </c>
      <c r="K2370" s="1" t="s">
        <v>924</v>
      </c>
      <c r="L2370" s="1" t="s">
        <v>1076</v>
      </c>
      <c r="M2370" s="1" t="s">
        <v>1040</v>
      </c>
      <c r="N2370" s="1" t="s">
        <v>1097</v>
      </c>
      <c r="O2370" s="1"/>
      <c r="P2370" s="1"/>
      <c r="Q2370" s="1"/>
    </row>
    <row r="2371" spans="1:17" x14ac:dyDescent="0.25">
      <c r="A2371" s="1" t="s">
        <v>1018</v>
      </c>
      <c r="B2371" s="1" t="s">
        <v>1019</v>
      </c>
      <c r="C2371" s="1" t="s">
        <v>983</v>
      </c>
      <c r="D2371" s="1" t="s">
        <v>1020</v>
      </c>
      <c r="E2371" s="1" t="s">
        <v>984</v>
      </c>
      <c r="F2371" s="1" t="s">
        <v>1021</v>
      </c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</row>
    <row r="2372" spans="1:17" x14ac:dyDescent="0.25">
      <c r="A2372" s="1" t="s">
        <v>1018</v>
      </c>
      <c r="B2372" s="1" t="s">
        <v>1019</v>
      </c>
      <c r="C2372" s="1" t="s">
        <v>983</v>
      </c>
      <c r="D2372" s="1" t="s">
        <v>1020</v>
      </c>
      <c r="E2372" s="1" t="s">
        <v>984</v>
      </c>
      <c r="F2372" s="1" t="s">
        <v>1021</v>
      </c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</row>
    <row r="2373" spans="1:17" x14ac:dyDescent="0.25">
      <c r="A2373" s="1" t="s">
        <v>927</v>
      </c>
      <c r="B2373" s="1" t="s">
        <v>953</v>
      </c>
      <c r="C2373" s="1" t="s">
        <v>943</v>
      </c>
      <c r="D2373" s="1" t="s">
        <v>983</v>
      </c>
      <c r="E2373" s="1" t="s">
        <v>919</v>
      </c>
      <c r="F2373" s="1" t="s">
        <v>984</v>
      </c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</row>
    <row r="2374" spans="1:17" x14ac:dyDescent="0.25">
      <c r="A2374" s="1" t="s">
        <v>927</v>
      </c>
      <c r="B2374" s="1" t="s">
        <v>953</v>
      </c>
      <c r="C2374" s="1" t="s">
        <v>943</v>
      </c>
      <c r="D2374" s="1" t="s">
        <v>983</v>
      </c>
      <c r="E2374" s="1" t="s">
        <v>919</v>
      </c>
      <c r="F2374" s="1" t="s">
        <v>984</v>
      </c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</row>
    <row r="2375" spans="1:17" x14ac:dyDescent="0.25">
      <c r="A2375" s="1" t="s">
        <v>927</v>
      </c>
      <c r="B2375" s="1" t="s">
        <v>953</v>
      </c>
      <c r="C2375" s="1" t="s">
        <v>943</v>
      </c>
      <c r="D2375" s="1" t="s">
        <v>983</v>
      </c>
      <c r="E2375" s="1" t="s">
        <v>919</v>
      </c>
      <c r="F2375" s="1" t="s">
        <v>984</v>
      </c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</row>
    <row r="2376" spans="1:17" x14ac:dyDescent="0.25">
      <c r="A2376" s="1" t="s">
        <v>996</v>
      </c>
      <c r="B2376" s="1" t="s">
        <v>999</v>
      </c>
      <c r="C2376" s="1" t="s">
        <v>921</v>
      </c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</row>
    <row r="2377" spans="1:17" x14ac:dyDescent="0.25">
      <c r="A2377" s="1" t="s">
        <v>996</v>
      </c>
      <c r="B2377" s="1" t="s">
        <v>999</v>
      </c>
      <c r="C2377" s="1" t="s">
        <v>921</v>
      </c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</row>
    <row r="2378" spans="1:17" x14ac:dyDescent="0.25">
      <c r="A2378" s="1" t="s">
        <v>996</v>
      </c>
      <c r="B2378" s="1" t="s">
        <v>999</v>
      </c>
      <c r="C2378" s="1" t="s">
        <v>921</v>
      </c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</row>
    <row r="2379" spans="1:17" x14ac:dyDescent="0.25">
      <c r="A2379" s="1" t="s">
        <v>50</v>
      </c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</row>
    <row r="2380" spans="1:17" x14ac:dyDescent="0.25">
      <c r="A2380" s="1" t="s">
        <v>50</v>
      </c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</row>
    <row r="2381" spans="1:17" x14ac:dyDescent="0.25">
      <c r="A2381" s="1" t="s">
        <v>2541</v>
      </c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</row>
    <row r="2382" spans="1:17" x14ac:dyDescent="0.25">
      <c r="A2382" s="1" t="s">
        <v>1053</v>
      </c>
      <c r="B2382" s="1" t="s">
        <v>996</v>
      </c>
      <c r="C2382" s="1" t="s">
        <v>1149</v>
      </c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</row>
    <row r="2383" spans="1:17" x14ac:dyDescent="0.25">
      <c r="A2383" s="1" t="s">
        <v>1090</v>
      </c>
      <c r="B2383" s="1" t="s">
        <v>25</v>
      </c>
      <c r="C2383" s="1" t="s">
        <v>920</v>
      </c>
      <c r="D2383" s="1" t="s">
        <v>974</v>
      </c>
      <c r="E2383" s="1" t="s">
        <v>950</v>
      </c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</row>
    <row r="2384" spans="1:17" x14ac:dyDescent="0.25">
      <c r="A2384" s="1" t="s">
        <v>25</v>
      </c>
      <c r="B2384" s="1" t="s">
        <v>923</v>
      </c>
      <c r="C2384" s="1" t="s">
        <v>920</v>
      </c>
      <c r="D2384" s="1" t="s">
        <v>954</v>
      </c>
      <c r="E2384" s="1" t="s">
        <v>921</v>
      </c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</row>
    <row r="2385" spans="1:17" x14ac:dyDescent="0.25">
      <c r="A2385" s="1" t="s">
        <v>918</v>
      </c>
      <c r="B2385" s="1" t="s">
        <v>971</v>
      </c>
      <c r="C2385" s="1" t="s">
        <v>940</v>
      </c>
      <c r="D2385" s="1" t="s">
        <v>25</v>
      </c>
      <c r="E2385" s="1" t="s">
        <v>947</v>
      </c>
      <c r="F2385" s="1" t="s">
        <v>919</v>
      </c>
      <c r="G2385" s="1" t="s">
        <v>920</v>
      </c>
      <c r="H2385" s="1" t="s">
        <v>921</v>
      </c>
      <c r="I2385" s="1" t="s">
        <v>10971</v>
      </c>
      <c r="J2385" s="1"/>
      <c r="K2385" s="1"/>
      <c r="L2385" s="1"/>
      <c r="M2385" s="1"/>
      <c r="N2385" s="1"/>
      <c r="O2385" s="1"/>
      <c r="P2385" s="1"/>
      <c r="Q2385" s="1"/>
    </row>
    <row r="2386" spans="1:17" x14ac:dyDescent="0.25">
      <c r="A2386" s="1" t="s">
        <v>918</v>
      </c>
      <c r="B2386" s="1" t="s">
        <v>25</v>
      </c>
      <c r="C2386" s="1" t="s">
        <v>927</v>
      </c>
      <c r="D2386" s="1" t="s">
        <v>919</v>
      </c>
      <c r="E2386" s="1" t="s">
        <v>920</v>
      </c>
      <c r="F2386" s="1" t="s">
        <v>921</v>
      </c>
      <c r="G2386" s="1" t="s">
        <v>936</v>
      </c>
      <c r="H2386" s="1"/>
      <c r="I2386" s="1"/>
      <c r="J2386" s="1"/>
      <c r="K2386" s="1"/>
      <c r="L2386" s="1"/>
      <c r="M2386" s="1"/>
      <c r="N2386" s="1"/>
      <c r="O2386" s="1"/>
      <c r="P2386" s="1"/>
      <c r="Q2386" s="1"/>
    </row>
    <row r="2387" spans="1:17" x14ac:dyDescent="0.25">
      <c r="A2387" s="1" t="s">
        <v>918</v>
      </c>
      <c r="B2387" s="1" t="s">
        <v>949</v>
      </c>
      <c r="C2387" s="1" t="s">
        <v>25</v>
      </c>
      <c r="D2387" s="1" t="s">
        <v>923</v>
      </c>
      <c r="E2387" s="1" t="s">
        <v>919</v>
      </c>
      <c r="F2387" s="1" t="s">
        <v>920</v>
      </c>
      <c r="G2387" s="1" t="s">
        <v>974</v>
      </c>
      <c r="H2387" s="1" t="s">
        <v>921</v>
      </c>
      <c r="I2387" s="1" t="s">
        <v>1109</v>
      </c>
      <c r="J2387" s="1" t="s">
        <v>1037</v>
      </c>
      <c r="K2387" s="1"/>
      <c r="L2387" s="1"/>
      <c r="M2387" s="1"/>
      <c r="N2387" s="1"/>
      <c r="O2387" s="1"/>
      <c r="P2387" s="1"/>
      <c r="Q2387" s="1"/>
    </row>
    <row r="2388" spans="1:17" x14ac:dyDescent="0.25">
      <c r="A2388" s="1" t="s">
        <v>25</v>
      </c>
      <c r="B2388" s="1" t="s">
        <v>923</v>
      </c>
      <c r="C2388" s="1" t="s">
        <v>916</v>
      </c>
      <c r="D2388" s="1" t="s">
        <v>920</v>
      </c>
      <c r="E2388" s="1" t="s">
        <v>974</v>
      </c>
      <c r="F2388" s="1" t="s">
        <v>921</v>
      </c>
      <c r="G2388" s="1" t="s">
        <v>1033</v>
      </c>
      <c r="H2388" s="1" t="s">
        <v>918</v>
      </c>
      <c r="I2388" s="1" t="s">
        <v>943</v>
      </c>
      <c r="J2388" s="1" t="s">
        <v>919</v>
      </c>
      <c r="K2388" s="1" t="s">
        <v>936</v>
      </c>
      <c r="L2388" s="1"/>
      <c r="M2388" s="1"/>
      <c r="N2388" s="1"/>
      <c r="O2388" s="1"/>
      <c r="P2388" s="1"/>
      <c r="Q2388" s="1"/>
    </row>
    <row r="2389" spans="1:17" x14ac:dyDescent="0.25">
      <c r="A2389" s="1" t="s">
        <v>1001</v>
      </c>
      <c r="B2389" s="1" t="s">
        <v>927</v>
      </c>
      <c r="C2389" s="1" t="s">
        <v>992</v>
      </c>
      <c r="D2389" s="1" t="s">
        <v>981</v>
      </c>
      <c r="E2389" s="1" t="s">
        <v>993</v>
      </c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</row>
    <row r="2390" spans="1:17" x14ac:dyDescent="0.25">
      <c r="A2390" s="1" t="s">
        <v>25</v>
      </c>
      <c r="B2390" s="1" t="s">
        <v>923</v>
      </c>
      <c r="C2390" s="1" t="s">
        <v>927</v>
      </c>
      <c r="D2390" s="1" t="s">
        <v>919</v>
      </c>
      <c r="E2390" s="1" t="s">
        <v>920</v>
      </c>
      <c r="F2390" s="1" t="s">
        <v>921</v>
      </c>
      <c r="G2390" s="1" t="s">
        <v>953</v>
      </c>
      <c r="H2390" s="1" t="s">
        <v>943</v>
      </c>
      <c r="I2390" s="1" t="s">
        <v>983</v>
      </c>
      <c r="J2390" s="1" t="s">
        <v>984</v>
      </c>
      <c r="K2390" s="1"/>
      <c r="L2390" s="1"/>
      <c r="M2390" s="1"/>
      <c r="N2390" s="1"/>
      <c r="O2390" s="1"/>
      <c r="P2390" s="1"/>
      <c r="Q2390" s="1"/>
    </row>
    <row r="2391" spans="1:17" x14ac:dyDescent="0.25">
      <c r="A2391" s="1" t="s">
        <v>25</v>
      </c>
      <c r="B2391" s="1" t="s">
        <v>923</v>
      </c>
      <c r="C2391" s="1" t="s">
        <v>998</v>
      </c>
      <c r="D2391" s="1" t="s">
        <v>1053</v>
      </c>
      <c r="E2391" s="1" t="s">
        <v>1086</v>
      </c>
      <c r="F2391" s="1" t="s">
        <v>933</v>
      </c>
      <c r="G2391" s="1" t="s">
        <v>1477</v>
      </c>
      <c r="H2391" s="1" t="s">
        <v>1055</v>
      </c>
      <c r="I2391" s="1" t="s">
        <v>994</v>
      </c>
      <c r="J2391" s="1"/>
      <c r="K2391" s="1"/>
      <c r="L2391" s="1"/>
      <c r="M2391" s="1"/>
      <c r="N2391" s="1"/>
      <c r="O2391" s="1"/>
      <c r="P2391" s="1"/>
      <c r="Q2391" s="1"/>
    </row>
    <row r="2392" spans="1:17" x14ac:dyDescent="0.25">
      <c r="A2392" s="1" t="s">
        <v>1109</v>
      </c>
      <c r="B2392" s="1" t="s">
        <v>25</v>
      </c>
      <c r="C2392" s="1" t="s">
        <v>923</v>
      </c>
      <c r="D2392" s="1" t="s">
        <v>927</v>
      </c>
      <c r="E2392" s="1" t="s">
        <v>919</v>
      </c>
      <c r="F2392" s="1" t="s">
        <v>920</v>
      </c>
      <c r="G2392" s="1" t="s">
        <v>921</v>
      </c>
      <c r="H2392" s="1" t="s">
        <v>10837</v>
      </c>
      <c r="I2392" s="1" t="s">
        <v>981</v>
      </c>
      <c r="J2392" s="1" t="s">
        <v>994</v>
      </c>
      <c r="K2392" s="1"/>
      <c r="L2392" s="1"/>
      <c r="M2392" s="1"/>
      <c r="N2392" s="1"/>
      <c r="O2392" s="1"/>
      <c r="P2392" s="1"/>
      <c r="Q2392" s="1"/>
    </row>
    <row r="2393" spans="1:17" x14ac:dyDescent="0.25">
      <c r="A2393" s="1" t="s">
        <v>975</v>
      </c>
      <c r="B2393" s="1" t="s">
        <v>923</v>
      </c>
      <c r="C2393" s="1" t="s">
        <v>976</v>
      </c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</row>
    <row r="2394" spans="1:17" x14ac:dyDescent="0.25">
      <c r="A2394" s="1" t="s">
        <v>11003</v>
      </c>
      <c r="B2394" s="1" t="s">
        <v>923</v>
      </c>
      <c r="C2394" s="1" t="s">
        <v>976</v>
      </c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</row>
    <row r="2395" spans="1:17" x14ac:dyDescent="0.25">
      <c r="A2395" s="1" t="s">
        <v>11003</v>
      </c>
      <c r="B2395" s="1" t="s">
        <v>923</v>
      </c>
      <c r="C2395" s="1" t="s">
        <v>976</v>
      </c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</row>
    <row r="2396" spans="1:17" x14ac:dyDescent="0.25">
      <c r="A2396" s="1" t="s">
        <v>11003</v>
      </c>
      <c r="B2396" s="1" t="s">
        <v>923</v>
      </c>
      <c r="C2396" s="1" t="s">
        <v>976</v>
      </c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</row>
    <row r="2397" spans="1:17" x14ac:dyDescent="0.25">
      <c r="A2397" s="1" t="s">
        <v>1001</v>
      </c>
      <c r="B2397" s="1" t="s">
        <v>10697</v>
      </c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</row>
    <row r="2398" spans="1:17" x14ac:dyDescent="0.25">
      <c r="A2398" s="1" t="s">
        <v>994</v>
      </c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</row>
    <row r="2399" spans="1:17" x14ac:dyDescent="0.25">
      <c r="A2399" s="1" t="s">
        <v>933</v>
      </c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</row>
    <row r="2400" spans="1:17" x14ac:dyDescent="0.25">
      <c r="A2400" s="1" t="s">
        <v>50</v>
      </c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</row>
    <row r="2401" spans="1:17" x14ac:dyDescent="0.25">
      <c r="A2401" s="1" t="s">
        <v>996</v>
      </c>
      <c r="B2401" s="1" t="s">
        <v>933</v>
      </c>
      <c r="C2401" s="1" t="s">
        <v>994</v>
      </c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</row>
    <row r="2402" spans="1:17" x14ac:dyDescent="0.25">
      <c r="A2402" s="1" t="s">
        <v>996</v>
      </c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</row>
    <row r="2403" spans="1:17" x14ac:dyDescent="0.25">
      <c r="A2403" s="1" t="s">
        <v>957</v>
      </c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</row>
    <row r="2404" spans="1:17" x14ac:dyDescent="0.25">
      <c r="A2404" s="1" t="s">
        <v>1151</v>
      </c>
      <c r="B2404" s="1" t="s">
        <v>1078</v>
      </c>
      <c r="C2404" s="1" t="s">
        <v>974</v>
      </c>
      <c r="D2404" s="1" t="s">
        <v>10719</v>
      </c>
      <c r="E2404" s="1" t="s">
        <v>10720</v>
      </c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</row>
    <row r="2405" spans="1:17" x14ac:dyDescent="0.25">
      <c r="A2405" s="1" t="s">
        <v>1041</v>
      </c>
      <c r="B2405" s="1" t="s">
        <v>999</v>
      </c>
      <c r="C2405" s="1" t="s">
        <v>921</v>
      </c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</row>
    <row r="2406" spans="1:17" x14ac:dyDescent="0.25">
      <c r="A2406" s="1" t="s">
        <v>6671</v>
      </c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</row>
    <row r="2407" spans="1:17" x14ac:dyDescent="0.25">
      <c r="A2407" s="1" t="s">
        <v>934</v>
      </c>
      <c r="B2407" s="1" t="s">
        <v>25</v>
      </c>
      <c r="C2407" s="1" t="s">
        <v>923</v>
      </c>
      <c r="D2407" s="1" t="s">
        <v>920</v>
      </c>
      <c r="E2407" s="1" t="s">
        <v>933</v>
      </c>
      <c r="F2407" s="1" t="s">
        <v>954</v>
      </c>
      <c r="G2407" s="1" t="s">
        <v>1141</v>
      </c>
      <c r="H2407" s="1"/>
      <c r="I2407" s="1"/>
      <c r="J2407" s="1"/>
      <c r="K2407" s="1"/>
      <c r="L2407" s="1"/>
      <c r="M2407" s="1"/>
      <c r="N2407" s="1"/>
      <c r="O2407" s="1"/>
      <c r="P2407" s="1"/>
      <c r="Q2407" s="1"/>
    </row>
    <row r="2408" spans="1:17" x14ac:dyDescent="0.25">
      <c r="A2408" s="1" t="s">
        <v>298</v>
      </c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</row>
    <row r="2409" spans="1:17" x14ac:dyDescent="0.25">
      <c r="A2409" s="1" t="s">
        <v>1066</v>
      </c>
      <c r="B2409" s="1" t="s">
        <v>1020</v>
      </c>
      <c r="C2409" s="1" t="s">
        <v>918</v>
      </c>
      <c r="D2409" s="1" t="s">
        <v>1110</v>
      </c>
      <c r="E2409" s="1" t="s">
        <v>25</v>
      </c>
      <c r="F2409" s="1" t="s">
        <v>923</v>
      </c>
      <c r="G2409" s="1" t="s">
        <v>919</v>
      </c>
      <c r="H2409" s="1" t="s">
        <v>920</v>
      </c>
      <c r="I2409" s="1" t="s">
        <v>954</v>
      </c>
      <c r="J2409" s="1" t="s">
        <v>328</v>
      </c>
      <c r="K2409" s="1" t="s">
        <v>921</v>
      </c>
      <c r="L2409" s="1"/>
      <c r="M2409" s="1"/>
      <c r="N2409" s="1"/>
      <c r="O2409" s="1"/>
      <c r="P2409" s="1"/>
      <c r="Q2409" s="1"/>
    </row>
    <row r="2410" spans="1:17" x14ac:dyDescent="0.25">
      <c r="A2410" s="1" t="s">
        <v>2541</v>
      </c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</row>
    <row r="2411" spans="1:17" x14ac:dyDescent="0.25">
      <c r="A2411" s="1" t="s">
        <v>1013</v>
      </c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</row>
    <row r="2412" spans="1:17" x14ac:dyDescent="0.25">
      <c r="A2412" s="1" t="s">
        <v>934</v>
      </c>
      <c r="B2412" s="1" t="s">
        <v>25</v>
      </c>
      <c r="C2412" s="1" t="s">
        <v>923</v>
      </c>
      <c r="D2412" s="1" t="s">
        <v>920</v>
      </c>
      <c r="E2412" s="1" t="s">
        <v>933</v>
      </c>
      <c r="F2412" s="1" t="s">
        <v>954</v>
      </c>
      <c r="G2412" s="1" t="s">
        <v>1141</v>
      </c>
      <c r="H2412" s="1"/>
      <c r="I2412" s="1"/>
      <c r="J2412" s="1"/>
      <c r="K2412" s="1"/>
      <c r="L2412" s="1"/>
      <c r="M2412" s="1"/>
      <c r="N2412" s="1"/>
      <c r="O2412" s="1"/>
      <c r="P2412" s="1"/>
      <c r="Q2412" s="1"/>
    </row>
    <row r="2413" spans="1:17" x14ac:dyDescent="0.25">
      <c r="A2413" s="1" t="s">
        <v>1086</v>
      </c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</row>
    <row r="2414" spans="1:17" x14ac:dyDescent="0.25">
      <c r="A2414" s="1" t="s">
        <v>6421</v>
      </c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</row>
    <row r="2415" spans="1:17" x14ac:dyDescent="0.25">
      <c r="A2415" s="1" t="s">
        <v>933</v>
      </c>
      <c r="B2415" s="1" t="s">
        <v>993</v>
      </c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</row>
    <row r="2416" spans="1:17" x14ac:dyDescent="0.25">
      <c r="A2416" s="1" t="s">
        <v>1016</v>
      </c>
      <c r="B2416" s="1" t="s">
        <v>1019</v>
      </c>
      <c r="C2416" s="1" t="s">
        <v>983</v>
      </c>
      <c r="D2416" s="1" t="s">
        <v>10697</v>
      </c>
      <c r="E2416" s="1" t="s">
        <v>984</v>
      </c>
      <c r="F2416" s="1" t="s">
        <v>933</v>
      </c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</row>
    <row r="2417" spans="1:17" x14ac:dyDescent="0.25">
      <c r="A2417" s="1" t="s">
        <v>1053</v>
      </c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</row>
    <row r="2418" spans="1:17" x14ac:dyDescent="0.25">
      <c r="A2418" s="1" t="s">
        <v>933</v>
      </c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</row>
    <row r="2419" spans="1:17" x14ac:dyDescent="0.25">
      <c r="A2419" s="1" t="s">
        <v>927</v>
      </c>
      <c r="B2419" s="1" t="s">
        <v>981</v>
      </c>
      <c r="C2419" s="1" t="s">
        <v>919</v>
      </c>
      <c r="D2419" s="1" t="s">
        <v>920</v>
      </c>
      <c r="E2419" s="1" t="s">
        <v>921</v>
      </c>
      <c r="F2419" s="1" t="s">
        <v>996</v>
      </c>
      <c r="G2419" s="1" t="s">
        <v>25</v>
      </c>
      <c r="H2419" s="1" t="s">
        <v>997</v>
      </c>
      <c r="I2419" s="1" t="s">
        <v>998</v>
      </c>
      <c r="J2419" s="1" t="s">
        <v>933</v>
      </c>
      <c r="K2419" s="1" t="s">
        <v>993</v>
      </c>
      <c r="L2419" s="1" t="s">
        <v>994</v>
      </c>
      <c r="M2419" s="1"/>
      <c r="N2419" s="1"/>
      <c r="O2419" s="1"/>
      <c r="P2419" s="1"/>
      <c r="Q2419" s="1"/>
    </row>
    <row r="2420" spans="1:17" x14ac:dyDescent="0.25">
      <c r="A2420" s="1" t="s">
        <v>1066</v>
      </c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</row>
    <row r="2421" spans="1:17" x14ac:dyDescent="0.25">
      <c r="A2421" s="1" t="s">
        <v>256</v>
      </c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</row>
    <row r="2422" spans="1:17" x14ac:dyDescent="0.25">
      <c r="A2422" s="1" t="s">
        <v>932</v>
      </c>
      <c r="B2422" s="1" t="s">
        <v>916</v>
      </c>
      <c r="C2422" s="1" t="s">
        <v>933</v>
      </c>
      <c r="D2422" s="1" t="s">
        <v>1066</v>
      </c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</row>
    <row r="2423" spans="1:17" x14ac:dyDescent="0.25">
      <c r="A2423" s="1" t="s">
        <v>1086</v>
      </c>
      <c r="B2423" s="1" t="s">
        <v>933</v>
      </c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</row>
    <row r="2424" spans="1:17" x14ac:dyDescent="0.25">
      <c r="A2424" s="1" t="s">
        <v>1086</v>
      </c>
      <c r="B2424" s="1" t="s">
        <v>933</v>
      </c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</row>
    <row r="2425" spans="1:17" x14ac:dyDescent="0.25">
      <c r="A2425" s="1" t="s">
        <v>996</v>
      </c>
      <c r="B2425" s="1" t="s">
        <v>948</v>
      </c>
      <c r="C2425" s="1" t="s">
        <v>10788</v>
      </c>
      <c r="D2425" s="1" t="s">
        <v>25</v>
      </c>
      <c r="E2425" s="1" t="s">
        <v>923</v>
      </c>
      <c r="F2425" s="1" t="s">
        <v>997</v>
      </c>
      <c r="G2425" s="1" t="s">
        <v>1086</v>
      </c>
      <c r="H2425" s="1" t="s">
        <v>920</v>
      </c>
      <c r="I2425" s="1"/>
      <c r="J2425" s="1"/>
      <c r="K2425" s="1"/>
      <c r="L2425" s="1"/>
      <c r="M2425" s="1"/>
      <c r="N2425" s="1"/>
      <c r="O2425" s="1"/>
      <c r="P2425" s="1"/>
      <c r="Q2425" s="1"/>
    </row>
    <row r="2426" spans="1:17" x14ac:dyDescent="0.25">
      <c r="A2426" s="1" t="s">
        <v>933</v>
      </c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</row>
    <row r="2427" spans="1:17" x14ac:dyDescent="0.25">
      <c r="A2427" s="1" t="s">
        <v>11006</v>
      </c>
      <c r="B2427" s="1" t="s">
        <v>1004</v>
      </c>
      <c r="C2427" s="1" t="s">
        <v>176</v>
      </c>
      <c r="D2427" s="1" t="s">
        <v>1156</v>
      </c>
      <c r="E2427" s="1" t="s">
        <v>1006</v>
      </c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</row>
    <row r="2428" spans="1:17" x14ac:dyDescent="0.25">
      <c r="A2428" s="1" t="s">
        <v>1041</v>
      </c>
      <c r="B2428" s="1" t="s">
        <v>1156</v>
      </c>
      <c r="C2428" s="1" t="s">
        <v>11007</v>
      </c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</row>
    <row r="2429" spans="1:17" x14ac:dyDescent="0.25">
      <c r="A2429" s="1" t="s">
        <v>1041</v>
      </c>
      <c r="B2429" s="1" t="s">
        <v>1156</v>
      </c>
      <c r="C2429" s="1" t="s">
        <v>11007</v>
      </c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</row>
    <row r="2430" spans="1:17" x14ac:dyDescent="0.25">
      <c r="A2430" s="1" t="s">
        <v>1041</v>
      </c>
      <c r="B2430" s="1" t="s">
        <v>1156</v>
      </c>
      <c r="C2430" s="1" t="s">
        <v>11007</v>
      </c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</row>
    <row r="2431" spans="1:17" x14ac:dyDescent="0.25">
      <c r="A2431" s="1" t="s">
        <v>1041</v>
      </c>
      <c r="B2431" s="1" t="s">
        <v>1156</v>
      </c>
      <c r="C2431" s="1" t="s">
        <v>11007</v>
      </c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</row>
    <row r="2432" spans="1:17" x14ac:dyDescent="0.25">
      <c r="A2432" s="1" t="s">
        <v>1041</v>
      </c>
      <c r="B2432" s="1" t="s">
        <v>1087</v>
      </c>
      <c r="C2432" s="1" t="s">
        <v>999</v>
      </c>
      <c r="D2432" s="1" t="s">
        <v>1073</v>
      </c>
      <c r="E2432" s="1" t="s">
        <v>996</v>
      </c>
      <c r="F2432" s="1" t="s">
        <v>921</v>
      </c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</row>
    <row r="2433" spans="1:17" x14ac:dyDescent="0.25">
      <c r="A2433" s="1" t="s">
        <v>1041</v>
      </c>
      <c r="B2433" s="1" t="s">
        <v>1087</v>
      </c>
      <c r="C2433" s="1" t="s">
        <v>999</v>
      </c>
      <c r="D2433" s="1" t="s">
        <v>1073</v>
      </c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</row>
    <row r="2434" spans="1:17" x14ac:dyDescent="0.25">
      <c r="A2434" s="1" t="s">
        <v>1041</v>
      </c>
      <c r="B2434" s="1" t="s">
        <v>1091</v>
      </c>
      <c r="C2434" s="1" t="s">
        <v>999</v>
      </c>
      <c r="D2434" s="1" t="s">
        <v>921</v>
      </c>
      <c r="E2434" s="1" t="s">
        <v>1044</v>
      </c>
      <c r="F2434" s="1" t="s">
        <v>1092</v>
      </c>
      <c r="G2434" s="1" t="s">
        <v>1093</v>
      </c>
      <c r="H2434" s="1" t="s">
        <v>1094</v>
      </c>
      <c r="I2434" s="1"/>
      <c r="J2434" s="1"/>
      <c r="K2434" s="1"/>
      <c r="L2434" s="1"/>
      <c r="M2434" s="1"/>
      <c r="N2434" s="1"/>
      <c r="O2434" s="1"/>
      <c r="P2434" s="1"/>
      <c r="Q2434" s="1"/>
    </row>
    <row r="2435" spans="1:17" x14ac:dyDescent="0.25">
      <c r="A2435" s="1" t="s">
        <v>1041</v>
      </c>
      <c r="B2435" s="1" t="s">
        <v>1091</v>
      </c>
      <c r="C2435" s="1" t="s">
        <v>999</v>
      </c>
      <c r="D2435" s="1" t="s">
        <v>921</v>
      </c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</row>
    <row r="2436" spans="1:17" x14ac:dyDescent="0.25">
      <c r="A2436" s="1" t="s">
        <v>1041</v>
      </c>
      <c r="B2436" s="1" t="s">
        <v>1091</v>
      </c>
      <c r="C2436" s="1" t="s">
        <v>999</v>
      </c>
      <c r="D2436" s="1" t="s">
        <v>921</v>
      </c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</row>
    <row r="2437" spans="1:17" x14ac:dyDescent="0.25">
      <c r="A2437" s="1" t="s">
        <v>1041</v>
      </c>
      <c r="B2437" s="1" t="s">
        <v>999</v>
      </c>
      <c r="C2437" s="1" t="s">
        <v>921</v>
      </c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</row>
    <row r="2438" spans="1:17" x14ac:dyDescent="0.25">
      <c r="A2438" s="1" t="s">
        <v>918</v>
      </c>
      <c r="B2438" s="1" t="s">
        <v>927</v>
      </c>
      <c r="C2438" s="1" t="s">
        <v>919</v>
      </c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</row>
    <row r="2439" spans="1:17" x14ac:dyDescent="0.25">
      <c r="A2439" s="1" t="s">
        <v>996</v>
      </c>
      <c r="B2439" s="1" t="s">
        <v>933</v>
      </c>
      <c r="C2439" s="1" t="s">
        <v>994</v>
      </c>
      <c r="D2439" s="1" t="s">
        <v>1001</v>
      </c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</row>
    <row r="2440" spans="1:17" x14ac:dyDescent="0.25">
      <c r="A2440" s="1" t="s">
        <v>298</v>
      </c>
      <c r="B2440" s="1" t="s">
        <v>25</v>
      </c>
      <c r="C2440" s="1" t="s">
        <v>927</v>
      </c>
      <c r="D2440" s="1" t="s">
        <v>998</v>
      </c>
      <c r="E2440" s="1" t="s">
        <v>1086</v>
      </c>
      <c r="F2440" s="1" t="s">
        <v>920</v>
      </c>
      <c r="G2440" s="1" t="s">
        <v>933</v>
      </c>
      <c r="H2440" s="1" t="s">
        <v>2927</v>
      </c>
      <c r="I2440" s="1" t="s">
        <v>1149</v>
      </c>
      <c r="J2440" s="1" t="s">
        <v>923</v>
      </c>
      <c r="K2440" s="1" t="s">
        <v>1053</v>
      </c>
      <c r="L2440" s="1"/>
      <c r="M2440" s="1"/>
      <c r="N2440" s="1"/>
      <c r="O2440" s="1"/>
      <c r="P2440" s="1"/>
      <c r="Q2440" s="1"/>
    </row>
    <row r="2441" spans="1:17" x14ac:dyDescent="0.25">
      <c r="A2441" s="1" t="s">
        <v>935</v>
      </c>
      <c r="B2441" s="1" t="s">
        <v>920</v>
      </c>
      <c r="C2441" s="1" t="s">
        <v>923</v>
      </c>
      <c r="D2441" s="1" t="s">
        <v>934</v>
      </c>
      <c r="E2441" s="1" t="s">
        <v>918</v>
      </c>
      <c r="F2441" s="1" t="s">
        <v>25</v>
      </c>
      <c r="G2441" s="1" t="s">
        <v>921</v>
      </c>
      <c r="H2441" s="1" t="s">
        <v>6671</v>
      </c>
      <c r="I2441" s="1"/>
      <c r="J2441" s="1"/>
      <c r="K2441" s="1"/>
      <c r="L2441" s="1"/>
      <c r="M2441" s="1"/>
      <c r="N2441" s="1"/>
      <c r="O2441" s="1"/>
      <c r="P2441" s="1"/>
      <c r="Q2441" s="1"/>
    </row>
    <row r="2442" spans="1:17" x14ac:dyDescent="0.25">
      <c r="A2442" s="1" t="s">
        <v>996</v>
      </c>
      <c r="B2442" s="1" t="s">
        <v>1149</v>
      </c>
      <c r="C2442" s="1" t="s">
        <v>1053</v>
      </c>
      <c r="D2442" s="1" t="s">
        <v>2541</v>
      </c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</row>
    <row r="2443" spans="1:17" x14ac:dyDescent="0.25">
      <c r="A2443" s="1" t="s">
        <v>996</v>
      </c>
      <c r="B2443" s="1" t="s">
        <v>2541</v>
      </c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</row>
    <row r="2444" spans="1:17" x14ac:dyDescent="0.25">
      <c r="A2444" s="1" t="s">
        <v>996</v>
      </c>
      <c r="B2444" s="1" t="s">
        <v>2541</v>
      </c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</row>
    <row r="2445" spans="1:17" x14ac:dyDescent="0.25">
      <c r="A2445" s="1" t="s">
        <v>996</v>
      </c>
      <c r="B2445" s="1" t="s">
        <v>2541</v>
      </c>
      <c r="C2445" s="1" t="s">
        <v>1082</v>
      </c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</row>
    <row r="2446" spans="1:17" x14ac:dyDescent="0.25">
      <c r="A2446" s="1" t="s">
        <v>996</v>
      </c>
      <c r="B2446" s="1" t="s">
        <v>2541</v>
      </c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</row>
    <row r="2447" spans="1:17" x14ac:dyDescent="0.25">
      <c r="A2447" s="1" t="s">
        <v>983</v>
      </c>
      <c r="B2447" s="1" t="s">
        <v>984</v>
      </c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</row>
    <row r="2448" spans="1:17" x14ac:dyDescent="0.25">
      <c r="A2448" s="1" t="s">
        <v>983</v>
      </c>
      <c r="B2448" s="1" t="s">
        <v>984</v>
      </c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</row>
    <row r="2449" spans="1:17" x14ac:dyDescent="0.25">
      <c r="A2449" s="1" t="s">
        <v>983</v>
      </c>
      <c r="B2449" s="1" t="s">
        <v>984</v>
      </c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</row>
    <row r="2450" spans="1:17" x14ac:dyDescent="0.25">
      <c r="A2450" s="1" t="s">
        <v>25</v>
      </c>
      <c r="B2450" s="1" t="s">
        <v>923</v>
      </c>
      <c r="C2450" s="1" t="s">
        <v>916</v>
      </c>
      <c r="D2450" s="1" t="s">
        <v>920</v>
      </c>
      <c r="E2450" s="1" t="s">
        <v>974</v>
      </c>
      <c r="F2450" s="1" t="s">
        <v>921</v>
      </c>
      <c r="G2450" s="1" t="s">
        <v>1033</v>
      </c>
      <c r="H2450" s="1" t="s">
        <v>1001</v>
      </c>
      <c r="I2450" s="1" t="s">
        <v>927</v>
      </c>
      <c r="J2450" s="1" t="s">
        <v>992</v>
      </c>
      <c r="K2450" s="1" t="s">
        <v>981</v>
      </c>
      <c r="L2450" s="1"/>
      <c r="M2450" s="1"/>
      <c r="N2450" s="1"/>
      <c r="O2450" s="1"/>
      <c r="P2450" s="1"/>
      <c r="Q2450" s="1"/>
    </row>
    <row r="2451" spans="1:17" x14ac:dyDescent="0.25">
      <c r="A2451" s="1" t="s">
        <v>1001</v>
      </c>
      <c r="B2451" s="1" t="s">
        <v>927</v>
      </c>
      <c r="C2451" s="1" t="s">
        <v>992</v>
      </c>
      <c r="D2451" s="1" t="s">
        <v>981</v>
      </c>
      <c r="E2451" s="1" t="s">
        <v>1066</v>
      </c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</row>
    <row r="2452" spans="1:17" x14ac:dyDescent="0.25">
      <c r="A2452" s="1" t="s">
        <v>1001</v>
      </c>
      <c r="B2452" s="1" t="s">
        <v>927</v>
      </c>
      <c r="C2452" s="1" t="s">
        <v>992</v>
      </c>
      <c r="D2452" s="1" t="s">
        <v>981</v>
      </c>
      <c r="E2452" s="1" t="s">
        <v>1066</v>
      </c>
      <c r="F2452" s="1" t="s">
        <v>918</v>
      </c>
      <c r="G2452" s="1" t="s">
        <v>1110</v>
      </c>
      <c r="H2452" s="1" t="s">
        <v>25</v>
      </c>
      <c r="I2452" s="1" t="s">
        <v>923</v>
      </c>
      <c r="J2452" s="1" t="s">
        <v>919</v>
      </c>
      <c r="K2452" s="1" t="s">
        <v>920</v>
      </c>
      <c r="L2452" s="1" t="s">
        <v>954</v>
      </c>
      <c r="M2452" s="1" t="s">
        <v>328</v>
      </c>
      <c r="N2452" s="1" t="s">
        <v>921</v>
      </c>
      <c r="O2452" s="1"/>
      <c r="P2452" s="1"/>
      <c r="Q2452" s="1"/>
    </row>
    <row r="2453" spans="1:17" x14ac:dyDescent="0.25">
      <c r="A2453" s="1" t="s">
        <v>927</v>
      </c>
      <c r="B2453" s="1" t="s">
        <v>919</v>
      </c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</row>
    <row r="2454" spans="1:17" x14ac:dyDescent="0.25">
      <c r="A2454" s="1" t="s">
        <v>927</v>
      </c>
      <c r="B2454" s="1" t="s">
        <v>919</v>
      </c>
      <c r="C2454" s="1" t="s">
        <v>931</v>
      </c>
      <c r="D2454" s="1" t="s">
        <v>948</v>
      </c>
      <c r="E2454" s="1" t="s">
        <v>25</v>
      </c>
      <c r="F2454" s="1" t="s">
        <v>923</v>
      </c>
      <c r="G2454" s="1" t="s">
        <v>997</v>
      </c>
      <c r="H2454" s="1" t="s">
        <v>920</v>
      </c>
      <c r="I2454" s="1" t="s">
        <v>994</v>
      </c>
      <c r="J2454" s="1"/>
      <c r="K2454" s="1"/>
      <c r="L2454" s="1"/>
      <c r="M2454" s="1"/>
      <c r="N2454" s="1"/>
      <c r="O2454" s="1"/>
      <c r="P2454" s="1"/>
      <c r="Q2454" s="1"/>
    </row>
    <row r="2455" spans="1:17" x14ac:dyDescent="0.25">
      <c r="A2455" s="1" t="s">
        <v>25</v>
      </c>
      <c r="B2455" s="1" t="s">
        <v>923</v>
      </c>
      <c r="C2455" s="1" t="s">
        <v>10814</v>
      </c>
      <c r="D2455" s="1" t="s">
        <v>10775</v>
      </c>
      <c r="E2455" s="1" t="s">
        <v>939</v>
      </c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</row>
    <row r="2456" spans="1:17" x14ac:dyDescent="0.25">
      <c r="A2456" s="1" t="s">
        <v>256</v>
      </c>
      <c r="B2456" s="1" t="s">
        <v>1049</v>
      </c>
      <c r="C2456" s="1" t="s">
        <v>25</v>
      </c>
      <c r="D2456" s="1" t="s">
        <v>923</v>
      </c>
      <c r="E2456" s="1" t="s">
        <v>10814</v>
      </c>
      <c r="F2456" s="1" t="s">
        <v>10775</v>
      </c>
      <c r="G2456" s="1" t="s">
        <v>939</v>
      </c>
      <c r="H2456" s="1" t="s">
        <v>927</v>
      </c>
      <c r="I2456" s="1" t="s">
        <v>981</v>
      </c>
      <c r="J2456" s="1" t="s">
        <v>920</v>
      </c>
      <c r="K2456" s="1" t="s">
        <v>933</v>
      </c>
      <c r="L2456" s="1" t="s">
        <v>921</v>
      </c>
      <c r="M2456" s="1" t="s">
        <v>11008</v>
      </c>
      <c r="N2456" s="1" t="s">
        <v>11009</v>
      </c>
      <c r="O2456" s="1" t="s">
        <v>11010</v>
      </c>
      <c r="P2456" s="1" t="s">
        <v>10883</v>
      </c>
      <c r="Q2456" s="1" t="s">
        <v>10884</v>
      </c>
    </row>
    <row r="2457" spans="1:17" x14ac:dyDescent="0.25">
      <c r="A2457" s="1" t="s">
        <v>25</v>
      </c>
      <c r="B2457" s="1" t="s">
        <v>923</v>
      </c>
      <c r="C2457" s="1" t="s">
        <v>10814</v>
      </c>
      <c r="D2457" s="1" t="s">
        <v>10775</v>
      </c>
      <c r="E2457" s="1" t="s">
        <v>939</v>
      </c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</row>
    <row r="2458" spans="1:17" x14ac:dyDescent="0.25">
      <c r="A2458" s="1" t="s">
        <v>25</v>
      </c>
      <c r="B2458" s="1" t="s">
        <v>923</v>
      </c>
      <c r="C2458" s="1" t="s">
        <v>10814</v>
      </c>
      <c r="D2458" s="1" t="s">
        <v>10775</v>
      </c>
      <c r="E2458" s="1" t="s">
        <v>939</v>
      </c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</row>
    <row r="2459" spans="1:17" x14ac:dyDescent="0.25">
      <c r="A2459" s="1" t="s">
        <v>931</v>
      </c>
      <c r="B2459" s="1" t="s">
        <v>25</v>
      </c>
      <c r="C2459" s="1" t="s">
        <v>923</v>
      </c>
      <c r="D2459" s="1" t="s">
        <v>997</v>
      </c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</row>
    <row r="2460" spans="1:17" x14ac:dyDescent="0.25">
      <c r="A2460" s="1" t="s">
        <v>996</v>
      </c>
      <c r="B2460" s="1" t="s">
        <v>25</v>
      </c>
      <c r="C2460" s="1" t="s">
        <v>923</v>
      </c>
      <c r="D2460" s="1" t="s">
        <v>998</v>
      </c>
      <c r="E2460" s="1" t="s">
        <v>1053</v>
      </c>
      <c r="F2460" s="1" t="s">
        <v>933</v>
      </c>
      <c r="G2460" s="1" t="s">
        <v>2541</v>
      </c>
      <c r="H2460" s="1"/>
      <c r="I2460" s="1"/>
      <c r="J2460" s="1"/>
      <c r="K2460" s="1"/>
      <c r="L2460" s="1"/>
      <c r="M2460" s="1"/>
      <c r="N2460" s="1"/>
      <c r="O2460" s="1"/>
      <c r="P2460" s="1"/>
      <c r="Q2460" s="1"/>
    </row>
    <row r="2461" spans="1:17" x14ac:dyDescent="0.25">
      <c r="A2461" s="1" t="s">
        <v>10755</v>
      </c>
      <c r="B2461" s="1" t="s">
        <v>998</v>
      </c>
      <c r="C2461" s="1" t="s">
        <v>3528</v>
      </c>
      <c r="D2461" s="1" t="s">
        <v>994</v>
      </c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</row>
    <row r="2462" spans="1:17" x14ac:dyDescent="0.25">
      <c r="A2462" s="1" t="s">
        <v>964</v>
      </c>
      <c r="B2462" s="1" t="s">
        <v>10751</v>
      </c>
      <c r="C2462" s="1" t="s">
        <v>10755</v>
      </c>
      <c r="D2462" s="1" t="s">
        <v>10724</v>
      </c>
      <c r="E2462" s="1" t="s">
        <v>25</v>
      </c>
      <c r="F2462" s="1" t="s">
        <v>1012</v>
      </c>
      <c r="G2462" s="1" t="s">
        <v>957</v>
      </c>
      <c r="H2462" s="1" t="s">
        <v>10797</v>
      </c>
      <c r="I2462" s="1"/>
      <c r="J2462" s="1"/>
      <c r="K2462" s="1"/>
      <c r="L2462" s="1"/>
      <c r="M2462" s="1"/>
      <c r="N2462" s="1"/>
      <c r="O2462" s="1"/>
      <c r="P2462" s="1"/>
      <c r="Q2462" s="1"/>
    </row>
    <row r="2463" spans="1:17" x14ac:dyDescent="0.25">
      <c r="A2463" s="1" t="s">
        <v>996</v>
      </c>
      <c r="B2463" s="1" t="s">
        <v>25</v>
      </c>
      <c r="C2463" s="1" t="s">
        <v>923</v>
      </c>
      <c r="D2463" s="1" t="s">
        <v>998</v>
      </c>
      <c r="E2463" s="1" t="s">
        <v>1053</v>
      </c>
      <c r="F2463" s="1" t="s">
        <v>933</v>
      </c>
      <c r="G2463" s="1" t="s">
        <v>2541</v>
      </c>
      <c r="H2463" s="1"/>
      <c r="I2463" s="1"/>
      <c r="J2463" s="1"/>
      <c r="K2463" s="1"/>
      <c r="L2463" s="1"/>
      <c r="M2463" s="1"/>
      <c r="N2463" s="1"/>
      <c r="O2463" s="1"/>
      <c r="P2463" s="1"/>
      <c r="Q2463" s="1"/>
    </row>
    <row r="2464" spans="1:17" x14ac:dyDescent="0.25">
      <c r="A2464" s="1" t="s">
        <v>948</v>
      </c>
      <c r="B2464" s="1" t="s">
        <v>1069</v>
      </c>
      <c r="C2464" s="1" t="s">
        <v>25</v>
      </c>
      <c r="D2464" s="1" t="s">
        <v>1070</v>
      </c>
      <c r="E2464" s="1" t="s">
        <v>957</v>
      </c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</row>
    <row r="2465" spans="1:17" x14ac:dyDescent="0.25">
      <c r="A2465" s="1" t="s">
        <v>996</v>
      </c>
      <c r="B2465" s="1" t="s">
        <v>25</v>
      </c>
      <c r="C2465" s="1" t="s">
        <v>923</v>
      </c>
      <c r="D2465" s="1" t="s">
        <v>998</v>
      </c>
      <c r="E2465" s="1" t="s">
        <v>1053</v>
      </c>
      <c r="F2465" s="1" t="s">
        <v>933</v>
      </c>
      <c r="G2465" s="1" t="s">
        <v>2541</v>
      </c>
      <c r="H2465" s="1"/>
      <c r="I2465" s="1"/>
      <c r="J2465" s="1"/>
      <c r="K2465" s="1"/>
      <c r="L2465" s="1"/>
      <c r="M2465" s="1"/>
      <c r="N2465" s="1"/>
      <c r="O2465" s="1"/>
      <c r="P2465" s="1"/>
      <c r="Q2465" s="1"/>
    </row>
    <row r="2466" spans="1:17" x14ac:dyDescent="0.25">
      <c r="A2466" s="1" t="s">
        <v>964</v>
      </c>
      <c r="B2466" s="1" t="s">
        <v>10751</v>
      </c>
      <c r="C2466" s="1" t="s">
        <v>10755</v>
      </c>
      <c r="D2466" s="1" t="s">
        <v>10724</v>
      </c>
      <c r="E2466" s="1" t="s">
        <v>25</v>
      </c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</row>
    <row r="2467" spans="1:17" x14ac:dyDescent="0.25">
      <c r="A2467" s="1" t="s">
        <v>996</v>
      </c>
      <c r="B2467" s="1" t="s">
        <v>25</v>
      </c>
      <c r="C2467" s="1" t="s">
        <v>923</v>
      </c>
      <c r="D2467" s="1" t="s">
        <v>998</v>
      </c>
      <c r="E2467" s="1" t="s">
        <v>1053</v>
      </c>
      <c r="F2467" s="1" t="s">
        <v>933</v>
      </c>
      <c r="G2467" s="1" t="s">
        <v>2541</v>
      </c>
      <c r="H2467" s="1"/>
      <c r="I2467" s="1"/>
      <c r="J2467" s="1"/>
      <c r="K2467" s="1"/>
      <c r="L2467" s="1"/>
      <c r="M2467" s="1"/>
      <c r="N2467" s="1"/>
      <c r="O2467" s="1"/>
      <c r="P2467" s="1"/>
      <c r="Q2467" s="1"/>
    </row>
    <row r="2468" spans="1:17" x14ac:dyDescent="0.25">
      <c r="A2468" s="1" t="s">
        <v>996</v>
      </c>
      <c r="B2468" s="1" t="s">
        <v>25</v>
      </c>
      <c r="C2468" s="1" t="s">
        <v>923</v>
      </c>
      <c r="D2468" s="1" t="s">
        <v>998</v>
      </c>
      <c r="E2468" s="1" t="s">
        <v>1053</v>
      </c>
      <c r="F2468" s="1" t="s">
        <v>933</v>
      </c>
      <c r="G2468" s="1" t="s">
        <v>2541</v>
      </c>
      <c r="H2468" s="1"/>
      <c r="I2468" s="1"/>
      <c r="J2468" s="1"/>
      <c r="K2468" s="1"/>
      <c r="L2468" s="1"/>
      <c r="M2468" s="1"/>
      <c r="N2468" s="1"/>
      <c r="O2468" s="1"/>
      <c r="P2468" s="1"/>
      <c r="Q2468" s="1"/>
    </row>
    <row r="2469" spans="1:17" x14ac:dyDescent="0.25">
      <c r="A2469" s="1" t="s">
        <v>996</v>
      </c>
      <c r="B2469" s="1" t="s">
        <v>25</v>
      </c>
      <c r="C2469" s="1" t="s">
        <v>923</v>
      </c>
      <c r="D2469" s="1" t="s">
        <v>998</v>
      </c>
      <c r="E2469" s="1" t="s">
        <v>1053</v>
      </c>
      <c r="F2469" s="1" t="s">
        <v>933</v>
      </c>
      <c r="G2469" s="1" t="s">
        <v>2541</v>
      </c>
      <c r="H2469" s="1"/>
      <c r="I2469" s="1"/>
      <c r="J2469" s="1"/>
      <c r="K2469" s="1"/>
      <c r="L2469" s="1"/>
      <c r="M2469" s="1"/>
      <c r="N2469" s="1"/>
      <c r="O2469" s="1"/>
      <c r="P2469" s="1"/>
      <c r="Q2469" s="1"/>
    </row>
    <row r="2470" spans="1:17" x14ac:dyDescent="0.25">
      <c r="A2470" s="1" t="s">
        <v>996</v>
      </c>
      <c r="B2470" s="1" t="s">
        <v>25</v>
      </c>
      <c r="C2470" s="1" t="s">
        <v>923</v>
      </c>
      <c r="D2470" s="1" t="s">
        <v>998</v>
      </c>
      <c r="E2470" s="1" t="s">
        <v>1053</v>
      </c>
      <c r="F2470" s="1" t="s">
        <v>933</v>
      </c>
      <c r="G2470" s="1" t="s">
        <v>2541</v>
      </c>
      <c r="H2470" s="1"/>
      <c r="I2470" s="1"/>
      <c r="J2470" s="1"/>
      <c r="K2470" s="1"/>
      <c r="L2470" s="1"/>
      <c r="M2470" s="1"/>
      <c r="N2470" s="1"/>
      <c r="O2470" s="1"/>
      <c r="P2470" s="1"/>
      <c r="Q2470" s="1"/>
    </row>
    <row r="2471" spans="1:17" x14ac:dyDescent="0.25">
      <c r="A2471" s="1" t="s">
        <v>1001</v>
      </c>
      <c r="B2471" s="1" t="s">
        <v>328</v>
      </c>
      <c r="C2471" s="1" t="s">
        <v>2541</v>
      </c>
      <c r="D2471" s="1" t="s">
        <v>996</v>
      </c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</row>
    <row r="2472" spans="1:17" x14ac:dyDescent="0.25">
      <c r="A2472" s="1" t="s">
        <v>1001</v>
      </c>
      <c r="B2472" s="1" t="s">
        <v>328</v>
      </c>
      <c r="C2472" s="1" t="s">
        <v>2541</v>
      </c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</row>
    <row r="2473" spans="1:17" x14ac:dyDescent="0.25">
      <c r="A2473" s="1" t="s">
        <v>1001</v>
      </c>
      <c r="B2473" s="1" t="s">
        <v>328</v>
      </c>
      <c r="C2473" s="1" t="s">
        <v>2541</v>
      </c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</row>
    <row r="2474" spans="1:17" x14ac:dyDescent="0.25">
      <c r="A2474" s="1" t="s">
        <v>1001</v>
      </c>
      <c r="B2474" s="1" t="s">
        <v>328</v>
      </c>
      <c r="C2474" s="1" t="s">
        <v>2541</v>
      </c>
      <c r="D2474" s="1" t="s">
        <v>1053</v>
      </c>
      <c r="E2474" s="1" t="s">
        <v>1086</v>
      </c>
      <c r="F2474" s="1" t="s">
        <v>933</v>
      </c>
      <c r="G2474" s="1" t="s">
        <v>6421</v>
      </c>
      <c r="H2474" s="1"/>
      <c r="I2474" s="1"/>
      <c r="J2474" s="1"/>
      <c r="K2474" s="1"/>
      <c r="L2474" s="1"/>
      <c r="M2474" s="1"/>
      <c r="N2474" s="1"/>
      <c r="O2474" s="1"/>
      <c r="P2474" s="1"/>
      <c r="Q2474" s="1"/>
    </row>
    <row r="2475" spans="1:17" x14ac:dyDescent="0.25">
      <c r="A2475" s="1" t="s">
        <v>996</v>
      </c>
      <c r="B2475" s="1" t="s">
        <v>1053</v>
      </c>
      <c r="C2475" s="1" t="s">
        <v>1086</v>
      </c>
      <c r="D2475" s="1" t="s">
        <v>933</v>
      </c>
      <c r="E2475" s="1" t="s">
        <v>2541</v>
      </c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</row>
    <row r="2476" spans="1:17" x14ac:dyDescent="0.25">
      <c r="A2476" s="1" t="s">
        <v>918</v>
      </c>
      <c r="B2476" s="1" t="s">
        <v>25</v>
      </c>
      <c r="C2476" s="1" t="s">
        <v>1148</v>
      </c>
      <c r="D2476" s="1" t="s">
        <v>923</v>
      </c>
      <c r="E2476" s="1" t="s">
        <v>927</v>
      </c>
      <c r="F2476" s="1" t="s">
        <v>1086</v>
      </c>
      <c r="G2476" s="1" t="s">
        <v>920</v>
      </c>
      <c r="H2476" s="1" t="s">
        <v>996</v>
      </c>
      <c r="I2476" s="1" t="s">
        <v>1053</v>
      </c>
      <c r="J2476" s="1" t="s">
        <v>933</v>
      </c>
      <c r="K2476" s="1" t="s">
        <v>2541</v>
      </c>
      <c r="L2476" s="1"/>
      <c r="M2476" s="1"/>
      <c r="N2476" s="1"/>
      <c r="O2476" s="1"/>
      <c r="P2476" s="1"/>
      <c r="Q2476" s="1"/>
    </row>
    <row r="2477" spans="1:17" x14ac:dyDescent="0.25">
      <c r="A2477" s="1" t="s">
        <v>918</v>
      </c>
      <c r="B2477" s="1" t="s">
        <v>25</v>
      </c>
      <c r="C2477" s="1" t="s">
        <v>1148</v>
      </c>
      <c r="D2477" s="1" t="s">
        <v>923</v>
      </c>
      <c r="E2477" s="1" t="s">
        <v>927</v>
      </c>
      <c r="F2477" s="1" t="s">
        <v>1086</v>
      </c>
      <c r="G2477" s="1" t="s">
        <v>920</v>
      </c>
      <c r="H2477" s="1"/>
      <c r="I2477" s="1"/>
      <c r="J2477" s="1"/>
      <c r="K2477" s="1"/>
      <c r="L2477" s="1"/>
      <c r="M2477" s="1"/>
      <c r="N2477" s="1"/>
      <c r="O2477" s="1"/>
      <c r="P2477" s="1"/>
      <c r="Q2477" s="1"/>
    </row>
    <row r="2478" spans="1:17" x14ac:dyDescent="0.25">
      <c r="A2478" s="1" t="s">
        <v>918</v>
      </c>
      <c r="B2478" s="1" t="s">
        <v>25</v>
      </c>
      <c r="C2478" s="1" t="s">
        <v>1148</v>
      </c>
      <c r="D2478" s="1" t="s">
        <v>923</v>
      </c>
      <c r="E2478" s="1" t="s">
        <v>927</v>
      </c>
      <c r="F2478" s="1" t="s">
        <v>1086</v>
      </c>
      <c r="G2478" s="1" t="s">
        <v>920</v>
      </c>
      <c r="H2478" s="1"/>
      <c r="I2478" s="1"/>
      <c r="J2478" s="1"/>
      <c r="K2478" s="1"/>
      <c r="L2478" s="1"/>
      <c r="M2478" s="1"/>
      <c r="N2478" s="1"/>
      <c r="O2478" s="1"/>
      <c r="P2478" s="1"/>
      <c r="Q2478" s="1"/>
    </row>
    <row r="2479" spans="1:17" x14ac:dyDescent="0.25">
      <c r="A2479" s="1" t="s">
        <v>918</v>
      </c>
      <c r="B2479" s="1" t="s">
        <v>25</v>
      </c>
      <c r="C2479" s="1" t="s">
        <v>1148</v>
      </c>
      <c r="D2479" s="1" t="s">
        <v>923</v>
      </c>
      <c r="E2479" s="1" t="s">
        <v>927</v>
      </c>
      <c r="F2479" s="1" t="s">
        <v>1086</v>
      </c>
      <c r="G2479" s="1" t="s">
        <v>920</v>
      </c>
      <c r="H2479" s="1"/>
      <c r="I2479" s="1"/>
      <c r="J2479" s="1"/>
      <c r="K2479" s="1"/>
      <c r="L2479" s="1"/>
      <c r="M2479" s="1"/>
      <c r="N2479" s="1"/>
      <c r="O2479" s="1"/>
      <c r="P2479" s="1"/>
      <c r="Q2479" s="1"/>
    </row>
    <row r="2480" spans="1:17" x14ac:dyDescent="0.25">
      <c r="A2480" s="1" t="s">
        <v>996</v>
      </c>
      <c r="B2480" s="1" t="s">
        <v>1053</v>
      </c>
      <c r="C2480" s="1" t="s">
        <v>1086</v>
      </c>
      <c r="D2480" s="1" t="s">
        <v>933</v>
      </c>
      <c r="E2480" s="1" t="s">
        <v>2541</v>
      </c>
      <c r="F2480" s="1" t="s">
        <v>1066</v>
      </c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</row>
    <row r="2481" spans="1:17" x14ac:dyDescent="0.25">
      <c r="A2481" s="1" t="s">
        <v>50</v>
      </c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</row>
    <row r="2482" spans="1:17" x14ac:dyDescent="0.25">
      <c r="A2482" s="1" t="s">
        <v>923</v>
      </c>
      <c r="B2482" s="1" t="s">
        <v>998</v>
      </c>
      <c r="C2482" s="1" t="s">
        <v>992</v>
      </c>
      <c r="D2482" s="1" t="s">
        <v>1066</v>
      </c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</row>
    <row r="2483" spans="1:17" x14ac:dyDescent="0.25">
      <c r="A2483" s="1" t="s">
        <v>1069</v>
      </c>
      <c r="B2483" s="1" t="s">
        <v>25</v>
      </c>
      <c r="C2483" s="1" t="s">
        <v>923</v>
      </c>
      <c r="D2483" s="1" t="s">
        <v>927</v>
      </c>
      <c r="E2483" s="1" t="s">
        <v>976</v>
      </c>
      <c r="F2483" s="1" t="s">
        <v>998</v>
      </c>
      <c r="G2483" s="1" t="s">
        <v>1098</v>
      </c>
      <c r="H2483" s="1" t="s">
        <v>920</v>
      </c>
      <c r="I2483" s="1"/>
      <c r="J2483" s="1"/>
      <c r="K2483" s="1"/>
      <c r="L2483" s="1"/>
      <c r="M2483" s="1"/>
      <c r="N2483" s="1"/>
      <c r="O2483" s="1"/>
      <c r="P2483" s="1"/>
      <c r="Q2483" s="1"/>
    </row>
    <row r="2484" spans="1:17" x14ac:dyDescent="0.25">
      <c r="A2484" s="1" t="s">
        <v>1069</v>
      </c>
      <c r="B2484" s="1" t="s">
        <v>25</v>
      </c>
      <c r="C2484" s="1" t="s">
        <v>923</v>
      </c>
      <c r="D2484" s="1" t="s">
        <v>927</v>
      </c>
      <c r="E2484" s="1" t="s">
        <v>976</v>
      </c>
      <c r="F2484" s="1" t="s">
        <v>998</v>
      </c>
      <c r="G2484" s="1" t="s">
        <v>1098</v>
      </c>
      <c r="H2484" s="1" t="s">
        <v>920</v>
      </c>
      <c r="I2484" s="1" t="s">
        <v>1097</v>
      </c>
      <c r="J2484" s="1"/>
      <c r="K2484" s="1"/>
      <c r="L2484" s="1"/>
      <c r="M2484" s="1"/>
      <c r="N2484" s="1"/>
      <c r="O2484" s="1"/>
      <c r="P2484" s="1"/>
      <c r="Q2484" s="1"/>
    </row>
    <row r="2485" spans="1:17" x14ac:dyDescent="0.25">
      <c r="A2485" s="1" t="s">
        <v>975</v>
      </c>
      <c r="B2485" s="1" t="s">
        <v>25</v>
      </c>
      <c r="C2485" s="1" t="s">
        <v>981</v>
      </c>
      <c r="D2485" s="1" t="s">
        <v>982</v>
      </c>
      <c r="E2485" s="1" t="s">
        <v>921</v>
      </c>
      <c r="F2485" s="1" t="s">
        <v>933</v>
      </c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</row>
    <row r="2486" spans="1:17" x14ac:dyDescent="0.25">
      <c r="A2486" s="1" t="s">
        <v>927</v>
      </c>
      <c r="B2486" s="1" t="s">
        <v>919</v>
      </c>
      <c r="C2486" s="1" t="s">
        <v>924</v>
      </c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</row>
    <row r="2487" spans="1:17" x14ac:dyDescent="0.25">
      <c r="A2487" s="1" t="s">
        <v>927</v>
      </c>
      <c r="B2487" s="1" t="s">
        <v>919</v>
      </c>
      <c r="C2487" s="1" t="s">
        <v>924</v>
      </c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</row>
    <row r="2488" spans="1:17" x14ac:dyDescent="0.25">
      <c r="A2488" s="1" t="s">
        <v>927</v>
      </c>
      <c r="B2488" s="1" t="s">
        <v>919</v>
      </c>
      <c r="C2488" s="1" t="s">
        <v>924</v>
      </c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</row>
    <row r="2489" spans="1:17" x14ac:dyDescent="0.25">
      <c r="A2489" s="1" t="s">
        <v>10810</v>
      </c>
      <c r="B2489" s="1" t="s">
        <v>1058</v>
      </c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</row>
    <row r="2490" spans="1:17" x14ac:dyDescent="0.25">
      <c r="A2490" s="1" t="s">
        <v>10733</v>
      </c>
      <c r="B2490" s="1" t="s">
        <v>948</v>
      </c>
      <c r="C2490" s="1" t="s">
        <v>298</v>
      </c>
      <c r="D2490" s="1" t="s">
        <v>25</v>
      </c>
      <c r="E2490" s="1" t="s">
        <v>923</v>
      </c>
      <c r="F2490" s="1" t="s">
        <v>997</v>
      </c>
      <c r="G2490" s="1" t="s">
        <v>1167</v>
      </c>
      <c r="H2490" s="1" t="s">
        <v>1069</v>
      </c>
      <c r="I2490" s="1" t="s">
        <v>1149</v>
      </c>
      <c r="J2490" s="1" t="s">
        <v>998</v>
      </c>
      <c r="K2490" s="1" t="s">
        <v>1150</v>
      </c>
      <c r="L2490" s="1" t="s">
        <v>1086</v>
      </c>
      <c r="M2490" s="1"/>
      <c r="N2490" s="1"/>
      <c r="O2490" s="1"/>
      <c r="P2490" s="1"/>
      <c r="Q2490" s="1"/>
    </row>
    <row r="2491" spans="1:17" x14ac:dyDescent="0.25">
      <c r="A2491" s="1" t="s">
        <v>10733</v>
      </c>
      <c r="B2491" s="1" t="s">
        <v>948</v>
      </c>
      <c r="C2491" s="1" t="s">
        <v>298</v>
      </c>
      <c r="D2491" s="1" t="s">
        <v>25</v>
      </c>
      <c r="E2491" s="1" t="s">
        <v>923</v>
      </c>
      <c r="F2491" s="1" t="s">
        <v>997</v>
      </c>
      <c r="G2491" s="1" t="s">
        <v>1167</v>
      </c>
      <c r="H2491" s="1" t="s">
        <v>1069</v>
      </c>
      <c r="I2491" s="1" t="s">
        <v>1149</v>
      </c>
      <c r="J2491" s="1" t="s">
        <v>998</v>
      </c>
      <c r="K2491" s="1" t="s">
        <v>1150</v>
      </c>
      <c r="L2491" s="1" t="s">
        <v>1086</v>
      </c>
      <c r="M2491" s="1"/>
      <c r="N2491" s="1"/>
      <c r="O2491" s="1"/>
      <c r="P2491" s="1"/>
      <c r="Q2491" s="1"/>
    </row>
    <row r="2492" spans="1:17" x14ac:dyDescent="0.25">
      <c r="A2492" s="1" t="s">
        <v>996</v>
      </c>
      <c r="B2492" s="1" t="s">
        <v>948</v>
      </c>
      <c r="C2492" s="1" t="s">
        <v>10788</v>
      </c>
      <c r="D2492" s="1" t="s">
        <v>25</v>
      </c>
      <c r="E2492" s="1" t="s">
        <v>923</v>
      </c>
      <c r="F2492" s="1" t="s">
        <v>997</v>
      </c>
      <c r="G2492" s="1" t="s">
        <v>1086</v>
      </c>
      <c r="H2492" s="1" t="s">
        <v>920</v>
      </c>
      <c r="I2492" s="1" t="s">
        <v>1149</v>
      </c>
      <c r="J2492" s="1" t="s">
        <v>1150</v>
      </c>
      <c r="K2492" s="1"/>
      <c r="L2492" s="1"/>
      <c r="M2492" s="1"/>
      <c r="N2492" s="1"/>
      <c r="O2492" s="1"/>
      <c r="P2492" s="1"/>
      <c r="Q2492" s="1"/>
    </row>
    <row r="2493" spans="1:17" x14ac:dyDescent="0.25">
      <c r="A2493" s="1" t="s">
        <v>996</v>
      </c>
      <c r="B2493" s="1" t="s">
        <v>948</v>
      </c>
      <c r="C2493" s="1" t="s">
        <v>10788</v>
      </c>
      <c r="D2493" s="1" t="s">
        <v>25</v>
      </c>
      <c r="E2493" s="1" t="s">
        <v>923</v>
      </c>
      <c r="F2493" s="1" t="s">
        <v>997</v>
      </c>
      <c r="G2493" s="1" t="s">
        <v>1086</v>
      </c>
      <c r="H2493" s="1" t="s">
        <v>920</v>
      </c>
      <c r="I2493" s="1" t="s">
        <v>941</v>
      </c>
      <c r="J2493" s="1" t="s">
        <v>955</v>
      </c>
      <c r="K2493" s="1" t="s">
        <v>1014</v>
      </c>
      <c r="L2493" s="1"/>
      <c r="M2493" s="1"/>
      <c r="N2493" s="1"/>
      <c r="O2493" s="1"/>
      <c r="P2493" s="1"/>
      <c r="Q2493" s="1"/>
    </row>
    <row r="2494" spans="1:17" x14ac:dyDescent="0.25">
      <c r="A2494" s="1" t="s">
        <v>996</v>
      </c>
      <c r="B2494" s="1" t="s">
        <v>948</v>
      </c>
      <c r="C2494" s="1" t="s">
        <v>10788</v>
      </c>
      <c r="D2494" s="1" t="s">
        <v>25</v>
      </c>
      <c r="E2494" s="1" t="s">
        <v>923</v>
      </c>
      <c r="F2494" s="1" t="s">
        <v>997</v>
      </c>
      <c r="G2494" s="1" t="s">
        <v>1086</v>
      </c>
      <c r="H2494" s="1" t="s">
        <v>920</v>
      </c>
      <c r="I2494" s="1"/>
      <c r="J2494" s="1"/>
      <c r="K2494" s="1"/>
      <c r="L2494" s="1"/>
      <c r="M2494" s="1"/>
      <c r="N2494" s="1"/>
      <c r="O2494" s="1"/>
      <c r="P2494" s="1"/>
      <c r="Q2494" s="1"/>
    </row>
    <row r="2495" spans="1:17" x14ac:dyDescent="0.25">
      <c r="A2495" s="1" t="s">
        <v>1012</v>
      </c>
      <c r="B2495" s="1" t="s">
        <v>11011</v>
      </c>
      <c r="C2495" s="1" t="s">
        <v>10888</v>
      </c>
      <c r="D2495" s="1" t="s">
        <v>994</v>
      </c>
      <c r="E2495" s="1" t="s">
        <v>11012</v>
      </c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</row>
    <row r="2496" spans="1:17" x14ac:dyDescent="0.25">
      <c r="A2496" s="1" t="s">
        <v>998</v>
      </c>
      <c r="B2496" s="1" t="s">
        <v>999</v>
      </c>
      <c r="C2496" s="1" t="s">
        <v>994</v>
      </c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</row>
    <row r="2497" spans="1:17" x14ac:dyDescent="0.25">
      <c r="A2497" s="1" t="s">
        <v>998</v>
      </c>
      <c r="B2497" s="1" t="s">
        <v>993</v>
      </c>
      <c r="C2497" s="1" t="s">
        <v>994</v>
      </c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</row>
    <row r="2498" spans="1:17" x14ac:dyDescent="0.25">
      <c r="A2498" s="1" t="s">
        <v>25</v>
      </c>
      <c r="B2498" s="1" t="s">
        <v>923</v>
      </c>
      <c r="C2498" s="1" t="s">
        <v>927</v>
      </c>
      <c r="D2498" s="1" t="s">
        <v>916</v>
      </c>
      <c r="E2498" s="1" t="s">
        <v>921</v>
      </c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</row>
    <row r="2499" spans="1:17" x14ac:dyDescent="0.25">
      <c r="A2499" s="1" t="s">
        <v>25</v>
      </c>
      <c r="B2499" s="1" t="s">
        <v>923</v>
      </c>
      <c r="C2499" s="1" t="s">
        <v>1095</v>
      </c>
      <c r="D2499" s="1" t="s">
        <v>1096</v>
      </c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</row>
    <row r="2500" spans="1:17" x14ac:dyDescent="0.25">
      <c r="A2500" s="1" t="s">
        <v>1013</v>
      </c>
      <c r="B2500" s="1" t="s">
        <v>919</v>
      </c>
      <c r="C2500" s="1" t="s">
        <v>1037</v>
      </c>
      <c r="D2500" s="1" t="s">
        <v>918</v>
      </c>
      <c r="E2500" s="1" t="s">
        <v>936</v>
      </c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</row>
    <row r="2501" spans="1:17" x14ac:dyDescent="0.25">
      <c r="A2501" s="1" t="s">
        <v>10723</v>
      </c>
      <c r="B2501" s="1" t="s">
        <v>10724</v>
      </c>
      <c r="C2501" s="1" t="s">
        <v>1058</v>
      </c>
      <c r="D2501" s="1" t="s">
        <v>10725</v>
      </c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</row>
    <row r="2502" spans="1:17" x14ac:dyDescent="0.25">
      <c r="A2502" s="1" t="s">
        <v>50</v>
      </c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</row>
    <row r="2503" spans="1:17" x14ac:dyDescent="0.25">
      <c r="A2503" s="1" t="s">
        <v>11013</v>
      </c>
      <c r="B2503" s="1" t="s">
        <v>25</v>
      </c>
      <c r="C2503" s="1" t="s">
        <v>947</v>
      </c>
      <c r="D2503" s="1" t="s">
        <v>920</v>
      </c>
      <c r="E2503" s="1" t="s">
        <v>946</v>
      </c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</row>
    <row r="2504" spans="1:17" x14ac:dyDescent="0.25">
      <c r="A2504" s="1" t="s">
        <v>918</v>
      </c>
      <c r="B2504" s="1" t="s">
        <v>25</v>
      </c>
      <c r="C2504" s="1" t="s">
        <v>919</v>
      </c>
      <c r="D2504" s="1" t="s">
        <v>920</v>
      </c>
      <c r="E2504" s="1" t="s">
        <v>921</v>
      </c>
      <c r="F2504" s="1" t="s">
        <v>922</v>
      </c>
      <c r="G2504" s="1" t="s">
        <v>10964</v>
      </c>
      <c r="H2504" s="1" t="s">
        <v>929</v>
      </c>
      <c r="I2504" s="1"/>
      <c r="J2504" s="1"/>
      <c r="K2504" s="1"/>
      <c r="L2504" s="1"/>
      <c r="M2504" s="1"/>
      <c r="N2504" s="1"/>
      <c r="O2504" s="1"/>
      <c r="P2504" s="1"/>
      <c r="Q2504" s="1"/>
    </row>
    <row r="2505" spans="1:17" x14ac:dyDescent="0.25">
      <c r="A2505" s="1" t="s">
        <v>918</v>
      </c>
      <c r="B2505" s="1" t="s">
        <v>25</v>
      </c>
      <c r="C2505" s="1" t="s">
        <v>919</v>
      </c>
      <c r="D2505" s="1" t="s">
        <v>920</v>
      </c>
      <c r="E2505" s="1" t="s">
        <v>921</v>
      </c>
      <c r="F2505" s="1" t="s">
        <v>922</v>
      </c>
      <c r="G2505" s="1" t="s">
        <v>10964</v>
      </c>
      <c r="H2505" s="1" t="s">
        <v>936</v>
      </c>
      <c r="I2505" s="1" t="s">
        <v>929</v>
      </c>
      <c r="J2505" s="1"/>
      <c r="K2505" s="1"/>
      <c r="L2505" s="1"/>
      <c r="M2505" s="1"/>
      <c r="N2505" s="1"/>
      <c r="O2505" s="1"/>
      <c r="P2505" s="1"/>
      <c r="Q2505" s="1"/>
    </row>
    <row r="2506" spans="1:17" x14ac:dyDescent="0.25">
      <c r="A2506" s="1" t="s">
        <v>918</v>
      </c>
      <c r="B2506" s="1" t="s">
        <v>25</v>
      </c>
      <c r="C2506" s="1" t="s">
        <v>919</v>
      </c>
      <c r="D2506" s="1" t="s">
        <v>920</v>
      </c>
      <c r="E2506" s="1" t="s">
        <v>921</v>
      </c>
      <c r="F2506" s="1" t="s">
        <v>922</v>
      </c>
      <c r="G2506" s="1" t="s">
        <v>10964</v>
      </c>
      <c r="H2506" s="1" t="s">
        <v>927</v>
      </c>
      <c r="I2506" s="1" t="s">
        <v>939</v>
      </c>
      <c r="J2506" s="1" t="s">
        <v>928</v>
      </c>
      <c r="K2506" s="1" t="s">
        <v>929</v>
      </c>
      <c r="L2506" s="1"/>
      <c r="M2506" s="1"/>
      <c r="N2506" s="1"/>
      <c r="O2506" s="1"/>
      <c r="P2506" s="1"/>
      <c r="Q2506" s="1"/>
    </row>
    <row r="2507" spans="1:17" x14ac:dyDescent="0.25">
      <c r="A2507" s="1" t="s">
        <v>918</v>
      </c>
      <c r="B2507" s="1" t="s">
        <v>25</v>
      </c>
      <c r="C2507" s="1" t="s">
        <v>919</v>
      </c>
      <c r="D2507" s="1" t="s">
        <v>920</v>
      </c>
      <c r="E2507" s="1" t="s">
        <v>921</v>
      </c>
      <c r="F2507" s="1" t="s">
        <v>922</v>
      </c>
      <c r="G2507" s="1" t="s">
        <v>10964</v>
      </c>
      <c r="H2507" s="1" t="s">
        <v>927</v>
      </c>
      <c r="I2507" s="1" t="s">
        <v>936</v>
      </c>
      <c r="J2507" s="1" t="s">
        <v>1108</v>
      </c>
      <c r="K2507" s="1" t="s">
        <v>960</v>
      </c>
      <c r="L2507" s="1" t="s">
        <v>961</v>
      </c>
      <c r="M2507" s="1"/>
      <c r="N2507" s="1"/>
      <c r="O2507" s="1"/>
      <c r="P2507" s="1"/>
      <c r="Q2507" s="1"/>
    </row>
    <row r="2508" spans="1:17" x14ac:dyDescent="0.25">
      <c r="A2508" s="1" t="s">
        <v>918</v>
      </c>
      <c r="B2508" s="1" t="s">
        <v>25</v>
      </c>
      <c r="C2508" s="1" t="s">
        <v>919</v>
      </c>
      <c r="D2508" s="1" t="s">
        <v>920</v>
      </c>
      <c r="E2508" s="1" t="s">
        <v>921</v>
      </c>
      <c r="F2508" s="1" t="s">
        <v>922</v>
      </c>
      <c r="G2508" s="1" t="s">
        <v>10964</v>
      </c>
      <c r="H2508" s="1" t="s">
        <v>10849</v>
      </c>
      <c r="I2508" s="1" t="s">
        <v>924</v>
      </c>
      <c r="J2508" s="1" t="s">
        <v>936</v>
      </c>
      <c r="K2508" s="1" t="s">
        <v>929</v>
      </c>
      <c r="L2508" s="1"/>
      <c r="M2508" s="1"/>
      <c r="N2508" s="1"/>
      <c r="O2508" s="1"/>
      <c r="P2508" s="1"/>
      <c r="Q2508" s="1"/>
    </row>
    <row r="2509" spans="1:17" x14ac:dyDescent="0.25">
      <c r="A2509" s="1" t="s">
        <v>918</v>
      </c>
      <c r="B2509" s="1" t="s">
        <v>25</v>
      </c>
      <c r="C2509" s="1" t="s">
        <v>919</v>
      </c>
      <c r="D2509" s="1" t="s">
        <v>920</v>
      </c>
      <c r="E2509" s="1" t="s">
        <v>921</v>
      </c>
      <c r="F2509" s="1" t="s">
        <v>922</v>
      </c>
      <c r="G2509" s="1" t="s">
        <v>10964</v>
      </c>
      <c r="H2509" s="1" t="s">
        <v>936</v>
      </c>
      <c r="I2509" s="1"/>
      <c r="J2509" s="1"/>
      <c r="K2509" s="1"/>
      <c r="L2509" s="1"/>
      <c r="M2509" s="1"/>
      <c r="N2509" s="1"/>
      <c r="O2509" s="1"/>
      <c r="P2509" s="1"/>
      <c r="Q2509" s="1"/>
    </row>
    <row r="2510" spans="1:17" x14ac:dyDescent="0.25">
      <c r="A2510" s="1" t="s">
        <v>918</v>
      </c>
      <c r="B2510" s="1" t="s">
        <v>927</v>
      </c>
      <c r="C2510" s="1" t="s">
        <v>919</v>
      </c>
      <c r="D2510" s="1" t="s">
        <v>936</v>
      </c>
      <c r="E2510" s="1" t="s">
        <v>929</v>
      </c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</row>
    <row r="2511" spans="1:17" x14ac:dyDescent="0.25">
      <c r="A2511" s="1" t="s">
        <v>918</v>
      </c>
      <c r="B2511" s="1" t="s">
        <v>927</v>
      </c>
      <c r="C2511" s="1" t="s">
        <v>919</v>
      </c>
      <c r="D2511" s="1" t="s">
        <v>936</v>
      </c>
      <c r="E2511" s="1" t="s">
        <v>929</v>
      </c>
      <c r="F2511" s="1" t="s">
        <v>964</v>
      </c>
      <c r="G2511" s="1" t="s">
        <v>1109</v>
      </c>
      <c r="H2511" s="1"/>
      <c r="I2511" s="1"/>
      <c r="J2511" s="1"/>
      <c r="K2511" s="1"/>
      <c r="L2511" s="1"/>
      <c r="M2511" s="1"/>
      <c r="N2511" s="1"/>
      <c r="O2511" s="1"/>
      <c r="P2511" s="1"/>
      <c r="Q2511" s="1"/>
    </row>
    <row r="2512" spans="1:17" x14ac:dyDescent="0.25">
      <c r="A2512" s="1" t="s">
        <v>934</v>
      </c>
      <c r="B2512" s="1" t="s">
        <v>918</v>
      </c>
      <c r="C2512" s="1" t="s">
        <v>25</v>
      </c>
      <c r="D2512" s="1" t="s">
        <v>919</v>
      </c>
      <c r="E2512" s="1" t="s">
        <v>920</v>
      </c>
      <c r="F2512" s="1" t="s">
        <v>924</v>
      </c>
      <c r="G2512" s="1" t="s">
        <v>949</v>
      </c>
      <c r="H2512" s="1" t="s">
        <v>923</v>
      </c>
      <c r="I2512" s="1" t="s">
        <v>974</v>
      </c>
      <c r="J2512" s="1" t="s">
        <v>921</v>
      </c>
      <c r="K2512" s="1" t="s">
        <v>973</v>
      </c>
      <c r="L2512" s="1" t="s">
        <v>933</v>
      </c>
      <c r="M2512" s="1" t="s">
        <v>954</v>
      </c>
      <c r="N2512" s="1"/>
      <c r="O2512" s="1"/>
      <c r="P2512" s="1"/>
      <c r="Q2512" s="1"/>
    </row>
    <row r="2513" spans="1:17" x14ac:dyDescent="0.25">
      <c r="A2513" s="1" t="s">
        <v>25</v>
      </c>
      <c r="B2513" s="1" t="s">
        <v>923</v>
      </c>
      <c r="C2513" s="1" t="s">
        <v>920</v>
      </c>
      <c r="D2513" s="1" t="s">
        <v>933</v>
      </c>
      <c r="E2513" s="1" t="s">
        <v>954</v>
      </c>
      <c r="F2513" s="1" t="s">
        <v>974</v>
      </c>
      <c r="G2513" s="1" t="s">
        <v>921</v>
      </c>
      <c r="H2513" s="1"/>
      <c r="I2513" s="1"/>
      <c r="J2513" s="1"/>
      <c r="K2513" s="1"/>
      <c r="L2513" s="1"/>
      <c r="M2513" s="1"/>
      <c r="N2513" s="1"/>
      <c r="O2513" s="1"/>
      <c r="P2513" s="1"/>
      <c r="Q2513" s="1"/>
    </row>
    <row r="2514" spans="1:17" x14ac:dyDescent="0.25">
      <c r="A2514" s="1" t="s">
        <v>918</v>
      </c>
      <c r="B2514" s="1" t="s">
        <v>1110</v>
      </c>
      <c r="C2514" s="1" t="s">
        <v>25</v>
      </c>
      <c r="D2514" s="1" t="s">
        <v>923</v>
      </c>
      <c r="E2514" s="1" t="s">
        <v>919</v>
      </c>
      <c r="F2514" s="1" t="s">
        <v>920</v>
      </c>
      <c r="G2514" s="1" t="s">
        <v>954</v>
      </c>
      <c r="H2514" s="1" t="s">
        <v>328</v>
      </c>
      <c r="I2514" s="1" t="s">
        <v>921</v>
      </c>
      <c r="J2514" s="1" t="s">
        <v>840</v>
      </c>
      <c r="K2514" s="1"/>
      <c r="L2514" s="1"/>
      <c r="M2514" s="1"/>
      <c r="N2514" s="1"/>
      <c r="O2514" s="1"/>
      <c r="P2514" s="1"/>
      <c r="Q2514" s="1"/>
    </row>
    <row r="2515" spans="1:17" x14ac:dyDescent="0.25">
      <c r="A2515" s="1" t="s">
        <v>1053</v>
      </c>
      <c r="B2515" s="1" t="s">
        <v>256</v>
      </c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</row>
    <row r="2516" spans="1:17" x14ac:dyDescent="0.25">
      <c r="A2516" s="1" t="s">
        <v>1053</v>
      </c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</row>
    <row r="2517" spans="1:17" x14ac:dyDescent="0.25">
      <c r="A2517" s="1" t="s">
        <v>1053</v>
      </c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</row>
    <row r="2518" spans="1:17" x14ac:dyDescent="0.25">
      <c r="A2518" s="1" t="s">
        <v>918</v>
      </c>
      <c r="B2518" s="1" t="s">
        <v>25</v>
      </c>
      <c r="C2518" s="1" t="s">
        <v>923</v>
      </c>
      <c r="D2518" s="1" t="s">
        <v>1078</v>
      </c>
      <c r="E2518" s="1" t="s">
        <v>919</v>
      </c>
      <c r="F2518" s="1" t="s">
        <v>920</v>
      </c>
      <c r="G2518" s="1" t="s">
        <v>924</v>
      </c>
      <c r="H2518" s="1" t="s">
        <v>921</v>
      </c>
      <c r="I2518" s="1" t="s">
        <v>10948</v>
      </c>
      <c r="J2518" s="1" t="s">
        <v>1088</v>
      </c>
      <c r="K2518" s="1"/>
      <c r="L2518" s="1"/>
      <c r="M2518" s="1"/>
      <c r="N2518" s="1"/>
      <c r="O2518" s="1"/>
      <c r="P2518" s="1"/>
      <c r="Q2518" s="1"/>
    </row>
    <row r="2519" spans="1:17" x14ac:dyDescent="0.25">
      <c r="A2519" s="1" t="s">
        <v>918</v>
      </c>
      <c r="B2519" s="1" t="s">
        <v>25</v>
      </c>
      <c r="C2519" s="1" t="s">
        <v>923</v>
      </c>
      <c r="D2519" s="1" t="s">
        <v>919</v>
      </c>
      <c r="E2519" s="1" t="s">
        <v>920</v>
      </c>
      <c r="F2519" s="1" t="s">
        <v>921</v>
      </c>
      <c r="G2519" s="1" t="s">
        <v>1031</v>
      </c>
      <c r="H2519" s="1" t="s">
        <v>916</v>
      </c>
      <c r="I2519" s="1" t="s">
        <v>954</v>
      </c>
      <c r="J2519" s="1" t="s">
        <v>974</v>
      </c>
      <c r="K2519" s="1" t="s">
        <v>1033</v>
      </c>
      <c r="L2519" s="1"/>
      <c r="M2519" s="1"/>
      <c r="N2519" s="1"/>
      <c r="O2519" s="1"/>
      <c r="P2519" s="1"/>
      <c r="Q2519" s="1"/>
    </row>
    <row r="2520" spans="1:17" x14ac:dyDescent="0.25">
      <c r="A2520" s="1" t="s">
        <v>918</v>
      </c>
      <c r="B2520" s="1" t="s">
        <v>1031</v>
      </c>
      <c r="C2520" s="1" t="s">
        <v>25</v>
      </c>
      <c r="D2520" s="1" t="s">
        <v>923</v>
      </c>
      <c r="E2520" s="1" t="s">
        <v>976</v>
      </c>
      <c r="F2520" s="1" t="s">
        <v>916</v>
      </c>
      <c r="G2520" s="1" t="s">
        <v>920</v>
      </c>
      <c r="H2520" s="1" t="s">
        <v>921</v>
      </c>
      <c r="I2520" s="1" t="s">
        <v>1033</v>
      </c>
      <c r="J2520" s="1" t="s">
        <v>1000</v>
      </c>
      <c r="K2520" s="1"/>
      <c r="L2520" s="1"/>
      <c r="M2520" s="1"/>
      <c r="N2520" s="1"/>
      <c r="O2520" s="1"/>
      <c r="P2520" s="1"/>
      <c r="Q2520" s="1"/>
    </row>
    <row r="2521" spans="1:17" x14ac:dyDescent="0.25">
      <c r="A2521" s="1" t="s">
        <v>996</v>
      </c>
      <c r="B2521" s="1" t="s">
        <v>10876</v>
      </c>
      <c r="C2521" s="1" t="s">
        <v>2541</v>
      </c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</row>
    <row r="2522" spans="1:17" x14ac:dyDescent="0.25">
      <c r="A2522" s="1" t="s">
        <v>996</v>
      </c>
      <c r="B2522" s="1" t="s">
        <v>933</v>
      </c>
      <c r="C2522" s="1" t="s">
        <v>994</v>
      </c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</row>
    <row r="2523" spans="1:17" x14ac:dyDescent="0.25">
      <c r="A2523" s="1" t="s">
        <v>933</v>
      </c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</row>
    <row r="2524" spans="1:17" x14ac:dyDescent="0.25">
      <c r="A2524" s="1" t="s">
        <v>1001</v>
      </c>
      <c r="B2524" s="1" t="s">
        <v>927</v>
      </c>
      <c r="C2524" s="1" t="s">
        <v>981</v>
      </c>
      <c r="D2524" s="1" t="s">
        <v>919</v>
      </c>
      <c r="E2524" s="1" t="s">
        <v>921</v>
      </c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</row>
    <row r="2525" spans="1:17" x14ac:dyDescent="0.25">
      <c r="A2525" s="1" t="s">
        <v>996</v>
      </c>
      <c r="B2525" s="1" t="s">
        <v>948</v>
      </c>
      <c r="C2525" s="1" t="s">
        <v>10788</v>
      </c>
      <c r="D2525" s="1" t="s">
        <v>25</v>
      </c>
      <c r="E2525" s="1" t="s">
        <v>923</v>
      </c>
      <c r="F2525" s="1" t="s">
        <v>997</v>
      </c>
      <c r="G2525" s="1" t="s">
        <v>1086</v>
      </c>
      <c r="H2525" s="1" t="s">
        <v>920</v>
      </c>
      <c r="I2525" s="1" t="s">
        <v>1147</v>
      </c>
      <c r="J2525" s="1"/>
      <c r="K2525" s="1"/>
      <c r="L2525" s="1"/>
      <c r="M2525" s="1"/>
      <c r="N2525" s="1"/>
      <c r="O2525" s="1"/>
      <c r="P2525" s="1"/>
      <c r="Q2525" s="1"/>
    </row>
    <row r="2526" spans="1:17" x14ac:dyDescent="0.25">
      <c r="A2526" s="1" t="s">
        <v>25</v>
      </c>
      <c r="B2526" s="1" t="s">
        <v>927</v>
      </c>
      <c r="C2526" s="1" t="s">
        <v>10837</v>
      </c>
      <c r="D2526" s="1" t="s">
        <v>981</v>
      </c>
      <c r="E2526" s="1" t="s">
        <v>994</v>
      </c>
      <c r="F2526" s="1" t="s">
        <v>975</v>
      </c>
      <c r="G2526" s="1" t="s">
        <v>982</v>
      </c>
      <c r="H2526" s="1" t="s">
        <v>921</v>
      </c>
      <c r="I2526" s="1" t="s">
        <v>1060</v>
      </c>
      <c r="J2526" s="1"/>
      <c r="K2526" s="1"/>
      <c r="L2526" s="1"/>
      <c r="M2526" s="1"/>
      <c r="N2526" s="1"/>
      <c r="O2526" s="1"/>
      <c r="P2526" s="1"/>
      <c r="Q2526" s="1"/>
    </row>
    <row r="2527" spans="1:17" x14ac:dyDescent="0.25">
      <c r="A2527" s="1" t="s">
        <v>10723</v>
      </c>
      <c r="B2527" s="1" t="s">
        <v>10724</v>
      </c>
      <c r="C2527" s="1" t="s">
        <v>1058</v>
      </c>
      <c r="D2527" s="1" t="s">
        <v>10725</v>
      </c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</row>
    <row r="2528" spans="1:17" x14ac:dyDescent="0.25">
      <c r="A2528" s="1" t="s">
        <v>918</v>
      </c>
      <c r="B2528" s="1" t="s">
        <v>1031</v>
      </c>
      <c r="C2528" s="1" t="s">
        <v>25</v>
      </c>
      <c r="D2528" s="1" t="s">
        <v>923</v>
      </c>
      <c r="E2528" s="1" t="s">
        <v>976</v>
      </c>
      <c r="F2528" s="1" t="s">
        <v>916</v>
      </c>
      <c r="G2528" s="1" t="s">
        <v>920</v>
      </c>
      <c r="H2528" s="1" t="s">
        <v>921</v>
      </c>
      <c r="I2528" s="1" t="s">
        <v>1033</v>
      </c>
      <c r="J2528" s="1"/>
      <c r="K2528" s="1"/>
      <c r="L2528" s="1"/>
      <c r="M2528" s="1"/>
      <c r="N2528" s="1"/>
      <c r="O2528" s="1"/>
      <c r="P2528" s="1"/>
      <c r="Q2528" s="1"/>
    </row>
    <row r="2529" spans="1:17" x14ac:dyDescent="0.25">
      <c r="A2529" s="1" t="s">
        <v>918</v>
      </c>
      <c r="B2529" s="1" t="s">
        <v>25</v>
      </c>
      <c r="C2529" s="1" t="s">
        <v>919</v>
      </c>
      <c r="D2529" s="1" t="s">
        <v>920</v>
      </c>
      <c r="E2529" s="1" t="s">
        <v>921</v>
      </c>
      <c r="F2529" s="1" t="s">
        <v>922</v>
      </c>
      <c r="G2529" s="1" t="s">
        <v>10738</v>
      </c>
      <c r="H2529" s="1" t="s">
        <v>1114</v>
      </c>
      <c r="I2529" s="1" t="s">
        <v>930</v>
      </c>
      <c r="J2529" s="1" t="s">
        <v>945</v>
      </c>
      <c r="K2529" s="1"/>
      <c r="L2529" s="1"/>
      <c r="M2529" s="1"/>
      <c r="N2529" s="1"/>
      <c r="O2529" s="1"/>
      <c r="P2529" s="1"/>
      <c r="Q2529" s="1"/>
    </row>
    <row r="2530" spans="1:17" x14ac:dyDescent="0.25">
      <c r="A2530" s="1" t="s">
        <v>918</v>
      </c>
      <c r="B2530" s="1" t="s">
        <v>25</v>
      </c>
      <c r="C2530" s="1" t="s">
        <v>919</v>
      </c>
      <c r="D2530" s="1" t="s">
        <v>920</v>
      </c>
      <c r="E2530" s="1" t="s">
        <v>921</v>
      </c>
      <c r="F2530" s="1" t="s">
        <v>922</v>
      </c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</row>
    <row r="2531" spans="1:17" x14ac:dyDescent="0.25">
      <c r="A2531" s="1" t="s">
        <v>918</v>
      </c>
      <c r="B2531" s="1" t="s">
        <v>25</v>
      </c>
      <c r="C2531" s="1" t="s">
        <v>919</v>
      </c>
      <c r="D2531" s="1" t="s">
        <v>920</v>
      </c>
      <c r="E2531" s="1" t="s">
        <v>921</v>
      </c>
      <c r="F2531" s="1" t="s">
        <v>922</v>
      </c>
      <c r="G2531" s="1" t="s">
        <v>952</v>
      </c>
      <c r="H2531" s="1" t="s">
        <v>929</v>
      </c>
      <c r="I2531" s="1"/>
      <c r="J2531" s="1"/>
      <c r="K2531" s="1"/>
      <c r="L2531" s="1"/>
      <c r="M2531" s="1"/>
      <c r="N2531" s="1"/>
      <c r="O2531" s="1"/>
      <c r="P2531" s="1"/>
      <c r="Q2531" s="1"/>
    </row>
    <row r="2532" spans="1:17" x14ac:dyDescent="0.25">
      <c r="A2532" s="1" t="s">
        <v>918</v>
      </c>
      <c r="B2532" s="1" t="s">
        <v>25</v>
      </c>
      <c r="C2532" s="1" t="s">
        <v>923</v>
      </c>
      <c r="D2532" s="1" t="s">
        <v>916</v>
      </c>
      <c r="E2532" s="1" t="s">
        <v>919</v>
      </c>
      <c r="F2532" s="1" t="s">
        <v>924</v>
      </c>
      <c r="G2532" s="1" t="s">
        <v>974</v>
      </c>
      <c r="H2532" s="1" t="s">
        <v>922</v>
      </c>
      <c r="I2532" s="1" t="s">
        <v>958</v>
      </c>
      <c r="J2532" s="1" t="s">
        <v>955</v>
      </c>
      <c r="K2532" s="1" t="s">
        <v>986</v>
      </c>
      <c r="L2532" s="1" t="s">
        <v>1040</v>
      </c>
      <c r="M2532" s="1" t="s">
        <v>941</v>
      </c>
      <c r="N2532" s="1" t="s">
        <v>1014</v>
      </c>
      <c r="O2532" s="1" t="s">
        <v>956</v>
      </c>
      <c r="P2532" s="1"/>
      <c r="Q2532" s="1"/>
    </row>
    <row r="2533" spans="1:17" x14ac:dyDescent="0.25">
      <c r="A2533" s="1" t="s">
        <v>918</v>
      </c>
      <c r="B2533" s="1" t="s">
        <v>25</v>
      </c>
      <c r="C2533" s="1" t="s">
        <v>923</v>
      </c>
      <c r="D2533" s="1" t="s">
        <v>916</v>
      </c>
      <c r="E2533" s="1" t="s">
        <v>919</v>
      </c>
      <c r="F2533" s="1" t="s">
        <v>924</v>
      </c>
      <c r="G2533" s="1" t="s">
        <v>974</v>
      </c>
      <c r="H2533" s="1" t="s">
        <v>922</v>
      </c>
      <c r="I2533" s="1" t="s">
        <v>955</v>
      </c>
      <c r="J2533" s="1" t="s">
        <v>936</v>
      </c>
      <c r="K2533" s="1" t="s">
        <v>10762</v>
      </c>
      <c r="L2533" s="1" t="s">
        <v>1014</v>
      </c>
      <c r="M2533" s="1" t="s">
        <v>944</v>
      </c>
      <c r="N2533" s="1" t="s">
        <v>956</v>
      </c>
      <c r="O2533" s="1"/>
      <c r="P2533" s="1"/>
      <c r="Q2533" s="1"/>
    </row>
    <row r="2534" spans="1:17" x14ac:dyDescent="0.25">
      <c r="A2534" s="1" t="s">
        <v>918</v>
      </c>
      <c r="B2534" s="1" t="s">
        <v>25</v>
      </c>
      <c r="C2534" s="1" t="s">
        <v>923</v>
      </c>
      <c r="D2534" s="1" t="s">
        <v>916</v>
      </c>
      <c r="E2534" s="1" t="s">
        <v>919</v>
      </c>
      <c r="F2534" s="1" t="s">
        <v>924</v>
      </c>
      <c r="G2534" s="1" t="s">
        <v>974</v>
      </c>
      <c r="H2534" s="1" t="s">
        <v>922</v>
      </c>
      <c r="I2534" s="1" t="s">
        <v>932</v>
      </c>
      <c r="J2534" s="1" t="s">
        <v>1031</v>
      </c>
      <c r="K2534" s="1" t="s">
        <v>920</v>
      </c>
      <c r="L2534" s="1" t="s">
        <v>921</v>
      </c>
      <c r="M2534" s="1"/>
      <c r="N2534" s="1"/>
      <c r="O2534" s="1"/>
      <c r="P2534" s="1"/>
      <c r="Q2534" s="1"/>
    </row>
    <row r="2535" spans="1:17" x14ac:dyDescent="0.25">
      <c r="A2535" s="1" t="s">
        <v>918</v>
      </c>
      <c r="B2535" s="1" t="s">
        <v>25</v>
      </c>
      <c r="C2535" s="1" t="s">
        <v>923</v>
      </c>
      <c r="D2535" s="1" t="s">
        <v>916</v>
      </c>
      <c r="E2535" s="1" t="s">
        <v>919</v>
      </c>
      <c r="F2535" s="1" t="s">
        <v>924</v>
      </c>
      <c r="G2535" s="1" t="s">
        <v>974</v>
      </c>
      <c r="H2535" s="1" t="s">
        <v>922</v>
      </c>
      <c r="I2535" s="1"/>
      <c r="J2535" s="1"/>
      <c r="K2535" s="1"/>
      <c r="L2535" s="1"/>
      <c r="M2535" s="1"/>
      <c r="N2535" s="1"/>
      <c r="O2535" s="1"/>
      <c r="P2535" s="1"/>
      <c r="Q2535" s="1"/>
    </row>
    <row r="2536" spans="1:17" x14ac:dyDescent="0.25">
      <c r="A2536" s="1" t="s">
        <v>918</v>
      </c>
      <c r="B2536" s="1" t="s">
        <v>25</v>
      </c>
      <c r="C2536" s="1" t="s">
        <v>923</v>
      </c>
      <c r="D2536" s="1" t="s">
        <v>916</v>
      </c>
      <c r="E2536" s="1" t="s">
        <v>919</v>
      </c>
      <c r="F2536" s="1" t="s">
        <v>924</v>
      </c>
      <c r="G2536" s="1" t="s">
        <v>974</v>
      </c>
      <c r="H2536" s="1" t="s">
        <v>922</v>
      </c>
      <c r="I2536" s="1" t="s">
        <v>1107</v>
      </c>
      <c r="J2536" s="1" t="s">
        <v>945</v>
      </c>
      <c r="K2536" s="1"/>
      <c r="L2536" s="1"/>
      <c r="M2536" s="1"/>
      <c r="N2536" s="1"/>
      <c r="O2536" s="1"/>
      <c r="P2536" s="1"/>
      <c r="Q2536" s="1"/>
    </row>
    <row r="2537" spans="1:17" x14ac:dyDescent="0.25">
      <c r="A2537" s="1" t="s">
        <v>918</v>
      </c>
      <c r="B2537" s="1" t="s">
        <v>25</v>
      </c>
      <c r="C2537" s="1" t="s">
        <v>923</v>
      </c>
      <c r="D2537" s="1" t="s">
        <v>916</v>
      </c>
      <c r="E2537" s="1" t="s">
        <v>919</v>
      </c>
      <c r="F2537" s="1" t="s">
        <v>924</v>
      </c>
      <c r="G2537" s="1" t="s">
        <v>974</v>
      </c>
      <c r="H2537" s="1" t="s">
        <v>922</v>
      </c>
      <c r="I2537" s="1"/>
      <c r="J2537" s="1"/>
      <c r="K2537" s="1"/>
      <c r="L2537" s="1"/>
      <c r="M2537" s="1"/>
      <c r="N2537" s="1"/>
      <c r="O2537" s="1"/>
      <c r="P2537" s="1"/>
      <c r="Q2537" s="1"/>
    </row>
    <row r="2538" spans="1:17" x14ac:dyDescent="0.25">
      <c r="A2538" s="1" t="s">
        <v>918</v>
      </c>
      <c r="B2538" s="1" t="s">
        <v>25</v>
      </c>
      <c r="C2538" s="1" t="s">
        <v>923</v>
      </c>
      <c r="D2538" s="1" t="s">
        <v>916</v>
      </c>
      <c r="E2538" s="1" t="s">
        <v>919</v>
      </c>
      <c r="F2538" s="1" t="s">
        <v>920</v>
      </c>
      <c r="G2538" s="1" t="s">
        <v>924</v>
      </c>
      <c r="H2538" s="1" t="s">
        <v>921</v>
      </c>
      <c r="I2538" s="1" t="s">
        <v>922</v>
      </c>
      <c r="J2538" s="1" t="s">
        <v>1031</v>
      </c>
      <c r="K2538" s="1" t="s">
        <v>976</v>
      </c>
      <c r="L2538" s="1" t="s">
        <v>1033</v>
      </c>
      <c r="M2538" s="1" t="s">
        <v>1001</v>
      </c>
      <c r="N2538" s="1" t="s">
        <v>927</v>
      </c>
      <c r="O2538" s="1" t="s">
        <v>936</v>
      </c>
      <c r="P2538" s="1"/>
      <c r="Q2538" s="1"/>
    </row>
    <row r="2539" spans="1:17" x14ac:dyDescent="0.25">
      <c r="A2539" s="1" t="s">
        <v>955</v>
      </c>
      <c r="B2539" s="1" t="s">
        <v>1071</v>
      </c>
      <c r="C2539" s="1" t="s">
        <v>1014</v>
      </c>
      <c r="D2539" s="1" t="s">
        <v>975</v>
      </c>
      <c r="E2539" s="1" t="s">
        <v>939</v>
      </c>
      <c r="F2539" s="1" t="s">
        <v>983</v>
      </c>
      <c r="G2539" s="1" t="s">
        <v>984</v>
      </c>
      <c r="H2539" s="1" t="s">
        <v>1060</v>
      </c>
      <c r="I2539" s="1"/>
      <c r="J2539" s="1"/>
      <c r="K2539" s="1"/>
      <c r="L2539" s="1"/>
      <c r="M2539" s="1"/>
      <c r="N2539" s="1"/>
      <c r="O2539" s="1"/>
      <c r="P2539" s="1"/>
      <c r="Q2539" s="1"/>
    </row>
    <row r="2540" spans="1:17" x14ac:dyDescent="0.25">
      <c r="A2540" s="1" t="s">
        <v>975</v>
      </c>
      <c r="B2540" s="1" t="s">
        <v>964</v>
      </c>
      <c r="C2540" s="1" t="s">
        <v>976</v>
      </c>
      <c r="D2540" s="1" t="s">
        <v>939</v>
      </c>
      <c r="E2540" s="1" t="s">
        <v>1060</v>
      </c>
      <c r="F2540" s="1" t="s">
        <v>982</v>
      </c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</row>
    <row r="2541" spans="1:17" x14ac:dyDescent="0.25">
      <c r="A2541" s="1" t="s">
        <v>918</v>
      </c>
      <c r="B2541" s="1" t="s">
        <v>25</v>
      </c>
      <c r="C2541" s="1" t="s">
        <v>923</v>
      </c>
      <c r="D2541" s="1" t="s">
        <v>916</v>
      </c>
      <c r="E2541" s="1" t="s">
        <v>919</v>
      </c>
      <c r="F2541" s="1" t="s">
        <v>924</v>
      </c>
      <c r="G2541" s="1" t="s">
        <v>974</v>
      </c>
      <c r="H2541" s="1" t="s">
        <v>922</v>
      </c>
      <c r="I2541" s="1" t="s">
        <v>929</v>
      </c>
      <c r="J2541" s="1" t="s">
        <v>1030</v>
      </c>
      <c r="K2541" s="1" t="s">
        <v>1013</v>
      </c>
      <c r="L2541" s="1" t="s">
        <v>930</v>
      </c>
      <c r="M2541" s="1"/>
      <c r="N2541" s="1"/>
      <c r="O2541" s="1"/>
      <c r="P2541" s="1"/>
      <c r="Q2541" s="1"/>
    </row>
    <row r="2542" spans="1:17" x14ac:dyDescent="0.25">
      <c r="A2542" s="1" t="s">
        <v>918</v>
      </c>
      <c r="B2542" s="1" t="s">
        <v>25</v>
      </c>
      <c r="C2542" s="1" t="s">
        <v>919</v>
      </c>
      <c r="D2542" s="1" t="s">
        <v>920</v>
      </c>
      <c r="E2542" s="1" t="s">
        <v>921</v>
      </c>
      <c r="F2542" s="1" t="s">
        <v>922</v>
      </c>
      <c r="G2542" s="1" t="s">
        <v>936</v>
      </c>
      <c r="H2542" s="1" t="s">
        <v>10841</v>
      </c>
      <c r="I2542" s="1" t="s">
        <v>4726</v>
      </c>
      <c r="J2542" s="1"/>
      <c r="K2542" s="1"/>
      <c r="L2542" s="1"/>
      <c r="M2542" s="1"/>
      <c r="N2542" s="1"/>
      <c r="O2542" s="1"/>
      <c r="P2542" s="1"/>
      <c r="Q2542" s="1"/>
    </row>
    <row r="2543" spans="1:17" x14ac:dyDescent="0.25">
      <c r="A2543" s="1" t="s">
        <v>1011</v>
      </c>
      <c r="B2543" s="1" t="s">
        <v>999</v>
      </c>
      <c r="C2543" s="1" t="s">
        <v>921</v>
      </c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</row>
    <row r="2544" spans="1:17" x14ac:dyDescent="0.25">
      <c r="A2544" s="1" t="s">
        <v>918</v>
      </c>
      <c r="B2544" s="1" t="s">
        <v>25</v>
      </c>
      <c r="C2544" s="1" t="s">
        <v>947</v>
      </c>
      <c r="D2544" s="1" t="s">
        <v>920</v>
      </c>
      <c r="E2544" s="1" t="s">
        <v>328</v>
      </c>
      <c r="F2544" s="1" t="s">
        <v>921</v>
      </c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</row>
    <row r="2545" spans="1:17" x14ac:dyDescent="0.25">
      <c r="A2545" s="1" t="s">
        <v>918</v>
      </c>
      <c r="B2545" s="1" t="s">
        <v>25</v>
      </c>
      <c r="C2545" s="1" t="s">
        <v>923</v>
      </c>
      <c r="D2545" s="1" t="s">
        <v>965</v>
      </c>
      <c r="E2545" s="1" t="s">
        <v>840</v>
      </c>
      <c r="F2545" s="1" t="s">
        <v>920</v>
      </c>
      <c r="G2545" s="1" t="s">
        <v>954</v>
      </c>
      <c r="H2545" s="1"/>
      <c r="I2545" s="1"/>
      <c r="J2545" s="1"/>
      <c r="K2545" s="1"/>
      <c r="L2545" s="1"/>
      <c r="M2545" s="1"/>
      <c r="N2545" s="1"/>
      <c r="O2545" s="1"/>
      <c r="P2545" s="1"/>
      <c r="Q2545" s="1"/>
    </row>
    <row r="2546" spans="1:17" x14ac:dyDescent="0.25">
      <c r="A2546" s="1" t="s">
        <v>918</v>
      </c>
      <c r="B2546" s="1" t="s">
        <v>25</v>
      </c>
      <c r="C2546" s="1" t="s">
        <v>923</v>
      </c>
      <c r="D2546" s="1" t="s">
        <v>919</v>
      </c>
      <c r="E2546" s="1" t="s">
        <v>920</v>
      </c>
      <c r="F2546" s="1" t="s">
        <v>921</v>
      </c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</row>
    <row r="2547" spans="1:17" x14ac:dyDescent="0.25">
      <c r="A2547" s="1" t="s">
        <v>918</v>
      </c>
      <c r="B2547" s="1" t="s">
        <v>971</v>
      </c>
      <c r="C2547" s="1" t="s">
        <v>940</v>
      </c>
      <c r="D2547" s="1" t="s">
        <v>25</v>
      </c>
      <c r="E2547" s="1" t="s">
        <v>947</v>
      </c>
      <c r="F2547" s="1" t="s">
        <v>919</v>
      </c>
      <c r="G2547" s="1" t="s">
        <v>920</v>
      </c>
      <c r="H2547" s="1" t="s">
        <v>921</v>
      </c>
      <c r="I2547" s="1" t="s">
        <v>952</v>
      </c>
      <c r="J2547" s="1" t="s">
        <v>1037</v>
      </c>
      <c r="K2547" s="1"/>
      <c r="L2547" s="1"/>
      <c r="M2547" s="1"/>
      <c r="N2547" s="1"/>
      <c r="O2547" s="1"/>
      <c r="P2547" s="1"/>
      <c r="Q2547" s="1"/>
    </row>
    <row r="2548" spans="1:17" x14ac:dyDescent="0.25">
      <c r="A2548" s="1" t="s">
        <v>975</v>
      </c>
      <c r="B2548" s="1" t="s">
        <v>976</v>
      </c>
      <c r="C2548" s="1" t="s">
        <v>982</v>
      </c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</row>
    <row r="2549" spans="1:17" x14ac:dyDescent="0.25">
      <c r="A2549" s="1" t="s">
        <v>948</v>
      </c>
      <c r="B2549" s="1" t="s">
        <v>918</v>
      </c>
      <c r="C2549" s="1" t="s">
        <v>25</v>
      </c>
      <c r="D2549" s="1" t="s">
        <v>919</v>
      </c>
      <c r="E2549" s="1" t="s">
        <v>920</v>
      </c>
      <c r="F2549" s="1" t="s">
        <v>954</v>
      </c>
      <c r="G2549" s="1" t="s">
        <v>936</v>
      </c>
      <c r="H2549" s="1" t="s">
        <v>921</v>
      </c>
      <c r="I2549" s="1" t="s">
        <v>929</v>
      </c>
      <c r="J2549" s="1"/>
      <c r="K2549" s="1"/>
      <c r="L2549" s="1"/>
      <c r="M2549" s="1"/>
      <c r="N2549" s="1"/>
      <c r="O2549" s="1"/>
      <c r="P2549" s="1"/>
      <c r="Q2549" s="1"/>
    </row>
    <row r="2550" spans="1:17" x14ac:dyDescent="0.25">
      <c r="A2550" s="1" t="s">
        <v>918</v>
      </c>
      <c r="B2550" s="1" t="s">
        <v>25</v>
      </c>
      <c r="C2550" s="1" t="s">
        <v>923</v>
      </c>
      <c r="D2550" s="1" t="s">
        <v>916</v>
      </c>
      <c r="E2550" s="1" t="s">
        <v>919</v>
      </c>
      <c r="F2550" s="1" t="s">
        <v>924</v>
      </c>
      <c r="G2550" s="1" t="s">
        <v>974</v>
      </c>
      <c r="H2550" s="1" t="s">
        <v>922</v>
      </c>
      <c r="I2550" s="1" t="s">
        <v>920</v>
      </c>
      <c r="J2550" s="1" t="s">
        <v>921</v>
      </c>
      <c r="K2550" s="1" t="s">
        <v>928</v>
      </c>
      <c r="L2550" s="1" t="s">
        <v>1059</v>
      </c>
      <c r="M2550" s="1"/>
      <c r="N2550" s="1"/>
      <c r="O2550" s="1"/>
      <c r="P2550" s="1"/>
      <c r="Q2550" s="1"/>
    </row>
    <row r="2551" spans="1:17" x14ac:dyDescent="0.25">
      <c r="A2551" s="1" t="s">
        <v>918</v>
      </c>
      <c r="B2551" s="1" t="s">
        <v>25</v>
      </c>
      <c r="C2551" s="1" t="s">
        <v>997</v>
      </c>
      <c r="D2551" s="1" t="s">
        <v>919</v>
      </c>
      <c r="E2551" s="1" t="s">
        <v>920</v>
      </c>
      <c r="F2551" s="1" t="s">
        <v>924</v>
      </c>
      <c r="G2551" s="1" t="s">
        <v>987</v>
      </c>
      <c r="H2551" s="1"/>
      <c r="I2551" s="1"/>
      <c r="J2551" s="1"/>
      <c r="K2551" s="1"/>
      <c r="L2551" s="1"/>
      <c r="M2551" s="1"/>
      <c r="N2551" s="1"/>
      <c r="O2551" s="1"/>
      <c r="P2551" s="1"/>
      <c r="Q2551" s="1"/>
    </row>
    <row r="2552" spans="1:17" x14ac:dyDescent="0.25">
      <c r="A2552" s="1" t="s">
        <v>918</v>
      </c>
      <c r="B2552" s="1" t="s">
        <v>25</v>
      </c>
      <c r="C2552" s="1" t="s">
        <v>919</v>
      </c>
      <c r="D2552" s="1" t="s">
        <v>920</v>
      </c>
      <c r="E2552" s="1" t="s">
        <v>921</v>
      </c>
      <c r="F2552" s="1" t="s">
        <v>922</v>
      </c>
      <c r="G2552" s="1" t="s">
        <v>952</v>
      </c>
      <c r="H2552" s="1" t="s">
        <v>929</v>
      </c>
      <c r="I2552" s="1"/>
      <c r="J2552" s="1"/>
      <c r="K2552" s="1"/>
      <c r="L2552" s="1"/>
      <c r="M2552" s="1"/>
      <c r="N2552" s="1"/>
      <c r="O2552" s="1"/>
      <c r="P2552" s="1"/>
      <c r="Q2552" s="1"/>
    </row>
    <row r="2553" spans="1:17" x14ac:dyDescent="0.25">
      <c r="A2553" s="1" t="s">
        <v>918</v>
      </c>
      <c r="B2553" s="1" t="s">
        <v>25</v>
      </c>
      <c r="C2553" s="1" t="s">
        <v>927</v>
      </c>
      <c r="D2553" s="1" t="s">
        <v>919</v>
      </c>
      <c r="E2553" s="1" t="s">
        <v>920</v>
      </c>
      <c r="F2553" s="1" t="s">
        <v>921</v>
      </c>
      <c r="G2553" s="1" t="s">
        <v>981</v>
      </c>
      <c r="H2553" s="1" t="s">
        <v>933</v>
      </c>
      <c r="I2553" s="1" t="s">
        <v>996</v>
      </c>
      <c r="J2553" s="1" t="s">
        <v>923</v>
      </c>
      <c r="K2553" s="1" t="s">
        <v>997</v>
      </c>
      <c r="L2553" s="1" t="s">
        <v>998</v>
      </c>
      <c r="M2553" s="1"/>
      <c r="N2553" s="1"/>
      <c r="O2553" s="1"/>
      <c r="P2553" s="1"/>
      <c r="Q2553" s="1"/>
    </row>
    <row r="2554" spans="1:17" x14ac:dyDescent="0.25">
      <c r="A2554" s="1" t="s">
        <v>918</v>
      </c>
      <c r="B2554" s="1" t="s">
        <v>25</v>
      </c>
      <c r="C2554" s="1" t="s">
        <v>927</v>
      </c>
      <c r="D2554" s="1" t="s">
        <v>919</v>
      </c>
      <c r="E2554" s="1" t="s">
        <v>920</v>
      </c>
      <c r="F2554" s="1" t="s">
        <v>921</v>
      </c>
      <c r="G2554" s="1" t="s">
        <v>923</v>
      </c>
      <c r="H2554" s="1" t="s">
        <v>1086</v>
      </c>
      <c r="I2554" s="1" t="s">
        <v>933</v>
      </c>
      <c r="J2554" s="1" t="s">
        <v>954</v>
      </c>
      <c r="K2554" s="1" t="s">
        <v>974</v>
      </c>
      <c r="L2554" s="1" t="s">
        <v>10719</v>
      </c>
      <c r="M2554" s="1" t="s">
        <v>950</v>
      </c>
      <c r="N2554" s="1" t="s">
        <v>10720</v>
      </c>
      <c r="O2554" s="1" t="s">
        <v>978</v>
      </c>
      <c r="P2554" s="1"/>
      <c r="Q2554" s="1"/>
    </row>
    <row r="2555" spans="1:17" x14ac:dyDescent="0.25">
      <c r="A2555" s="1" t="s">
        <v>918</v>
      </c>
      <c r="B2555" s="1" t="s">
        <v>25</v>
      </c>
      <c r="C2555" s="1" t="s">
        <v>927</v>
      </c>
      <c r="D2555" s="1" t="s">
        <v>919</v>
      </c>
      <c r="E2555" s="1" t="s">
        <v>920</v>
      </c>
      <c r="F2555" s="1" t="s">
        <v>921</v>
      </c>
      <c r="G2555" s="1" t="s">
        <v>981</v>
      </c>
      <c r="H2555" s="1" t="s">
        <v>933</v>
      </c>
      <c r="I2555" s="1"/>
      <c r="J2555" s="1"/>
      <c r="K2555" s="1"/>
      <c r="L2555" s="1"/>
      <c r="M2555" s="1"/>
      <c r="N2555" s="1"/>
      <c r="O2555" s="1"/>
      <c r="P2555" s="1"/>
      <c r="Q2555" s="1"/>
    </row>
    <row r="2556" spans="1:17" x14ac:dyDescent="0.25">
      <c r="A2556" s="1" t="s">
        <v>918</v>
      </c>
      <c r="B2556" s="1" t="s">
        <v>25</v>
      </c>
      <c r="C2556" s="1" t="s">
        <v>927</v>
      </c>
      <c r="D2556" s="1" t="s">
        <v>919</v>
      </c>
      <c r="E2556" s="1" t="s">
        <v>920</v>
      </c>
      <c r="F2556" s="1" t="s">
        <v>921</v>
      </c>
      <c r="G2556" s="1" t="s">
        <v>1001</v>
      </c>
      <c r="H2556" s="1" t="s">
        <v>936</v>
      </c>
      <c r="I2556" s="1"/>
      <c r="J2556" s="1"/>
      <c r="K2556" s="1"/>
      <c r="L2556" s="1"/>
      <c r="M2556" s="1"/>
      <c r="N2556" s="1"/>
      <c r="O2556" s="1"/>
      <c r="P2556" s="1"/>
      <c r="Q2556" s="1"/>
    </row>
    <row r="2557" spans="1:17" x14ac:dyDescent="0.25">
      <c r="A2557" s="1" t="s">
        <v>918</v>
      </c>
      <c r="B2557" s="1" t="s">
        <v>25</v>
      </c>
      <c r="C2557" s="1" t="s">
        <v>927</v>
      </c>
      <c r="D2557" s="1" t="s">
        <v>919</v>
      </c>
      <c r="E2557" s="1" t="s">
        <v>920</v>
      </c>
      <c r="F2557" s="1" t="s">
        <v>921</v>
      </c>
      <c r="G2557" s="1" t="s">
        <v>1001</v>
      </c>
      <c r="H2557" s="1" t="s">
        <v>961</v>
      </c>
      <c r="I2557" s="1"/>
      <c r="J2557" s="1"/>
      <c r="K2557" s="1"/>
      <c r="L2557" s="1"/>
      <c r="M2557" s="1"/>
      <c r="N2557" s="1"/>
      <c r="O2557" s="1"/>
      <c r="P2557" s="1"/>
      <c r="Q2557" s="1"/>
    </row>
    <row r="2558" spans="1:17" x14ac:dyDescent="0.25">
      <c r="A2558" s="1" t="s">
        <v>918</v>
      </c>
      <c r="B2558" s="1" t="s">
        <v>25</v>
      </c>
      <c r="C2558" s="1" t="s">
        <v>927</v>
      </c>
      <c r="D2558" s="1" t="s">
        <v>919</v>
      </c>
      <c r="E2558" s="1" t="s">
        <v>920</v>
      </c>
      <c r="F2558" s="1" t="s">
        <v>921</v>
      </c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</row>
    <row r="2559" spans="1:17" x14ac:dyDescent="0.25">
      <c r="A2559" s="1" t="s">
        <v>918</v>
      </c>
      <c r="B2559" s="1" t="s">
        <v>25</v>
      </c>
      <c r="C2559" s="1" t="s">
        <v>927</v>
      </c>
      <c r="D2559" s="1" t="s">
        <v>919</v>
      </c>
      <c r="E2559" s="1" t="s">
        <v>920</v>
      </c>
      <c r="F2559" s="1" t="s">
        <v>921</v>
      </c>
      <c r="G2559" s="1" t="s">
        <v>1056</v>
      </c>
      <c r="H2559" s="1" t="s">
        <v>981</v>
      </c>
      <c r="I2559" s="1"/>
      <c r="J2559" s="1"/>
      <c r="K2559" s="1"/>
      <c r="L2559" s="1"/>
      <c r="M2559" s="1"/>
      <c r="N2559" s="1"/>
      <c r="O2559" s="1"/>
      <c r="P2559" s="1"/>
      <c r="Q2559" s="1"/>
    </row>
    <row r="2560" spans="1:17" x14ac:dyDescent="0.25">
      <c r="A2560" s="1" t="s">
        <v>996</v>
      </c>
      <c r="B2560" s="1" t="s">
        <v>997</v>
      </c>
      <c r="C2560" s="1" t="s">
        <v>998</v>
      </c>
      <c r="D2560" s="1" t="s">
        <v>992</v>
      </c>
      <c r="E2560" s="1" t="s">
        <v>933</v>
      </c>
      <c r="F2560" s="1" t="s">
        <v>994</v>
      </c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</row>
    <row r="2561" spans="1:17" x14ac:dyDescent="0.25">
      <c r="A2561" s="1" t="s">
        <v>996</v>
      </c>
      <c r="B2561" s="1" t="s">
        <v>997</v>
      </c>
      <c r="C2561" s="1" t="s">
        <v>998</v>
      </c>
      <c r="D2561" s="1" t="s">
        <v>992</v>
      </c>
      <c r="E2561" s="1" t="s">
        <v>933</v>
      </c>
      <c r="F2561" s="1" t="s">
        <v>994</v>
      </c>
      <c r="G2561" s="1" t="s">
        <v>937</v>
      </c>
      <c r="H2561" s="1"/>
      <c r="I2561" s="1"/>
      <c r="J2561" s="1"/>
      <c r="K2561" s="1"/>
      <c r="L2561" s="1"/>
      <c r="M2561" s="1"/>
      <c r="N2561" s="1"/>
      <c r="O2561" s="1"/>
      <c r="P2561" s="1"/>
      <c r="Q2561" s="1"/>
    </row>
    <row r="2562" spans="1:17" x14ac:dyDescent="0.25">
      <c r="A2562" s="1" t="s">
        <v>996</v>
      </c>
      <c r="B2562" s="1" t="s">
        <v>933</v>
      </c>
      <c r="C2562" s="1" t="s">
        <v>994</v>
      </c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</row>
    <row r="2563" spans="1:17" x14ac:dyDescent="0.25">
      <c r="A2563" s="1" t="s">
        <v>998</v>
      </c>
      <c r="B2563" s="1" t="s">
        <v>993</v>
      </c>
      <c r="C2563" s="1" t="s">
        <v>994</v>
      </c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</row>
    <row r="2564" spans="1:17" x14ac:dyDescent="0.25">
      <c r="A2564" s="1" t="s">
        <v>939</v>
      </c>
      <c r="B2564" s="1" t="s">
        <v>983</v>
      </c>
      <c r="C2564" s="1" t="s">
        <v>919</v>
      </c>
      <c r="D2564" s="1" t="s">
        <v>1020</v>
      </c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</row>
    <row r="2565" spans="1:17" x14ac:dyDescent="0.25">
      <c r="A2565" s="1" t="s">
        <v>939</v>
      </c>
      <c r="B2565" s="1" t="s">
        <v>983</v>
      </c>
      <c r="C2565" s="1" t="s">
        <v>919</v>
      </c>
      <c r="D2565" s="1" t="s">
        <v>1020</v>
      </c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</row>
    <row r="2566" spans="1:17" x14ac:dyDescent="0.25">
      <c r="A2566" s="1" t="s">
        <v>996</v>
      </c>
      <c r="B2566" s="1" t="s">
        <v>923</v>
      </c>
      <c r="C2566" s="1" t="s">
        <v>997</v>
      </c>
      <c r="D2566" s="1" t="s">
        <v>998</v>
      </c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</row>
    <row r="2567" spans="1:17" x14ac:dyDescent="0.25">
      <c r="A2567" s="1" t="s">
        <v>90</v>
      </c>
      <c r="B2567" s="1" t="s">
        <v>996</v>
      </c>
      <c r="C2567" s="1" t="s">
        <v>25</v>
      </c>
      <c r="D2567" s="1" t="s">
        <v>923</v>
      </c>
      <c r="E2567" s="1" t="s">
        <v>997</v>
      </c>
      <c r="F2567" s="1" t="s">
        <v>927</v>
      </c>
      <c r="G2567" s="1" t="s">
        <v>998</v>
      </c>
      <c r="H2567" s="1" t="s">
        <v>1086</v>
      </c>
      <c r="I2567" s="1" t="s">
        <v>994</v>
      </c>
      <c r="J2567" s="1" t="s">
        <v>948</v>
      </c>
      <c r="K2567" s="1" t="s">
        <v>920</v>
      </c>
      <c r="L2567" s="1"/>
      <c r="M2567" s="1"/>
      <c r="N2567" s="1"/>
      <c r="O2567" s="1"/>
      <c r="P2567" s="1"/>
      <c r="Q2567" s="1"/>
    </row>
    <row r="2568" spans="1:17" x14ac:dyDescent="0.25">
      <c r="A2568" s="1" t="s">
        <v>948</v>
      </c>
      <c r="B2568" s="1" t="s">
        <v>25</v>
      </c>
      <c r="C2568" s="1" t="s">
        <v>923</v>
      </c>
      <c r="D2568" s="1" t="s">
        <v>997</v>
      </c>
      <c r="E2568" s="1" t="s">
        <v>998</v>
      </c>
      <c r="F2568" s="1" t="s">
        <v>920</v>
      </c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</row>
    <row r="2569" spans="1:17" x14ac:dyDescent="0.25">
      <c r="A2569" s="1" t="s">
        <v>948</v>
      </c>
      <c r="B2569" s="1" t="s">
        <v>25</v>
      </c>
      <c r="C2569" s="1" t="s">
        <v>923</v>
      </c>
      <c r="D2569" s="1" t="s">
        <v>997</v>
      </c>
      <c r="E2569" s="1" t="s">
        <v>998</v>
      </c>
      <c r="F2569" s="1" t="s">
        <v>920</v>
      </c>
      <c r="G2569" s="1" t="s">
        <v>918</v>
      </c>
      <c r="H2569" s="1" t="s">
        <v>919</v>
      </c>
      <c r="I2569" s="1" t="s">
        <v>954</v>
      </c>
      <c r="J2569" s="1"/>
      <c r="K2569" s="1"/>
      <c r="L2569" s="1"/>
      <c r="M2569" s="1"/>
      <c r="N2569" s="1"/>
      <c r="O2569" s="1"/>
      <c r="P2569" s="1"/>
      <c r="Q2569" s="1"/>
    </row>
    <row r="2570" spans="1:17" x14ac:dyDescent="0.25">
      <c r="A2570" s="1" t="s">
        <v>948</v>
      </c>
      <c r="B2570" s="1" t="s">
        <v>25</v>
      </c>
      <c r="C2570" s="1" t="s">
        <v>923</v>
      </c>
      <c r="D2570" s="1" t="s">
        <v>997</v>
      </c>
      <c r="E2570" s="1" t="s">
        <v>998</v>
      </c>
      <c r="F2570" s="1" t="s">
        <v>920</v>
      </c>
      <c r="G2570" s="1" t="s">
        <v>918</v>
      </c>
      <c r="H2570" s="1" t="s">
        <v>919</v>
      </c>
      <c r="I2570" s="1" t="s">
        <v>954</v>
      </c>
      <c r="J2570" s="1"/>
      <c r="K2570" s="1"/>
      <c r="L2570" s="1"/>
      <c r="M2570" s="1"/>
      <c r="N2570" s="1"/>
      <c r="O2570" s="1"/>
      <c r="P2570" s="1"/>
      <c r="Q2570" s="1"/>
    </row>
    <row r="2571" spans="1:17" x14ac:dyDescent="0.25">
      <c r="A2571" s="1" t="s">
        <v>25</v>
      </c>
      <c r="B2571" s="1" t="s">
        <v>998</v>
      </c>
      <c r="C2571" s="1" t="s">
        <v>1086</v>
      </c>
      <c r="D2571" s="1" t="s">
        <v>920</v>
      </c>
      <c r="E2571" s="1" t="s">
        <v>933</v>
      </c>
      <c r="F2571" s="1" t="s">
        <v>992</v>
      </c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</row>
    <row r="2572" spans="1:17" x14ac:dyDescent="0.25">
      <c r="A2572" s="1" t="s">
        <v>25</v>
      </c>
      <c r="B2572" s="1" t="s">
        <v>998</v>
      </c>
      <c r="C2572" s="1" t="s">
        <v>1086</v>
      </c>
      <c r="D2572" s="1" t="s">
        <v>920</v>
      </c>
      <c r="E2572" s="1" t="s">
        <v>933</v>
      </c>
      <c r="F2572" s="1" t="s">
        <v>10896</v>
      </c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</row>
    <row r="2573" spans="1:17" x14ac:dyDescent="0.25">
      <c r="A2573" s="1" t="s">
        <v>25</v>
      </c>
      <c r="B2573" s="1" t="s">
        <v>1086</v>
      </c>
      <c r="C2573" s="1" t="s">
        <v>919</v>
      </c>
      <c r="D2573" s="1" t="s">
        <v>920</v>
      </c>
      <c r="E2573" s="1" t="s">
        <v>921</v>
      </c>
      <c r="F2573" s="1" t="s">
        <v>1149</v>
      </c>
      <c r="G2573" s="1" t="s">
        <v>923</v>
      </c>
      <c r="H2573" s="1" t="s">
        <v>998</v>
      </c>
      <c r="I2573" s="1" t="s">
        <v>987</v>
      </c>
      <c r="J2573" s="1"/>
      <c r="K2573" s="1"/>
      <c r="L2573" s="1"/>
      <c r="M2573" s="1"/>
      <c r="N2573" s="1"/>
      <c r="O2573" s="1"/>
      <c r="P2573" s="1"/>
      <c r="Q2573" s="1"/>
    </row>
    <row r="2574" spans="1:17" x14ac:dyDescent="0.25">
      <c r="A2574" s="1" t="s">
        <v>25</v>
      </c>
      <c r="B2574" s="1" t="s">
        <v>1086</v>
      </c>
      <c r="C2574" s="1" t="s">
        <v>919</v>
      </c>
      <c r="D2574" s="1" t="s">
        <v>920</v>
      </c>
      <c r="E2574" s="1" t="s">
        <v>921</v>
      </c>
      <c r="F2574" s="1" t="s">
        <v>1019</v>
      </c>
      <c r="G2574" s="1" t="s">
        <v>983</v>
      </c>
      <c r="H2574" s="1" t="s">
        <v>924</v>
      </c>
      <c r="I2574" s="1" t="s">
        <v>1020</v>
      </c>
      <c r="J2574" s="1" t="s">
        <v>984</v>
      </c>
      <c r="K2574" s="1" t="s">
        <v>1021</v>
      </c>
      <c r="L2574" s="1"/>
      <c r="M2574" s="1"/>
      <c r="N2574" s="1"/>
      <c r="O2574" s="1"/>
      <c r="P2574" s="1"/>
      <c r="Q2574" s="1"/>
    </row>
    <row r="2575" spans="1:17" x14ac:dyDescent="0.25">
      <c r="A2575" s="1" t="s">
        <v>25</v>
      </c>
      <c r="B2575" s="1" t="s">
        <v>1086</v>
      </c>
      <c r="C2575" s="1" t="s">
        <v>919</v>
      </c>
      <c r="D2575" s="1" t="s">
        <v>920</v>
      </c>
      <c r="E2575" s="1" t="s">
        <v>921</v>
      </c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</row>
    <row r="2576" spans="1:17" x14ac:dyDescent="0.25">
      <c r="A2576" s="1" t="s">
        <v>25</v>
      </c>
      <c r="B2576" s="1" t="s">
        <v>1086</v>
      </c>
      <c r="C2576" s="1" t="s">
        <v>919</v>
      </c>
      <c r="D2576" s="1" t="s">
        <v>920</v>
      </c>
      <c r="E2576" s="1" t="s">
        <v>921</v>
      </c>
      <c r="F2576" s="1" t="s">
        <v>927</v>
      </c>
      <c r="G2576" s="1" t="s">
        <v>998</v>
      </c>
      <c r="H2576" s="1" t="s">
        <v>933</v>
      </c>
      <c r="I2576" s="1" t="s">
        <v>1066</v>
      </c>
      <c r="J2576" s="1"/>
      <c r="K2576" s="1"/>
      <c r="L2576" s="1"/>
      <c r="M2576" s="1"/>
      <c r="N2576" s="1"/>
      <c r="O2576" s="1"/>
      <c r="P2576" s="1"/>
      <c r="Q2576" s="1"/>
    </row>
    <row r="2577" spans="1:17" x14ac:dyDescent="0.25">
      <c r="A2577" s="1" t="s">
        <v>918</v>
      </c>
      <c r="B2577" s="1" t="s">
        <v>25</v>
      </c>
      <c r="C2577" s="1" t="s">
        <v>927</v>
      </c>
      <c r="D2577" s="1" t="s">
        <v>919</v>
      </c>
      <c r="E2577" s="1" t="s">
        <v>920</v>
      </c>
      <c r="F2577" s="1" t="s">
        <v>921</v>
      </c>
      <c r="G2577" s="1" t="s">
        <v>1086</v>
      </c>
      <c r="H2577" s="1" t="s">
        <v>1001</v>
      </c>
      <c r="I2577" s="1" t="s">
        <v>1013</v>
      </c>
      <c r="J2577" s="1"/>
      <c r="K2577" s="1"/>
      <c r="L2577" s="1"/>
      <c r="M2577" s="1"/>
      <c r="N2577" s="1"/>
      <c r="O2577" s="1"/>
      <c r="P2577" s="1"/>
      <c r="Q2577" s="1"/>
    </row>
    <row r="2578" spans="1:17" x14ac:dyDescent="0.25">
      <c r="A2578" s="1" t="s">
        <v>25</v>
      </c>
      <c r="B2578" s="1" t="s">
        <v>1086</v>
      </c>
      <c r="C2578" s="1" t="s">
        <v>919</v>
      </c>
      <c r="D2578" s="1" t="s">
        <v>920</v>
      </c>
      <c r="E2578" s="1" t="s">
        <v>921</v>
      </c>
      <c r="F2578" s="1" t="s">
        <v>1001</v>
      </c>
      <c r="G2578" s="1" t="s">
        <v>992</v>
      </c>
      <c r="H2578" s="1" t="s">
        <v>981</v>
      </c>
      <c r="I2578" s="1"/>
      <c r="J2578" s="1"/>
      <c r="K2578" s="1"/>
      <c r="L2578" s="1"/>
      <c r="M2578" s="1"/>
      <c r="N2578" s="1"/>
      <c r="O2578" s="1"/>
      <c r="P2578" s="1"/>
      <c r="Q2578" s="1"/>
    </row>
    <row r="2579" spans="1:17" x14ac:dyDescent="0.25">
      <c r="A2579" s="1" t="s">
        <v>25</v>
      </c>
      <c r="B2579" s="1" t="s">
        <v>1086</v>
      </c>
      <c r="C2579" s="1" t="s">
        <v>919</v>
      </c>
      <c r="D2579" s="1" t="s">
        <v>920</v>
      </c>
      <c r="E2579" s="1" t="s">
        <v>921</v>
      </c>
      <c r="F2579" s="1" t="s">
        <v>1001</v>
      </c>
      <c r="G2579" s="1" t="s">
        <v>936</v>
      </c>
      <c r="H2579" s="1" t="s">
        <v>10841</v>
      </c>
      <c r="I2579" s="1" t="s">
        <v>1037</v>
      </c>
      <c r="J2579" s="1"/>
      <c r="K2579" s="1"/>
      <c r="L2579" s="1"/>
      <c r="M2579" s="1"/>
      <c r="N2579" s="1"/>
      <c r="O2579" s="1"/>
      <c r="P2579" s="1"/>
      <c r="Q2579" s="1"/>
    </row>
    <row r="2580" spans="1:17" x14ac:dyDescent="0.25">
      <c r="A2580" s="1" t="s">
        <v>25</v>
      </c>
      <c r="B2580" s="1" t="s">
        <v>1086</v>
      </c>
      <c r="C2580" s="1" t="s">
        <v>919</v>
      </c>
      <c r="D2580" s="1" t="s">
        <v>920</v>
      </c>
      <c r="E2580" s="1" t="s">
        <v>921</v>
      </c>
      <c r="F2580" s="1" t="s">
        <v>1001</v>
      </c>
      <c r="G2580" s="1" t="s">
        <v>992</v>
      </c>
      <c r="H2580" s="1" t="s">
        <v>981</v>
      </c>
      <c r="I2580" s="1" t="s">
        <v>1066</v>
      </c>
      <c r="J2580" s="1"/>
      <c r="K2580" s="1"/>
      <c r="L2580" s="1"/>
      <c r="M2580" s="1"/>
      <c r="N2580" s="1"/>
      <c r="O2580" s="1"/>
      <c r="P2580" s="1"/>
      <c r="Q2580" s="1"/>
    </row>
    <row r="2581" spans="1:17" x14ac:dyDescent="0.25">
      <c r="A2581" s="1" t="s">
        <v>25</v>
      </c>
      <c r="B2581" s="1" t="s">
        <v>1086</v>
      </c>
      <c r="C2581" s="1" t="s">
        <v>919</v>
      </c>
      <c r="D2581" s="1" t="s">
        <v>920</v>
      </c>
      <c r="E2581" s="1" t="s">
        <v>921</v>
      </c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</row>
    <row r="2582" spans="1:17" x14ac:dyDescent="0.25">
      <c r="A2582" s="1" t="s">
        <v>25</v>
      </c>
      <c r="B2582" s="1" t="s">
        <v>1086</v>
      </c>
      <c r="C2582" s="1" t="s">
        <v>919</v>
      </c>
      <c r="D2582" s="1" t="s">
        <v>920</v>
      </c>
      <c r="E2582" s="1" t="s">
        <v>921</v>
      </c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</row>
    <row r="2583" spans="1:17" x14ac:dyDescent="0.25">
      <c r="A2583" s="1" t="s">
        <v>25</v>
      </c>
      <c r="B2583" s="1" t="s">
        <v>1086</v>
      </c>
      <c r="C2583" s="1" t="s">
        <v>919</v>
      </c>
      <c r="D2583" s="1" t="s">
        <v>920</v>
      </c>
      <c r="E2583" s="1" t="s">
        <v>921</v>
      </c>
      <c r="F2583" s="1" t="s">
        <v>924</v>
      </c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</row>
    <row r="2584" spans="1:17" x14ac:dyDescent="0.25">
      <c r="A2584" s="1" t="s">
        <v>25</v>
      </c>
      <c r="B2584" s="1" t="s">
        <v>1086</v>
      </c>
      <c r="C2584" s="1" t="s">
        <v>919</v>
      </c>
      <c r="D2584" s="1" t="s">
        <v>920</v>
      </c>
      <c r="E2584" s="1" t="s">
        <v>921</v>
      </c>
      <c r="F2584" s="1" t="s">
        <v>1066</v>
      </c>
      <c r="G2584" s="1" t="s">
        <v>1099</v>
      </c>
      <c r="H2584" s="1"/>
      <c r="I2584" s="1"/>
      <c r="J2584" s="1"/>
      <c r="K2584" s="1"/>
      <c r="L2584" s="1"/>
      <c r="M2584" s="1"/>
      <c r="N2584" s="1"/>
      <c r="O2584" s="1"/>
      <c r="P2584" s="1"/>
      <c r="Q2584" s="1"/>
    </row>
    <row r="2585" spans="1:17" x14ac:dyDescent="0.25">
      <c r="A2585" s="1" t="s">
        <v>25</v>
      </c>
      <c r="B2585" s="1" t="s">
        <v>1086</v>
      </c>
      <c r="C2585" s="1" t="s">
        <v>919</v>
      </c>
      <c r="D2585" s="1" t="s">
        <v>920</v>
      </c>
      <c r="E2585" s="1" t="s">
        <v>921</v>
      </c>
      <c r="F2585" s="1" t="s">
        <v>929</v>
      </c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</row>
    <row r="2586" spans="1:17" x14ac:dyDescent="0.25">
      <c r="A2586" s="1" t="s">
        <v>918</v>
      </c>
      <c r="B2586" s="1" t="s">
        <v>1136</v>
      </c>
      <c r="C2586" s="1" t="s">
        <v>1157</v>
      </c>
      <c r="D2586" s="1" t="s">
        <v>10752</v>
      </c>
      <c r="E2586" s="1" t="s">
        <v>920</v>
      </c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</row>
    <row r="2587" spans="1:17" x14ac:dyDescent="0.25">
      <c r="A2587" s="1" t="s">
        <v>918</v>
      </c>
      <c r="B2587" s="1" t="s">
        <v>1136</v>
      </c>
      <c r="C2587" s="1" t="s">
        <v>1157</v>
      </c>
      <c r="D2587" s="1" t="s">
        <v>10752</v>
      </c>
      <c r="E2587" s="1" t="s">
        <v>920</v>
      </c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</row>
    <row r="2588" spans="1:17" x14ac:dyDescent="0.25">
      <c r="A2588" s="1" t="s">
        <v>918</v>
      </c>
      <c r="B2588" s="1" t="s">
        <v>919</v>
      </c>
      <c r="C2588" s="1" t="s">
        <v>936</v>
      </c>
      <c r="D2588" s="1" t="s">
        <v>927</v>
      </c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</row>
    <row r="2589" spans="1:17" x14ac:dyDescent="0.25">
      <c r="A2589" s="1" t="s">
        <v>1150</v>
      </c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</row>
    <row r="2590" spans="1:17" x14ac:dyDescent="0.25">
      <c r="A2590" s="1" t="s">
        <v>2927</v>
      </c>
      <c r="B2590" s="1" t="s">
        <v>25</v>
      </c>
      <c r="C2590" s="1" t="s">
        <v>981</v>
      </c>
      <c r="D2590" s="1" t="s">
        <v>1086</v>
      </c>
      <c r="E2590" s="1" t="s">
        <v>983</v>
      </c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</row>
    <row r="2591" spans="1:17" x14ac:dyDescent="0.25">
      <c r="A2591" s="1" t="s">
        <v>981</v>
      </c>
      <c r="B2591" s="1" t="s">
        <v>1019</v>
      </c>
      <c r="C2591" s="1" t="s">
        <v>983</v>
      </c>
      <c r="D2591" s="1" t="s">
        <v>10697</v>
      </c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</row>
    <row r="2592" spans="1:17" x14ac:dyDescent="0.25">
      <c r="A2592" s="1" t="s">
        <v>1016</v>
      </c>
      <c r="B2592" s="1" t="s">
        <v>1019</v>
      </c>
      <c r="C2592" s="1" t="s">
        <v>10697</v>
      </c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</row>
    <row r="2593" spans="1:17" x14ac:dyDescent="0.25">
      <c r="A2593" s="1" t="s">
        <v>1019</v>
      </c>
      <c r="B2593" s="1" t="s">
        <v>983</v>
      </c>
      <c r="C2593" s="1" t="s">
        <v>984</v>
      </c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</row>
    <row r="2594" spans="1:17" x14ac:dyDescent="0.25">
      <c r="A2594" s="1" t="s">
        <v>1019</v>
      </c>
      <c r="B2594" s="1" t="s">
        <v>983</v>
      </c>
      <c r="C2594" s="1" t="s">
        <v>984</v>
      </c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</row>
    <row r="2595" spans="1:17" x14ac:dyDescent="0.25">
      <c r="A2595" s="1" t="s">
        <v>1019</v>
      </c>
      <c r="B2595" s="1" t="s">
        <v>983</v>
      </c>
      <c r="C2595" s="1" t="s">
        <v>984</v>
      </c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</row>
    <row r="2596" spans="1:17" x14ac:dyDescent="0.25">
      <c r="A2596" s="1" t="s">
        <v>1019</v>
      </c>
      <c r="B2596" s="1" t="s">
        <v>983</v>
      </c>
      <c r="C2596" s="1" t="s">
        <v>984</v>
      </c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</row>
    <row r="2597" spans="1:17" x14ac:dyDescent="0.25">
      <c r="A2597" s="1" t="s">
        <v>1019</v>
      </c>
      <c r="B2597" s="1" t="s">
        <v>983</v>
      </c>
      <c r="C2597" s="1" t="s">
        <v>984</v>
      </c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</row>
    <row r="2598" spans="1:17" x14ac:dyDescent="0.25">
      <c r="A2598" s="1" t="s">
        <v>1019</v>
      </c>
      <c r="B2598" s="1" t="s">
        <v>983</v>
      </c>
      <c r="C2598" s="1" t="s">
        <v>984</v>
      </c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</row>
    <row r="2599" spans="1:17" x14ac:dyDescent="0.25">
      <c r="A2599" s="1" t="s">
        <v>1019</v>
      </c>
      <c r="B2599" s="1" t="s">
        <v>983</v>
      </c>
      <c r="C2599" s="1" t="s">
        <v>984</v>
      </c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</row>
    <row r="2600" spans="1:17" x14ac:dyDescent="0.25">
      <c r="A2600" s="1" t="s">
        <v>1019</v>
      </c>
      <c r="B2600" s="1" t="s">
        <v>983</v>
      </c>
      <c r="C2600" s="1" t="s">
        <v>984</v>
      </c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</row>
    <row r="2601" spans="1:17" x14ac:dyDescent="0.25">
      <c r="A2601" s="1" t="s">
        <v>1019</v>
      </c>
      <c r="B2601" s="1" t="s">
        <v>983</v>
      </c>
      <c r="C2601" s="1" t="s">
        <v>984</v>
      </c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</row>
    <row r="2602" spans="1:17" x14ac:dyDescent="0.25">
      <c r="A2602" s="1" t="s">
        <v>934</v>
      </c>
      <c r="B2602" s="1" t="s">
        <v>25</v>
      </c>
      <c r="C2602" s="1" t="s">
        <v>923</v>
      </c>
      <c r="D2602" s="1" t="s">
        <v>6421</v>
      </c>
      <c r="E2602" s="1" t="s">
        <v>920</v>
      </c>
      <c r="F2602" s="1" t="s">
        <v>328</v>
      </c>
      <c r="G2602" s="1" t="s">
        <v>921</v>
      </c>
      <c r="H2602" s="1" t="s">
        <v>1061</v>
      </c>
      <c r="I2602" s="1"/>
      <c r="J2602" s="1"/>
      <c r="K2602" s="1"/>
      <c r="L2602" s="1"/>
      <c r="M2602" s="1"/>
      <c r="N2602" s="1"/>
      <c r="O2602" s="1"/>
      <c r="P2602" s="1"/>
      <c r="Q2602" s="1"/>
    </row>
    <row r="2603" spans="1:17" x14ac:dyDescent="0.25">
      <c r="A2603" s="1" t="s">
        <v>1001</v>
      </c>
      <c r="B2603" s="1" t="s">
        <v>996</v>
      </c>
      <c r="C2603" s="1" t="s">
        <v>2541</v>
      </c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</row>
    <row r="2604" spans="1:17" x14ac:dyDescent="0.25">
      <c r="A2604" s="1" t="s">
        <v>1086</v>
      </c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</row>
    <row r="2605" spans="1:17" x14ac:dyDescent="0.25">
      <c r="A2605" s="1" t="s">
        <v>924</v>
      </c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</row>
    <row r="2606" spans="1:17" x14ac:dyDescent="0.25">
      <c r="A2606" s="1" t="s">
        <v>919</v>
      </c>
      <c r="B2606" s="1" t="s">
        <v>918</v>
      </c>
      <c r="C2606" s="1" t="s">
        <v>924</v>
      </c>
      <c r="D2606" s="1" t="s">
        <v>1014</v>
      </c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</row>
    <row r="2607" spans="1:17" x14ac:dyDescent="0.25">
      <c r="A2607" s="1" t="s">
        <v>921</v>
      </c>
      <c r="B2607" s="1" t="s">
        <v>996</v>
      </c>
      <c r="C2607" s="1" t="s">
        <v>25</v>
      </c>
      <c r="D2607" s="1" t="s">
        <v>997</v>
      </c>
      <c r="E2607" s="1" t="s">
        <v>927</v>
      </c>
      <c r="F2607" s="1" t="s">
        <v>998</v>
      </c>
      <c r="G2607" s="1" t="s">
        <v>992</v>
      </c>
      <c r="H2607" s="1" t="s">
        <v>933</v>
      </c>
      <c r="I2607" s="1" t="s">
        <v>994</v>
      </c>
      <c r="J2607" s="1" t="s">
        <v>1000</v>
      </c>
      <c r="K2607" s="1"/>
      <c r="L2607" s="1"/>
      <c r="M2607" s="1"/>
      <c r="N2607" s="1"/>
      <c r="O2607" s="1"/>
      <c r="P2607" s="1"/>
      <c r="Q2607" s="1"/>
    </row>
    <row r="2608" spans="1:17" x14ac:dyDescent="0.25">
      <c r="A2608" s="1" t="s">
        <v>1053</v>
      </c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</row>
    <row r="2609" spans="1:17" x14ac:dyDescent="0.25">
      <c r="A2609" s="1" t="s">
        <v>2927</v>
      </c>
      <c r="B2609" s="1" t="s">
        <v>998</v>
      </c>
      <c r="C2609" s="1" t="s">
        <v>981</v>
      </c>
      <c r="D2609" s="1" t="s">
        <v>933</v>
      </c>
      <c r="E2609" s="1" t="s">
        <v>1053</v>
      </c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</row>
    <row r="2610" spans="1:17" x14ac:dyDescent="0.25">
      <c r="A2610" s="1" t="s">
        <v>1053</v>
      </c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</row>
    <row r="2611" spans="1:17" x14ac:dyDescent="0.25">
      <c r="A2611" s="1" t="s">
        <v>1053</v>
      </c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</row>
    <row r="2612" spans="1:17" x14ac:dyDescent="0.25">
      <c r="A2612" s="1" t="s">
        <v>1053</v>
      </c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</row>
    <row r="2613" spans="1:17" x14ac:dyDescent="0.25">
      <c r="A2613" s="1" t="s">
        <v>1053</v>
      </c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</row>
    <row r="2614" spans="1:17" x14ac:dyDescent="0.25">
      <c r="A2614" s="1" t="s">
        <v>1053</v>
      </c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</row>
    <row r="2615" spans="1:17" x14ac:dyDescent="0.25">
      <c r="A2615" s="1" t="s">
        <v>1053</v>
      </c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</row>
    <row r="2616" spans="1:17" x14ac:dyDescent="0.25">
      <c r="A2616" s="1" t="s">
        <v>1053</v>
      </c>
      <c r="B2616" s="1" t="s">
        <v>25</v>
      </c>
      <c r="C2616" s="1" t="s">
        <v>923</v>
      </c>
      <c r="D2616" s="1" t="s">
        <v>998</v>
      </c>
      <c r="E2616" s="1" t="s">
        <v>1086</v>
      </c>
      <c r="F2616" s="1" t="s">
        <v>933</v>
      </c>
      <c r="G2616" s="1" t="s">
        <v>1477</v>
      </c>
      <c r="H2616" s="1" t="s">
        <v>1055</v>
      </c>
      <c r="I2616" s="1" t="s">
        <v>994</v>
      </c>
      <c r="J2616" s="1"/>
      <c r="K2616" s="1"/>
      <c r="L2616" s="1"/>
      <c r="M2616" s="1"/>
      <c r="N2616" s="1"/>
      <c r="O2616" s="1"/>
      <c r="P2616" s="1"/>
      <c r="Q2616" s="1"/>
    </row>
    <row r="2617" spans="1:17" x14ac:dyDescent="0.25">
      <c r="A2617" s="1" t="s">
        <v>1053</v>
      </c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</row>
    <row r="2618" spans="1:17" x14ac:dyDescent="0.25">
      <c r="A2618" s="1" t="s">
        <v>1053</v>
      </c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</row>
    <row r="2619" spans="1:17" x14ac:dyDescent="0.25">
      <c r="A2619" s="1" t="s">
        <v>1053</v>
      </c>
      <c r="B2619" s="1" t="s">
        <v>1149</v>
      </c>
      <c r="C2619" s="1" t="s">
        <v>1150</v>
      </c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</row>
    <row r="2620" spans="1:17" x14ac:dyDescent="0.25">
      <c r="A2620" s="1" t="s">
        <v>25</v>
      </c>
      <c r="B2620" s="1" t="s">
        <v>1150</v>
      </c>
      <c r="C2620" s="1" t="s">
        <v>256</v>
      </c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</row>
    <row r="2621" spans="1:17" x14ac:dyDescent="0.25">
      <c r="A2621" s="1" t="s">
        <v>25</v>
      </c>
      <c r="B2621" s="1" t="s">
        <v>1150</v>
      </c>
      <c r="C2621" s="1" t="s">
        <v>256</v>
      </c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</row>
    <row r="2622" spans="1:17" x14ac:dyDescent="0.25">
      <c r="A2622" s="1" t="s">
        <v>25</v>
      </c>
      <c r="B2622" s="1" t="s">
        <v>1053</v>
      </c>
      <c r="C2622" s="1" t="s">
        <v>256</v>
      </c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</row>
    <row r="2623" spans="1:17" x14ac:dyDescent="0.25">
      <c r="A2623" s="1" t="s">
        <v>25</v>
      </c>
      <c r="B2623" s="1" t="s">
        <v>1053</v>
      </c>
      <c r="C2623" s="1" t="s">
        <v>256</v>
      </c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</row>
    <row r="2624" spans="1:17" x14ac:dyDescent="0.25">
      <c r="A2624" s="1" t="s">
        <v>25</v>
      </c>
      <c r="B2624" s="1" t="s">
        <v>1053</v>
      </c>
      <c r="C2624" s="1" t="s">
        <v>256</v>
      </c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</row>
    <row r="2625" spans="1:17" x14ac:dyDescent="0.25">
      <c r="A2625" s="1" t="s">
        <v>25</v>
      </c>
      <c r="B2625" s="1" t="s">
        <v>1053</v>
      </c>
      <c r="C2625" s="1" t="s">
        <v>256</v>
      </c>
      <c r="D2625" s="1" t="s">
        <v>1150</v>
      </c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</row>
    <row r="2626" spans="1:17" x14ac:dyDescent="0.25">
      <c r="A2626" s="1" t="s">
        <v>25</v>
      </c>
      <c r="B2626" s="1" t="s">
        <v>1053</v>
      </c>
      <c r="C2626" s="1" t="s">
        <v>256</v>
      </c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</row>
    <row r="2627" spans="1:17" x14ac:dyDescent="0.25">
      <c r="A2627" s="1" t="s">
        <v>25</v>
      </c>
      <c r="B2627" s="1" t="s">
        <v>1053</v>
      </c>
      <c r="C2627" s="1" t="s">
        <v>256</v>
      </c>
      <c r="D2627" s="1" t="s">
        <v>1150</v>
      </c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</row>
    <row r="2628" spans="1:17" x14ac:dyDescent="0.25">
      <c r="A2628" s="1" t="s">
        <v>50</v>
      </c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</row>
    <row r="2629" spans="1:17" x14ac:dyDescent="0.25">
      <c r="A2629" s="1" t="s">
        <v>50</v>
      </c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</row>
    <row r="2630" spans="1:17" x14ac:dyDescent="0.25">
      <c r="A2630" s="1" t="s">
        <v>25</v>
      </c>
      <c r="B2630" s="1" t="s">
        <v>1053</v>
      </c>
      <c r="C2630" s="1" t="s">
        <v>256</v>
      </c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</row>
    <row r="2631" spans="1:17" x14ac:dyDescent="0.25">
      <c r="A2631" s="1" t="s">
        <v>996</v>
      </c>
      <c r="B2631" s="1" t="s">
        <v>25</v>
      </c>
      <c r="C2631" s="1" t="s">
        <v>997</v>
      </c>
      <c r="D2631" s="1" t="s">
        <v>927</v>
      </c>
      <c r="E2631" s="1" t="s">
        <v>998</v>
      </c>
      <c r="F2631" s="1" t="s">
        <v>992</v>
      </c>
      <c r="G2631" s="1" t="s">
        <v>933</v>
      </c>
      <c r="H2631" s="1" t="s">
        <v>994</v>
      </c>
      <c r="I2631" s="1"/>
      <c r="J2631" s="1"/>
      <c r="K2631" s="1"/>
      <c r="L2631" s="1"/>
      <c r="M2631" s="1"/>
      <c r="N2631" s="1"/>
      <c r="O2631" s="1"/>
      <c r="P2631" s="1"/>
      <c r="Q2631" s="1"/>
    </row>
    <row r="2632" spans="1:17" x14ac:dyDescent="0.25">
      <c r="A2632" s="1" t="s">
        <v>25</v>
      </c>
      <c r="B2632" s="1" t="s">
        <v>1086</v>
      </c>
      <c r="C2632" s="1" t="s">
        <v>919</v>
      </c>
      <c r="D2632" s="1" t="s">
        <v>920</v>
      </c>
      <c r="E2632" s="1" t="s">
        <v>921</v>
      </c>
      <c r="F2632" s="1" t="s">
        <v>10919</v>
      </c>
      <c r="G2632" s="1" t="s">
        <v>10920</v>
      </c>
      <c r="H2632" s="1" t="s">
        <v>10921</v>
      </c>
      <c r="I2632" s="1" t="s">
        <v>10749</v>
      </c>
      <c r="J2632" s="1" t="s">
        <v>952</v>
      </c>
      <c r="K2632" s="1" t="s">
        <v>10922</v>
      </c>
      <c r="L2632" s="1" t="s">
        <v>10732</v>
      </c>
      <c r="M2632" s="1" t="s">
        <v>10923</v>
      </c>
      <c r="N2632" s="1"/>
      <c r="O2632" s="1"/>
      <c r="P2632" s="1"/>
      <c r="Q2632" s="1"/>
    </row>
    <row r="2633" spans="1:17" x14ac:dyDescent="0.25">
      <c r="A2633" s="1" t="s">
        <v>918</v>
      </c>
      <c r="B2633" s="1" t="s">
        <v>25</v>
      </c>
      <c r="C2633" s="1" t="s">
        <v>927</v>
      </c>
      <c r="D2633" s="1" t="s">
        <v>919</v>
      </c>
      <c r="E2633" s="1" t="s">
        <v>920</v>
      </c>
      <c r="F2633" s="1" t="s">
        <v>921</v>
      </c>
      <c r="G2633" s="1" t="s">
        <v>1001</v>
      </c>
      <c r="H2633" s="1" t="s">
        <v>936</v>
      </c>
      <c r="I2633" s="1" t="s">
        <v>1086</v>
      </c>
      <c r="J2633" s="1"/>
      <c r="K2633" s="1"/>
      <c r="L2633" s="1"/>
      <c r="M2633" s="1"/>
      <c r="N2633" s="1"/>
      <c r="O2633" s="1"/>
      <c r="P2633" s="1"/>
      <c r="Q2633" s="1"/>
    </row>
    <row r="2634" spans="1:17" x14ac:dyDescent="0.25">
      <c r="A2634" s="1" t="s">
        <v>918</v>
      </c>
      <c r="B2634" s="1" t="s">
        <v>25</v>
      </c>
      <c r="C2634" s="1" t="s">
        <v>927</v>
      </c>
      <c r="D2634" s="1" t="s">
        <v>919</v>
      </c>
      <c r="E2634" s="1" t="s">
        <v>920</v>
      </c>
      <c r="F2634" s="1" t="s">
        <v>921</v>
      </c>
      <c r="G2634" s="1" t="s">
        <v>1086</v>
      </c>
      <c r="H2634" s="1" t="s">
        <v>1001</v>
      </c>
      <c r="I2634" s="1" t="s">
        <v>1013</v>
      </c>
      <c r="J2634" s="1"/>
      <c r="K2634" s="1"/>
      <c r="L2634" s="1"/>
      <c r="M2634" s="1"/>
      <c r="N2634" s="1"/>
      <c r="O2634" s="1"/>
      <c r="P2634" s="1"/>
      <c r="Q2634" s="1"/>
    </row>
    <row r="2635" spans="1:17" x14ac:dyDescent="0.25">
      <c r="A2635" s="1" t="s">
        <v>1040</v>
      </c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</row>
    <row r="2636" spans="1:17" x14ac:dyDescent="0.25">
      <c r="A2636" s="1" t="s">
        <v>1012</v>
      </c>
      <c r="B2636" s="1" t="s">
        <v>1013</v>
      </c>
      <c r="C2636" s="1" t="s">
        <v>955</v>
      </c>
      <c r="D2636" s="1" t="s">
        <v>1014</v>
      </c>
      <c r="E2636" s="1" t="s">
        <v>1015</v>
      </c>
      <c r="F2636" s="1" t="s">
        <v>10948</v>
      </c>
      <c r="G2636" s="1" t="s">
        <v>1044</v>
      </c>
      <c r="H2636" s="1" t="s">
        <v>1088</v>
      </c>
      <c r="I2636" s="1" t="s">
        <v>11014</v>
      </c>
      <c r="J2636" s="1" t="s">
        <v>1492</v>
      </c>
      <c r="K2636" s="1" t="s">
        <v>10964</v>
      </c>
      <c r="L2636" s="1"/>
      <c r="M2636" s="1"/>
      <c r="N2636" s="1"/>
      <c r="O2636" s="1"/>
      <c r="P2636" s="1"/>
      <c r="Q2636" s="1"/>
    </row>
    <row r="2637" spans="1:17" x14ac:dyDescent="0.25">
      <c r="A2637" s="1" t="s">
        <v>1035</v>
      </c>
      <c r="B2637" s="1" t="s">
        <v>1034</v>
      </c>
      <c r="C2637" s="1" t="s">
        <v>1014</v>
      </c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</row>
    <row r="2638" spans="1:17" x14ac:dyDescent="0.25">
      <c r="A2638" s="1" t="s">
        <v>918</v>
      </c>
      <c r="B2638" s="1" t="s">
        <v>10849</v>
      </c>
      <c r="C2638" s="1" t="s">
        <v>919</v>
      </c>
      <c r="D2638" s="1" t="s">
        <v>924</v>
      </c>
      <c r="E2638" s="1" t="s">
        <v>929</v>
      </c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</row>
    <row r="2639" spans="1:17" x14ac:dyDescent="0.25">
      <c r="A2639" s="1" t="s">
        <v>918</v>
      </c>
      <c r="B2639" s="1" t="s">
        <v>25</v>
      </c>
      <c r="C2639" s="1" t="s">
        <v>923</v>
      </c>
      <c r="D2639" s="1" t="s">
        <v>916</v>
      </c>
      <c r="E2639" s="1" t="s">
        <v>919</v>
      </c>
      <c r="F2639" s="1" t="s">
        <v>924</v>
      </c>
      <c r="G2639" s="1" t="s">
        <v>974</v>
      </c>
      <c r="H2639" s="1" t="s">
        <v>922</v>
      </c>
      <c r="I2639" s="1" t="s">
        <v>1040</v>
      </c>
      <c r="J2639" s="1"/>
      <c r="K2639" s="1"/>
      <c r="L2639" s="1"/>
      <c r="M2639" s="1"/>
      <c r="N2639" s="1"/>
      <c r="O2639" s="1"/>
      <c r="P2639" s="1"/>
      <c r="Q2639" s="1"/>
    </row>
    <row r="2640" spans="1:17" x14ac:dyDescent="0.25">
      <c r="A2640" s="1" t="s">
        <v>918</v>
      </c>
      <c r="B2640" s="1" t="s">
        <v>949</v>
      </c>
      <c r="C2640" s="1" t="s">
        <v>25</v>
      </c>
      <c r="D2640" s="1" t="s">
        <v>923</v>
      </c>
      <c r="E2640" s="1" t="s">
        <v>919</v>
      </c>
      <c r="F2640" s="1" t="s">
        <v>920</v>
      </c>
      <c r="G2640" s="1" t="s">
        <v>974</v>
      </c>
      <c r="H2640" s="1" t="s">
        <v>921</v>
      </c>
      <c r="I2640" s="1" t="s">
        <v>927</v>
      </c>
      <c r="J2640" s="1" t="s">
        <v>936</v>
      </c>
      <c r="K2640" s="1"/>
      <c r="L2640" s="1"/>
      <c r="M2640" s="1"/>
      <c r="N2640" s="1"/>
      <c r="O2640" s="1"/>
      <c r="P2640" s="1"/>
      <c r="Q2640" s="1"/>
    </row>
    <row r="2641" spans="1:17" x14ac:dyDescent="0.25">
      <c r="A2641" s="1" t="s">
        <v>918</v>
      </c>
      <c r="B2641" s="1" t="s">
        <v>25</v>
      </c>
      <c r="C2641" s="1" t="s">
        <v>916</v>
      </c>
      <c r="D2641" s="1" t="s">
        <v>919</v>
      </c>
      <c r="E2641" s="1" t="s">
        <v>920</v>
      </c>
      <c r="F2641" s="1" t="s">
        <v>921</v>
      </c>
      <c r="G2641" s="1" t="s">
        <v>922</v>
      </c>
      <c r="H2641" s="1" t="s">
        <v>10964</v>
      </c>
      <c r="I2641" s="1" t="s">
        <v>936</v>
      </c>
      <c r="J2641" s="1" t="s">
        <v>929</v>
      </c>
      <c r="K2641" s="1" t="s">
        <v>924</v>
      </c>
      <c r="L2641" s="1" t="s">
        <v>1076</v>
      </c>
      <c r="M2641" s="1" t="s">
        <v>1040</v>
      </c>
      <c r="N2641" s="1" t="s">
        <v>1097</v>
      </c>
      <c r="O2641" s="1"/>
      <c r="P2641" s="1"/>
      <c r="Q2641" s="1"/>
    </row>
    <row r="2642" spans="1:17" x14ac:dyDescent="0.25">
      <c r="A2642" s="1" t="s">
        <v>10705</v>
      </c>
      <c r="B2642" s="1" t="s">
        <v>933</v>
      </c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</row>
    <row r="2643" spans="1:17" x14ac:dyDescent="0.25">
      <c r="A2643" s="1" t="s">
        <v>940</v>
      </c>
      <c r="B2643" s="1" t="s">
        <v>1011</v>
      </c>
      <c r="C2643" s="1" t="s">
        <v>999</v>
      </c>
      <c r="D2643" s="1" t="s">
        <v>920</v>
      </c>
      <c r="E2643" s="1" t="s">
        <v>921</v>
      </c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</row>
    <row r="2644" spans="1:17" x14ac:dyDescent="0.25">
      <c r="A2644" s="1" t="s">
        <v>1011</v>
      </c>
      <c r="B2644" s="1" t="s">
        <v>921</v>
      </c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</row>
    <row r="2645" spans="1:17" x14ac:dyDescent="0.25">
      <c r="A2645" s="1" t="s">
        <v>951</v>
      </c>
      <c r="B2645" s="1" t="s">
        <v>25</v>
      </c>
      <c r="C2645" s="1" t="s">
        <v>919</v>
      </c>
      <c r="D2645" s="1" t="s">
        <v>920</v>
      </c>
      <c r="E2645" s="1" t="s">
        <v>921</v>
      </c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</row>
    <row r="2646" spans="1:17" x14ac:dyDescent="0.25">
      <c r="A2646" s="1" t="s">
        <v>951</v>
      </c>
      <c r="B2646" s="1" t="s">
        <v>25</v>
      </c>
      <c r="C2646" s="1" t="s">
        <v>919</v>
      </c>
      <c r="D2646" s="1" t="s">
        <v>920</v>
      </c>
      <c r="E2646" s="1" t="s">
        <v>921</v>
      </c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</row>
    <row r="2647" spans="1:17" x14ac:dyDescent="0.25">
      <c r="A2647" s="1" t="s">
        <v>918</v>
      </c>
      <c r="B2647" s="1" t="s">
        <v>25</v>
      </c>
      <c r="C2647" s="1" t="s">
        <v>923</v>
      </c>
      <c r="D2647" s="1" t="s">
        <v>927</v>
      </c>
      <c r="E2647" s="1" t="s">
        <v>919</v>
      </c>
      <c r="F2647" s="1" t="s">
        <v>920</v>
      </c>
      <c r="G2647" s="1" t="s">
        <v>921</v>
      </c>
      <c r="H2647" s="1" t="s">
        <v>933</v>
      </c>
      <c r="I2647" s="1"/>
      <c r="J2647" s="1"/>
      <c r="K2647" s="1"/>
      <c r="L2647" s="1"/>
      <c r="M2647" s="1"/>
      <c r="N2647" s="1"/>
      <c r="O2647" s="1"/>
      <c r="P2647" s="1"/>
      <c r="Q2647" s="1"/>
    </row>
    <row r="2648" spans="1:17" x14ac:dyDescent="0.25">
      <c r="A2648" s="1" t="s">
        <v>918</v>
      </c>
      <c r="B2648" s="1" t="s">
        <v>25</v>
      </c>
      <c r="C2648" s="1" t="s">
        <v>923</v>
      </c>
      <c r="D2648" s="1" t="s">
        <v>927</v>
      </c>
      <c r="E2648" s="1" t="s">
        <v>919</v>
      </c>
      <c r="F2648" s="1" t="s">
        <v>920</v>
      </c>
      <c r="G2648" s="1" t="s">
        <v>921</v>
      </c>
      <c r="H2648" s="1" t="s">
        <v>936</v>
      </c>
      <c r="I2648" s="1"/>
      <c r="J2648" s="1"/>
      <c r="K2648" s="1"/>
      <c r="L2648" s="1"/>
      <c r="M2648" s="1"/>
      <c r="N2648" s="1"/>
      <c r="O2648" s="1"/>
      <c r="P2648" s="1"/>
      <c r="Q2648" s="1"/>
    </row>
    <row r="2649" spans="1:17" x14ac:dyDescent="0.25">
      <c r="A2649" s="1" t="s">
        <v>918</v>
      </c>
      <c r="B2649" s="1" t="s">
        <v>25</v>
      </c>
      <c r="C2649" s="1" t="s">
        <v>916</v>
      </c>
      <c r="D2649" s="1" t="s">
        <v>919</v>
      </c>
      <c r="E2649" s="1" t="s">
        <v>920</v>
      </c>
      <c r="F2649" s="1" t="s">
        <v>921</v>
      </c>
      <c r="G2649" s="1" t="s">
        <v>10950</v>
      </c>
      <c r="H2649" s="1"/>
      <c r="I2649" s="1"/>
      <c r="J2649" s="1"/>
      <c r="K2649" s="1"/>
      <c r="L2649" s="1"/>
      <c r="M2649" s="1"/>
      <c r="N2649" s="1"/>
      <c r="O2649" s="1"/>
      <c r="P2649" s="1"/>
      <c r="Q2649" s="1"/>
    </row>
    <row r="2650" spans="1:17" x14ac:dyDescent="0.25">
      <c r="A2650" s="1" t="s">
        <v>918</v>
      </c>
      <c r="B2650" s="1" t="s">
        <v>25</v>
      </c>
      <c r="C2650" s="1" t="s">
        <v>916</v>
      </c>
      <c r="D2650" s="1" t="s">
        <v>919</v>
      </c>
      <c r="E2650" s="1" t="s">
        <v>920</v>
      </c>
      <c r="F2650" s="1" t="s">
        <v>921</v>
      </c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</row>
    <row r="2651" spans="1:17" x14ac:dyDescent="0.25">
      <c r="A2651" s="1" t="s">
        <v>918</v>
      </c>
      <c r="B2651" s="1" t="s">
        <v>25</v>
      </c>
      <c r="C2651" s="1" t="s">
        <v>923</v>
      </c>
      <c r="D2651" s="1" t="s">
        <v>919</v>
      </c>
      <c r="E2651" s="1" t="s">
        <v>920</v>
      </c>
      <c r="F2651" s="1" t="s">
        <v>933</v>
      </c>
      <c r="G2651" s="1" t="s">
        <v>5548</v>
      </c>
      <c r="H2651" s="1" t="s">
        <v>921</v>
      </c>
      <c r="I2651" s="1" t="s">
        <v>1001</v>
      </c>
      <c r="J2651" s="1" t="s">
        <v>927</v>
      </c>
      <c r="K2651" s="1" t="s">
        <v>960</v>
      </c>
      <c r="L2651" s="1"/>
      <c r="M2651" s="1"/>
      <c r="N2651" s="1"/>
      <c r="O2651" s="1"/>
      <c r="P2651" s="1"/>
      <c r="Q2651" s="1"/>
    </row>
    <row r="2652" spans="1:17" x14ac:dyDescent="0.25">
      <c r="A2652" s="1" t="s">
        <v>918</v>
      </c>
      <c r="B2652" s="1" t="s">
        <v>25</v>
      </c>
      <c r="C2652" s="1" t="s">
        <v>923</v>
      </c>
      <c r="D2652" s="1" t="s">
        <v>973</v>
      </c>
      <c r="E2652" s="1" t="s">
        <v>916</v>
      </c>
      <c r="F2652" s="1" t="s">
        <v>920</v>
      </c>
      <c r="G2652" s="1" t="s">
        <v>954</v>
      </c>
      <c r="H2652" s="1" t="s">
        <v>974</v>
      </c>
      <c r="I2652" s="1" t="s">
        <v>921</v>
      </c>
      <c r="J2652" s="1" t="s">
        <v>919</v>
      </c>
      <c r="K2652" s="1" t="s">
        <v>946</v>
      </c>
      <c r="L2652" s="1" t="s">
        <v>922</v>
      </c>
      <c r="M2652" s="1"/>
      <c r="N2652" s="1"/>
      <c r="O2652" s="1"/>
      <c r="P2652" s="1"/>
      <c r="Q2652" s="1"/>
    </row>
    <row r="2653" spans="1:17" x14ac:dyDescent="0.25">
      <c r="A2653" s="1" t="s">
        <v>10755</v>
      </c>
      <c r="B2653" s="1" t="s">
        <v>998</v>
      </c>
      <c r="C2653" s="1" t="s">
        <v>3528</v>
      </c>
      <c r="D2653" s="1" t="s">
        <v>994</v>
      </c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</row>
    <row r="2654" spans="1:17" x14ac:dyDescent="0.25">
      <c r="A2654" s="1" t="s">
        <v>919</v>
      </c>
      <c r="B2654" s="1" t="s">
        <v>924</v>
      </c>
      <c r="C2654" s="1" t="s">
        <v>1001</v>
      </c>
      <c r="D2654" s="1" t="s">
        <v>918</v>
      </c>
      <c r="E2654" s="1" t="s">
        <v>927</v>
      </c>
      <c r="F2654" s="1" t="s">
        <v>936</v>
      </c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</row>
    <row r="2655" spans="1:17" x14ac:dyDescent="0.25">
      <c r="A2655" s="1" t="s">
        <v>918</v>
      </c>
      <c r="B2655" s="1" t="s">
        <v>927</v>
      </c>
      <c r="C2655" s="1" t="s">
        <v>919</v>
      </c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</row>
    <row r="2656" spans="1:17" x14ac:dyDescent="0.25">
      <c r="A2656" s="1" t="s">
        <v>918</v>
      </c>
      <c r="B2656" s="1" t="s">
        <v>927</v>
      </c>
      <c r="C2656" s="1" t="s">
        <v>919</v>
      </c>
      <c r="D2656" s="1" t="s">
        <v>1109</v>
      </c>
      <c r="E2656" s="1" t="s">
        <v>1037</v>
      </c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</row>
    <row r="2657" spans="1:17" x14ac:dyDescent="0.25">
      <c r="A2657" s="1" t="s">
        <v>918</v>
      </c>
      <c r="B2657" s="1" t="s">
        <v>25</v>
      </c>
      <c r="C2657" s="1" t="s">
        <v>923</v>
      </c>
      <c r="D2657" s="1" t="s">
        <v>927</v>
      </c>
      <c r="E2657" s="1" t="s">
        <v>919</v>
      </c>
      <c r="F2657" s="1" t="s">
        <v>920</v>
      </c>
      <c r="G2657" s="1" t="s">
        <v>933</v>
      </c>
      <c r="H2657" s="1" t="s">
        <v>921</v>
      </c>
      <c r="I2657" s="1"/>
      <c r="J2657" s="1"/>
      <c r="K2657" s="1"/>
      <c r="L2657" s="1"/>
      <c r="M2657" s="1"/>
      <c r="N2657" s="1"/>
      <c r="O2657" s="1"/>
      <c r="P2657" s="1"/>
      <c r="Q2657" s="1"/>
    </row>
    <row r="2658" spans="1:17" x14ac:dyDescent="0.25">
      <c r="A2658" s="1" t="s">
        <v>1086</v>
      </c>
      <c r="B2658" s="1" t="s">
        <v>11015</v>
      </c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</row>
    <row r="2659" spans="1:17" x14ac:dyDescent="0.25">
      <c r="A2659" s="1" t="s">
        <v>50</v>
      </c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</row>
    <row r="2660" spans="1:17" x14ac:dyDescent="0.25">
      <c r="A2660" s="1" t="s">
        <v>90</v>
      </c>
      <c r="B2660" s="1" t="s">
        <v>25</v>
      </c>
      <c r="C2660" s="1" t="s">
        <v>987</v>
      </c>
      <c r="D2660" s="1" t="s">
        <v>916</v>
      </c>
      <c r="E2660" s="1" t="s">
        <v>920</v>
      </c>
      <c r="F2660" s="1" t="s">
        <v>921</v>
      </c>
      <c r="G2660" s="1" t="s">
        <v>922</v>
      </c>
      <c r="H2660" s="1"/>
      <c r="I2660" s="1"/>
      <c r="J2660" s="1"/>
      <c r="K2660" s="1"/>
      <c r="L2660" s="1"/>
      <c r="M2660" s="1"/>
      <c r="N2660" s="1"/>
      <c r="O2660" s="1"/>
      <c r="P2660" s="1"/>
      <c r="Q2660" s="1"/>
    </row>
    <row r="2661" spans="1:17" x14ac:dyDescent="0.25">
      <c r="A2661" s="1" t="s">
        <v>918</v>
      </c>
      <c r="B2661" s="1" t="s">
        <v>1137</v>
      </c>
      <c r="C2661" s="1" t="s">
        <v>919</v>
      </c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</row>
    <row r="2662" spans="1:17" x14ac:dyDescent="0.25">
      <c r="A2662" s="1" t="s">
        <v>918</v>
      </c>
      <c r="B2662" s="1" t="s">
        <v>25</v>
      </c>
      <c r="C2662" s="1" t="s">
        <v>923</v>
      </c>
      <c r="D2662" s="1" t="s">
        <v>919</v>
      </c>
      <c r="E2662" s="1" t="s">
        <v>920</v>
      </c>
      <c r="F2662" s="1" t="s">
        <v>921</v>
      </c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</row>
    <row r="2663" spans="1:17" x14ac:dyDescent="0.25">
      <c r="A2663" s="1" t="s">
        <v>918</v>
      </c>
      <c r="B2663" s="1" t="s">
        <v>25</v>
      </c>
      <c r="C2663" s="1" t="s">
        <v>923</v>
      </c>
      <c r="D2663" s="1" t="s">
        <v>919</v>
      </c>
      <c r="E2663" s="1" t="s">
        <v>920</v>
      </c>
      <c r="F2663" s="1" t="s">
        <v>921</v>
      </c>
      <c r="G2663" s="1" t="s">
        <v>964</v>
      </c>
      <c r="H2663" s="1"/>
      <c r="I2663" s="1"/>
      <c r="J2663" s="1"/>
      <c r="K2663" s="1"/>
      <c r="L2663" s="1"/>
      <c r="M2663" s="1"/>
      <c r="N2663" s="1"/>
      <c r="O2663" s="1"/>
      <c r="P2663" s="1"/>
      <c r="Q2663" s="1"/>
    </row>
    <row r="2664" spans="1:17" x14ac:dyDescent="0.25">
      <c r="A2664" s="1" t="s">
        <v>25</v>
      </c>
      <c r="B2664" s="1" t="s">
        <v>919</v>
      </c>
      <c r="C2664" s="1" t="s">
        <v>920</v>
      </c>
      <c r="D2664" s="1" t="s">
        <v>921</v>
      </c>
      <c r="E2664" s="1" t="s">
        <v>1001</v>
      </c>
      <c r="F2664" s="1" t="s">
        <v>1016</v>
      </c>
      <c r="G2664" s="1" t="s">
        <v>152</v>
      </c>
      <c r="H2664" s="1" t="s">
        <v>918</v>
      </c>
      <c r="I2664" s="1" t="s">
        <v>923</v>
      </c>
      <c r="J2664" s="1"/>
      <c r="K2664" s="1"/>
      <c r="L2664" s="1"/>
      <c r="M2664" s="1"/>
      <c r="N2664" s="1"/>
      <c r="O2664" s="1"/>
      <c r="P2664" s="1"/>
      <c r="Q2664" s="1"/>
    </row>
    <row r="2665" spans="1:17" x14ac:dyDescent="0.25">
      <c r="A2665" s="1" t="s">
        <v>918</v>
      </c>
      <c r="B2665" s="1" t="s">
        <v>25</v>
      </c>
      <c r="C2665" s="1" t="s">
        <v>923</v>
      </c>
      <c r="D2665" s="1" t="s">
        <v>919</v>
      </c>
      <c r="E2665" s="1" t="s">
        <v>920</v>
      </c>
      <c r="F2665" s="1" t="s">
        <v>921</v>
      </c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</row>
    <row r="2666" spans="1:17" x14ac:dyDescent="0.25">
      <c r="A2666" s="1" t="s">
        <v>918</v>
      </c>
      <c r="B2666" s="1" t="s">
        <v>25</v>
      </c>
      <c r="C2666" s="1" t="s">
        <v>923</v>
      </c>
      <c r="D2666" s="1" t="s">
        <v>919</v>
      </c>
      <c r="E2666" s="1" t="s">
        <v>920</v>
      </c>
      <c r="F2666" s="1" t="s">
        <v>921</v>
      </c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</row>
    <row r="2667" spans="1:17" x14ac:dyDescent="0.25">
      <c r="A2667" s="1" t="s">
        <v>918</v>
      </c>
      <c r="B2667" s="1" t="s">
        <v>25</v>
      </c>
      <c r="C2667" s="1" t="s">
        <v>923</v>
      </c>
      <c r="D2667" s="1" t="s">
        <v>919</v>
      </c>
      <c r="E2667" s="1" t="s">
        <v>920</v>
      </c>
      <c r="F2667" s="1" t="s">
        <v>921</v>
      </c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</row>
    <row r="2668" spans="1:17" x14ac:dyDescent="0.25">
      <c r="A2668" s="1" t="s">
        <v>918</v>
      </c>
      <c r="B2668" s="1" t="s">
        <v>25</v>
      </c>
      <c r="C2668" s="1" t="s">
        <v>923</v>
      </c>
      <c r="D2668" s="1" t="s">
        <v>919</v>
      </c>
      <c r="E2668" s="1" t="s">
        <v>920</v>
      </c>
      <c r="F2668" s="1" t="s">
        <v>921</v>
      </c>
      <c r="G2668" s="1" t="s">
        <v>8695</v>
      </c>
      <c r="H2668" s="1" t="s">
        <v>1020</v>
      </c>
      <c r="I2668" s="1"/>
      <c r="J2668" s="1"/>
      <c r="K2668" s="1"/>
      <c r="L2668" s="1"/>
      <c r="M2668" s="1"/>
      <c r="N2668" s="1"/>
      <c r="O2668" s="1"/>
      <c r="P2668" s="1"/>
      <c r="Q2668" s="1"/>
    </row>
    <row r="2669" spans="1:17" x14ac:dyDescent="0.25">
      <c r="A2669" s="1" t="s">
        <v>934</v>
      </c>
      <c r="B2669" s="1" t="s">
        <v>918</v>
      </c>
      <c r="C2669" s="1" t="s">
        <v>25</v>
      </c>
      <c r="D2669" s="1" t="s">
        <v>919</v>
      </c>
      <c r="E2669" s="1" t="s">
        <v>920</v>
      </c>
      <c r="F2669" s="1" t="s">
        <v>924</v>
      </c>
      <c r="G2669" s="1" t="s">
        <v>1110</v>
      </c>
      <c r="H2669" s="1" t="s">
        <v>923</v>
      </c>
      <c r="I2669" s="1" t="s">
        <v>974</v>
      </c>
      <c r="J2669" s="1" t="s">
        <v>921</v>
      </c>
      <c r="K2669" s="1" t="s">
        <v>925</v>
      </c>
      <c r="L2669" s="1" t="s">
        <v>926</v>
      </c>
      <c r="M2669" s="1" t="s">
        <v>927</v>
      </c>
      <c r="N2669" s="1" t="s">
        <v>928</v>
      </c>
      <c r="O2669" s="1" t="s">
        <v>929</v>
      </c>
      <c r="P2669" s="1" t="s">
        <v>1085</v>
      </c>
      <c r="Q2669" s="1" t="s">
        <v>955</v>
      </c>
    </row>
    <row r="2670" spans="1:17" x14ac:dyDescent="0.25">
      <c r="A2670" s="1" t="s">
        <v>25</v>
      </c>
      <c r="B2670" s="1" t="s">
        <v>919</v>
      </c>
      <c r="C2670" s="1" t="s">
        <v>920</v>
      </c>
      <c r="D2670" s="1" t="s">
        <v>921</v>
      </c>
      <c r="E2670" s="1" t="s">
        <v>918</v>
      </c>
      <c r="F2670" s="1" t="s">
        <v>927</v>
      </c>
      <c r="G2670" s="1" t="s">
        <v>939</v>
      </c>
      <c r="H2670" s="1" t="s">
        <v>928</v>
      </c>
      <c r="I2670" s="1" t="s">
        <v>929</v>
      </c>
      <c r="J2670" s="1"/>
      <c r="K2670" s="1"/>
      <c r="L2670" s="1"/>
      <c r="M2670" s="1"/>
      <c r="N2670" s="1"/>
      <c r="O2670" s="1"/>
      <c r="P2670" s="1"/>
      <c r="Q2670" s="1"/>
    </row>
    <row r="2671" spans="1:17" x14ac:dyDescent="0.25">
      <c r="A2671" s="1" t="s">
        <v>918</v>
      </c>
      <c r="B2671" s="1" t="s">
        <v>25</v>
      </c>
      <c r="C2671" s="1" t="s">
        <v>927</v>
      </c>
      <c r="D2671" s="1" t="s">
        <v>939</v>
      </c>
      <c r="E2671" s="1" t="s">
        <v>928</v>
      </c>
      <c r="F2671" s="1" t="s">
        <v>919</v>
      </c>
      <c r="G2671" s="1" t="s">
        <v>929</v>
      </c>
      <c r="H2671" s="1"/>
      <c r="I2671" s="1"/>
      <c r="J2671" s="1"/>
      <c r="K2671" s="1"/>
      <c r="L2671" s="1"/>
      <c r="M2671" s="1"/>
      <c r="N2671" s="1"/>
      <c r="O2671" s="1"/>
      <c r="P2671" s="1"/>
      <c r="Q2671" s="1"/>
    </row>
    <row r="2672" spans="1:17" x14ac:dyDescent="0.25">
      <c r="A2672" s="1" t="s">
        <v>918</v>
      </c>
      <c r="B2672" s="1" t="s">
        <v>25</v>
      </c>
      <c r="C2672" s="1" t="s">
        <v>927</v>
      </c>
      <c r="D2672" s="1" t="s">
        <v>939</v>
      </c>
      <c r="E2672" s="1" t="s">
        <v>928</v>
      </c>
      <c r="F2672" s="1" t="s">
        <v>919</v>
      </c>
      <c r="G2672" s="1" t="s">
        <v>929</v>
      </c>
      <c r="H2672" s="1"/>
      <c r="I2672" s="1"/>
      <c r="J2672" s="1"/>
      <c r="K2672" s="1"/>
      <c r="L2672" s="1"/>
      <c r="M2672" s="1"/>
      <c r="N2672" s="1"/>
      <c r="O2672" s="1"/>
      <c r="P2672" s="1"/>
      <c r="Q2672" s="1"/>
    </row>
    <row r="2673" spans="1:17" x14ac:dyDescent="0.25">
      <c r="A2673" s="1" t="s">
        <v>918</v>
      </c>
      <c r="B2673" s="1" t="s">
        <v>25</v>
      </c>
      <c r="C2673" s="1" t="s">
        <v>927</v>
      </c>
      <c r="D2673" s="1" t="s">
        <v>939</v>
      </c>
      <c r="E2673" s="1" t="s">
        <v>928</v>
      </c>
      <c r="F2673" s="1" t="s">
        <v>919</v>
      </c>
      <c r="G2673" s="1" t="s">
        <v>929</v>
      </c>
      <c r="H2673" s="1" t="s">
        <v>10741</v>
      </c>
      <c r="I2673" s="1" t="s">
        <v>1034</v>
      </c>
      <c r="J2673" s="1"/>
      <c r="K2673" s="1"/>
      <c r="L2673" s="1"/>
      <c r="M2673" s="1"/>
      <c r="N2673" s="1"/>
      <c r="O2673" s="1"/>
      <c r="P2673" s="1"/>
      <c r="Q2673" s="1"/>
    </row>
    <row r="2674" spans="1:17" x14ac:dyDescent="0.25">
      <c r="A2674" s="1" t="s">
        <v>924</v>
      </c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</row>
    <row r="2675" spans="1:17" x14ac:dyDescent="0.25">
      <c r="A2675" s="1" t="s">
        <v>1130</v>
      </c>
      <c r="B2675" s="1" t="s">
        <v>921</v>
      </c>
      <c r="C2675" s="1" t="s">
        <v>918</v>
      </c>
      <c r="D2675" s="1" t="s">
        <v>971</v>
      </c>
      <c r="E2675" s="1" t="s">
        <v>940</v>
      </c>
      <c r="F2675" s="1" t="s">
        <v>25</v>
      </c>
      <c r="G2675" s="1" t="s">
        <v>947</v>
      </c>
      <c r="H2675" s="1" t="s">
        <v>919</v>
      </c>
      <c r="I2675" s="1" t="s">
        <v>920</v>
      </c>
      <c r="J2675" s="1"/>
      <c r="K2675" s="1"/>
      <c r="L2675" s="1"/>
      <c r="M2675" s="1"/>
      <c r="N2675" s="1"/>
      <c r="O2675" s="1"/>
      <c r="P2675" s="1"/>
      <c r="Q2675" s="1"/>
    </row>
    <row r="2676" spans="1:17" x14ac:dyDescent="0.25">
      <c r="A2676" s="1" t="s">
        <v>918</v>
      </c>
      <c r="B2676" s="1" t="s">
        <v>25</v>
      </c>
      <c r="C2676" s="1" t="s">
        <v>923</v>
      </c>
      <c r="D2676" s="1" t="s">
        <v>919</v>
      </c>
      <c r="E2676" s="1" t="s">
        <v>920</v>
      </c>
      <c r="F2676" s="1" t="s">
        <v>921</v>
      </c>
      <c r="G2676" s="1" t="s">
        <v>996</v>
      </c>
      <c r="H2676" s="1" t="s">
        <v>997</v>
      </c>
      <c r="I2676" s="1"/>
      <c r="J2676" s="1"/>
      <c r="K2676" s="1"/>
      <c r="L2676" s="1"/>
      <c r="M2676" s="1"/>
      <c r="N2676" s="1"/>
      <c r="O2676" s="1"/>
      <c r="P2676" s="1"/>
      <c r="Q2676" s="1"/>
    </row>
    <row r="2677" spans="1:17" x14ac:dyDescent="0.25">
      <c r="A2677" s="1" t="s">
        <v>927</v>
      </c>
      <c r="B2677" s="1" t="s">
        <v>992</v>
      </c>
      <c r="C2677" s="1" t="s">
        <v>981</v>
      </c>
      <c r="D2677" s="1" t="s">
        <v>933</v>
      </c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</row>
    <row r="2678" spans="1:17" x14ac:dyDescent="0.25">
      <c r="A2678" s="1" t="s">
        <v>927</v>
      </c>
      <c r="B2678" s="1" t="s">
        <v>978</v>
      </c>
      <c r="C2678" s="1" t="s">
        <v>933</v>
      </c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</row>
    <row r="2679" spans="1:17" x14ac:dyDescent="0.25">
      <c r="A2679" s="1" t="s">
        <v>927</v>
      </c>
      <c r="B2679" s="1" t="s">
        <v>978</v>
      </c>
      <c r="C2679" s="1" t="s">
        <v>933</v>
      </c>
      <c r="D2679" s="1" t="s">
        <v>10726</v>
      </c>
      <c r="E2679" s="1" t="s">
        <v>919</v>
      </c>
      <c r="F2679" s="1" t="s">
        <v>924</v>
      </c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</row>
    <row r="2680" spans="1:17" x14ac:dyDescent="0.25">
      <c r="A2680" s="1" t="s">
        <v>921</v>
      </c>
      <c r="B2680" s="1" t="s">
        <v>10755</v>
      </c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</row>
    <row r="2681" spans="1:17" x14ac:dyDescent="0.25">
      <c r="A2681" s="1" t="s">
        <v>1045</v>
      </c>
      <c r="B2681" s="1" t="s">
        <v>1042</v>
      </c>
      <c r="C2681" s="1" t="s">
        <v>1006</v>
      </c>
      <c r="D2681" s="1" t="s">
        <v>921</v>
      </c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</row>
    <row r="2682" spans="1:17" x14ac:dyDescent="0.25">
      <c r="A2682" s="1" t="s">
        <v>921</v>
      </c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</row>
    <row r="2683" spans="1:17" x14ac:dyDescent="0.25">
      <c r="A2683" s="1" t="s">
        <v>921</v>
      </c>
      <c r="B2683" s="1" t="s">
        <v>918</v>
      </c>
      <c r="C2683" s="1" t="s">
        <v>952</v>
      </c>
      <c r="D2683" s="1" t="s">
        <v>919</v>
      </c>
      <c r="E2683" s="1" t="s">
        <v>929</v>
      </c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</row>
    <row r="2684" spans="1:17" x14ac:dyDescent="0.25">
      <c r="A2684" s="1" t="s">
        <v>921</v>
      </c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</row>
    <row r="2685" spans="1:17" x14ac:dyDescent="0.25">
      <c r="A2685" s="1" t="s">
        <v>918</v>
      </c>
      <c r="B2685" s="1" t="s">
        <v>919</v>
      </c>
      <c r="C2685" s="1" t="s">
        <v>936</v>
      </c>
      <c r="D2685" s="1" t="s">
        <v>25</v>
      </c>
      <c r="E2685" s="1" t="s">
        <v>923</v>
      </c>
      <c r="F2685" s="1" t="s">
        <v>920</v>
      </c>
      <c r="G2685" s="1" t="s">
        <v>921</v>
      </c>
      <c r="H2685" s="1" t="s">
        <v>10913</v>
      </c>
      <c r="I2685" s="1" t="s">
        <v>10914</v>
      </c>
      <c r="J2685" s="1" t="s">
        <v>10916</v>
      </c>
      <c r="K2685" s="1" t="s">
        <v>10917</v>
      </c>
      <c r="L2685" s="1" t="s">
        <v>11016</v>
      </c>
      <c r="M2685" s="1" t="s">
        <v>1019</v>
      </c>
      <c r="N2685" s="1"/>
      <c r="O2685" s="1"/>
      <c r="P2685" s="1"/>
      <c r="Q2685" s="1"/>
    </row>
    <row r="2686" spans="1:17" x14ac:dyDescent="0.25">
      <c r="A2686" s="1" t="s">
        <v>918</v>
      </c>
      <c r="B2686" s="1" t="s">
        <v>919</v>
      </c>
      <c r="C2686" s="1" t="s">
        <v>936</v>
      </c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</row>
    <row r="2687" spans="1:17" x14ac:dyDescent="0.25">
      <c r="A2687" s="1" t="s">
        <v>918</v>
      </c>
      <c r="B2687" s="1" t="s">
        <v>919</v>
      </c>
      <c r="C2687" s="1" t="s">
        <v>936</v>
      </c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</row>
    <row r="2688" spans="1:17" x14ac:dyDescent="0.25">
      <c r="A2688" s="1" t="s">
        <v>1001</v>
      </c>
      <c r="B2688" s="1" t="s">
        <v>918</v>
      </c>
      <c r="C2688" s="1" t="s">
        <v>927</v>
      </c>
      <c r="D2688" s="1" t="s">
        <v>919</v>
      </c>
      <c r="E2688" s="1" t="s">
        <v>936</v>
      </c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</row>
    <row r="2689" spans="1:17" x14ac:dyDescent="0.25">
      <c r="A2689" s="1" t="s">
        <v>1001</v>
      </c>
      <c r="B2689" s="1" t="s">
        <v>918</v>
      </c>
      <c r="C2689" s="1" t="s">
        <v>927</v>
      </c>
      <c r="D2689" s="1" t="s">
        <v>919</v>
      </c>
      <c r="E2689" s="1" t="s">
        <v>936</v>
      </c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</row>
    <row r="2690" spans="1:17" x14ac:dyDescent="0.25">
      <c r="A2690" s="1" t="s">
        <v>1001</v>
      </c>
      <c r="B2690" s="1" t="s">
        <v>918</v>
      </c>
      <c r="C2690" s="1" t="s">
        <v>927</v>
      </c>
      <c r="D2690" s="1" t="s">
        <v>919</v>
      </c>
      <c r="E2690" s="1" t="s">
        <v>936</v>
      </c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</row>
    <row r="2691" spans="1:17" x14ac:dyDescent="0.25">
      <c r="A2691" s="1" t="s">
        <v>918</v>
      </c>
      <c r="B2691" s="1" t="s">
        <v>25</v>
      </c>
      <c r="C2691" s="1" t="s">
        <v>919</v>
      </c>
      <c r="D2691" s="1" t="s">
        <v>920</v>
      </c>
      <c r="E2691" s="1" t="s">
        <v>921</v>
      </c>
      <c r="F2691" s="1" t="s">
        <v>922</v>
      </c>
      <c r="G2691" s="1" t="s">
        <v>10964</v>
      </c>
      <c r="H2691" s="1" t="s">
        <v>1001</v>
      </c>
      <c r="I2691" s="1" t="s">
        <v>927</v>
      </c>
      <c r="J2691" s="1" t="s">
        <v>936</v>
      </c>
      <c r="K2691" s="1"/>
      <c r="L2691" s="1"/>
      <c r="M2691" s="1"/>
      <c r="N2691" s="1"/>
      <c r="O2691" s="1"/>
      <c r="P2691" s="1"/>
      <c r="Q2691" s="1"/>
    </row>
    <row r="2692" spans="1:17" x14ac:dyDescent="0.25">
      <c r="A2692" s="1" t="s">
        <v>918</v>
      </c>
      <c r="B2692" s="1" t="s">
        <v>927</v>
      </c>
      <c r="C2692" s="1" t="s">
        <v>919</v>
      </c>
      <c r="D2692" s="1" t="s">
        <v>1001</v>
      </c>
      <c r="E2692" s="1" t="s">
        <v>936</v>
      </c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</row>
    <row r="2693" spans="1:17" x14ac:dyDescent="0.25">
      <c r="A2693" s="1" t="s">
        <v>918</v>
      </c>
      <c r="B2693" s="1" t="s">
        <v>25</v>
      </c>
      <c r="C2693" s="1" t="s">
        <v>919</v>
      </c>
      <c r="D2693" s="1" t="s">
        <v>924</v>
      </c>
      <c r="E2693" s="1" t="s">
        <v>936</v>
      </c>
      <c r="F2693" s="1" t="s">
        <v>921</v>
      </c>
      <c r="G2693" s="1" t="s">
        <v>929</v>
      </c>
      <c r="H2693" s="1"/>
      <c r="I2693" s="1"/>
      <c r="J2693" s="1"/>
      <c r="K2693" s="1"/>
      <c r="L2693" s="1"/>
      <c r="M2693" s="1"/>
      <c r="N2693" s="1"/>
      <c r="O2693" s="1"/>
      <c r="P2693" s="1"/>
      <c r="Q2693" s="1"/>
    </row>
    <row r="2694" spans="1:17" x14ac:dyDescent="0.25">
      <c r="A2694" s="1" t="s">
        <v>918</v>
      </c>
      <c r="B2694" s="1" t="s">
        <v>919</v>
      </c>
      <c r="C2694" s="1" t="s">
        <v>929</v>
      </c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</row>
    <row r="2695" spans="1:17" x14ac:dyDescent="0.25">
      <c r="A2695" s="1" t="s">
        <v>918</v>
      </c>
      <c r="B2695" s="1" t="s">
        <v>949</v>
      </c>
      <c r="C2695" s="1" t="s">
        <v>25</v>
      </c>
      <c r="D2695" s="1" t="s">
        <v>923</v>
      </c>
      <c r="E2695" s="1" t="s">
        <v>919</v>
      </c>
      <c r="F2695" s="1" t="s">
        <v>920</v>
      </c>
      <c r="G2695" s="1" t="s">
        <v>974</v>
      </c>
      <c r="H2695" s="1" t="s">
        <v>921</v>
      </c>
      <c r="I2695" s="1" t="s">
        <v>929</v>
      </c>
      <c r="J2695" s="1"/>
      <c r="K2695" s="1"/>
      <c r="L2695" s="1"/>
      <c r="M2695" s="1"/>
      <c r="N2695" s="1"/>
      <c r="O2695" s="1"/>
      <c r="P2695" s="1"/>
      <c r="Q2695" s="1"/>
    </row>
    <row r="2696" spans="1:17" x14ac:dyDescent="0.25">
      <c r="A2696" s="1" t="s">
        <v>918</v>
      </c>
      <c r="B2696" s="1" t="s">
        <v>25</v>
      </c>
      <c r="C2696" s="1" t="s">
        <v>923</v>
      </c>
      <c r="D2696" s="1" t="s">
        <v>916</v>
      </c>
      <c r="E2696" s="1" t="s">
        <v>919</v>
      </c>
      <c r="F2696" s="1" t="s">
        <v>924</v>
      </c>
      <c r="G2696" s="1" t="s">
        <v>974</v>
      </c>
      <c r="H2696" s="1" t="s">
        <v>922</v>
      </c>
      <c r="I2696" s="1" t="s">
        <v>929</v>
      </c>
      <c r="J2696" s="1"/>
      <c r="K2696" s="1"/>
      <c r="L2696" s="1"/>
      <c r="M2696" s="1"/>
      <c r="N2696" s="1"/>
      <c r="O2696" s="1"/>
      <c r="P2696" s="1"/>
      <c r="Q2696" s="1"/>
    </row>
    <row r="2697" spans="1:17" x14ac:dyDescent="0.25">
      <c r="A2697" s="1" t="s">
        <v>918</v>
      </c>
      <c r="B2697" s="1" t="s">
        <v>919</v>
      </c>
      <c r="C2697" s="1" t="s">
        <v>929</v>
      </c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</row>
    <row r="2698" spans="1:17" x14ac:dyDescent="0.25">
      <c r="A2698" s="1" t="s">
        <v>918</v>
      </c>
      <c r="B2698" s="1" t="s">
        <v>919</v>
      </c>
      <c r="C2698" s="1" t="s">
        <v>929</v>
      </c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</row>
    <row r="2699" spans="1:17" x14ac:dyDescent="0.25">
      <c r="A2699" s="1" t="s">
        <v>25</v>
      </c>
      <c r="B2699" s="1" t="s">
        <v>927</v>
      </c>
      <c r="C2699" s="1" t="s">
        <v>10837</v>
      </c>
      <c r="D2699" s="1" t="s">
        <v>981</v>
      </c>
      <c r="E2699" s="1" t="s">
        <v>994</v>
      </c>
      <c r="F2699" s="1" t="s">
        <v>1001</v>
      </c>
      <c r="G2699" s="1" t="s">
        <v>919</v>
      </c>
      <c r="H2699" s="1"/>
      <c r="I2699" s="1"/>
      <c r="J2699" s="1"/>
      <c r="K2699" s="1"/>
      <c r="L2699" s="1"/>
      <c r="M2699" s="1"/>
      <c r="N2699" s="1"/>
      <c r="O2699" s="1"/>
      <c r="P2699" s="1"/>
      <c r="Q2699" s="1"/>
    </row>
    <row r="2700" spans="1:17" x14ac:dyDescent="0.25">
      <c r="A2700" s="1" t="s">
        <v>1001</v>
      </c>
      <c r="B2700" s="1" t="s">
        <v>25</v>
      </c>
      <c r="C2700" s="1" t="s">
        <v>927</v>
      </c>
      <c r="D2700" s="1" t="s">
        <v>998</v>
      </c>
      <c r="E2700" s="1" t="s">
        <v>992</v>
      </c>
      <c r="F2700" s="1" t="s">
        <v>981</v>
      </c>
      <c r="G2700" s="1" t="s">
        <v>939</v>
      </c>
      <c r="H2700" s="1" t="s">
        <v>1066</v>
      </c>
      <c r="I2700" s="1" t="s">
        <v>993</v>
      </c>
      <c r="J2700" s="1" t="s">
        <v>994</v>
      </c>
      <c r="K2700" s="1" t="s">
        <v>10837</v>
      </c>
      <c r="L2700" s="1"/>
      <c r="M2700" s="1"/>
      <c r="N2700" s="1"/>
      <c r="O2700" s="1"/>
      <c r="P2700" s="1"/>
      <c r="Q2700" s="1"/>
    </row>
    <row r="2701" spans="1:17" x14ac:dyDescent="0.25">
      <c r="A2701" s="1" t="s">
        <v>25</v>
      </c>
      <c r="B2701" s="1" t="s">
        <v>927</v>
      </c>
      <c r="C2701" s="1" t="s">
        <v>10837</v>
      </c>
      <c r="D2701" s="1" t="s">
        <v>981</v>
      </c>
      <c r="E2701" s="1" t="s">
        <v>994</v>
      </c>
      <c r="F2701" s="1" t="s">
        <v>919</v>
      </c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</row>
    <row r="2702" spans="1:17" x14ac:dyDescent="0.25">
      <c r="A2702" s="1" t="s">
        <v>25</v>
      </c>
      <c r="B2702" s="1" t="s">
        <v>927</v>
      </c>
      <c r="C2702" s="1" t="s">
        <v>10837</v>
      </c>
      <c r="D2702" s="1" t="s">
        <v>981</v>
      </c>
      <c r="E2702" s="1" t="s">
        <v>994</v>
      </c>
      <c r="F2702" s="1" t="s">
        <v>918</v>
      </c>
      <c r="G2702" s="1" t="s">
        <v>919</v>
      </c>
      <c r="H2702" s="1" t="s">
        <v>929</v>
      </c>
      <c r="I2702" s="1"/>
      <c r="J2702" s="1"/>
      <c r="K2702" s="1"/>
      <c r="L2702" s="1"/>
      <c r="M2702" s="1"/>
      <c r="N2702" s="1"/>
      <c r="O2702" s="1"/>
      <c r="P2702" s="1"/>
      <c r="Q2702" s="1"/>
    </row>
    <row r="2703" spans="1:17" x14ac:dyDescent="0.25">
      <c r="A2703" s="1" t="s">
        <v>25</v>
      </c>
      <c r="B2703" s="1" t="s">
        <v>927</v>
      </c>
      <c r="C2703" s="1" t="s">
        <v>10837</v>
      </c>
      <c r="D2703" s="1" t="s">
        <v>981</v>
      </c>
      <c r="E2703" s="1" t="s">
        <v>994</v>
      </c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</row>
    <row r="2704" spans="1:17" x14ac:dyDescent="0.25">
      <c r="A2704" s="1" t="s">
        <v>25</v>
      </c>
      <c r="B2704" s="1" t="s">
        <v>927</v>
      </c>
      <c r="C2704" s="1" t="s">
        <v>10837</v>
      </c>
      <c r="D2704" s="1" t="s">
        <v>981</v>
      </c>
      <c r="E2704" s="1" t="s">
        <v>994</v>
      </c>
      <c r="F2704" s="1" t="s">
        <v>5407</v>
      </c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</row>
    <row r="2705" spans="1:17" x14ac:dyDescent="0.25">
      <c r="A2705" s="1" t="s">
        <v>921</v>
      </c>
      <c r="B2705" s="1" t="s">
        <v>998</v>
      </c>
      <c r="C2705" s="1" t="s">
        <v>1000</v>
      </c>
      <c r="D2705" s="1" t="s">
        <v>994</v>
      </c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</row>
    <row r="2706" spans="1:17" x14ac:dyDescent="0.25">
      <c r="A2706" s="1" t="s">
        <v>996</v>
      </c>
      <c r="B2706" s="1" t="s">
        <v>923</v>
      </c>
      <c r="C2706" s="1" t="s">
        <v>997</v>
      </c>
      <c r="D2706" s="1" t="s">
        <v>998</v>
      </c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</row>
    <row r="2707" spans="1:17" x14ac:dyDescent="0.25">
      <c r="A2707" s="1" t="s">
        <v>927</v>
      </c>
      <c r="B2707" s="1" t="s">
        <v>919</v>
      </c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</row>
    <row r="2708" spans="1:17" x14ac:dyDescent="0.25">
      <c r="A2708" s="1" t="s">
        <v>996</v>
      </c>
      <c r="B2708" s="1" t="s">
        <v>25</v>
      </c>
      <c r="C2708" s="1" t="s">
        <v>923</v>
      </c>
      <c r="D2708" s="1" t="s">
        <v>997</v>
      </c>
      <c r="E2708" s="1" t="s">
        <v>927</v>
      </c>
      <c r="F2708" s="1" t="s">
        <v>920</v>
      </c>
      <c r="G2708" s="1" t="s">
        <v>994</v>
      </c>
      <c r="H2708" s="1" t="s">
        <v>1001</v>
      </c>
      <c r="I2708" s="1" t="s">
        <v>918</v>
      </c>
      <c r="J2708" s="1" t="s">
        <v>919</v>
      </c>
      <c r="K2708" s="1" t="s">
        <v>936</v>
      </c>
      <c r="L2708" s="1" t="s">
        <v>921</v>
      </c>
      <c r="M2708" s="1"/>
      <c r="N2708" s="1"/>
      <c r="O2708" s="1"/>
      <c r="P2708" s="1"/>
      <c r="Q2708" s="1"/>
    </row>
    <row r="2709" spans="1:17" x14ac:dyDescent="0.25">
      <c r="A2709" s="1" t="s">
        <v>932</v>
      </c>
      <c r="B2709" s="1" t="s">
        <v>25</v>
      </c>
      <c r="C2709" s="1" t="s">
        <v>923</v>
      </c>
      <c r="D2709" s="1" t="s">
        <v>916</v>
      </c>
      <c r="E2709" s="1" t="s">
        <v>982</v>
      </c>
      <c r="F2709" s="1" t="s">
        <v>920</v>
      </c>
      <c r="G2709" s="1" t="s">
        <v>921</v>
      </c>
      <c r="H2709" s="1" t="s">
        <v>922</v>
      </c>
      <c r="I2709" s="1"/>
      <c r="J2709" s="1"/>
      <c r="K2709" s="1"/>
      <c r="L2709" s="1"/>
      <c r="M2709" s="1"/>
      <c r="N2709" s="1"/>
      <c r="O2709" s="1"/>
      <c r="P2709" s="1"/>
      <c r="Q2709" s="1"/>
    </row>
    <row r="2710" spans="1:17" x14ac:dyDescent="0.25">
      <c r="A2710" s="1" t="s">
        <v>25</v>
      </c>
      <c r="B2710" s="1" t="s">
        <v>923</v>
      </c>
      <c r="C2710" s="1" t="s">
        <v>927</v>
      </c>
      <c r="D2710" s="1" t="s">
        <v>919</v>
      </c>
      <c r="E2710" s="1" t="s">
        <v>920</v>
      </c>
      <c r="F2710" s="1" t="s">
        <v>921</v>
      </c>
      <c r="G2710" s="1" t="s">
        <v>1109</v>
      </c>
      <c r="H2710" s="1"/>
      <c r="I2710" s="1"/>
      <c r="J2710" s="1"/>
      <c r="K2710" s="1"/>
      <c r="L2710" s="1"/>
      <c r="M2710" s="1"/>
      <c r="N2710" s="1"/>
      <c r="O2710" s="1"/>
      <c r="P2710" s="1"/>
      <c r="Q2710" s="1"/>
    </row>
    <row r="2711" spans="1:17" x14ac:dyDescent="0.25">
      <c r="A2711" s="1" t="s">
        <v>25</v>
      </c>
      <c r="B2711" s="1" t="s">
        <v>919</v>
      </c>
      <c r="C2711" s="1" t="s">
        <v>920</v>
      </c>
      <c r="D2711" s="1" t="s">
        <v>946</v>
      </c>
      <c r="E2711" s="1" t="s">
        <v>921</v>
      </c>
      <c r="F2711" s="1" t="s">
        <v>922</v>
      </c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</row>
    <row r="2712" spans="1:17" x14ac:dyDescent="0.25">
      <c r="A2712" s="1" t="s">
        <v>1001</v>
      </c>
      <c r="B2712" s="1" t="s">
        <v>10880</v>
      </c>
      <c r="C2712" s="1" t="s">
        <v>927</v>
      </c>
      <c r="D2712" s="1" t="s">
        <v>919</v>
      </c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</row>
    <row r="2713" spans="1:17" x14ac:dyDescent="0.25">
      <c r="A2713" s="1" t="s">
        <v>1001</v>
      </c>
      <c r="B2713" s="1" t="s">
        <v>10880</v>
      </c>
      <c r="C2713" s="1" t="s">
        <v>927</v>
      </c>
      <c r="D2713" s="1" t="s">
        <v>919</v>
      </c>
      <c r="E2713" s="1" t="s">
        <v>1030</v>
      </c>
      <c r="F2713" s="1" t="s">
        <v>1013</v>
      </c>
      <c r="G2713" s="1" t="s">
        <v>918</v>
      </c>
      <c r="H2713" s="1" t="s">
        <v>936</v>
      </c>
      <c r="I2713" s="1"/>
      <c r="J2713" s="1"/>
      <c r="K2713" s="1"/>
      <c r="L2713" s="1"/>
      <c r="M2713" s="1"/>
      <c r="N2713" s="1"/>
      <c r="O2713" s="1"/>
      <c r="P2713" s="1"/>
      <c r="Q2713" s="1"/>
    </row>
    <row r="2714" spans="1:17" x14ac:dyDescent="0.25">
      <c r="A2714" s="1" t="s">
        <v>1001</v>
      </c>
      <c r="B2714" s="1" t="s">
        <v>10880</v>
      </c>
      <c r="C2714" s="1" t="s">
        <v>927</v>
      </c>
      <c r="D2714" s="1" t="s">
        <v>919</v>
      </c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</row>
    <row r="2715" spans="1:17" x14ac:dyDescent="0.25">
      <c r="A2715" s="1" t="s">
        <v>1001</v>
      </c>
      <c r="B2715" s="1" t="s">
        <v>10880</v>
      </c>
      <c r="C2715" s="1" t="s">
        <v>927</v>
      </c>
      <c r="D2715" s="1" t="s">
        <v>919</v>
      </c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</row>
    <row r="2716" spans="1:17" x14ac:dyDescent="0.25">
      <c r="A2716" s="1" t="s">
        <v>919</v>
      </c>
      <c r="B2716" s="1" t="s">
        <v>1114</v>
      </c>
      <c r="C2716" s="1" t="s">
        <v>25</v>
      </c>
      <c r="D2716" s="1" t="s">
        <v>916</v>
      </c>
      <c r="E2716" s="1" t="s">
        <v>922</v>
      </c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</row>
    <row r="2717" spans="1:17" x14ac:dyDescent="0.25">
      <c r="A2717" s="1" t="s">
        <v>25</v>
      </c>
      <c r="B2717" s="1" t="s">
        <v>916</v>
      </c>
      <c r="C2717" s="1" t="s">
        <v>919</v>
      </c>
      <c r="D2717" s="1" t="s">
        <v>922</v>
      </c>
      <c r="E2717" s="1" t="s">
        <v>925</v>
      </c>
      <c r="F2717" s="1" t="s">
        <v>918</v>
      </c>
      <c r="G2717" s="1" t="s">
        <v>927</v>
      </c>
      <c r="H2717" s="1" t="s">
        <v>928</v>
      </c>
      <c r="I2717" s="1" t="s">
        <v>8195</v>
      </c>
      <c r="J2717" s="1"/>
      <c r="K2717" s="1"/>
      <c r="L2717" s="1"/>
      <c r="M2717" s="1"/>
      <c r="N2717" s="1"/>
      <c r="O2717" s="1"/>
      <c r="P2717" s="1"/>
      <c r="Q2717" s="1"/>
    </row>
    <row r="2718" spans="1:17" x14ac:dyDescent="0.25">
      <c r="A2718" s="1" t="s">
        <v>25</v>
      </c>
      <c r="B2718" s="1" t="s">
        <v>916</v>
      </c>
      <c r="C2718" s="1" t="s">
        <v>919</v>
      </c>
      <c r="D2718" s="1" t="s">
        <v>922</v>
      </c>
      <c r="E2718" s="1" t="s">
        <v>918</v>
      </c>
      <c r="F2718" s="1" t="s">
        <v>929</v>
      </c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</row>
    <row r="2719" spans="1:17" x14ac:dyDescent="0.25">
      <c r="A2719" s="1" t="s">
        <v>934</v>
      </c>
      <c r="B2719" s="1" t="s">
        <v>940</v>
      </c>
      <c r="C2719" s="1" t="s">
        <v>1011</v>
      </c>
      <c r="D2719" s="1" t="s">
        <v>25</v>
      </c>
      <c r="E2719" s="1" t="s">
        <v>923</v>
      </c>
      <c r="F2719" s="1" t="s">
        <v>916</v>
      </c>
      <c r="G2719" s="1" t="s">
        <v>920</v>
      </c>
      <c r="H2719" s="1" t="s">
        <v>933</v>
      </c>
      <c r="I2719" s="1" t="s">
        <v>921</v>
      </c>
      <c r="J2719" s="1"/>
      <c r="K2719" s="1"/>
      <c r="L2719" s="1"/>
      <c r="M2719" s="1"/>
      <c r="N2719" s="1"/>
      <c r="O2719" s="1"/>
      <c r="P2719" s="1"/>
      <c r="Q2719" s="1"/>
    </row>
    <row r="2720" spans="1:17" x14ac:dyDescent="0.25">
      <c r="A2720" s="1" t="s">
        <v>934</v>
      </c>
      <c r="B2720" s="1" t="s">
        <v>940</v>
      </c>
      <c r="C2720" s="1" t="s">
        <v>1011</v>
      </c>
      <c r="D2720" s="1" t="s">
        <v>25</v>
      </c>
      <c r="E2720" s="1" t="s">
        <v>923</v>
      </c>
      <c r="F2720" s="1" t="s">
        <v>916</v>
      </c>
      <c r="G2720" s="1" t="s">
        <v>920</v>
      </c>
      <c r="H2720" s="1" t="s">
        <v>933</v>
      </c>
      <c r="I2720" s="1" t="s">
        <v>921</v>
      </c>
      <c r="J2720" s="1" t="s">
        <v>11017</v>
      </c>
      <c r="K2720" s="1" t="s">
        <v>1131</v>
      </c>
      <c r="L2720" s="1" t="s">
        <v>11018</v>
      </c>
      <c r="M2720" s="1" t="s">
        <v>1061</v>
      </c>
      <c r="N2720" s="1"/>
      <c r="O2720" s="1"/>
      <c r="P2720" s="1"/>
      <c r="Q2720" s="1"/>
    </row>
    <row r="2721" spans="1:17" x14ac:dyDescent="0.25">
      <c r="A2721" s="1" t="s">
        <v>934</v>
      </c>
      <c r="B2721" s="1" t="s">
        <v>940</v>
      </c>
      <c r="C2721" s="1" t="s">
        <v>1011</v>
      </c>
      <c r="D2721" s="1" t="s">
        <v>25</v>
      </c>
      <c r="E2721" s="1" t="s">
        <v>923</v>
      </c>
      <c r="F2721" s="1" t="s">
        <v>916</v>
      </c>
      <c r="G2721" s="1" t="s">
        <v>920</v>
      </c>
      <c r="H2721" s="1" t="s">
        <v>933</v>
      </c>
      <c r="I2721" s="1" t="s">
        <v>921</v>
      </c>
      <c r="J2721" s="1"/>
      <c r="K2721" s="1"/>
      <c r="L2721" s="1"/>
      <c r="M2721" s="1"/>
      <c r="N2721" s="1"/>
      <c r="O2721" s="1"/>
      <c r="P2721" s="1"/>
      <c r="Q2721" s="1"/>
    </row>
    <row r="2722" spans="1:17" x14ac:dyDescent="0.25">
      <c r="A2722" s="1" t="s">
        <v>934</v>
      </c>
      <c r="B2722" s="1" t="s">
        <v>940</v>
      </c>
      <c r="C2722" s="1" t="s">
        <v>1011</v>
      </c>
      <c r="D2722" s="1" t="s">
        <v>25</v>
      </c>
      <c r="E2722" s="1" t="s">
        <v>923</v>
      </c>
      <c r="F2722" s="1" t="s">
        <v>916</v>
      </c>
      <c r="G2722" s="1" t="s">
        <v>920</v>
      </c>
      <c r="H2722" s="1" t="s">
        <v>933</v>
      </c>
      <c r="I2722" s="1" t="s">
        <v>921</v>
      </c>
      <c r="J2722" s="1"/>
      <c r="K2722" s="1"/>
      <c r="L2722" s="1"/>
      <c r="M2722" s="1"/>
      <c r="N2722" s="1"/>
      <c r="O2722" s="1"/>
      <c r="P2722" s="1"/>
      <c r="Q2722" s="1"/>
    </row>
    <row r="2723" spans="1:17" x14ac:dyDescent="0.25">
      <c r="A2723" s="1" t="s">
        <v>1070</v>
      </c>
      <c r="B2723" s="1" t="s">
        <v>976</v>
      </c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</row>
    <row r="2724" spans="1:17" x14ac:dyDescent="0.25">
      <c r="A2724" s="1" t="s">
        <v>1070</v>
      </c>
      <c r="B2724" s="1" t="s">
        <v>976</v>
      </c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</row>
    <row r="2725" spans="1:17" x14ac:dyDescent="0.25">
      <c r="A2725" s="1" t="s">
        <v>1001</v>
      </c>
      <c r="B2725" s="1" t="s">
        <v>927</v>
      </c>
      <c r="C2725" s="1" t="s">
        <v>992</v>
      </c>
      <c r="D2725" s="1" t="s">
        <v>981</v>
      </c>
      <c r="E2725" s="1" t="s">
        <v>1066</v>
      </c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</row>
    <row r="2726" spans="1:17" x14ac:dyDescent="0.25">
      <c r="A2726" s="1" t="s">
        <v>1001</v>
      </c>
      <c r="B2726" s="1" t="s">
        <v>927</v>
      </c>
      <c r="C2726" s="1" t="s">
        <v>992</v>
      </c>
      <c r="D2726" s="1" t="s">
        <v>981</v>
      </c>
      <c r="E2726" s="1" t="s">
        <v>1066</v>
      </c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</row>
    <row r="2727" spans="1:17" x14ac:dyDescent="0.25">
      <c r="A2727" s="1" t="s">
        <v>997</v>
      </c>
      <c r="B2727" s="1" t="s">
        <v>994</v>
      </c>
      <c r="C2727" s="1" t="s">
        <v>10755</v>
      </c>
      <c r="D2727" s="1" t="s">
        <v>1109</v>
      </c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</row>
    <row r="2728" spans="1:17" x14ac:dyDescent="0.25">
      <c r="A2728" s="1" t="s">
        <v>996</v>
      </c>
      <c r="B2728" s="1" t="s">
        <v>25</v>
      </c>
      <c r="C2728" s="1" t="s">
        <v>923</v>
      </c>
      <c r="D2728" s="1" t="s">
        <v>997</v>
      </c>
      <c r="E2728" s="1" t="s">
        <v>927</v>
      </c>
      <c r="F2728" s="1" t="s">
        <v>920</v>
      </c>
      <c r="G2728" s="1" t="s">
        <v>994</v>
      </c>
      <c r="H2728" s="1" t="s">
        <v>918</v>
      </c>
      <c r="I2728" s="1" t="s">
        <v>919</v>
      </c>
      <c r="J2728" s="1" t="s">
        <v>930</v>
      </c>
      <c r="K2728" s="1" t="s">
        <v>945</v>
      </c>
      <c r="L2728" s="1"/>
      <c r="M2728" s="1"/>
      <c r="N2728" s="1"/>
      <c r="O2728" s="1"/>
      <c r="P2728" s="1"/>
      <c r="Q2728" s="1"/>
    </row>
    <row r="2729" spans="1:17" x14ac:dyDescent="0.25">
      <c r="A2729" s="1" t="s">
        <v>996</v>
      </c>
      <c r="B2729" s="1" t="s">
        <v>25</v>
      </c>
      <c r="C2729" s="1" t="s">
        <v>923</v>
      </c>
      <c r="D2729" s="1" t="s">
        <v>997</v>
      </c>
      <c r="E2729" s="1" t="s">
        <v>927</v>
      </c>
      <c r="F2729" s="1" t="s">
        <v>920</v>
      </c>
      <c r="G2729" s="1" t="s">
        <v>994</v>
      </c>
      <c r="H2729" s="1" t="s">
        <v>918</v>
      </c>
      <c r="I2729" s="1" t="s">
        <v>919</v>
      </c>
      <c r="J2729" s="1" t="s">
        <v>930</v>
      </c>
      <c r="K2729" s="1" t="s">
        <v>945</v>
      </c>
      <c r="L2729" s="1" t="s">
        <v>1001</v>
      </c>
      <c r="M2729" s="1" t="s">
        <v>936</v>
      </c>
      <c r="N2729" s="1"/>
      <c r="O2729" s="1"/>
      <c r="P2729" s="1"/>
      <c r="Q2729" s="1"/>
    </row>
    <row r="2730" spans="1:17" x14ac:dyDescent="0.25">
      <c r="A2730" s="1" t="s">
        <v>996</v>
      </c>
      <c r="B2730" s="1" t="s">
        <v>25</v>
      </c>
      <c r="C2730" s="1" t="s">
        <v>923</v>
      </c>
      <c r="D2730" s="1" t="s">
        <v>997</v>
      </c>
      <c r="E2730" s="1" t="s">
        <v>927</v>
      </c>
      <c r="F2730" s="1" t="s">
        <v>920</v>
      </c>
      <c r="G2730" s="1" t="s">
        <v>994</v>
      </c>
      <c r="H2730" s="1" t="s">
        <v>1001</v>
      </c>
      <c r="I2730" s="1" t="s">
        <v>918</v>
      </c>
      <c r="J2730" s="1" t="s">
        <v>919</v>
      </c>
      <c r="K2730" s="1" t="s">
        <v>936</v>
      </c>
      <c r="L2730" s="1" t="s">
        <v>921</v>
      </c>
      <c r="M2730" s="1"/>
      <c r="N2730" s="1"/>
      <c r="O2730" s="1"/>
      <c r="P2730" s="1"/>
      <c r="Q2730" s="1"/>
    </row>
    <row r="2731" spans="1:17" x14ac:dyDescent="0.25">
      <c r="A2731" s="1" t="s">
        <v>981</v>
      </c>
      <c r="B2731" s="1" t="s">
        <v>983</v>
      </c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</row>
    <row r="2732" spans="1:17" x14ac:dyDescent="0.25">
      <c r="A2732" s="1" t="s">
        <v>981</v>
      </c>
      <c r="B2732" s="1" t="s">
        <v>983</v>
      </c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</row>
    <row r="2733" spans="1:17" x14ac:dyDescent="0.25">
      <c r="A2733" s="1" t="s">
        <v>981</v>
      </c>
      <c r="B2733" s="1" t="s">
        <v>983</v>
      </c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</row>
    <row r="2734" spans="1:17" x14ac:dyDescent="0.25">
      <c r="A2734" s="1" t="s">
        <v>981</v>
      </c>
      <c r="B2734" s="1" t="s">
        <v>983</v>
      </c>
      <c r="C2734" s="1" t="s">
        <v>919</v>
      </c>
      <c r="D2734" s="1" t="s">
        <v>924</v>
      </c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</row>
    <row r="2735" spans="1:17" x14ac:dyDescent="0.25">
      <c r="A2735" s="1" t="s">
        <v>981</v>
      </c>
      <c r="B2735" s="1" t="s">
        <v>983</v>
      </c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</row>
    <row r="2736" spans="1:17" x14ac:dyDescent="0.25">
      <c r="A2736" s="1" t="s">
        <v>981</v>
      </c>
      <c r="B2736" s="1" t="s">
        <v>983</v>
      </c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</row>
    <row r="2737" spans="1:17" x14ac:dyDescent="0.25">
      <c r="A2737" s="1" t="s">
        <v>981</v>
      </c>
      <c r="B2737" s="1" t="s">
        <v>983</v>
      </c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</row>
    <row r="2738" spans="1:17" x14ac:dyDescent="0.25">
      <c r="A2738" s="1" t="s">
        <v>981</v>
      </c>
      <c r="B2738" s="1" t="s">
        <v>983</v>
      </c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</row>
    <row r="2739" spans="1:17" x14ac:dyDescent="0.25">
      <c r="A2739" s="1" t="s">
        <v>981</v>
      </c>
      <c r="B2739" s="1" t="s">
        <v>983</v>
      </c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</row>
    <row r="2740" spans="1:17" x14ac:dyDescent="0.25">
      <c r="A2740" s="1" t="s">
        <v>981</v>
      </c>
      <c r="B2740" s="1" t="s">
        <v>983</v>
      </c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</row>
    <row r="2741" spans="1:17" x14ac:dyDescent="0.25">
      <c r="A2741" s="1" t="s">
        <v>1149</v>
      </c>
      <c r="B2741" s="1" t="s">
        <v>25</v>
      </c>
      <c r="C2741" s="1" t="s">
        <v>923</v>
      </c>
      <c r="D2741" s="1" t="s">
        <v>998</v>
      </c>
      <c r="E2741" s="1" t="s">
        <v>1086</v>
      </c>
      <c r="F2741" s="1" t="s">
        <v>920</v>
      </c>
      <c r="G2741" s="1" t="s">
        <v>933</v>
      </c>
      <c r="H2741" s="1" t="s">
        <v>10719</v>
      </c>
      <c r="I2741" s="1" t="s">
        <v>974</v>
      </c>
      <c r="J2741" s="1"/>
      <c r="K2741" s="1"/>
      <c r="L2741" s="1"/>
      <c r="M2741" s="1"/>
      <c r="N2741" s="1"/>
      <c r="O2741" s="1"/>
      <c r="P2741" s="1"/>
      <c r="Q2741" s="1"/>
    </row>
    <row r="2742" spans="1:17" x14ac:dyDescent="0.25">
      <c r="A2742" s="1" t="s">
        <v>1149</v>
      </c>
      <c r="B2742" s="1" t="s">
        <v>25</v>
      </c>
      <c r="C2742" s="1" t="s">
        <v>923</v>
      </c>
      <c r="D2742" s="1" t="s">
        <v>998</v>
      </c>
      <c r="E2742" s="1" t="s">
        <v>1086</v>
      </c>
      <c r="F2742" s="1" t="s">
        <v>920</v>
      </c>
      <c r="G2742" s="1" t="s">
        <v>933</v>
      </c>
      <c r="H2742" s="1" t="s">
        <v>10719</v>
      </c>
      <c r="I2742" s="1" t="s">
        <v>10805</v>
      </c>
      <c r="J2742" s="1"/>
      <c r="K2742" s="1"/>
      <c r="L2742" s="1"/>
      <c r="M2742" s="1"/>
      <c r="N2742" s="1"/>
      <c r="O2742" s="1"/>
      <c r="P2742" s="1"/>
      <c r="Q2742" s="1"/>
    </row>
    <row r="2743" spans="1:17" x14ac:dyDescent="0.25">
      <c r="A2743" s="1" t="s">
        <v>1149</v>
      </c>
      <c r="B2743" s="1" t="s">
        <v>25</v>
      </c>
      <c r="C2743" s="1" t="s">
        <v>923</v>
      </c>
      <c r="D2743" s="1" t="s">
        <v>998</v>
      </c>
      <c r="E2743" s="1" t="s">
        <v>1086</v>
      </c>
      <c r="F2743" s="1" t="s">
        <v>920</v>
      </c>
      <c r="G2743" s="1" t="s">
        <v>933</v>
      </c>
      <c r="H2743" s="1" t="s">
        <v>10719</v>
      </c>
      <c r="I2743" s="1" t="s">
        <v>732</v>
      </c>
      <c r="J2743" s="1" t="s">
        <v>10805</v>
      </c>
      <c r="K2743" s="1"/>
      <c r="L2743" s="1"/>
      <c r="M2743" s="1"/>
      <c r="N2743" s="1"/>
      <c r="O2743" s="1"/>
      <c r="P2743" s="1"/>
      <c r="Q2743" s="1"/>
    </row>
    <row r="2744" spans="1:17" x14ac:dyDescent="0.25">
      <c r="A2744" s="1" t="s">
        <v>1149</v>
      </c>
      <c r="B2744" s="1" t="s">
        <v>25</v>
      </c>
      <c r="C2744" s="1" t="s">
        <v>923</v>
      </c>
      <c r="D2744" s="1" t="s">
        <v>998</v>
      </c>
      <c r="E2744" s="1" t="s">
        <v>1086</v>
      </c>
      <c r="F2744" s="1" t="s">
        <v>920</v>
      </c>
      <c r="G2744" s="1" t="s">
        <v>933</v>
      </c>
      <c r="H2744" s="1" t="s">
        <v>10719</v>
      </c>
      <c r="I2744" s="1" t="s">
        <v>974</v>
      </c>
      <c r="J2744" s="1"/>
      <c r="K2744" s="1"/>
      <c r="L2744" s="1"/>
      <c r="M2744" s="1"/>
      <c r="N2744" s="1"/>
      <c r="O2744" s="1"/>
      <c r="P2744" s="1"/>
      <c r="Q2744" s="1"/>
    </row>
    <row r="2745" spans="1:17" x14ac:dyDescent="0.25">
      <c r="A2745" s="1" t="s">
        <v>1149</v>
      </c>
      <c r="B2745" s="1" t="s">
        <v>25</v>
      </c>
      <c r="C2745" s="1" t="s">
        <v>923</v>
      </c>
      <c r="D2745" s="1" t="s">
        <v>998</v>
      </c>
      <c r="E2745" s="1" t="s">
        <v>1086</v>
      </c>
      <c r="F2745" s="1" t="s">
        <v>920</v>
      </c>
      <c r="G2745" s="1" t="s">
        <v>933</v>
      </c>
      <c r="H2745" s="1" t="s">
        <v>10719</v>
      </c>
      <c r="I2745" s="1" t="s">
        <v>298</v>
      </c>
      <c r="J2745" s="1" t="s">
        <v>927</v>
      </c>
      <c r="K2745" s="1"/>
      <c r="L2745" s="1"/>
      <c r="M2745" s="1"/>
      <c r="N2745" s="1"/>
      <c r="O2745" s="1"/>
      <c r="P2745" s="1"/>
      <c r="Q2745" s="1"/>
    </row>
    <row r="2746" spans="1:17" x14ac:dyDescent="0.25">
      <c r="A2746" s="1" t="s">
        <v>1149</v>
      </c>
      <c r="B2746" s="1" t="s">
        <v>25</v>
      </c>
      <c r="C2746" s="1" t="s">
        <v>923</v>
      </c>
      <c r="D2746" s="1" t="s">
        <v>998</v>
      </c>
      <c r="E2746" s="1" t="s">
        <v>1086</v>
      </c>
      <c r="F2746" s="1" t="s">
        <v>920</v>
      </c>
      <c r="G2746" s="1" t="s">
        <v>933</v>
      </c>
      <c r="H2746" s="1" t="s">
        <v>10719</v>
      </c>
      <c r="I2746" s="1" t="s">
        <v>954</v>
      </c>
      <c r="J2746" s="1" t="s">
        <v>974</v>
      </c>
      <c r="K2746" s="1" t="s">
        <v>950</v>
      </c>
      <c r="L2746" s="1" t="s">
        <v>921</v>
      </c>
      <c r="M2746" s="1" t="s">
        <v>10720</v>
      </c>
      <c r="N2746" s="1" t="s">
        <v>948</v>
      </c>
      <c r="O2746" s="1" t="s">
        <v>997</v>
      </c>
      <c r="P2746" s="1" t="s">
        <v>10873</v>
      </c>
      <c r="Q2746" s="1"/>
    </row>
    <row r="2747" spans="1:17" x14ac:dyDescent="0.25">
      <c r="A2747" s="1" t="s">
        <v>1149</v>
      </c>
      <c r="B2747" s="1" t="s">
        <v>25</v>
      </c>
      <c r="C2747" s="1" t="s">
        <v>923</v>
      </c>
      <c r="D2747" s="1" t="s">
        <v>998</v>
      </c>
      <c r="E2747" s="1" t="s">
        <v>1086</v>
      </c>
      <c r="F2747" s="1" t="s">
        <v>920</v>
      </c>
      <c r="G2747" s="1" t="s">
        <v>933</v>
      </c>
      <c r="H2747" s="1" t="s">
        <v>10719</v>
      </c>
      <c r="I2747" s="1"/>
      <c r="J2747" s="1"/>
      <c r="K2747" s="1"/>
      <c r="L2747" s="1"/>
      <c r="M2747" s="1"/>
      <c r="N2747" s="1"/>
      <c r="O2747" s="1"/>
      <c r="P2747" s="1"/>
      <c r="Q2747" s="1"/>
    </row>
    <row r="2748" spans="1:17" x14ac:dyDescent="0.25">
      <c r="A2748" s="1" t="s">
        <v>25</v>
      </c>
      <c r="B2748" s="1" t="s">
        <v>920</v>
      </c>
      <c r="C2748" s="1" t="s">
        <v>974</v>
      </c>
      <c r="D2748" s="1" t="s">
        <v>10719</v>
      </c>
      <c r="E2748" s="1" t="s">
        <v>950</v>
      </c>
      <c r="F2748" s="1" t="s">
        <v>10720</v>
      </c>
      <c r="G2748" s="1" t="s">
        <v>10805</v>
      </c>
      <c r="H2748" s="1" t="s">
        <v>1149</v>
      </c>
      <c r="I2748" s="1" t="s">
        <v>923</v>
      </c>
      <c r="J2748" s="1" t="s">
        <v>998</v>
      </c>
      <c r="K2748" s="1" t="s">
        <v>1086</v>
      </c>
      <c r="L2748" s="1" t="s">
        <v>933</v>
      </c>
      <c r="M2748" s="1"/>
      <c r="N2748" s="1"/>
      <c r="O2748" s="1"/>
      <c r="P2748" s="1"/>
      <c r="Q2748" s="1"/>
    </row>
    <row r="2749" spans="1:17" x14ac:dyDescent="0.25">
      <c r="A2749" s="1" t="s">
        <v>25</v>
      </c>
      <c r="B2749" s="1" t="s">
        <v>923</v>
      </c>
      <c r="C2749" s="1" t="s">
        <v>920</v>
      </c>
      <c r="D2749" s="1" t="s">
        <v>933</v>
      </c>
      <c r="E2749" s="1" t="s">
        <v>954</v>
      </c>
      <c r="F2749" s="1" t="s">
        <v>974</v>
      </c>
      <c r="G2749" s="1" t="s">
        <v>921</v>
      </c>
      <c r="H2749" s="1"/>
      <c r="I2749" s="1"/>
      <c r="J2749" s="1"/>
      <c r="K2749" s="1"/>
      <c r="L2749" s="1"/>
      <c r="M2749" s="1"/>
      <c r="N2749" s="1"/>
      <c r="O2749" s="1"/>
      <c r="P2749" s="1"/>
      <c r="Q2749" s="1"/>
    </row>
    <row r="2750" spans="1:17" x14ac:dyDescent="0.25">
      <c r="A2750" s="1" t="s">
        <v>933</v>
      </c>
      <c r="B2750" s="1" t="s">
        <v>10896</v>
      </c>
      <c r="C2750" s="1" t="s">
        <v>1013</v>
      </c>
      <c r="D2750" s="1" t="s">
        <v>927</v>
      </c>
      <c r="E2750" s="1" t="s">
        <v>981</v>
      </c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</row>
    <row r="2751" spans="1:17" x14ac:dyDescent="0.25">
      <c r="A2751" s="1" t="s">
        <v>996</v>
      </c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</row>
    <row r="2752" spans="1:17" x14ac:dyDescent="0.25">
      <c r="A2752" s="1" t="s">
        <v>1053</v>
      </c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</row>
    <row r="2753" spans="1:17" x14ac:dyDescent="0.25">
      <c r="A2753" s="1" t="s">
        <v>1001</v>
      </c>
      <c r="B2753" s="1" t="s">
        <v>992</v>
      </c>
      <c r="C2753" s="1" t="s">
        <v>981</v>
      </c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</row>
    <row r="2754" spans="1:17" x14ac:dyDescent="0.25">
      <c r="A2754" s="1" t="s">
        <v>1001</v>
      </c>
      <c r="B2754" s="1" t="s">
        <v>992</v>
      </c>
      <c r="C2754" s="1" t="s">
        <v>981</v>
      </c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</row>
    <row r="2755" spans="1:17" x14ac:dyDescent="0.25">
      <c r="A2755" s="1" t="s">
        <v>1001</v>
      </c>
      <c r="B2755" s="1" t="s">
        <v>992</v>
      </c>
      <c r="C2755" s="1" t="s">
        <v>981</v>
      </c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</row>
    <row r="2756" spans="1:17" x14ac:dyDescent="0.25">
      <c r="A2756" s="1" t="s">
        <v>1149</v>
      </c>
      <c r="B2756" s="1" t="s">
        <v>25</v>
      </c>
      <c r="C2756" s="1" t="s">
        <v>923</v>
      </c>
      <c r="D2756" s="1" t="s">
        <v>998</v>
      </c>
      <c r="E2756" s="1" t="s">
        <v>1086</v>
      </c>
      <c r="F2756" s="1" t="s">
        <v>920</v>
      </c>
      <c r="G2756" s="1" t="s">
        <v>933</v>
      </c>
      <c r="H2756" s="1" t="s">
        <v>10719</v>
      </c>
      <c r="I2756" s="1" t="s">
        <v>1001</v>
      </c>
      <c r="J2756" s="1" t="s">
        <v>992</v>
      </c>
      <c r="K2756" s="1" t="s">
        <v>981</v>
      </c>
      <c r="L2756" s="1"/>
      <c r="M2756" s="1"/>
      <c r="N2756" s="1"/>
      <c r="O2756" s="1"/>
      <c r="P2756" s="1"/>
      <c r="Q2756" s="1"/>
    </row>
    <row r="2757" spans="1:17" x14ac:dyDescent="0.25">
      <c r="A2757" s="1" t="s">
        <v>1001</v>
      </c>
      <c r="B2757" s="1" t="s">
        <v>992</v>
      </c>
      <c r="C2757" s="1" t="s">
        <v>981</v>
      </c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</row>
    <row r="2758" spans="1:17" x14ac:dyDescent="0.25">
      <c r="A2758" s="1" t="s">
        <v>1001</v>
      </c>
      <c r="B2758" s="1" t="s">
        <v>992</v>
      </c>
      <c r="C2758" s="1" t="s">
        <v>981</v>
      </c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</row>
    <row r="2759" spans="1:17" x14ac:dyDescent="0.25">
      <c r="A2759" s="1" t="s">
        <v>1001</v>
      </c>
      <c r="B2759" s="1" t="s">
        <v>992</v>
      </c>
      <c r="C2759" s="1" t="s">
        <v>981</v>
      </c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</row>
    <row r="2760" spans="1:17" x14ac:dyDescent="0.25">
      <c r="A2760" s="1" t="s">
        <v>1001</v>
      </c>
      <c r="B2760" s="1" t="s">
        <v>992</v>
      </c>
      <c r="C2760" s="1" t="s">
        <v>981</v>
      </c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</row>
    <row r="2761" spans="1:17" x14ac:dyDescent="0.25">
      <c r="A2761" s="1" t="s">
        <v>298</v>
      </c>
      <c r="B2761" s="1" t="s">
        <v>2927</v>
      </c>
      <c r="C2761" s="1" t="s">
        <v>1069</v>
      </c>
      <c r="D2761" s="1" t="s">
        <v>25</v>
      </c>
      <c r="E2761" s="1" t="s">
        <v>923</v>
      </c>
      <c r="F2761" s="1" t="s">
        <v>998</v>
      </c>
      <c r="G2761" s="1" t="s">
        <v>1053</v>
      </c>
      <c r="H2761" s="1" t="s">
        <v>933</v>
      </c>
      <c r="I2761" s="1"/>
      <c r="J2761" s="1"/>
      <c r="K2761" s="1"/>
      <c r="L2761" s="1"/>
      <c r="M2761" s="1"/>
      <c r="N2761" s="1"/>
      <c r="O2761" s="1"/>
      <c r="P2761" s="1"/>
      <c r="Q2761" s="1"/>
    </row>
    <row r="2762" spans="1:17" x14ac:dyDescent="0.25">
      <c r="A2762" s="1" t="s">
        <v>2927</v>
      </c>
      <c r="B2762" s="1" t="s">
        <v>1069</v>
      </c>
      <c r="C2762" s="1" t="s">
        <v>1051</v>
      </c>
      <c r="D2762" s="1" t="s">
        <v>25</v>
      </c>
      <c r="E2762" s="1" t="s">
        <v>923</v>
      </c>
      <c r="F2762" s="1" t="s">
        <v>1053</v>
      </c>
      <c r="G2762" s="1" t="s">
        <v>256</v>
      </c>
      <c r="H2762" s="1"/>
      <c r="I2762" s="1"/>
      <c r="J2762" s="1"/>
      <c r="K2762" s="1"/>
      <c r="L2762" s="1"/>
      <c r="M2762" s="1"/>
      <c r="N2762" s="1"/>
      <c r="O2762" s="1"/>
      <c r="P2762" s="1"/>
      <c r="Q2762" s="1"/>
    </row>
    <row r="2763" spans="1:17" x14ac:dyDescent="0.25">
      <c r="A2763" s="1" t="s">
        <v>948</v>
      </c>
      <c r="B2763" s="1" t="s">
        <v>298</v>
      </c>
      <c r="C2763" s="1" t="s">
        <v>25</v>
      </c>
      <c r="D2763" s="1" t="s">
        <v>923</v>
      </c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</row>
    <row r="2764" spans="1:17" x14ac:dyDescent="0.25">
      <c r="A2764" s="1" t="s">
        <v>948</v>
      </c>
      <c r="B2764" s="1" t="s">
        <v>298</v>
      </c>
      <c r="C2764" s="1" t="s">
        <v>25</v>
      </c>
      <c r="D2764" s="1" t="s">
        <v>923</v>
      </c>
      <c r="E2764" s="1" t="s">
        <v>1086</v>
      </c>
      <c r="F2764" s="1" t="s">
        <v>919</v>
      </c>
      <c r="G2764" s="1" t="s">
        <v>920</v>
      </c>
      <c r="H2764" s="1" t="s">
        <v>921</v>
      </c>
      <c r="I2764" s="1" t="s">
        <v>992</v>
      </c>
      <c r="J2764" s="1"/>
      <c r="K2764" s="1"/>
      <c r="L2764" s="1"/>
      <c r="M2764" s="1"/>
      <c r="N2764" s="1"/>
      <c r="O2764" s="1"/>
      <c r="P2764" s="1"/>
      <c r="Q2764" s="1"/>
    </row>
    <row r="2765" spans="1:17" x14ac:dyDescent="0.25">
      <c r="A2765" s="1" t="s">
        <v>10723</v>
      </c>
      <c r="B2765" s="1" t="s">
        <v>10733</v>
      </c>
      <c r="C2765" s="1" t="s">
        <v>996</v>
      </c>
      <c r="D2765" s="1" t="s">
        <v>948</v>
      </c>
      <c r="E2765" s="1" t="s">
        <v>10788</v>
      </c>
      <c r="F2765" s="1" t="s">
        <v>25</v>
      </c>
      <c r="G2765" s="1" t="s">
        <v>923</v>
      </c>
      <c r="H2765" s="1" t="s">
        <v>997</v>
      </c>
      <c r="I2765" s="1" t="s">
        <v>1086</v>
      </c>
      <c r="J2765" s="1" t="s">
        <v>920</v>
      </c>
      <c r="K2765" s="1"/>
      <c r="L2765" s="1"/>
      <c r="M2765" s="1"/>
      <c r="N2765" s="1"/>
      <c r="O2765" s="1"/>
      <c r="P2765" s="1"/>
      <c r="Q2765" s="1"/>
    </row>
    <row r="2766" spans="1:17" x14ac:dyDescent="0.25">
      <c r="A2766" s="1" t="s">
        <v>948</v>
      </c>
      <c r="B2766" s="1" t="s">
        <v>298</v>
      </c>
      <c r="C2766" s="1" t="s">
        <v>1149</v>
      </c>
      <c r="D2766" s="1" t="s">
        <v>25</v>
      </c>
      <c r="E2766" s="1" t="s">
        <v>923</v>
      </c>
      <c r="F2766" s="1" t="s">
        <v>997</v>
      </c>
      <c r="G2766" s="1" t="s">
        <v>954</v>
      </c>
      <c r="H2766" s="1" t="s">
        <v>994</v>
      </c>
      <c r="I2766" s="1"/>
      <c r="J2766" s="1"/>
      <c r="K2766" s="1"/>
      <c r="L2766" s="1"/>
      <c r="M2766" s="1"/>
      <c r="N2766" s="1"/>
      <c r="O2766" s="1"/>
      <c r="P2766" s="1"/>
      <c r="Q2766" s="1"/>
    </row>
    <row r="2767" spans="1:17" x14ac:dyDescent="0.25">
      <c r="A2767" s="1" t="s">
        <v>948</v>
      </c>
      <c r="B2767" s="1" t="s">
        <v>298</v>
      </c>
      <c r="C2767" s="1" t="s">
        <v>1149</v>
      </c>
      <c r="D2767" s="1" t="s">
        <v>25</v>
      </c>
      <c r="E2767" s="1" t="s">
        <v>923</v>
      </c>
      <c r="F2767" s="1" t="s">
        <v>997</v>
      </c>
      <c r="G2767" s="1" t="s">
        <v>954</v>
      </c>
      <c r="H2767" s="1" t="s">
        <v>994</v>
      </c>
      <c r="I2767" s="1" t="s">
        <v>1166</v>
      </c>
      <c r="J2767" s="1" t="s">
        <v>1150</v>
      </c>
      <c r="K2767" s="1" t="s">
        <v>1053</v>
      </c>
      <c r="L2767" s="1" t="s">
        <v>1086</v>
      </c>
      <c r="M2767" s="1" t="s">
        <v>1001</v>
      </c>
      <c r="N2767" s="1" t="s">
        <v>937</v>
      </c>
      <c r="O2767" s="1"/>
      <c r="P2767" s="1"/>
      <c r="Q2767" s="1"/>
    </row>
    <row r="2768" spans="1:17" x14ac:dyDescent="0.25">
      <c r="A2768" s="1" t="s">
        <v>25</v>
      </c>
      <c r="B2768" s="1" t="s">
        <v>923</v>
      </c>
      <c r="C2768" s="1" t="s">
        <v>920</v>
      </c>
      <c r="D2768" s="1" t="s">
        <v>948</v>
      </c>
      <c r="E2768" s="1" t="s">
        <v>1069</v>
      </c>
      <c r="F2768" s="1" t="s">
        <v>1070</v>
      </c>
      <c r="G2768" s="1" t="s">
        <v>916</v>
      </c>
      <c r="H2768" s="1" t="s">
        <v>1078</v>
      </c>
      <c r="I2768" s="1" t="s">
        <v>980</v>
      </c>
      <c r="J2768" s="1" t="s">
        <v>919</v>
      </c>
      <c r="K2768" s="1" t="s">
        <v>921</v>
      </c>
      <c r="L2768" s="1" t="s">
        <v>1013</v>
      </c>
      <c r="M2768" s="1"/>
      <c r="N2768" s="1"/>
      <c r="O2768" s="1"/>
      <c r="P2768" s="1"/>
      <c r="Q2768" s="1"/>
    </row>
    <row r="2769" spans="1:17" x14ac:dyDescent="0.25">
      <c r="A2769" s="1" t="s">
        <v>964</v>
      </c>
      <c r="B2769" s="1" t="s">
        <v>1109</v>
      </c>
      <c r="C2769" s="1" t="s">
        <v>919</v>
      </c>
      <c r="D2769" s="1" t="s">
        <v>25</v>
      </c>
      <c r="E2769" s="1" t="s">
        <v>923</v>
      </c>
      <c r="F2769" s="1" t="s">
        <v>916</v>
      </c>
      <c r="G2769" s="1" t="s">
        <v>1078</v>
      </c>
      <c r="H2769" s="1" t="s">
        <v>980</v>
      </c>
      <c r="I2769" s="1" t="s">
        <v>920</v>
      </c>
      <c r="J2769" s="1" t="s">
        <v>921</v>
      </c>
      <c r="K2769" s="1" t="s">
        <v>981</v>
      </c>
      <c r="L2769" s="1"/>
      <c r="M2769" s="1"/>
      <c r="N2769" s="1"/>
      <c r="O2769" s="1"/>
      <c r="P2769" s="1"/>
      <c r="Q2769" s="1"/>
    </row>
    <row r="2770" spans="1:17" x14ac:dyDescent="0.25">
      <c r="A2770" s="1" t="s">
        <v>964</v>
      </c>
      <c r="B2770" s="1" t="s">
        <v>1109</v>
      </c>
      <c r="C2770" s="1" t="s">
        <v>919</v>
      </c>
      <c r="D2770" s="1" t="s">
        <v>25</v>
      </c>
      <c r="E2770" s="1" t="s">
        <v>923</v>
      </c>
      <c r="F2770" s="1" t="s">
        <v>916</v>
      </c>
      <c r="G2770" s="1" t="s">
        <v>1078</v>
      </c>
      <c r="H2770" s="1" t="s">
        <v>980</v>
      </c>
      <c r="I2770" s="1" t="s">
        <v>920</v>
      </c>
      <c r="J2770" s="1" t="s">
        <v>921</v>
      </c>
      <c r="K2770" s="1" t="s">
        <v>981</v>
      </c>
      <c r="L2770" s="1"/>
      <c r="M2770" s="1"/>
      <c r="N2770" s="1"/>
      <c r="O2770" s="1"/>
      <c r="P2770" s="1"/>
      <c r="Q2770" s="1"/>
    </row>
    <row r="2771" spans="1:17" x14ac:dyDescent="0.25">
      <c r="A2771" s="1" t="s">
        <v>964</v>
      </c>
      <c r="B2771" s="1" t="s">
        <v>1109</v>
      </c>
      <c r="C2771" s="1" t="s">
        <v>919</v>
      </c>
      <c r="D2771" s="1" t="s">
        <v>25</v>
      </c>
      <c r="E2771" s="1" t="s">
        <v>923</v>
      </c>
      <c r="F2771" s="1" t="s">
        <v>916</v>
      </c>
      <c r="G2771" s="1" t="s">
        <v>1078</v>
      </c>
      <c r="H2771" s="1" t="s">
        <v>980</v>
      </c>
      <c r="I2771" s="1" t="s">
        <v>920</v>
      </c>
      <c r="J2771" s="1" t="s">
        <v>921</v>
      </c>
      <c r="K2771" s="1" t="s">
        <v>981</v>
      </c>
      <c r="L2771" s="1"/>
      <c r="M2771" s="1"/>
      <c r="N2771" s="1"/>
      <c r="O2771" s="1"/>
      <c r="P2771" s="1"/>
      <c r="Q2771" s="1"/>
    </row>
    <row r="2772" spans="1:17" x14ac:dyDescent="0.25">
      <c r="A2772" s="1" t="s">
        <v>964</v>
      </c>
      <c r="B2772" s="1" t="s">
        <v>1109</v>
      </c>
      <c r="C2772" s="1" t="s">
        <v>919</v>
      </c>
      <c r="D2772" s="1" t="s">
        <v>25</v>
      </c>
      <c r="E2772" s="1" t="s">
        <v>923</v>
      </c>
      <c r="F2772" s="1" t="s">
        <v>916</v>
      </c>
      <c r="G2772" s="1" t="s">
        <v>1078</v>
      </c>
      <c r="H2772" s="1" t="s">
        <v>980</v>
      </c>
      <c r="I2772" s="1" t="s">
        <v>920</v>
      </c>
      <c r="J2772" s="1" t="s">
        <v>921</v>
      </c>
      <c r="K2772" s="1" t="s">
        <v>981</v>
      </c>
      <c r="L2772" s="1"/>
      <c r="M2772" s="1"/>
      <c r="N2772" s="1"/>
      <c r="O2772" s="1"/>
      <c r="P2772" s="1"/>
      <c r="Q2772" s="1"/>
    </row>
    <row r="2773" spans="1:17" x14ac:dyDescent="0.25">
      <c r="A2773" s="1" t="s">
        <v>25</v>
      </c>
      <c r="B2773" s="1" t="s">
        <v>918</v>
      </c>
      <c r="C2773" s="1" t="s">
        <v>919</v>
      </c>
      <c r="D2773" s="1" t="s">
        <v>929</v>
      </c>
      <c r="E2773" s="1" t="s">
        <v>923</v>
      </c>
      <c r="F2773" s="1" t="s">
        <v>916</v>
      </c>
      <c r="G2773" s="1" t="s">
        <v>1078</v>
      </c>
      <c r="H2773" s="1" t="s">
        <v>980</v>
      </c>
      <c r="I2773" s="1" t="s">
        <v>920</v>
      </c>
      <c r="J2773" s="1" t="s">
        <v>921</v>
      </c>
      <c r="K2773" s="1"/>
      <c r="L2773" s="1"/>
      <c r="M2773" s="1"/>
      <c r="N2773" s="1"/>
      <c r="O2773" s="1"/>
      <c r="P2773" s="1"/>
      <c r="Q2773" s="1"/>
    </row>
    <row r="2774" spans="1:17" x14ac:dyDescent="0.25">
      <c r="A2774" s="1" t="s">
        <v>918</v>
      </c>
      <c r="B2774" s="1" t="s">
        <v>25</v>
      </c>
      <c r="C2774" s="1" t="s">
        <v>927</v>
      </c>
      <c r="D2774" s="1" t="s">
        <v>939</v>
      </c>
      <c r="E2774" s="1" t="s">
        <v>928</v>
      </c>
      <c r="F2774" s="1" t="s">
        <v>919</v>
      </c>
      <c r="G2774" s="1" t="s">
        <v>929</v>
      </c>
      <c r="H2774" s="1" t="s">
        <v>923</v>
      </c>
      <c r="I2774" s="1" t="s">
        <v>916</v>
      </c>
      <c r="J2774" s="1" t="s">
        <v>1078</v>
      </c>
      <c r="K2774" s="1" t="s">
        <v>980</v>
      </c>
      <c r="L2774" s="1" t="s">
        <v>920</v>
      </c>
      <c r="M2774" s="1" t="s">
        <v>921</v>
      </c>
      <c r="N2774" s="1" t="s">
        <v>1034</v>
      </c>
      <c r="O2774" s="1" t="s">
        <v>956</v>
      </c>
      <c r="P2774" s="1"/>
      <c r="Q2774" s="1"/>
    </row>
    <row r="2775" spans="1:17" x14ac:dyDescent="0.25">
      <c r="A2775" s="1" t="s">
        <v>996</v>
      </c>
      <c r="B2775" s="1" t="s">
        <v>25</v>
      </c>
      <c r="C2775" s="1" t="s">
        <v>923</v>
      </c>
      <c r="D2775" s="1" t="s">
        <v>997</v>
      </c>
      <c r="E2775" s="1" t="s">
        <v>916</v>
      </c>
      <c r="F2775" s="1" t="s">
        <v>1078</v>
      </c>
      <c r="G2775" s="1" t="s">
        <v>980</v>
      </c>
      <c r="H2775" s="1" t="s">
        <v>919</v>
      </c>
      <c r="I2775" s="1" t="s">
        <v>920</v>
      </c>
      <c r="J2775" s="1" t="s">
        <v>921</v>
      </c>
      <c r="K2775" s="1" t="s">
        <v>943</v>
      </c>
      <c r="L2775" s="1" t="s">
        <v>945</v>
      </c>
      <c r="M2775" s="1"/>
      <c r="N2775" s="1"/>
      <c r="O2775" s="1"/>
      <c r="P2775" s="1"/>
      <c r="Q2775" s="1"/>
    </row>
    <row r="2776" spans="1:17" x14ac:dyDescent="0.25">
      <c r="A2776" s="1" t="s">
        <v>10751</v>
      </c>
      <c r="B2776" s="1" t="s">
        <v>958</v>
      </c>
      <c r="C2776" s="1" t="s">
        <v>925</v>
      </c>
      <c r="D2776" s="1" t="s">
        <v>1081</v>
      </c>
      <c r="E2776" s="1" t="s">
        <v>953</v>
      </c>
      <c r="F2776" s="1" t="s">
        <v>919</v>
      </c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</row>
    <row r="2777" spans="1:17" x14ac:dyDescent="0.25">
      <c r="A2777" s="1" t="s">
        <v>964</v>
      </c>
      <c r="B2777" s="1" t="s">
        <v>4258</v>
      </c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</row>
    <row r="2778" spans="1:17" x14ac:dyDescent="0.25">
      <c r="A2778" s="1" t="s">
        <v>964</v>
      </c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</row>
    <row r="2779" spans="1:17" x14ac:dyDescent="0.25">
      <c r="A2779" s="1" t="s">
        <v>964</v>
      </c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</row>
    <row r="2780" spans="1:17" x14ac:dyDescent="0.25">
      <c r="A2780" s="1" t="s">
        <v>964</v>
      </c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</row>
    <row r="2781" spans="1:17" x14ac:dyDescent="0.25">
      <c r="A2781" s="1" t="s">
        <v>90</v>
      </c>
      <c r="B2781" s="1" t="s">
        <v>996</v>
      </c>
      <c r="C2781" s="1" t="s">
        <v>25</v>
      </c>
      <c r="D2781" s="1" t="s">
        <v>923</v>
      </c>
      <c r="E2781" s="1" t="s">
        <v>997</v>
      </c>
      <c r="F2781" s="1" t="s">
        <v>927</v>
      </c>
      <c r="G2781" s="1" t="s">
        <v>998</v>
      </c>
      <c r="H2781" s="1" t="s">
        <v>1086</v>
      </c>
      <c r="I2781" s="1" t="s">
        <v>994</v>
      </c>
      <c r="J2781" s="1" t="s">
        <v>981</v>
      </c>
      <c r="K2781" s="1" t="s">
        <v>920</v>
      </c>
      <c r="L2781" s="1" t="s">
        <v>933</v>
      </c>
      <c r="M2781" s="1" t="s">
        <v>960</v>
      </c>
      <c r="N2781" s="1" t="s">
        <v>921</v>
      </c>
      <c r="O2781" s="1" t="s">
        <v>993</v>
      </c>
      <c r="P2781" s="1"/>
      <c r="Q2781" s="1"/>
    </row>
    <row r="2782" spans="1:17" x14ac:dyDescent="0.25">
      <c r="A2782" s="1" t="s">
        <v>90</v>
      </c>
      <c r="B2782" s="1" t="s">
        <v>996</v>
      </c>
      <c r="C2782" s="1" t="s">
        <v>25</v>
      </c>
      <c r="D2782" s="1" t="s">
        <v>923</v>
      </c>
      <c r="E2782" s="1" t="s">
        <v>997</v>
      </c>
      <c r="F2782" s="1" t="s">
        <v>927</v>
      </c>
      <c r="G2782" s="1" t="s">
        <v>998</v>
      </c>
      <c r="H2782" s="1" t="s">
        <v>1086</v>
      </c>
      <c r="I2782" s="1" t="s">
        <v>994</v>
      </c>
      <c r="J2782" s="1" t="s">
        <v>10751</v>
      </c>
      <c r="K2782" s="1"/>
      <c r="L2782" s="1"/>
      <c r="M2782" s="1"/>
      <c r="N2782" s="1"/>
      <c r="O2782" s="1"/>
      <c r="P2782" s="1"/>
      <c r="Q2782" s="1"/>
    </row>
    <row r="2783" spans="1:17" x14ac:dyDescent="0.25">
      <c r="A2783" s="1" t="s">
        <v>90</v>
      </c>
      <c r="B2783" s="1" t="s">
        <v>996</v>
      </c>
      <c r="C2783" s="1" t="s">
        <v>25</v>
      </c>
      <c r="D2783" s="1" t="s">
        <v>923</v>
      </c>
      <c r="E2783" s="1" t="s">
        <v>997</v>
      </c>
      <c r="F2783" s="1" t="s">
        <v>927</v>
      </c>
      <c r="G2783" s="1" t="s">
        <v>998</v>
      </c>
      <c r="H2783" s="1" t="s">
        <v>1086</v>
      </c>
      <c r="I2783" s="1" t="s">
        <v>994</v>
      </c>
      <c r="J2783" s="1"/>
      <c r="K2783" s="1"/>
      <c r="L2783" s="1"/>
      <c r="M2783" s="1"/>
      <c r="N2783" s="1"/>
      <c r="O2783" s="1"/>
      <c r="P2783" s="1"/>
      <c r="Q2783" s="1"/>
    </row>
    <row r="2784" spans="1:17" x14ac:dyDescent="0.25">
      <c r="A2784" s="1" t="s">
        <v>25</v>
      </c>
      <c r="B2784" s="1" t="s">
        <v>1086</v>
      </c>
      <c r="C2784" s="1" t="s">
        <v>919</v>
      </c>
      <c r="D2784" s="1" t="s">
        <v>920</v>
      </c>
      <c r="E2784" s="1" t="s">
        <v>921</v>
      </c>
      <c r="F2784" s="1" t="s">
        <v>90</v>
      </c>
      <c r="G2784" s="1" t="s">
        <v>996</v>
      </c>
      <c r="H2784" s="1" t="s">
        <v>923</v>
      </c>
      <c r="I2784" s="1" t="s">
        <v>997</v>
      </c>
      <c r="J2784" s="1" t="s">
        <v>927</v>
      </c>
      <c r="K2784" s="1" t="s">
        <v>998</v>
      </c>
      <c r="L2784" s="1" t="s">
        <v>994</v>
      </c>
      <c r="M2784" s="1"/>
      <c r="N2784" s="1"/>
      <c r="O2784" s="1"/>
      <c r="P2784" s="1"/>
      <c r="Q2784" s="1"/>
    </row>
    <row r="2785" spans="1:17" x14ac:dyDescent="0.25">
      <c r="A2785" s="1" t="s">
        <v>998</v>
      </c>
      <c r="B2785" s="1" t="s">
        <v>933</v>
      </c>
      <c r="C2785" s="1" t="s">
        <v>994</v>
      </c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</row>
    <row r="2786" spans="1:17" x14ac:dyDescent="0.25">
      <c r="A2786" s="1" t="s">
        <v>998</v>
      </c>
      <c r="B2786" s="1" t="s">
        <v>933</v>
      </c>
      <c r="C2786" s="1" t="s">
        <v>994</v>
      </c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</row>
    <row r="2787" spans="1:17" x14ac:dyDescent="0.25">
      <c r="A2787" s="1" t="s">
        <v>998</v>
      </c>
      <c r="B2787" s="1" t="s">
        <v>933</v>
      </c>
      <c r="C2787" s="1" t="s">
        <v>994</v>
      </c>
      <c r="D2787" s="1" t="s">
        <v>25</v>
      </c>
      <c r="E2787" s="1" t="s">
        <v>997</v>
      </c>
      <c r="F2787" s="1" t="s">
        <v>927</v>
      </c>
      <c r="G2787" s="1" t="s">
        <v>920</v>
      </c>
      <c r="H2787" s="1"/>
      <c r="I2787" s="1"/>
      <c r="J2787" s="1"/>
      <c r="K2787" s="1"/>
      <c r="L2787" s="1"/>
      <c r="M2787" s="1"/>
      <c r="N2787" s="1"/>
      <c r="O2787" s="1"/>
      <c r="P2787" s="1"/>
      <c r="Q2787" s="1"/>
    </row>
    <row r="2788" spans="1:17" x14ac:dyDescent="0.25">
      <c r="A2788" s="1" t="s">
        <v>998</v>
      </c>
      <c r="B2788" s="1" t="s">
        <v>933</v>
      </c>
      <c r="C2788" s="1" t="s">
        <v>994</v>
      </c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</row>
    <row r="2789" spans="1:17" x14ac:dyDescent="0.25">
      <c r="A2789" s="1" t="s">
        <v>951</v>
      </c>
      <c r="B2789" s="1" t="s">
        <v>1051</v>
      </c>
      <c r="C2789" s="1" t="s">
        <v>1052</v>
      </c>
      <c r="D2789" s="1" t="s">
        <v>1100</v>
      </c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</row>
    <row r="2790" spans="1:17" x14ac:dyDescent="0.25">
      <c r="A2790" s="1" t="s">
        <v>951</v>
      </c>
      <c r="B2790" s="1" t="s">
        <v>1051</v>
      </c>
      <c r="C2790" s="1" t="s">
        <v>1052</v>
      </c>
      <c r="D2790" s="1" t="s">
        <v>1100</v>
      </c>
      <c r="E2790" s="1" t="s">
        <v>1000</v>
      </c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</row>
    <row r="2791" spans="1:17" x14ac:dyDescent="0.25">
      <c r="A2791" s="1" t="s">
        <v>918</v>
      </c>
      <c r="B2791" s="1" t="s">
        <v>25</v>
      </c>
      <c r="C2791" s="1" t="s">
        <v>919</v>
      </c>
      <c r="D2791" s="1" t="s">
        <v>920</v>
      </c>
      <c r="E2791" s="1" t="s">
        <v>924</v>
      </c>
      <c r="F2791" s="1" t="s">
        <v>983</v>
      </c>
      <c r="G2791" s="1" t="s">
        <v>984</v>
      </c>
      <c r="H2791" s="1"/>
      <c r="I2791" s="1"/>
      <c r="J2791" s="1"/>
      <c r="K2791" s="1"/>
      <c r="L2791" s="1"/>
      <c r="M2791" s="1"/>
      <c r="N2791" s="1"/>
      <c r="O2791" s="1"/>
      <c r="P2791" s="1"/>
      <c r="Q2791" s="1"/>
    </row>
    <row r="2792" spans="1:17" x14ac:dyDescent="0.25">
      <c r="A2792" s="1" t="s">
        <v>918</v>
      </c>
      <c r="B2792" s="1" t="s">
        <v>25</v>
      </c>
      <c r="C2792" s="1" t="s">
        <v>919</v>
      </c>
      <c r="D2792" s="1" t="s">
        <v>920</v>
      </c>
      <c r="E2792" s="1" t="s">
        <v>924</v>
      </c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</row>
    <row r="2793" spans="1:17" x14ac:dyDescent="0.25">
      <c r="A2793" s="1" t="s">
        <v>918</v>
      </c>
      <c r="B2793" s="1" t="s">
        <v>25</v>
      </c>
      <c r="C2793" s="1" t="s">
        <v>919</v>
      </c>
      <c r="D2793" s="1" t="s">
        <v>920</v>
      </c>
      <c r="E2793" s="1" t="s">
        <v>924</v>
      </c>
      <c r="F2793" s="1" t="s">
        <v>927</v>
      </c>
      <c r="G2793" s="1" t="s">
        <v>981</v>
      </c>
      <c r="H2793" s="1" t="s">
        <v>921</v>
      </c>
      <c r="I2793" s="1"/>
      <c r="J2793" s="1"/>
      <c r="K2793" s="1"/>
      <c r="L2793" s="1"/>
      <c r="M2793" s="1"/>
      <c r="N2793" s="1"/>
      <c r="O2793" s="1"/>
      <c r="P2793" s="1"/>
      <c r="Q2793" s="1"/>
    </row>
    <row r="2794" spans="1:17" x14ac:dyDescent="0.25">
      <c r="A2794" s="1" t="s">
        <v>918</v>
      </c>
      <c r="B2794" s="1" t="s">
        <v>25</v>
      </c>
      <c r="C2794" s="1" t="s">
        <v>919</v>
      </c>
      <c r="D2794" s="1" t="s">
        <v>920</v>
      </c>
      <c r="E2794" s="1" t="s">
        <v>924</v>
      </c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</row>
    <row r="2795" spans="1:17" x14ac:dyDescent="0.25">
      <c r="A2795" s="1" t="s">
        <v>918</v>
      </c>
      <c r="B2795" s="1" t="s">
        <v>25</v>
      </c>
      <c r="C2795" s="1" t="s">
        <v>919</v>
      </c>
      <c r="D2795" s="1" t="s">
        <v>920</v>
      </c>
      <c r="E2795" s="1" t="s">
        <v>924</v>
      </c>
      <c r="F2795" s="1" t="s">
        <v>961</v>
      </c>
      <c r="G2795" s="1" t="s">
        <v>921</v>
      </c>
      <c r="H2795" s="1"/>
      <c r="I2795" s="1"/>
      <c r="J2795" s="1"/>
      <c r="K2795" s="1"/>
      <c r="L2795" s="1"/>
      <c r="M2795" s="1"/>
      <c r="N2795" s="1"/>
      <c r="O2795" s="1"/>
      <c r="P2795" s="1"/>
      <c r="Q2795" s="1"/>
    </row>
    <row r="2796" spans="1:17" x14ac:dyDescent="0.25">
      <c r="A2796" s="1" t="s">
        <v>918</v>
      </c>
      <c r="B2796" s="1" t="s">
        <v>25</v>
      </c>
      <c r="C2796" s="1" t="s">
        <v>919</v>
      </c>
      <c r="D2796" s="1" t="s">
        <v>920</v>
      </c>
      <c r="E2796" s="1" t="s">
        <v>924</v>
      </c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</row>
    <row r="2797" spans="1:17" x14ac:dyDescent="0.25">
      <c r="A2797" s="1" t="s">
        <v>931</v>
      </c>
      <c r="B2797" s="1" t="s">
        <v>25</v>
      </c>
      <c r="C2797" s="1" t="s">
        <v>923</v>
      </c>
      <c r="D2797" s="1" t="s">
        <v>973</v>
      </c>
      <c r="E2797" s="1" t="s">
        <v>916</v>
      </c>
      <c r="F2797" s="1" t="s">
        <v>920</v>
      </c>
      <c r="G2797" s="1" t="s">
        <v>974</v>
      </c>
      <c r="H2797" s="1" t="s">
        <v>949</v>
      </c>
      <c r="I2797" s="1" t="s">
        <v>933</v>
      </c>
      <c r="J2797" s="1"/>
      <c r="K2797" s="1"/>
      <c r="L2797" s="1"/>
      <c r="M2797" s="1"/>
      <c r="N2797" s="1"/>
      <c r="O2797" s="1"/>
      <c r="P2797" s="1"/>
      <c r="Q2797" s="1"/>
    </row>
    <row r="2798" spans="1:17" x14ac:dyDescent="0.25">
      <c r="A2798" s="1" t="s">
        <v>918</v>
      </c>
      <c r="B2798" s="1" t="s">
        <v>949</v>
      </c>
      <c r="C2798" s="1" t="s">
        <v>25</v>
      </c>
      <c r="D2798" s="1" t="s">
        <v>923</v>
      </c>
      <c r="E2798" s="1" t="s">
        <v>919</v>
      </c>
      <c r="F2798" s="1" t="s">
        <v>920</v>
      </c>
      <c r="G2798" s="1" t="s">
        <v>974</v>
      </c>
      <c r="H2798" s="1" t="s">
        <v>921</v>
      </c>
      <c r="I2798" s="1" t="s">
        <v>1110</v>
      </c>
      <c r="J2798" s="1" t="s">
        <v>916</v>
      </c>
      <c r="K2798" s="1" t="s">
        <v>933</v>
      </c>
      <c r="L2798" s="1" t="s">
        <v>954</v>
      </c>
      <c r="M2798" s="1"/>
      <c r="N2798" s="1"/>
      <c r="O2798" s="1"/>
      <c r="P2798" s="1"/>
      <c r="Q2798" s="1"/>
    </row>
    <row r="2799" spans="1:17" x14ac:dyDescent="0.25">
      <c r="A2799" s="1" t="s">
        <v>949</v>
      </c>
      <c r="B2799" s="1" t="s">
        <v>1110</v>
      </c>
      <c r="C2799" s="1" t="s">
        <v>25</v>
      </c>
      <c r="D2799" s="1" t="s">
        <v>923</v>
      </c>
      <c r="E2799" s="1" t="s">
        <v>920</v>
      </c>
      <c r="F2799" s="1" t="s">
        <v>954</v>
      </c>
      <c r="G2799" s="1" t="s">
        <v>328</v>
      </c>
      <c r="H2799" s="1"/>
      <c r="I2799" s="1"/>
      <c r="J2799" s="1"/>
      <c r="K2799" s="1"/>
      <c r="L2799" s="1"/>
      <c r="M2799" s="1"/>
      <c r="N2799" s="1"/>
      <c r="O2799" s="1"/>
      <c r="P2799" s="1"/>
      <c r="Q2799" s="1"/>
    </row>
    <row r="2800" spans="1:17" x14ac:dyDescent="0.25">
      <c r="A2800" s="1" t="s">
        <v>918</v>
      </c>
      <c r="B2800" s="1" t="s">
        <v>1110</v>
      </c>
      <c r="C2800" s="1" t="s">
        <v>25</v>
      </c>
      <c r="D2800" s="1" t="s">
        <v>923</v>
      </c>
      <c r="E2800" s="1" t="s">
        <v>919</v>
      </c>
      <c r="F2800" s="1" t="s">
        <v>920</v>
      </c>
      <c r="G2800" s="1" t="s">
        <v>954</v>
      </c>
      <c r="H2800" s="1" t="s">
        <v>328</v>
      </c>
      <c r="I2800" s="1" t="s">
        <v>921</v>
      </c>
      <c r="J2800" s="1" t="s">
        <v>949</v>
      </c>
      <c r="K2800" s="1"/>
      <c r="L2800" s="1"/>
      <c r="M2800" s="1"/>
      <c r="N2800" s="1"/>
      <c r="O2800" s="1"/>
      <c r="P2800" s="1"/>
      <c r="Q2800" s="1"/>
    </row>
    <row r="2801" spans="1:17" x14ac:dyDescent="0.25">
      <c r="A2801" s="1" t="s">
        <v>918</v>
      </c>
      <c r="B2801" s="1" t="s">
        <v>25</v>
      </c>
      <c r="C2801" s="1" t="s">
        <v>919</v>
      </c>
      <c r="D2801" s="1" t="s">
        <v>920</v>
      </c>
      <c r="E2801" s="1" t="s">
        <v>924</v>
      </c>
      <c r="F2801" s="1" t="s">
        <v>934</v>
      </c>
      <c r="G2801" s="1" t="s">
        <v>949</v>
      </c>
      <c r="H2801" s="1" t="s">
        <v>923</v>
      </c>
      <c r="I2801" s="1" t="s">
        <v>916</v>
      </c>
      <c r="J2801" s="1" t="s">
        <v>933</v>
      </c>
      <c r="K2801" s="1" t="s">
        <v>954</v>
      </c>
      <c r="L2801" s="1" t="s">
        <v>974</v>
      </c>
      <c r="M2801" s="1" t="s">
        <v>921</v>
      </c>
      <c r="N2801" s="1"/>
      <c r="O2801" s="1"/>
      <c r="P2801" s="1"/>
      <c r="Q2801" s="1"/>
    </row>
    <row r="2802" spans="1:17" x14ac:dyDescent="0.25">
      <c r="A2802" s="1" t="s">
        <v>918</v>
      </c>
      <c r="B2802" s="1" t="s">
        <v>949</v>
      </c>
      <c r="C2802" s="1" t="s">
        <v>25</v>
      </c>
      <c r="D2802" s="1" t="s">
        <v>923</v>
      </c>
      <c r="E2802" s="1" t="s">
        <v>919</v>
      </c>
      <c r="F2802" s="1" t="s">
        <v>920</v>
      </c>
      <c r="G2802" s="1" t="s">
        <v>974</v>
      </c>
      <c r="H2802" s="1" t="s">
        <v>921</v>
      </c>
      <c r="I2802" s="1" t="s">
        <v>954</v>
      </c>
      <c r="J2802" s="1"/>
      <c r="K2802" s="1"/>
      <c r="L2802" s="1"/>
      <c r="M2802" s="1"/>
      <c r="N2802" s="1"/>
      <c r="O2802" s="1"/>
      <c r="P2802" s="1"/>
      <c r="Q2802" s="1"/>
    </row>
    <row r="2803" spans="1:17" x14ac:dyDescent="0.25">
      <c r="A2803" s="1" t="s">
        <v>25</v>
      </c>
      <c r="B2803" s="1" t="s">
        <v>923</v>
      </c>
      <c r="C2803" s="1" t="s">
        <v>920</v>
      </c>
      <c r="D2803" s="1" t="s">
        <v>954</v>
      </c>
      <c r="E2803" s="1" t="s">
        <v>921</v>
      </c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</row>
    <row r="2804" spans="1:17" x14ac:dyDescent="0.25">
      <c r="A2804" s="1" t="s">
        <v>25</v>
      </c>
      <c r="B2804" s="1" t="s">
        <v>923</v>
      </c>
      <c r="C2804" s="1" t="s">
        <v>920</v>
      </c>
      <c r="D2804" s="1" t="s">
        <v>954</v>
      </c>
      <c r="E2804" s="1" t="s">
        <v>921</v>
      </c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</row>
    <row r="2805" spans="1:17" x14ac:dyDescent="0.25">
      <c r="A2805" s="1" t="s">
        <v>25</v>
      </c>
      <c r="B2805" s="1" t="s">
        <v>923</v>
      </c>
      <c r="C2805" s="1" t="s">
        <v>920</v>
      </c>
      <c r="D2805" s="1" t="s">
        <v>933</v>
      </c>
      <c r="E2805" s="1" t="s">
        <v>954</v>
      </c>
      <c r="F2805" s="1" t="s">
        <v>974</v>
      </c>
      <c r="G2805" s="1" t="s">
        <v>921</v>
      </c>
      <c r="H2805" s="1"/>
      <c r="I2805" s="1"/>
      <c r="J2805" s="1"/>
      <c r="K2805" s="1"/>
      <c r="L2805" s="1"/>
      <c r="M2805" s="1"/>
      <c r="N2805" s="1"/>
      <c r="O2805" s="1"/>
      <c r="P2805" s="1"/>
      <c r="Q2805" s="1"/>
    </row>
    <row r="2806" spans="1:17" x14ac:dyDescent="0.25">
      <c r="A2806" s="1" t="s">
        <v>25</v>
      </c>
      <c r="B2806" s="1" t="s">
        <v>923</v>
      </c>
      <c r="C2806" s="1" t="s">
        <v>920</v>
      </c>
      <c r="D2806" s="1" t="s">
        <v>933</v>
      </c>
      <c r="E2806" s="1" t="s">
        <v>954</v>
      </c>
      <c r="F2806" s="1" t="s">
        <v>974</v>
      </c>
      <c r="G2806" s="1" t="s">
        <v>921</v>
      </c>
      <c r="H2806" s="1"/>
      <c r="I2806" s="1"/>
      <c r="J2806" s="1"/>
      <c r="K2806" s="1"/>
      <c r="L2806" s="1"/>
      <c r="M2806" s="1"/>
      <c r="N2806" s="1"/>
      <c r="O2806" s="1"/>
      <c r="P2806" s="1"/>
      <c r="Q2806" s="1"/>
    </row>
    <row r="2807" spans="1:17" x14ac:dyDescent="0.25">
      <c r="A2807" s="1" t="s">
        <v>25</v>
      </c>
      <c r="B2807" s="1" t="s">
        <v>923</v>
      </c>
      <c r="C2807" s="1" t="s">
        <v>920</v>
      </c>
      <c r="D2807" s="1" t="s">
        <v>933</v>
      </c>
      <c r="E2807" s="1" t="s">
        <v>954</v>
      </c>
      <c r="F2807" s="1" t="s">
        <v>974</v>
      </c>
      <c r="G2807" s="1" t="s">
        <v>921</v>
      </c>
      <c r="H2807" s="1"/>
      <c r="I2807" s="1"/>
      <c r="J2807" s="1"/>
      <c r="K2807" s="1"/>
      <c r="L2807" s="1"/>
      <c r="M2807" s="1"/>
      <c r="N2807" s="1"/>
      <c r="O2807" s="1"/>
      <c r="P2807" s="1"/>
      <c r="Q2807" s="1"/>
    </row>
    <row r="2808" spans="1:17" x14ac:dyDescent="0.25">
      <c r="A2808" s="1" t="s">
        <v>298</v>
      </c>
      <c r="B2808" s="1" t="s">
        <v>918</v>
      </c>
      <c r="C2808" s="1" t="s">
        <v>25</v>
      </c>
      <c r="D2808" s="1" t="s">
        <v>923</v>
      </c>
      <c r="E2808" s="1" t="s">
        <v>919</v>
      </c>
      <c r="F2808" s="1" t="s">
        <v>920</v>
      </c>
      <c r="G2808" s="1" t="s">
        <v>933</v>
      </c>
      <c r="H2808" s="1" t="s">
        <v>328</v>
      </c>
      <c r="I2808" s="1" t="s">
        <v>921</v>
      </c>
      <c r="J2808" s="1" t="s">
        <v>954</v>
      </c>
      <c r="K2808" s="1" t="s">
        <v>974</v>
      </c>
      <c r="L2808" s="1"/>
      <c r="M2808" s="1"/>
      <c r="N2808" s="1"/>
      <c r="O2808" s="1"/>
      <c r="P2808" s="1"/>
      <c r="Q2808" s="1"/>
    </row>
    <row r="2809" spans="1:17" x14ac:dyDescent="0.25">
      <c r="A2809" s="1" t="s">
        <v>1001</v>
      </c>
      <c r="B2809" s="1" t="s">
        <v>918</v>
      </c>
      <c r="C2809" s="1" t="s">
        <v>927</v>
      </c>
      <c r="D2809" s="1" t="s">
        <v>1000</v>
      </c>
      <c r="E2809" s="1" t="s">
        <v>919</v>
      </c>
      <c r="F2809" s="1" t="s">
        <v>936</v>
      </c>
      <c r="G2809" s="1" t="s">
        <v>921</v>
      </c>
      <c r="H2809" s="1"/>
      <c r="I2809" s="1"/>
      <c r="J2809" s="1"/>
      <c r="K2809" s="1"/>
      <c r="L2809" s="1"/>
      <c r="M2809" s="1"/>
      <c r="N2809" s="1"/>
      <c r="O2809" s="1"/>
      <c r="P2809" s="1"/>
      <c r="Q2809" s="1"/>
    </row>
    <row r="2810" spans="1:17" x14ac:dyDescent="0.25">
      <c r="A2810" s="1" t="s">
        <v>1001</v>
      </c>
      <c r="B2810" s="1" t="s">
        <v>918</v>
      </c>
      <c r="C2810" s="1" t="s">
        <v>927</v>
      </c>
      <c r="D2810" s="1" t="s">
        <v>981</v>
      </c>
      <c r="E2810" s="1" t="s">
        <v>919</v>
      </c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</row>
    <row r="2811" spans="1:17" x14ac:dyDescent="0.25">
      <c r="A2811" s="1" t="s">
        <v>1001</v>
      </c>
      <c r="B2811" s="1" t="s">
        <v>918</v>
      </c>
      <c r="C2811" s="1" t="s">
        <v>927</v>
      </c>
      <c r="D2811" s="1" t="s">
        <v>981</v>
      </c>
      <c r="E2811" s="1" t="s">
        <v>919</v>
      </c>
      <c r="F2811" s="1" t="s">
        <v>25</v>
      </c>
      <c r="G2811" s="1" t="s">
        <v>998</v>
      </c>
      <c r="H2811" s="1" t="s">
        <v>920</v>
      </c>
      <c r="I2811" s="1" t="s">
        <v>933</v>
      </c>
      <c r="J2811" s="1" t="s">
        <v>921</v>
      </c>
      <c r="K2811" s="1" t="s">
        <v>994</v>
      </c>
      <c r="L2811" s="1"/>
      <c r="M2811" s="1"/>
      <c r="N2811" s="1"/>
      <c r="O2811" s="1"/>
      <c r="P2811" s="1"/>
      <c r="Q2811" s="1"/>
    </row>
    <row r="2812" spans="1:17" x14ac:dyDescent="0.25">
      <c r="A2812" s="1" t="s">
        <v>955</v>
      </c>
      <c r="B2812" s="1" t="s">
        <v>919</v>
      </c>
      <c r="C2812" s="1" t="s">
        <v>924</v>
      </c>
      <c r="D2812" s="1" t="s">
        <v>930</v>
      </c>
      <c r="E2812" s="1" t="s">
        <v>944</v>
      </c>
      <c r="F2812" s="1" t="s">
        <v>956</v>
      </c>
      <c r="G2812" s="1" t="s">
        <v>957</v>
      </c>
      <c r="H2812" s="1" t="s">
        <v>941</v>
      </c>
      <c r="I2812" s="1" t="s">
        <v>1014</v>
      </c>
      <c r="J2812" s="1" t="s">
        <v>1001</v>
      </c>
      <c r="K2812" s="1" t="s">
        <v>918</v>
      </c>
      <c r="L2812" s="1" t="s">
        <v>927</v>
      </c>
      <c r="M2812" s="1" t="s">
        <v>981</v>
      </c>
      <c r="N2812" s="1"/>
      <c r="O2812" s="1"/>
      <c r="P2812" s="1"/>
      <c r="Q2812" s="1"/>
    </row>
    <row r="2813" spans="1:17" x14ac:dyDescent="0.25">
      <c r="A2813" s="1" t="s">
        <v>1001</v>
      </c>
      <c r="B2813" s="1" t="s">
        <v>918</v>
      </c>
      <c r="C2813" s="1" t="s">
        <v>927</v>
      </c>
      <c r="D2813" s="1" t="s">
        <v>981</v>
      </c>
      <c r="E2813" s="1" t="s">
        <v>919</v>
      </c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</row>
    <row r="2814" spans="1:17" x14ac:dyDescent="0.25">
      <c r="A2814" s="1" t="s">
        <v>927</v>
      </c>
      <c r="B2814" s="1" t="s">
        <v>981</v>
      </c>
      <c r="C2814" s="1" t="s">
        <v>919</v>
      </c>
      <c r="D2814" s="1" t="s">
        <v>920</v>
      </c>
      <c r="E2814" s="1" t="s">
        <v>921</v>
      </c>
      <c r="F2814" s="1" t="s">
        <v>1001</v>
      </c>
      <c r="G2814" s="1" t="s">
        <v>918</v>
      </c>
      <c r="H2814" s="1"/>
      <c r="I2814" s="1"/>
      <c r="J2814" s="1"/>
      <c r="K2814" s="1"/>
      <c r="L2814" s="1"/>
      <c r="M2814" s="1"/>
      <c r="N2814" s="1"/>
      <c r="O2814" s="1"/>
      <c r="P2814" s="1"/>
      <c r="Q2814" s="1"/>
    </row>
    <row r="2815" spans="1:17" x14ac:dyDescent="0.25">
      <c r="A2815" s="1" t="s">
        <v>1001</v>
      </c>
      <c r="B2815" s="1" t="s">
        <v>918</v>
      </c>
      <c r="C2815" s="1" t="s">
        <v>927</v>
      </c>
      <c r="D2815" s="1" t="s">
        <v>981</v>
      </c>
      <c r="E2815" s="1" t="s">
        <v>919</v>
      </c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</row>
    <row r="2816" spans="1:17" x14ac:dyDescent="0.25">
      <c r="A2816" s="1" t="s">
        <v>1001</v>
      </c>
      <c r="B2816" s="1" t="s">
        <v>918</v>
      </c>
      <c r="C2816" s="1" t="s">
        <v>927</v>
      </c>
      <c r="D2816" s="1" t="s">
        <v>981</v>
      </c>
      <c r="E2816" s="1" t="s">
        <v>919</v>
      </c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</row>
    <row r="2817" spans="1:17" x14ac:dyDescent="0.25">
      <c r="A2817" s="1" t="s">
        <v>1001</v>
      </c>
      <c r="B2817" s="1" t="s">
        <v>992</v>
      </c>
      <c r="C2817" s="1" t="s">
        <v>981</v>
      </c>
      <c r="D2817" s="1" t="s">
        <v>1066</v>
      </c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</row>
    <row r="2818" spans="1:17" x14ac:dyDescent="0.25">
      <c r="A2818" s="1" t="s">
        <v>918</v>
      </c>
      <c r="B2818" s="1" t="s">
        <v>25</v>
      </c>
      <c r="C2818" s="1" t="s">
        <v>919</v>
      </c>
      <c r="D2818" s="1" t="s">
        <v>924</v>
      </c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</row>
    <row r="2819" spans="1:17" x14ac:dyDescent="0.25">
      <c r="A2819" s="1" t="s">
        <v>918</v>
      </c>
      <c r="B2819" s="1" t="s">
        <v>919</v>
      </c>
      <c r="C2819" s="1" t="s">
        <v>936</v>
      </c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</row>
    <row r="2820" spans="1:17" x14ac:dyDescent="0.25">
      <c r="A2820" s="1" t="s">
        <v>918</v>
      </c>
      <c r="B2820" s="1" t="s">
        <v>919</v>
      </c>
      <c r="C2820" s="1" t="s">
        <v>936</v>
      </c>
      <c r="D2820" s="1" t="s">
        <v>1069</v>
      </c>
      <c r="E2820" s="1" t="s">
        <v>25</v>
      </c>
      <c r="F2820" s="1" t="s">
        <v>923</v>
      </c>
      <c r="G2820" s="1" t="s">
        <v>927</v>
      </c>
      <c r="H2820" s="1" t="s">
        <v>10761</v>
      </c>
      <c r="I2820" s="1" t="s">
        <v>920</v>
      </c>
      <c r="J2820" s="1" t="s">
        <v>924</v>
      </c>
      <c r="K2820" s="1" t="s">
        <v>921</v>
      </c>
      <c r="L2820" s="1"/>
      <c r="M2820" s="1"/>
      <c r="N2820" s="1"/>
      <c r="O2820" s="1"/>
      <c r="P2820" s="1"/>
      <c r="Q2820" s="1"/>
    </row>
    <row r="2821" spans="1:17" x14ac:dyDescent="0.25">
      <c r="A2821" s="1" t="s">
        <v>1001</v>
      </c>
      <c r="B2821" s="1" t="s">
        <v>927</v>
      </c>
      <c r="C2821" s="1" t="s">
        <v>992</v>
      </c>
      <c r="D2821" s="1" t="s">
        <v>981</v>
      </c>
      <c r="E2821" s="1" t="s">
        <v>993</v>
      </c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</row>
    <row r="2822" spans="1:17" x14ac:dyDescent="0.25">
      <c r="A2822" s="1" t="s">
        <v>921</v>
      </c>
      <c r="B2822" s="1" t="s">
        <v>1001</v>
      </c>
      <c r="C2822" s="1" t="s">
        <v>927</v>
      </c>
      <c r="D2822" s="1" t="s">
        <v>992</v>
      </c>
      <c r="E2822" s="1" t="s">
        <v>981</v>
      </c>
      <c r="F2822" s="1" t="s">
        <v>993</v>
      </c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</row>
    <row r="2823" spans="1:17" x14ac:dyDescent="0.25">
      <c r="A2823" s="1" t="s">
        <v>1001</v>
      </c>
      <c r="B2823" s="1" t="s">
        <v>927</v>
      </c>
      <c r="C2823" s="1" t="s">
        <v>992</v>
      </c>
      <c r="D2823" s="1" t="s">
        <v>981</v>
      </c>
      <c r="E2823" s="1" t="s">
        <v>993</v>
      </c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</row>
    <row r="2824" spans="1:17" x14ac:dyDescent="0.25">
      <c r="A2824" s="1" t="s">
        <v>1001</v>
      </c>
      <c r="B2824" s="1" t="s">
        <v>927</v>
      </c>
      <c r="C2824" s="1" t="s">
        <v>992</v>
      </c>
      <c r="D2824" s="1" t="s">
        <v>981</v>
      </c>
      <c r="E2824" s="1" t="s">
        <v>993</v>
      </c>
      <c r="F2824" s="1" t="s">
        <v>987</v>
      </c>
      <c r="G2824" s="1" t="s">
        <v>994</v>
      </c>
      <c r="H2824" s="1"/>
      <c r="I2824" s="1"/>
      <c r="J2824" s="1"/>
      <c r="K2824" s="1"/>
      <c r="L2824" s="1"/>
      <c r="M2824" s="1"/>
      <c r="N2824" s="1"/>
      <c r="O2824" s="1"/>
      <c r="P2824" s="1"/>
      <c r="Q2824" s="1"/>
    </row>
    <row r="2825" spans="1:17" x14ac:dyDescent="0.25">
      <c r="A2825" s="1" t="s">
        <v>927</v>
      </c>
      <c r="B2825" s="1" t="s">
        <v>919</v>
      </c>
      <c r="C2825" s="1" t="s">
        <v>924</v>
      </c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</row>
    <row r="2826" spans="1:17" x14ac:dyDescent="0.25">
      <c r="A2826" s="1" t="s">
        <v>298</v>
      </c>
      <c r="B2826" s="1" t="s">
        <v>918</v>
      </c>
      <c r="C2826" s="1" t="s">
        <v>25</v>
      </c>
      <c r="D2826" s="1" t="s">
        <v>923</v>
      </c>
      <c r="E2826" s="1" t="s">
        <v>919</v>
      </c>
      <c r="F2826" s="1" t="s">
        <v>920</v>
      </c>
      <c r="G2826" s="1" t="s">
        <v>933</v>
      </c>
      <c r="H2826" s="1" t="s">
        <v>328</v>
      </c>
      <c r="I2826" s="1" t="s">
        <v>921</v>
      </c>
      <c r="J2826" s="1" t="s">
        <v>927</v>
      </c>
      <c r="K2826" s="1" t="s">
        <v>924</v>
      </c>
      <c r="L2826" s="1"/>
      <c r="M2826" s="1"/>
      <c r="N2826" s="1"/>
      <c r="O2826" s="1"/>
      <c r="P2826" s="1"/>
      <c r="Q2826" s="1"/>
    </row>
    <row r="2827" spans="1:17" x14ac:dyDescent="0.25">
      <c r="A2827" s="1" t="s">
        <v>927</v>
      </c>
      <c r="B2827" s="1" t="s">
        <v>919</v>
      </c>
      <c r="C2827" s="1" t="s">
        <v>924</v>
      </c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</row>
    <row r="2828" spans="1:17" x14ac:dyDescent="0.25">
      <c r="A2828" s="1" t="s">
        <v>927</v>
      </c>
      <c r="B2828" s="1" t="s">
        <v>919</v>
      </c>
      <c r="C2828" s="1" t="s">
        <v>924</v>
      </c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</row>
    <row r="2829" spans="1:17" x14ac:dyDescent="0.25">
      <c r="A2829" s="1" t="s">
        <v>927</v>
      </c>
      <c r="B2829" s="1" t="s">
        <v>919</v>
      </c>
      <c r="C2829" s="1" t="s">
        <v>924</v>
      </c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</row>
    <row r="2830" spans="1:17" x14ac:dyDescent="0.25">
      <c r="A2830" s="1" t="s">
        <v>927</v>
      </c>
      <c r="B2830" s="1" t="s">
        <v>919</v>
      </c>
      <c r="C2830" s="1" t="s">
        <v>924</v>
      </c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</row>
    <row r="2831" spans="1:17" x14ac:dyDescent="0.25">
      <c r="A2831" s="1" t="s">
        <v>925</v>
      </c>
      <c r="B2831" s="1" t="s">
        <v>927</v>
      </c>
      <c r="C2831" s="1" t="s">
        <v>919</v>
      </c>
      <c r="D2831" s="1" t="s">
        <v>924</v>
      </c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</row>
    <row r="2832" spans="1:17" x14ac:dyDescent="0.25">
      <c r="A2832" s="1" t="s">
        <v>927</v>
      </c>
      <c r="B2832" s="1" t="s">
        <v>919</v>
      </c>
      <c r="C2832" s="1" t="s">
        <v>924</v>
      </c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</row>
    <row r="2833" spans="1:17" x14ac:dyDescent="0.25">
      <c r="A2833" s="1" t="s">
        <v>927</v>
      </c>
      <c r="B2833" s="1" t="s">
        <v>919</v>
      </c>
      <c r="C2833" s="1" t="s">
        <v>924</v>
      </c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</row>
    <row r="2834" spans="1:17" x14ac:dyDescent="0.25">
      <c r="A2834" s="1" t="s">
        <v>50</v>
      </c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</row>
    <row r="2835" spans="1:17" x14ac:dyDescent="0.25">
      <c r="A2835" s="1" t="s">
        <v>927</v>
      </c>
      <c r="B2835" s="1" t="s">
        <v>919</v>
      </c>
      <c r="C2835" s="1" t="s">
        <v>924</v>
      </c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</row>
    <row r="2836" spans="1:17" x14ac:dyDescent="0.25">
      <c r="A2836" s="1" t="s">
        <v>1001</v>
      </c>
      <c r="B2836" s="1" t="s">
        <v>919</v>
      </c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</row>
    <row r="2837" spans="1:17" x14ac:dyDescent="0.25">
      <c r="A2837" s="1" t="s">
        <v>1001</v>
      </c>
      <c r="B2837" s="1" t="s">
        <v>919</v>
      </c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</row>
    <row r="2838" spans="1:17" x14ac:dyDescent="0.25">
      <c r="A2838" s="1" t="s">
        <v>256</v>
      </c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</row>
    <row r="2839" spans="1:17" x14ac:dyDescent="0.25">
      <c r="A2839" s="1" t="s">
        <v>256</v>
      </c>
      <c r="B2839" s="1" t="s">
        <v>1053</v>
      </c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</row>
    <row r="2840" spans="1:17" x14ac:dyDescent="0.25">
      <c r="A2840" s="1" t="s">
        <v>11019</v>
      </c>
      <c r="B2840" s="1" t="s">
        <v>1049</v>
      </c>
      <c r="C2840" s="1" t="s">
        <v>256</v>
      </c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</row>
    <row r="2841" spans="1:17" x14ac:dyDescent="0.25">
      <c r="A2841" s="1" t="s">
        <v>256</v>
      </c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</row>
    <row r="2842" spans="1:17" x14ac:dyDescent="0.25">
      <c r="A2842" s="1" t="s">
        <v>918</v>
      </c>
      <c r="B2842" s="1" t="s">
        <v>25</v>
      </c>
      <c r="C2842" s="1" t="s">
        <v>923</v>
      </c>
      <c r="D2842" s="1" t="s">
        <v>840</v>
      </c>
      <c r="E2842" s="1" t="s">
        <v>920</v>
      </c>
      <c r="F2842" s="1" t="s">
        <v>328</v>
      </c>
      <c r="G2842" s="1" t="s">
        <v>921</v>
      </c>
      <c r="H2842" s="1" t="s">
        <v>1013</v>
      </c>
      <c r="I2842" s="1"/>
      <c r="J2842" s="1"/>
      <c r="K2842" s="1"/>
      <c r="L2842" s="1"/>
      <c r="M2842" s="1"/>
      <c r="N2842" s="1"/>
      <c r="O2842" s="1"/>
      <c r="P2842" s="1"/>
      <c r="Q2842" s="1"/>
    </row>
    <row r="2843" spans="1:17" x14ac:dyDescent="0.25">
      <c r="A2843" s="1" t="s">
        <v>256</v>
      </c>
      <c r="B2843" s="1" t="s">
        <v>1013</v>
      </c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</row>
    <row r="2844" spans="1:17" x14ac:dyDescent="0.25">
      <c r="A2844" s="1" t="s">
        <v>1013</v>
      </c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</row>
    <row r="2845" spans="1:17" x14ac:dyDescent="0.25">
      <c r="A2845" s="1" t="s">
        <v>918</v>
      </c>
      <c r="B2845" s="1" t="s">
        <v>25</v>
      </c>
      <c r="C2845" s="1" t="s">
        <v>923</v>
      </c>
      <c r="D2845" s="1" t="s">
        <v>840</v>
      </c>
      <c r="E2845" s="1" t="s">
        <v>920</v>
      </c>
      <c r="F2845" s="1" t="s">
        <v>328</v>
      </c>
      <c r="G2845" s="1" t="s">
        <v>921</v>
      </c>
      <c r="H2845" s="1" t="s">
        <v>1013</v>
      </c>
      <c r="I2845" s="1"/>
      <c r="J2845" s="1"/>
      <c r="K2845" s="1"/>
      <c r="L2845" s="1"/>
      <c r="M2845" s="1"/>
      <c r="N2845" s="1"/>
      <c r="O2845" s="1"/>
      <c r="P2845" s="1"/>
      <c r="Q2845" s="1"/>
    </row>
    <row r="2846" spans="1:17" x14ac:dyDescent="0.25">
      <c r="A2846" s="1" t="s">
        <v>996</v>
      </c>
      <c r="B2846" s="1" t="s">
        <v>25</v>
      </c>
      <c r="C2846" s="1" t="s">
        <v>923</v>
      </c>
      <c r="D2846" s="1" t="s">
        <v>998</v>
      </c>
      <c r="E2846" s="1" t="s">
        <v>1053</v>
      </c>
      <c r="F2846" s="1" t="s">
        <v>933</v>
      </c>
      <c r="G2846" s="1" t="s">
        <v>2541</v>
      </c>
      <c r="H2846" s="1" t="s">
        <v>1013</v>
      </c>
      <c r="I2846" s="1"/>
      <c r="J2846" s="1"/>
      <c r="K2846" s="1"/>
      <c r="L2846" s="1"/>
      <c r="M2846" s="1"/>
      <c r="N2846" s="1"/>
      <c r="O2846" s="1"/>
      <c r="P2846" s="1"/>
      <c r="Q2846" s="1"/>
    </row>
    <row r="2847" spans="1:17" x14ac:dyDescent="0.25">
      <c r="A2847" s="1" t="s">
        <v>996</v>
      </c>
      <c r="B2847" s="1" t="s">
        <v>25</v>
      </c>
      <c r="C2847" s="1" t="s">
        <v>923</v>
      </c>
      <c r="D2847" s="1" t="s">
        <v>998</v>
      </c>
      <c r="E2847" s="1" t="s">
        <v>1053</v>
      </c>
      <c r="F2847" s="1" t="s">
        <v>933</v>
      </c>
      <c r="G2847" s="1" t="s">
        <v>2541</v>
      </c>
      <c r="H2847" s="1"/>
      <c r="I2847" s="1"/>
      <c r="J2847" s="1"/>
      <c r="K2847" s="1"/>
      <c r="L2847" s="1"/>
      <c r="M2847" s="1"/>
      <c r="N2847" s="1"/>
      <c r="O2847" s="1"/>
      <c r="P2847" s="1"/>
      <c r="Q2847" s="1"/>
    </row>
    <row r="2848" spans="1:17" x14ac:dyDescent="0.25">
      <c r="A2848" s="1" t="s">
        <v>996</v>
      </c>
      <c r="B2848" s="1" t="s">
        <v>25</v>
      </c>
      <c r="C2848" s="1" t="s">
        <v>923</v>
      </c>
      <c r="D2848" s="1" t="s">
        <v>998</v>
      </c>
      <c r="E2848" s="1" t="s">
        <v>1053</v>
      </c>
      <c r="F2848" s="1" t="s">
        <v>933</v>
      </c>
      <c r="G2848" s="1" t="s">
        <v>2541</v>
      </c>
      <c r="H2848" s="1"/>
      <c r="I2848" s="1"/>
      <c r="J2848" s="1"/>
      <c r="K2848" s="1"/>
      <c r="L2848" s="1"/>
      <c r="M2848" s="1"/>
      <c r="N2848" s="1"/>
      <c r="O2848" s="1"/>
      <c r="P2848" s="1"/>
      <c r="Q2848" s="1"/>
    </row>
    <row r="2849" spans="1:17" x14ac:dyDescent="0.25">
      <c r="A2849" s="1" t="s">
        <v>25</v>
      </c>
      <c r="B2849" s="1" t="s">
        <v>998</v>
      </c>
      <c r="C2849" s="1" t="s">
        <v>933</v>
      </c>
      <c r="D2849" s="1" t="s">
        <v>994</v>
      </c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</row>
    <row r="2850" spans="1:17" x14ac:dyDescent="0.25">
      <c r="A2850" s="1" t="s">
        <v>25</v>
      </c>
      <c r="B2850" s="1" t="s">
        <v>998</v>
      </c>
      <c r="C2850" s="1" t="s">
        <v>933</v>
      </c>
      <c r="D2850" s="1" t="s">
        <v>994</v>
      </c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</row>
    <row r="2851" spans="1:17" x14ac:dyDescent="0.25">
      <c r="A2851" s="1" t="s">
        <v>25</v>
      </c>
      <c r="B2851" s="1" t="s">
        <v>998</v>
      </c>
      <c r="C2851" s="1" t="s">
        <v>933</v>
      </c>
      <c r="D2851" s="1" t="s">
        <v>994</v>
      </c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</row>
    <row r="2852" spans="1:17" x14ac:dyDescent="0.25">
      <c r="A2852" s="1" t="s">
        <v>25</v>
      </c>
      <c r="B2852" s="1" t="s">
        <v>998</v>
      </c>
      <c r="C2852" s="1" t="s">
        <v>933</v>
      </c>
      <c r="D2852" s="1" t="s">
        <v>994</v>
      </c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</row>
    <row r="2853" spans="1:17" x14ac:dyDescent="0.25">
      <c r="A2853" s="1" t="s">
        <v>25</v>
      </c>
      <c r="B2853" s="1" t="s">
        <v>1086</v>
      </c>
      <c r="C2853" s="1" t="s">
        <v>920</v>
      </c>
      <c r="D2853" s="1" t="s">
        <v>933</v>
      </c>
      <c r="E2853" s="1" t="s">
        <v>978</v>
      </c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</row>
    <row r="2854" spans="1:17" x14ac:dyDescent="0.25">
      <c r="A2854" s="1" t="s">
        <v>25</v>
      </c>
      <c r="B2854" s="1" t="s">
        <v>1086</v>
      </c>
      <c r="C2854" s="1" t="s">
        <v>920</v>
      </c>
      <c r="D2854" s="1" t="s">
        <v>933</v>
      </c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</row>
    <row r="2855" spans="1:17" x14ac:dyDescent="0.25">
      <c r="A2855" s="1" t="s">
        <v>25</v>
      </c>
      <c r="B2855" s="1" t="s">
        <v>1086</v>
      </c>
      <c r="C2855" s="1" t="s">
        <v>920</v>
      </c>
      <c r="D2855" s="1" t="s">
        <v>933</v>
      </c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</row>
    <row r="2856" spans="1:17" x14ac:dyDescent="0.25">
      <c r="A2856" s="1" t="s">
        <v>25</v>
      </c>
      <c r="B2856" s="1" t="s">
        <v>1086</v>
      </c>
      <c r="C2856" s="1" t="s">
        <v>920</v>
      </c>
      <c r="D2856" s="1" t="s">
        <v>933</v>
      </c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</row>
    <row r="2857" spans="1:17" x14ac:dyDescent="0.25">
      <c r="A2857" s="1" t="s">
        <v>25</v>
      </c>
      <c r="B2857" s="1" t="s">
        <v>1086</v>
      </c>
      <c r="C2857" s="1" t="s">
        <v>920</v>
      </c>
      <c r="D2857" s="1" t="s">
        <v>933</v>
      </c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</row>
    <row r="2858" spans="1:17" x14ac:dyDescent="0.25">
      <c r="A2858" s="1" t="s">
        <v>960</v>
      </c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</row>
    <row r="2859" spans="1:17" x14ac:dyDescent="0.25">
      <c r="A2859" s="1" t="s">
        <v>50</v>
      </c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</row>
    <row r="2860" spans="1:17" x14ac:dyDescent="0.25">
      <c r="A2860" s="1" t="s">
        <v>1149</v>
      </c>
      <c r="B2860" s="1" t="s">
        <v>25</v>
      </c>
      <c r="C2860" s="1" t="s">
        <v>923</v>
      </c>
      <c r="D2860" s="1" t="s">
        <v>998</v>
      </c>
      <c r="E2860" s="1" t="s">
        <v>1086</v>
      </c>
      <c r="F2860" s="1" t="s">
        <v>920</v>
      </c>
      <c r="G2860" s="1" t="s">
        <v>933</v>
      </c>
      <c r="H2860" s="1" t="s">
        <v>10719</v>
      </c>
      <c r="I2860" s="1" t="s">
        <v>974</v>
      </c>
      <c r="J2860" s="1" t="s">
        <v>950</v>
      </c>
      <c r="K2860" s="1" t="s">
        <v>10720</v>
      </c>
      <c r="L2860" s="1" t="s">
        <v>925</v>
      </c>
      <c r="M2860" s="1" t="s">
        <v>918</v>
      </c>
      <c r="N2860" s="1" t="s">
        <v>927</v>
      </c>
      <c r="O2860" s="1" t="s">
        <v>928</v>
      </c>
      <c r="P2860" s="1" t="s">
        <v>919</v>
      </c>
      <c r="Q2860" s="1" t="s">
        <v>960</v>
      </c>
    </row>
    <row r="2861" spans="1:17" x14ac:dyDescent="0.25">
      <c r="A2861" s="1" t="s">
        <v>2927</v>
      </c>
      <c r="B2861" s="1" t="s">
        <v>998</v>
      </c>
      <c r="C2861" s="1" t="s">
        <v>1086</v>
      </c>
      <c r="D2861" s="1" t="s">
        <v>933</v>
      </c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</row>
    <row r="2862" spans="1:17" x14ac:dyDescent="0.25">
      <c r="A2862" s="1" t="s">
        <v>2927</v>
      </c>
      <c r="B2862" s="1" t="s">
        <v>998</v>
      </c>
      <c r="C2862" s="1" t="s">
        <v>1086</v>
      </c>
      <c r="D2862" s="1" t="s">
        <v>933</v>
      </c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</row>
    <row r="2863" spans="1:17" x14ac:dyDescent="0.25">
      <c r="A2863" s="1" t="s">
        <v>2927</v>
      </c>
      <c r="B2863" s="1" t="s">
        <v>998</v>
      </c>
      <c r="C2863" s="1" t="s">
        <v>1086</v>
      </c>
      <c r="D2863" s="1" t="s">
        <v>933</v>
      </c>
      <c r="E2863" s="1" t="s">
        <v>1053</v>
      </c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</row>
    <row r="2864" spans="1:17" x14ac:dyDescent="0.25">
      <c r="A2864" s="1" t="s">
        <v>2927</v>
      </c>
      <c r="B2864" s="1" t="s">
        <v>998</v>
      </c>
      <c r="C2864" s="1" t="s">
        <v>1086</v>
      </c>
      <c r="D2864" s="1" t="s">
        <v>933</v>
      </c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</row>
    <row r="2865" spans="1:17" x14ac:dyDescent="0.25">
      <c r="A2865" s="1" t="s">
        <v>2927</v>
      </c>
      <c r="B2865" s="1" t="s">
        <v>998</v>
      </c>
      <c r="C2865" s="1" t="s">
        <v>1086</v>
      </c>
      <c r="D2865" s="1" t="s">
        <v>933</v>
      </c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</row>
    <row r="2866" spans="1:17" x14ac:dyDescent="0.25">
      <c r="A2866" s="1" t="s">
        <v>2927</v>
      </c>
      <c r="B2866" s="1" t="s">
        <v>998</v>
      </c>
      <c r="C2866" s="1" t="s">
        <v>1086</v>
      </c>
      <c r="D2866" s="1" t="s">
        <v>933</v>
      </c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</row>
    <row r="2867" spans="1:17" x14ac:dyDescent="0.25">
      <c r="A2867" s="1" t="s">
        <v>2927</v>
      </c>
      <c r="B2867" s="1" t="s">
        <v>998</v>
      </c>
      <c r="C2867" s="1" t="s">
        <v>1086</v>
      </c>
      <c r="D2867" s="1" t="s">
        <v>933</v>
      </c>
      <c r="E2867" s="1" t="s">
        <v>1001</v>
      </c>
      <c r="F2867" s="1" t="s">
        <v>927</v>
      </c>
      <c r="G2867" s="1" t="s">
        <v>981</v>
      </c>
      <c r="H2867" s="1" t="s">
        <v>1019</v>
      </c>
      <c r="I2867" s="1" t="s">
        <v>983</v>
      </c>
      <c r="J2867" s="1" t="s">
        <v>984</v>
      </c>
      <c r="K2867" s="1"/>
      <c r="L2867" s="1"/>
      <c r="M2867" s="1"/>
      <c r="N2867" s="1"/>
      <c r="O2867" s="1"/>
      <c r="P2867" s="1"/>
      <c r="Q2867" s="1"/>
    </row>
    <row r="2868" spans="1:17" x14ac:dyDescent="0.25">
      <c r="A2868" s="1" t="s">
        <v>2927</v>
      </c>
      <c r="B2868" s="1" t="s">
        <v>25</v>
      </c>
      <c r="C2868" s="1" t="s">
        <v>981</v>
      </c>
      <c r="D2868" s="1" t="s">
        <v>1086</v>
      </c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</row>
    <row r="2869" spans="1:17" x14ac:dyDescent="0.25">
      <c r="A2869" s="1" t="s">
        <v>979</v>
      </c>
      <c r="B2869" s="1" t="s">
        <v>998</v>
      </c>
      <c r="C2869" s="1" t="s">
        <v>987</v>
      </c>
      <c r="D2869" s="1" t="s">
        <v>10998</v>
      </c>
      <c r="E2869" s="1" t="s">
        <v>993</v>
      </c>
      <c r="F2869" s="1" t="s">
        <v>994</v>
      </c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</row>
    <row r="2870" spans="1:17" x14ac:dyDescent="0.25">
      <c r="A2870" s="1" t="s">
        <v>2927</v>
      </c>
      <c r="B2870" s="1" t="s">
        <v>998</v>
      </c>
      <c r="C2870" s="1" t="s">
        <v>933</v>
      </c>
      <c r="D2870" s="1" t="s">
        <v>994</v>
      </c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</row>
    <row r="2871" spans="1:17" x14ac:dyDescent="0.25">
      <c r="A2871" s="1" t="s">
        <v>10726</v>
      </c>
      <c r="B2871" s="1" t="s">
        <v>10924</v>
      </c>
      <c r="C2871" s="1" t="s">
        <v>960</v>
      </c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</row>
    <row r="2872" spans="1:17" x14ac:dyDescent="0.25">
      <c r="A2872" s="1" t="s">
        <v>999</v>
      </c>
      <c r="B2872" s="1" t="s">
        <v>921</v>
      </c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</row>
    <row r="2873" spans="1:17" x14ac:dyDescent="0.25">
      <c r="A2873" s="1" t="s">
        <v>927</v>
      </c>
      <c r="B2873" s="1" t="s">
        <v>10726</v>
      </c>
      <c r="C2873" s="1" t="s">
        <v>933</v>
      </c>
      <c r="D2873" s="1" t="s">
        <v>924</v>
      </c>
      <c r="E2873" s="1" t="s">
        <v>1099</v>
      </c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</row>
    <row r="2874" spans="1:17" x14ac:dyDescent="0.25">
      <c r="A2874" s="1" t="s">
        <v>50</v>
      </c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</row>
    <row r="2875" spans="1:17" x14ac:dyDescent="0.25">
      <c r="A2875" s="1" t="s">
        <v>1053</v>
      </c>
      <c r="B2875" s="1" t="s">
        <v>1086</v>
      </c>
      <c r="C2875" s="1" t="s">
        <v>933</v>
      </c>
      <c r="D2875" s="1" t="s">
        <v>2541</v>
      </c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</row>
    <row r="2876" spans="1:17" x14ac:dyDescent="0.25">
      <c r="A2876" s="1" t="s">
        <v>50</v>
      </c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</row>
    <row r="2877" spans="1:17" x14ac:dyDescent="0.25">
      <c r="A2877" s="1" t="s">
        <v>1001</v>
      </c>
      <c r="B2877" s="1" t="s">
        <v>927</v>
      </c>
      <c r="C2877" s="1" t="s">
        <v>919</v>
      </c>
      <c r="D2877" s="1" t="s">
        <v>960</v>
      </c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</row>
    <row r="2878" spans="1:17" x14ac:dyDescent="0.25">
      <c r="A2878" s="1" t="s">
        <v>918</v>
      </c>
      <c r="B2878" s="1" t="s">
        <v>10726</v>
      </c>
      <c r="C2878" s="1" t="s">
        <v>919</v>
      </c>
      <c r="D2878" s="1" t="s">
        <v>920</v>
      </c>
      <c r="E2878" s="1" t="s">
        <v>924</v>
      </c>
      <c r="F2878" s="1" t="s">
        <v>1020</v>
      </c>
      <c r="G2878" s="1" t="s">
        <v>936</v>
      </c>
      <c r="H2878" s="1" t="s">
        <v>921</v>
      </c>
      <c r="I2878" s="1" t="s">
        <v>1001</v>
      </c>
      <c r="J2878" s="1" t="s">
        <v>927</v>
      </c>
      <c r="K2878" s="1" t="s">
        <v>960</v>
      </c>
      <c r="L2878" s="1"/>
      <c r="M2878" s="1"/>
      <c r="N2878" s="1"/>
      <c r="O2878" s="1"/>
      <c r="P2878" s="1"/>
      <c r="Q2878" s="1"/>
    </row>
    <row r="2879" spans="1:17" x14ac:dyDescent="0.25">
      <c r="A2879" s="1" t="s">
        <v>1001</v>
      </c>
      <c r="B2879" s="1" t="s">
        <v>927</v>
      </c>
      <c r="C2879" s="1" t="s">
        <v>919</v>
      </c>
      <c r="D2879" s="1" t="s">
        <v>960</v>
      </c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</row>
    <row r="2880" spans="1:17" x14ac:dyDescent="0.25">
      <c r="A2880" s="1" t="s">
        <v>1001</v>
      </c>
      <c r="B2880" s="1" t="s">
        <v>927</v>
      </c>
      <c r="C2880" s="1" t="s">
        <v>919</v>
      </c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</row>
    <row r="2881" spans="1:17" x14ac:dyDescent="0.25">
      <c r="A2881" s="1" t="s">
        <v>1001</v>
      </c>
      <c r="B2881" s="1" t="s">
        <v>927</v>
      </c>
      <c r="C2881" s="1" t="s">
        <v>919</v>
      </c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</row>
    <row r="2882" spans="1:17" x14ac:dyDescent="0.25">
      <c r="A2882" s="1" t="s">
        <v>1001</v>
      </c>
      <c r="B2882" s="1" t="s">
        <v>927</v>
      </c>
      <c r="C2882" s="1" t="s">
        <v>919</v>
      </c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</row>
    <row r="2883" spans="1:17" x14ac:dyDescent="0.25">
      <c r="A2883" s="1" t="s">
        <v>1001</v>
      </c>
      <c r="B2883" s="1" t="s">
        <v>927</v>
      </c>
      <c r="C2883" s="1" t="s">
        <v>919</v>
      </c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</row>
    <row r="2884" spans="1:17" x14ac:dyDescent="0.25">
      <c r="A2884" s="1" t="s">
        <v>1001</v>
      </c>
      <c r="B2884" s="1" t="s">
        <v>927</v>
      </c>
      <c r="C2884" s="1" t="s">
        <v>919</v>
      </c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</row>
    <row r="2885" spans="1:17" x14ac:dyDescent="0.25">
      <c r="A2885" s="1" t="s">
        <v>1001</v>
      </c>
      <c r="B2885" s="1" t="s">
        <v>927</v>
      </c>
      <c r="C2885" s="1" t="s">
        <v>919</v>
      </c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</row>
    <row r="2886" spans="1:17" x14ac:dyDescent="0.25">
      <c r="A2886" s="1" t="s">
        <v>1001</v>
      </c>
      <c r="B2886" s="1" t="s">
        <v>927</v>
      </c>
      <c r="C2886" s="1" t="s">
        <v>919</v>
      </c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</row>
    <row r="2887" spans="1:17" x14ac:dyDescent="0.25">
      <c r="A2887" s="1" t="s">
        <v>1001</v>
      </c>
      <c r="B2887" s="1" t="s">
        <v>927</v>
      </c>
      <c r="C2887" s="1" t="s">
        <v>981</v>
      </c>
      <c r="D2887" s="1" t="s">
        <v>919</v>
      </c>
      <c r="E2887" s="1" t="s">
        <v>921</v>
      </c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</row>
    <row r="2888" spans="1:17" x14ac:dyDescent="0.25">
      <c r="A2888" s="1" t="s">
        <v>1001</v>
      </c>
      <c r="B2888" s="1" t="s">
        <v>927</v>
      </c>
      <c r="C2888" s="1" t="s">
        <v>981</v>
      </c>
      <c r="D2888" s="1" t="s">
        <v>919</v>
      </c>
      <c r="E2888" s="1" t="s">
        <v>921</v>
      </c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</row>
    <row r="2889" spans="1:17" x14ac:dyDescent="0.25">
      <c r="A2889" s="1" t="s">
        <v>927</v>
      </c>
      <c r="B2889" s="1" t="s">
        <v>919</v>
      </c>
      <c r="C2889" s="1" t="s">
        <v>1001</v>
      </c>
      <c r="D2889" s="1" t="s">
        <v>981</v>
      </c>
      <c r="E2889" s="1" t="s">
        <v>921</v>
      </c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</row>
    <row r="2890" spans="1:17" x14ac:dyDescent="0.25">
      <c r="A2890" s="1" t="s">
        <v>1069</v>
      </c>
      <c r="B2890" s="1" t="s">
        <v>25</v>
      </c>
      <c r="C2890" s="1" t="s">
        <v>998</v>
      </c>
      <c r="D2890" s="1" t="s">
        <v>1086</v>
      </c>
      <c r="E2890" s="1" t="s">
        <v>954</v>
      </c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</row>
    <row r="2891" spans="1:17" x14ac:dyDescent="0.25">
      <c r="A2891" s="1" t="s">
        <v>1069</v>
      </c>
      <c r="B2891" s="1" t="s">
        <v>25</v>
      </c>
      <c r="C2891" s="1" t="s">
        <v>998</v>
      </c>
      <c r="D2891" s="1" t="s">
        <v>1086</v>
      </c>
      <c r="E2891" s="1" t="s">
        <v>954</v>
      </c>
      <c r="F2891" s="1" t="s">
        <v>10928</v>
      </c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</row>
    <row r="2892" spans="1:17" x14ac:dyDescent="0.25">
      <c r="A2892" s="1" t="s">
        <v>1069</v>
      </c>
      <c r="B2892" s="1" t="s">
        <v>25</v>
      </c>
      <c r="C2892" s="1" t="s">
        <v>998</v>
      </c>
      <c r="D2892" s="1" t="s">
        <v>1086</v>
      </c>
      <c r="E2892" s="1" t="s">
        <v>954</v>
      </c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</row>
    <row r="2893" spans="1:17" x14ac:dyDescent="0.25">
      <c r="A2893" s="1" t="s">
        <v>1069</v>
      </c>
      <c r="B2893" s="1" t="s">
        <v>25</v>
      </c>
      <c r="C2893" s="1" t="s">
        <v>998</v>
      </c>
      <c r="D2893" s="1" t="s">
        <v>1086</v>
      </c>
      <c r="E2893" s="1" t="s">
        <v>954</v>
      </c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</row>
    <row r="2894" spans="1:17" x14ac:dyDescent="0.25">
      <c r="A2894" s="1" t="s">
        <v>1069</v>
      </c>
      <c r="B2894" s="1" t="s">
        <v>25</v>
      </c>
      <c r="C2894" s="1" t="s">
        <v>998</v>
      </c>
      <c r="D2894" s="1" t="s">
        <v>1086</v>
      </c>
      <c r="E2894" s="1" t="s">
        <v>954</v>
      </c>
      <c r="F2894" s="1" t="s">
        <v>10907</v>
      </c>
      <c r="G2894" s="1" t="s">
        <v>11020</v>
      </c>
      <c r="H2894" s="1"/>
      <c r="I2894" s="1"/>
      <c r="J2894" s="1"/>
      <c r="K2894" s="1"/>
      <c r="L2894" s="1"/>
      <c r="M2894" s="1"/>
      <c r="N2894" s="1"/>
      <c r="O2894" s="1"/>
      <c r="P2894" s="1"/>
      <c r="Q2894" s="1"/>
    </row>
    <row r="2895" spans="1:17" x14ac:dyDescent="0.25">
      <c r="A2895" s="1" t="s">
        <v>1069</v>
      </c>
      <c r="B2895" s="1" t="s">
        <v>25</v>
      </c>
      <c r="C2895" s="1" t="s">
        <v>998</v>
      </c>
      <c r="D2895" s="1" t="s">
        <v>1086</v>
      </c>
      <c r="E2895" s="1" t="s">
        <v>954</v>
      </c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</row>
    <row r="2896" spans="1:17" x14ac:dyDescent="0.25">
      <c r="A2896" s="1" t="s">
        <v>1069</v>
      </c>
      <c r="B2896" s="1" t="s">
        <v>25</v>
      </c>
      <c r="C2896" s="1" t="s">
        <v>998</v>
      </c>
      <c r="D2896" s="1" t="s">
        <v>1086</v>
      </c>
      <c r="E2896" s="1" t="s">
        <v>954</v>
      </c>
      <c r="F2896" s="1" t="s">
        <v>923</v>
      </c>
      <c r="G2896" s="1" t="s">
        <v>927</v>
      </c>
      <c r="H2896" s="1" t="s">
        <v>976</v>
      </c>
      <c r="I2896" s="1" t="s">
        <v>1098</v>
      </c>
      <c r="J2896" s="1" t="s">
        <v>920</v>
      </c>
      <c r="K2896" s="1"/>
      <c r="L2896" s="1"/>
      <c r="M2896" s="1"/>
      <c r="N2896" s="1"/>
      <c r="O2896" s="1"/>
      <c r="P2896" s="1"/>
      <c r="Q2896" s="1"/>
    </row>
    <row r="2897" spans="1:17" x14ac:dyDescent="0.25">
      <c r="A2897" s="1" t="s">
        <v>918</v>
      </c>
      <c r="B2897" s="1" t="s">
        <v>25</v>
      </c>
      <c r="C2897" s="1" t="s">
        <v>927</v>
      </c>
      <c r="D2897" s="1" t="s">
        <v>919</v>
      </c>
      <c r="E2897" s="1" t="s">
        <v>920</v>
      </c>
      <c r="F2897" s="1" t="s">
        <v>936</v>
      </c>
      <c r="G2897" s="1" t="s">
        <v>1108</v>
      </c>
      <c r="H2897" s="1" t="s">
        <v>960</v>
      </c>
      <c r="I2897" s="1" t="s">
        <v>961</v>
      </c>
      <c r="J2897" s="1" t="s">
        <v>921</v>
      </c>
      <c r="K2897" s="1"/>
      <c r="L2897" s="1"/>
      <c r="M2897" s="1"/>
      <c r="N2897" s="1"/>
      <c r="O2897" s="1"/>
      <c r="P2897" s="1"/>
      <c r="Q2897" s="1"/>
    </row>
    <row r="2898" spans="1:17" x14ac:dyDescent="0.25">
      <c r="A2898" s="1" t="s">
        <v>918</v>
      </c>
      <c r="B2898" s="1" t="s">
        <v>25</v>
      </c>
      <c r="C2898" s="1" t="s">
        <v>927</v>
      </c>
      <c r="D2898" s="1" t="s">
        <v>919</v>
      </c>
      <c r="E2898" s="1" t="s">
        <v>920</v>
      </c>
      <c r="F2898" s="1" t="s">
        <v>936</v>
      </c>
      <c r="G2898" s="1" t="s">
        <v>1108</v>
      </c>
      <c r="H2898" s="1" t="s">
        <v>960</v>
      </c>
      <c r="I2898" s="1" t="s">
        <v>961</v>
      </c>
      <c r="J2898" s="1" t="s">
        <v>921</v>
      </c>
      <c r="K2898" s="1"/>
      <c r="L2898" s="1"/>
      <c r="M2898" s="1"/>
      <c r="N2898" s="1"/>
      <c r="O2898" s="1"/>
      <c r="P2898" s="1"/>
      <c r="Q2898" s="1"/>
    </row>
    <row r="2899" spans="1:17" x14ac:dyDescent="0.25">
      <c r="A2899" s="1" t="s">
        <v>918</v>
      </c>
      <c r="B2899" s="1" t="s">
        <v>25</v>
      </c>
      <c r="C2899" s="1" t="s">
        <v>927</v>
      </c>
      <c r="D2899" s="1" t="s">
        <v>919</v>
      </c>
      <c r="E2899" s="1" t="s">
        <v>920</v>
      </c>
      <c r="F2899" s="1" t="s">
        <v>936</v>
      </c>
      <c r="G2899" s="1" t="s">
        <v>1108</v>
      </c>
      <c r="H2899" s="1" t="s">
        <v>960</v>
      </c>
      <c r="I2899" s="1" t="s">
        <v>961</v>
      </c>
      <c r="J2899" s="1" t="s">
        <v>921</v>
      </c>
      <c r="K2899" s="1"/>
      <c r="L2899" s="1"/>
      <c r="M2899" s="1"/>
      <c r="N2899" s="1"/>
      <c r="O2899" s="1"/>
      <c r="P2899" s="1"/>
      <c r="Q2899" s="1"/>
    </row>
    <row r="2900" spans="1:17" x14ac:dyDescent="0.25">
      <c r="A2900" s="1" t="s">
        <v>918</v>
      </c>
      <c r="B2900" s="1" t="s">
        <v>919</v>
      </c>
      <c r="C2900" s="1" t="s">
        <v>936</v>
      </c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</row>
    <row r="2901" spans="1:17" x14ac:dyDescent="0.25">
      <c r="A2901" s="1" t="s">
        <v>918</v>
      </c>
      <c r="B2901" s="1" t="s">
        <v>919</v>
      </c>
      <c r="C2901" s="1" t="s">
        <v>936</v>
      </c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</row>
    <row r="2902" spans="1:17" x14ac:dyDescent="0.25">
      <c r="A2902" s="1" t="s">
        <v>918</v>
      </c>
      <c r="B2902" s="1" t="s">
        <v>919</v>
      </c>
      <c r="C2902" s="1" t="s">
        <v>936</v>
      </c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</row>
    <row r="2903" spans="1:17" x14ac:dyDescent="0.25">
      <c r="A2903" s="1" t="s">
        <v>918</v>
      </c>
      <c r="B2903" s="1" t="s">
        <v>919</v>
      </c>
      <c r="C2903" s="1" t="s">
        <v>936</v>
      </c>
      <c r="D2903" s="1" t="s">
        <v>10734</v>
      </c>
      <c r="E2903" s="1" t="s">
        <v>955</v>
      </c>
      <c r="F2903" s="1" t="s">
        <v>1014</v>
      </c>
      <c r="G2903" s="1" t="s">
        <v>956</v>
      </c>
      <c r="H2903" s="1"/>
      <c r="I2903" s="1"/>
      <c r="J2903" s="1"/>
      <c r="K2903" s="1"/>
      <c r="L2903" s="1"/>
      <c r="M2903" s="1"/>
      <c r="N2903" s="1"/>
      <c r="O2903" s="1"/>
      <c r="P2903" s="1"/>
      <c r="Q2903" s="1"/>
    </row>
    <row r="2904" spans="1:17" x14ac:dyDescent="0.25">
      <c r="A2904" s="1" t="s">
        <v>918</v>
      </c>
      <c r="B2904" s="1" t="s">
        <v>919</v>
      </c>
      <c r="C2904" s="1" t="s">
        <v>936</v>
      </c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</row>
    <row r="2905" spans="1:17" x14ac:dyDescent="0.25">
      <c r="A2905" s="1" t="s">
        <v>918</v>
      </c>
      <c r="B2905" s="1" t="s">
        <v>919</v>
      </c>
      <c r="C2905" s="1" t="s">
        <v>936</v>
      </c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</row>
    <row r="2906" spans="1:17" x14ac:dyDescent="0.25">
      <c r="A2906" s="1" t="s">
        <v>918</v>
      </c>
      <c r="B2906" s="1" t="s">
        <v>919</v>
      </c>
      <c r="C2906" s="1" t="s">
        <v>936</v>
      </c>
      <c r="D2906" s="1" t="s">
        <v>941</v>
      </c>
      <c r="E2906" s="1" t="s">
        <v>1143</v>
      </c>
      <c r="F2906" s="1" t="s">
        <v>1085</v>
      </c>
      <c r="G2906" s="1" t="s">
        <v>955</v>
      </c>
      <c r="H2906" s="1" t="s">
        <v>924</v>
      </c>
      <c r="I2906" s="1" t="s">
        <v>1014</v>
      </c>
      <c r="J2906" s="1" t="s">
        <v>944</v>
      </c>
      <c r="K2906" s="1" t="s">
        <v>956</v>
      </c>
      <c r="L2906" s="1"/>
      <c r="M2906" s="1"/>
      <c r="N2906" s="1"/>
      <c r="O2906" s="1"/>
      <c r="P2906" s="1"/>
      <c r="Q2906" s="1"/>
    </row>
    <row r="2907" spans="1:17" x14ac:dyDescent="0.25">
      <c r="A2907" s="1" t="s">
        <v>918</v>
      </c>
      <c r="B2907" s="1" t="s">
        <v>919</v>
      </c>
      <c r="C2907" s="1" t="s">
        <v>936</v>
      </c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</row>
    <row r="2908" spans="1:17" x14ac:dyDescent="0.25">
      <c r="A2908" s="1" t="s">
        <v>918</v>
      </c>
      <c r="B2908" s="1" t="s">
        <v>919</v>
      </c>
      <c r="C2908" s="1" t="s">
        <v>936</v>
      </c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</row>
    <row r="2909" spans="1:17" x14ac:dyDescent="0.25">
      <c r="A2909" s="1" t="s">
        <v>918</v>
      </c>
      <c r="B2909" s="1" t="s">
        <v>919</v>
      </c>
      <c r="C2909" s="1" t="s">
        <v>936</v>
      </c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</row>
    <row r="2910" spans="1:17" x14ac:dyDescent="0.25">
      <c r="A2910" s="1" t="s">
        <v>918</v>
      </c>
      <c r="B2910" s="1" t="s">
        <v>919</v>
      </c>
      <c r="C2910" s="1" t="s">
        <v>936</v>
      </c>
      <c r="D2910" s="1" t="s">
        <v>941</v>
      </c>
      <c r="E2910" s="1" t="s">
        <v>1084</v>
      </c>
      <c r="F2910" s="1" t="s">
        <v>1085</v>
      </c>
      <c r="G2910" s="1" t="s">
        <v>955</v>
      </c>
      <c r="H2910" s="1" t="s">
        <v>1034</v>
      </c>
      <c r="I2910" s="1" t="s">
        <v>924</v>
      </c>
      <c r="J2910" s="1" t="s">
        <v>1014</v>
      </c>
      <c r="K2910" s="1" t="s">
        <v>956</v>
      </c>
      <c r="L2910" s="1"/>
      <c r="M2910" s="1"/>
      <c r="N2910" s="1"/>
      <c r="O2910" s="1"/>
      <c r="P2910" s="1"/>
      <c r="Q2910" s="1"/>
    </row>
    <row r="2911" spans="1:17" x14ac:dyDescent="0.25">
      <c r="A2911" s="1" t="s">
        <v>1071</v>
      </c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</row>
    <row r="2912" spans="1:17" x14ac:dyDescent="0.25">
      <c r="A2912" s="1" t="s">
        <v>1071</v>
      </c>
      <c r="B2912" s="1" t="s">
        <v>1019</v>
      </c>
      <c r="C2912" s="1" t="s">
        <v>983</v>
      </c>
      <c r="D2912" s="1" t="s">
        <v>919</v>
      </c>
      <c r="E2912" s="1" t="s">
        <v>924</v>
      </c>
      <c r="F2912" s="1" t="s">
        <v>1020</v>
      </c>
      <c r="G2912" s="1" t="s">
        <v>984</v>
      </c>
      <c r="H2912" s="1" t="s">
        <v>1021</v>
      </c>
      <c r="I2912" s="1" t="s">
        <v>918</v>
      </c>
      <c r="J2912" s="1" t="s">
        <v>927</v>
      </c>
      <c r="K2912" s="1" t="s">
        <v>936</v>
      </c>
      <c r="L2912" s="1"/>
      <c r="M2912" s="1"/>
      <c r="N2912" s="1"/>
      <c r="O2912" s="1"/>
      <c r="P2912" s="1"/>
      <c r="Q2912" s="1"/>
    </row>
    <row r="2913" spans="1:17" x14ac:dyDescent="0.25">
      <c r="A2913" s="1" t="s">
        <v>1071</v>
      </c>
      <c r="B2913" s="1" t="s">
        <v>918</v>
      </c>
      <c r="C2913" s="1" t="s">
        <v>919</v>
      </c>
      <c r="D2913" s="1" t="s">
        <v>936</v>
      </c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</row>
    <row r="2914" spans="1:17" x14ac:dyDescent="0.25">
      <c r="A2914" s="1" t="s">
        <v>10726</v>
      </c>
      <c r="B2914" s="1" t="s">
        <v>10962</v>
      </c>
      <c r="C2914" s="1" t="s">
        <v>919</v>
      </c>
      <c r="D2914" s="1" t="s">
        <v>924</v>
      </c>
      <c r="E2914" s="1" t="s">
        <v>1014</v>
      </c>
      <c r="F2914" s="1" t="s">
        <v>918</v>
      </c>
      <c r="G2914" s="1" t="s">
        <v>927</v>
      </c>
      <c r="H2914" s="1" t="s">
        <v>936</v>
      </c>
      <c r="I2914" s="1"/>
      <c r="J2914" s="1"/>
      <c r="K2914" s="1"/>
      <c r="L2914" s="1"/>
      <c r="M2914" s="1"/>
      <c r="N2914" s="1"/>
      <c r="O2914" s="1"/>
      <c r="P2914" s="1"/>
      <c r="Q2914" s="1"/>
    </row>
    <row r="2915" spans="1:17" x14ac:dyDescent="0.25">
      <c r="A2915" s="1" t="s">
        <v>10739</v>
      </c>
      <c r="B2915" s="1" t="s">
        <v>10870</v>
      </c>
      <c r="C2915" s="1" t="s">
        <v>955</v>
      </c>
      <c r="D2915" s="1" t="s">
        <v>924</v>
      </c>
      <c r="E2915" s="1" t="s">
        <v>1014</v>
      </c>
      <c r="F2915" s="1" t="s">
        <v>918</v>
      </c>
      <c r="G2915" s="1" t="s">
        <v>1036</v>
      </c>
      <c r="H2915" s="1" t="s">
        <v>944</v>
      </c>
      <c r="I2915" s="1" t="s">
        <v>956</v>
      </c>
      <c r="J2915" s="1"/>
      <c r="K2915" s="1"/>
      <c r="L2915" s="1"/>
      <c r="M2915" s="1"/>
      <c r="N2915" s="1"/>
      <c r="O2915" s="1"/>
      <c r="P2915" s="1"/>
      <c r="Q2915" s="1"/>
    </row>
    <row r="2916" spans="1:17" x14ac:dyDescent="0.25">
      <c r="A2916" s="1" t="s">
        <v>10739</v>
      </c>
      <c r="B2916" s="1" t="s">
        <v>10870</v>
      </c>
      <c r="C2916" s="1" t="s">
        <v>955</v>
      </c>
      <c r="D2916" s="1" t="s">
        <v>924</v>
      </c>
      <c r="E2916" s="1" t="s">
        <v>1014</v>
      </c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</row>
    <row r="2917" spans="1:17" x14ac:dyDescent="0.25">
      <c r="A2917" s="1" t="s">
        <v>10739</v>
      </c>
      <c r="B2917" s="1" t="s">
        <v>10870</v>
      </c>
      <c r="C2917" s="1" t="s">
        <v>955</v>
      </c>
      <c r="D2917" s="1" t="s">
        <v>924</v>
      </c>
      <c r="E2917" s="1" t="s">
        <v>1014</v>
      </c>
      <c r="F2917" s="1" t="s">
        <v>948</v>
      </c>
      <c r="G2917" s="1" t="s">
        <v>918</v>
      </c>
      <c r="H2917" s="1" t="s">
        <v>25</v>
      </c>
      <c r="I2917" s="1" t="s">
        <v>919</v>
      </c>
      <c r="J2917" s="1" t="s">
        <v>920</v>
      </c>
      <c r="K2917" s="1" t="s">
        <v>954</v>
      </c>
      <c r="L2917" s="1"/>
      <c r="M2917" s="1"/>
      <c r="N2917" s="1"/>
      <c r="O2917" s="1"/>
      <c r="P2917" s="1"/>
      <c r="Q2917" s="1"/>
    </row>
    <row r="2918" spans="1:17" x14ac:dyDescent="0.25">
      <c r="A2918" s="1" t="s">
        <v>10739</v>
      </c>
      <c r="B2918" s="1" t="s">
        <v>10870</v>
      </c>
      <c r="C2918" s="1" t="s">
        <v>955</v>
      </c>
      <c r="D2918" s="1" t="s">
        <v>924</v>
      </c>
      <c r="E2918" s="1" t="s">
        <v>1014</v>
      </c>
      <c r="F2918" s="1" t="s">
        <v>10762</v>
      </c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</row>
    <row r="2919" spans="1:17" x14ac:dyDescent="0.25">
      <c r="A2919" s="1" t="s">
        <v>10739</v>
      </c>
      <c r="B2919" s="1" t="s">
        <v>10870</v>
      </c>
      <c r="C2919" s="1" t="s">
        <v>955</v>
      </c>
      <c r="D2919" s="1" t="s">
        <v>924</v>
      </c>
      <c r="E2919" s="1" t="s">
        <v>1014</v>
      </c>
      <c r="F2919" s="1" t="s">
        <v>1040</v>
      </c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</row>
    <row r="2920" spans="1:17" x14ac:dyDescent="0.25">
      <c r="A2920" s="1" t="s">
        <v>955</v>
      </c>
      <c r="B2920" s="1" t="s">
        <v>924</v>
      </c>
      <c r="C2920" s="1" t="s">
        <v>1014</v>
      </c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</row>
    <row r="2921" spans="1:17" x14ac:dyDescent="0.25">
      <c r="A2921" s="1" t="s">
        <v>955</v>
      </c>
      <c r="B2921" s="1" t="s">
        <v>924</v>
      </c>
      <c r="C2921" s="1" t="s">
        <v>1014</v>
      </c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</row>
    <row r="2922" spans="1:17" x14ac:dyDescent="0.25">
      <c r="A2922" s="1" t="s">
        <v>955</v>
      </c>
      <c r="B2922" s="1" t="s">
        <v>924</v>
      </c>
      <c r="C2922" s="1" t="s">
        <v>1014</v>
      </c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</row>
    <row r="2923" spans="1:17" x14ac:dyDescent="0.25">
      <c r="A2923" s="1" t="s">
        <v>948</v>
      </c>
      <c r="B2923" s="1" t="s">
        <v>25</v>
      </c>
      <c r="C2923" s="1" t="s">
        <v>923</v>
      </c>
      <c r="D2923" s="1" t="s">
        <v>1053</v>
      </c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</row>
    <row r="2924" spans="1:17" x14ac:dyDescent="0.25">
      <c r="A2924" s="1" t="s">
        <v>948</v>
      </c>
      <c r="B2924" s="1" t="s">
        <v>25</v>
      </c>
      <c r="C2924" s="1" t="s">
        <v>923</v>
      </c>
      <c r="D2924" s="1" t="s">
        <v>1053</v>
      </c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</row>
    <row r="2925" spans="1:17" x14ac:dyDescent="0.25">
      <c r="A2925" s="1" t="s">
        <v>2927</v>
      </c>
      <c r="B2925" s="1" t="s">
        <v>1069</v>
      </c>
      <c r="C2925" s="1" t="s">
        <v>1149</v>
      </c>
      <c r="D2925" s="1" t="s">
        <v>25</v>
      </c>
      <c r="E2925" s="1" t="s">
        <v>923</v>
      </c>
      <c r="F2925" s="1" t="s">
        <v>998</v>
      </c>
      <c r="G2925" s="1" t="s">
        <v>1053</v>
      </c>
      <c r="H2925" s="1" t="s">
        <v>1086</v>
      </c>
      <c r="I2925" s="1" t="s">
        <v>933</v>
      </c>
      <c r="J2925" s="1"/>
      <c r="K2925" s="1"/>
      <c r="L2925" s="1"/>
      <c r="M2925" s="1"/>
      <c r="N2925" s="1"/>
      <c r="O2925" s="1"/>
      <c r="P2925" s="1"/>
      <c r="Q2925" s="1"/>
    </row>
    <row r="2926" spans="1:17" x14ac:dyDescent="0.25">
      <c r="A2926" s="1" t="s">
        <v>2927</v>
      </c>
      <c r="B2926" s="1" t="s">
        <v>1069</v>
      </c>
      <c r="C2926" s="1" t="s">
        <v>25</v>
      </c>
      <c r="D2926" s="1" t="s">
        <v>923</v>
      </c>
      <c r="E2926" s="1" t="s">
        <v>998</v>
      </c>
      <c r="F2926" s="1" t="s">
        <v>1053</v>
      </c>
      <c r="G2926" s="1" t="s">
        <v>1086</v>
      </c>
      <c r="H2926" s="1"/>
      <c r="I2926" s="1"/>
      <c r="J2926" s="1"/>
      <c r="K2926" s="1"/>
      <c r="L2926" s="1"/>
      <c r="M2926" s="1"/>
      <c r="N2926" s="1"/>
      <c r="O2926" s="1"/>
      <c r="P2926" s="1"/>
      <c r="Q2926" s="1"/>
    </row>
    <row r="2927" spans="1:17" x14ac:dyDescent="0.25">
      <c r="A2927" s="1" t="s">
        <v>2927</v>
      </c>
      <c r="B2927" s="1" t="s">
        <v>1069</v>
      </c>
      <c r="C2927" s="1" t="s">
        <v>25</v>
      </c>
      <c r="D2927" s="1" t="s">
        <v>923</v>
      </c>
      <c r="E2927" s="1" t="s">
        <v>998</v>
      </c>
      <c r="F2927" s="1" t="s">
        <v>1053</v>
      </c>
      <c r="G2927" s="1" t="s">
        <v>1086</v>
      </c>
      <c r="H2927" s="1"/>
      <c r="I2927" s="1"/>
      <c r="J2927" s="1"/>
      <c r="K2927" s="1"/>
      <c r="L2927" s="1"/>
      <c r="M2927" s="1"/>
      <c r="N2927" s="1"/>
      <c r="O2927" s="1"/>
      <c r="P2927" s="1"/>
      <c r="Q2927" s="1"/>
    </row>
    <row r="2928" spans="1:17" x14ac:dyDescent="0.25">
      <c r="A2928" s="1" t="s">
        <v>2927</v>
      </c>
      <c r="B2928" s="1" t="s">
        <v>1149</v>
      </c>
      <c r="C2928" s="1" t="s">
        <v>25</v>
      </c>
      <c r="D2928" s="1" t="s">
        <v>923</v>
      </c>
      <c r="E2928" s="1" t="s">
        <v>998</v>
      </c>
      <c r="F2928" s="1" t="s">
        <v>1053</v>
      </c>
      <c r="G2928" s="1" t="s">
        <v>1086</v>
      </c>
      <c r="H2928" s="1" t="s">
        <v>920</v>
      </c>
      <c r="I2928" s="1" t="s">
        <v>933</v>
      </c>
      <c r="J2928" s="1"/>
      <c r="K2928" s="1"/>
      <c r="L2928" s="1"/>
      <c r="M2928" s="1"/>
      <c r="N2928" s="1"/>
      <c r="O2928" s="1"/>
      <c r="P2928" s="1"/>
      <c r="Q2928" s="1"/>
    </row>
    <row r="2929" spans="1:17" x14ac:dyDescent="0.25">
      <c r="A2929" s="1" t="s">
        <v>2927</v>
      </c>
      <c r="B2929" s="1" t="s">
        <v>1149</v>
      </c>
      <c r="C2929" s="1" t="s">
        <v>25</v>
      </c>
      <c r="D2929" s="1" t="s">
        <v>923</v>
      </c>
      <c r="E2929" s="1" t="s">
        <v>998</v>
      </c>
      <c r="F2929" s="1" t="s">
        <v>1053</v>
      </c>
      <c r="G2929" s="1" t="s">
        <v>1086</v>
      </c>
      <c r="H2929" s="1" t="s">
        <v>920</v>
      </c>
      <c r="I2929" s="1" t="s">
        <v>933</v>
      </c>
      <c r="J2929" s="1" t="s">
        <v>1066</v>
      </c>
      <c r="K2929" s="1"/>
      <c r="L2929" s="1"/>
      <c r="M2929" s="1"/>
      <c r="N2929" s="1"/>
      <c r="O2929" s="1"/>
      <c r="P2929" s="1"/>
      <c r="Q2929" s="1"/>
    </row>
    <row r="2930" spans="1:17" x14ac:dyDescent="0.25">
      <c r="A2930" s="1" t="s">
        <v>25</v>
      </c>
      <c r="B2930" s="1" t="s">
        <v>1086</v>
      </c>
      <c r="C2930" s="1" t="s">
        <v>919</v>
      </c>
      <c r="D2930" s="1" t="s">
        <v>920</v>
      </c>
      <c r="E2930" s="1" t="s">
        <v>921</v>
      </c>
      <c r="F2930" s="1" t="s">
        <v>2927</v>
      </c>
      <c r="G2930" s="1" t="s">
        <v>1149</v>
      </c>
      <c r="H2930" s="1" t="s">
        <v>923</v>
      </c>
      <c r="I2930" s="1" t="s">
        <v>998</v>
      </c>
      <c r="J2930" s="1" t="s">
        <v>1053</v>
      </c>
      <c r="K2930" s="1" t="s">
        <v>933</v>
      </c>
      <c r="L2930" s="1"/>
      <c r="M2930" s="1"/>
      <c r="N2930" s="1"/>
      <c r="O2930" s="1"/>
      <c r="P2930" s="1"/>
      <c r="Q2930" s="1"/>
    </row>
    <row r="2931" spans="1:17" x14ac:dyDescent="0.25">
      <c r="A2931" s="1" t="s">
        <v>1149</v>
      </c>
      <c r="B2931" s="1" t="s">
        <v>25</v>
      </c>
      <c r="C2931" s="1" t="s">
        <v>923</v>
      </c>
      <c r="D2931" s="1" t="s">
        <v>998</v>
      </c>
      <c r="E2931" s="1" t="s">
        <v>1086</v>
      </c>
      <c r="F2931" s="1" t="s">
        <v>920</v>
      </c>
      <c r="G2931" s="1" t="s">
        <v>933</v>
      </c>
      <c r="H2931" s="1" t="s">
        <v>10719</v>
      </c>
      <c r="I2931" s="1" t="s">
        <v>948</v>
      </c>
      <c r="J2931" s="1" t="s">
        <v>997</v>
      </c>
      <c r="K2931" s="1" t="s">
        <v>1150</v>
      </c>
      <c r="L2931" s="1" t="s">
        <v>2927</v>
      </c>
      <c r="M2931" s="1" t="s">
        <v>1053</v>
      </c>
      <c r="N2931" s="1"/>
      <c r="O2931" s="1"/>
      <c r="P2931" s="1"/>
      <c r="Q2931" s="1"/>
    </row>
    <row r="2932" spans="1:17" x14ac:dyDescent="0.25">
      <c r="A2932" s="1" t="s">
        <v>996</v>
      </c>
      <c r="B2932" s="1" t="s">
        <v>25</v>
      </c>
      <c r="C2932" s="1" t="s">
        <v>1053</v>
      </c>
      <c r="D2932" s="1" t="s">
        <v>2541</v>
      </c>
      <c r="E2932" s="1" t="s">
        <v>2927</v>
      </c>
      <c r="F2932" s="1" t="s">
        <v>1069</v>
      </c>
      <c r="G2932" s="1" t="s">
        <v>923</v>
      </c>
      <c r="H2932" s="1" t="s">
        <v>1167</v>
      </c>
      <c r="I2932" s="1" t="s">
        <v>1086</v>
      </c>
      <c r="J2932" s="1"/>
      <c r="K2932" s="1"/>
      <c r="L2932" s="1"/>
      <c r="M2932" s="1"/>
      <c r="N2932" s="1"/>
      <c r="O2932" s="1"/>
      <c r="P2932" s="1"/>
      <c r="Q2932" s="1"/>
    </row>
    <row r="2933" spans="1:17" x14ac:dyDescent="0.25">
      <c r="A2933" s="1" t="s">
        <v>2927</v>
      </c>
      <c r="B2933" s="1" t="s">
        <v>1069</v>
      </c>
      <c r="C2933" s="1" t="s">
        <v>25</v>
      </c>
      <c r="D2933" s="1" t="s">
        <v>923</v>
      </c>
      <c r="E2933" s="1" t="s">
        <v>1167</v>
      </c>
      <c r="F2933" s="1" t="s">
        <v>1086</v>
      </c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</row>
    <row r="2934" spans="1:17" x14ac:dyDescent="0.25">
      <c r="A2934" s="1" t="s">
        <v>2927</v>
      </c>
      <c r="B2934" s="1" t="s">
        <v>1069</v>
      </c>
      <c r="C2934" s="1" t="s">
        <v>25</v>
      </c>
      <c r="D2934" s="1" t="s">
        <v>923</v>
      </c>
      <c r="E2934" s="1" t="s">
        <v>1167</v>
      </c>
      <c r="F2934" s="1" t="s">
        <v>1086</v>
      </c>
      <c r="G2934" s="1" t="s">
        <v>11021</v>
      </c>
      <c r="H2934" s="1"/>
      <c r="I2934" s="1"/>
      <c r="J2934" s="1"/>
      <c r="K2934" s="1"/>
      <c r="L2934" s="1"/>
      <c r="M2934" s="1"/>
      <c r="N2934" s="1"/>
      <c r="O2934" s="1"/>
      <c r="P2934" s="1"/>
      <c r="Q2934" s="1"/>
    </row>
    <row r="2935" spans="1:17" x14ac:dyDescent="0.25">
      <c r="A2935" s="1" t="s">
        <v>2927</v>
      </c>
      <c r="B2935" s="1" t="s">
        <v>1069</v>
      </c>
      <c r="C2935" s="1" t="s">
        <v>25</v>
      </c>
      <c r="D2935" s="1" t="s">
        <v>923</v>
      </c>
      <c r="E2935" s="1" t="s">
        <v>1167</v>
      </c>
      <c r="F2935" s="1" t="s">
        <v>1086</v>
      </c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</row>
    <row r="2936" spans="1:17" x14ac:dyDescent="0.25">
      <c r="A2936" s="1" t="s">
        <v>25</v>
      </c>
      <c r="B2936" s="1" t="s">
        <v>919</v>
      </c>
      <c r="C2936" s="1" t="s">
        <v>920</v>
      </c>
      <c r="D2936" s="1" t="s">
        <v>954</v>
      </c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</row>
    <row r="2937" spans="1:17" x14ac:dyDescent="0.25">
      <c r="A2937" s="1" t="s">
        <v>25</v>
      </c>
      <c r="B2937" s="1" t="s">
        <v>919</v>
      </c>
      <c r="C2937" s="1" t="s">
        <v>920</v>
      </c>
      <c r="D2937" s="1" t="s">
        <v>954</v>
      </c>
      <c r="E2937" s="1" t="s">
        <v>918</v>
      </c>
      <c r="F2937" s="1" t="s">
        <v>10766</v>
      </c>
      <c r="G2937" s="1" t="s">
        <v>916</v>
      </c>
      <c r="H2937" s="1" t="s">
        <v>924</v>
      </c>
      <c r="I2937" s="1" t="s">
        <v>921</v>
      </c>
      <c r="J2937" s="1"/>
      <c r="K2937" s="1"/>
      <c r="L2937" s="1"/>
      <c r="M2937" s="1"/>
      <c r="N2937" s="1"/>
      <c r="O2937" s="1"/>
      <c r="P2937" s="1"/>
      <c r="Q2937" s="1"/>
    </row>
    <row r="2938" spans="1:17" x14ac:dyDescent="0.25">
      <c r="A2938" s="1" t="s">
        <v>25</v>
      </c>
      <c r="B2938" s="1" t="s">
        <v>919</v>
      </c>
      <c r="C2938" s="1" t="s">
        <v>920</v>
      </c>
      <c r="D2938" s="1" t="s">
        <v>954</v>
      </c>
      <c r="E2938" s="1" t="s">
        <v>955</v>
      </c>
      <c r="F2938" s="1" t="s">
        <v>924</v>
      </c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</row>
    <row r="2939" spans="1:17" x14ac:dyDescent="0.25">
      <c r="A2939" s="1" t="s">
        <v>25</v>
      </c>
      <c r="B2939" s="1" t="s">
        <v>919</v>
      </c>
      <c r="C2939" s="1" t="s">
        <v>920</v>
      </c>
      <c r="D2939" s="1" t="s">
        <v>954</v>
      </c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</row>
    <row r="2940" spans="1:17" x14ac:dyDescent="0.25">
      <c r="A2940" s="1" t="s">
        <v>25</v>
      </c>
      <c r="B2940" s="1" t="s">
        <v>919</v>
      </c>
      <c r="C2940" s="1" t="s">
        <v>920</v>
      </c>
      <c r="D2940" s="1" t="s">
        <v>954</v>
      </c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</row>
    <row r="2941" spans="1:17" x14ac:dyDescent="0.25">
      <c r="A2941" s="1" t="s">
        <v>25</v>
      </c>
      <c r="B2941" s="1" t="s">
        <v>919</v>
      </c>
      <c r="C2941" s="1" t="s">
        <v>920</v>
      </c>
      <c r="D2941" s="1" t="s">
        <v>954</v>
      </c>
      <c r="E2941" s="1" t="s">
        <v>933</v>
      </c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</row>
    <row r="2942" spans="1:17" x14ac:dyDescent="0.25">
      <c r="A2942" s="1" t="s">
        <v>1070</v>
      </c>
      <c r="B2942" s="1" t="s">
        <v>976</v>
      </c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</row>
    <row r="2943" spans="1:17" x14ac:dyDescent="0.25">
      <c r="A2943" s="1" t="s">
        <v>1070</v>
      </c>
      <c r="B2943" s="1" t="s">
        <v>976</v>
      </c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</row>
    <row r="2944" spans="1:17" x14ac:dyDescent="0.25">
      <c r="A2944" s="1" t="s">
        <v>1070</v>
      </c>
      <c r="B2944" s="1" t="s">
        <v>976</v>
      </c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</row>
    <row r="2945" spans="1:17" x14ac:dyDescent="0.25">
      <c r="A2945" s="1" t="s">
        <v>1070</v>
      </c>
      <c r="B2945" s="1" t="s">
        <v>976</v>
      </c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</row>
    <row r="2946" spans="1:17" x14ac:dyDescent="0.25">
      <c r="A2946" s="1" t="s">
        <v>1070</v>
      </c>
      <c r="B2946" s="1" t="s">
        <v>976</v>
      </c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</row>
    <row r="2947" spans="1:17" x14ac:dyDescent="0.25">
      <c r="A2947" s="1" t="s">
        <v>1070</v>
      </c>
      <c r="B2947" s="1" t="s">
        <v>976</v>
      </c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</row>
    <row r="2948" spans="1:17" x14ac:dyDescent="0.25">
      <c r="A2948" s="1" t="s">
        <v>1070</v>
      </c>
      <c r="B2948" s="1" t="s">
        <v>976</v>
      </c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</row>
    <row r="2949" spans="1:17" x14ac:dyDescent="0.25">
      <c r="A2949" s="1" t="s">
        <v>1070</v>
      </c>
      <c r="B2949" s="1" t="s">
        <v>976</v>
      </c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</row>
    <row r="2950" spans="1:17" x14ac:dyDescent="0.25">
      <c r="A2950" s="1" t="s">
        <v>1070</v>
      </c>
      <c r="B2950" s="1" t="s">
        <v>976</v>
      </c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</row>
    <row r="2951" spans="1:17" x14ac:dyDescent="0.25">
      <c r="A2951" s="1" t="s">
        <v>1070</v>
      </c>
      <c r="B2951" s="1" t="s">
        <v>976</v>
      </c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</row>
    <row r="2952" spans="1:17" x14ac:dyDescent="0.25">
      <c r="A2952" s="1" t="s">
        <v>1070</v>
      </c>
      <c r="B2952" s="1" t="s">
        <v>976</v>
      </c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</row>
    <row r="2953" spans="1:17" x14ac:dyDescent="0.25">
      <c r="A2953" s="1" t="s">
        <v>1070</v>
      </c>
      <c r="B2953" s="1" t="s">
        <v>976</v>
      </c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</row>
    <row r="2954" spans="1:17" x14ac:dyDescent="0.25">
      <c r="A2954" s="1" t="s">
        <v>1070</v>
      </c>
      <c r="B2954" s="1" t="s">
        <v>976</v>
      </c>
      <c r="C2954" s="1" t="s">
        <v>25</v>
      </c>
      <c r="D2954" s="1" t="s">
        <v>923</v>
      </c>
      <c r="E2954" s="1" t="s">
        <v>10814</v>
      </c>
      <c r="F2954" s="1" t="s">
        <v>10775</v>
      </c>
      <c r="G2954" s="1" t="s">
        <v>939</v>
      </c>
      <c r="H2954" s="1"/>
      <c r="I2954" s="1"/>
      <c r="J2954" s="1"/>
      <c r="K2954" s="1"/>
      <c r="L2954" s="1"/>
      <c r="M2954" s="1"/>
      <c r="N2954" s="1"/>
      <c r="O2954" s="1"/>
      <c r="P2954" s="1"/>
      <c r="Q2954" s="1"/>
    </row>
    <row r="2955" spans="1:17" x14ac:dyDescent="0.25">
      <c r="A2955" s="1" t="s">
        <v>1070</v>
      </c>
      <c r="B2955" s="1" t="s">
        <v>976</v>
      </c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</row>
    <row r="2956" spans="1:17" x14ac:dyDescent="0.25">
      <c r="A2956" s="1" t="s">
        <v>1070</v>
      </c>
      <c r="B2956" s="1" t="s">
        <v>976</v>
      </c>
      <c r="C2956" s="1" t="s">
        <v>925</v>
      </c>
      <c r="D2956" s="1" t="s">
        <v>979</v>
      </c>
      <c r="E2956" s="1" t="s">
        <v>11022</v>
      </c>
      <c r="F2956" s="1" t="s">
        <v>10810</v>
      </c>
      <c r="G2956" s="1" t="s">
        <v>10863</v>
      </c>
      <c r="H2956" s="1" t="s">
        <v>1029</v>
      </c>
      <c r="I2956" s="1" t="s">
        <v>11023</v>
      </c>
      <c r="J2956" s="1"/>
      <c r="K2956" s="1"/>
      <c r="L2956" s="1"/>
      <c r="M2956" s="1"/>
      <c r="N2956" s="1"/>
      <c r="O2956" s="1"/>
      <c r="P2956" s="1"/>
      <c r="Q2956" s="1"/>
    </row>
    <row r="2957" spans="1:17" x14ac:dyDescent="0.25">
      <c r="A2957" s="1" t="s">
        <v>1070</v>
      </c>
      <c r="B2957" s="1" t="s">
        <v>976</v>
      </c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</row>
    <row r="2958" spans="1:17" x14ac:dyDescent="0.25">
      <c r="A2958" s="1" t="s">
        <v>1070</v>
      </c>
      <c r="B2958" s="1" t="s">
        <v>976</v>
      </c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</row>
    <row r="2959" spans="1:17" x14ac:dyDescent="0.25">
      <c r="A2959" s="1" t="s">
        <v>1070</v>
      </c>
      <c r="B2959" s="1" t="s">
        <v>976</v>
      </c>
      <c r="C2959" s="1" t="s">
        <v>955</v>
      </c>
      <c r="D2959" s="1" t="s">
        <v>919</v>
      </c>
      <c r="E2959" s="1" t="s">
        <v>924</v>
      </c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</row>
    <row r="2960" spans="1:17" x14ac:dyDescent="0.25">
      <c r="A2960" s="1" t="s">
        <v>1070</v>
      </c>
      <c r="B2960" s="1" t="s">
        <v>976</v>
      </c>
      <c r="C2960" s="1" t="s">
        <v>955</v>
      </c>
      <c r="D2960" s="1" t="s">
        <v>919</v>
      </c>
      <c r="E2960" s="1" t="s">
        <v>924</v>
      </c>
      <c r="F2960" s="1" t="s">
        <v>10957</v>
      </c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</row>
    <row r="2961" spans="1:17" x14ac:dyDescent="0.25">
      <c r="A2961" s="1" t="s">
        <v>1070</v>
      </c>
      <c r="B2961" s="1" t="s">
        <v>976</v>
      </c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</row>
    <row r="2962" spans="1:17" x14ac:dyDescent="0.25">
      <c r="A2962" s="1" t="s">
        <v>1070</v>
      </c>
      <c r="B2962" s="1" t="s">
        <v>976</v>
      </c>
      <c r="C2962" s="1" t="s">
        <v>955</v>
      </c>
      <c r="D2962" s="1" t="s">
        <v>919</v>
      </c>
      <c r="E2962" s="1" t="s">
        <v>924</v>
      </c>
      <c r="F2962" s="1" t="s">
        <v>10957</v>
      </c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</row>
    <row r="2963" spans="1:17" x14ac:dyDescent="0.25">
      <c r="A2963" s="1" t="s">
        <v>919</v>
      </c>
      <c r="B2963" s="1" t="s">
        <v>936</v>
      </c>
      <c r="C2963" s="1" t="s">
        <v>918</v>
      </c>
      <c r="D2963" s="1" t="s">
        <v>927</v>
      </c>
      <c r="E2963" s="1" t="s">
        <v>922</v>
      </c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</row>
    <row r="2964" spans="1:17" x14ac:dyDescent="0.25">
      <c r="A2964" s="1" t="s">
        <v>983</v>
      </c>
      <c r="B2964" s="1" t="s">
        <v>984</v>
      </c>
      <c r="C2964" s="1" t="s">
        <v>927</v>
      </c>
      <c r="D2964" s="1" t="s">
        <v>953</v>
      </c>
      <c r="E2964" s="1" t="s">
        <v>943</v>
      </c>
      <c r="F2964" s="1" t="s">
        <v>919</v>
      </c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</row>
    <row r="2965" spans="1:17" x14ac:dyDescent="0.25">
      <c r="A2965" s="1" t="s">
        <v>918</v>
      </c>
      <c r="B2965" s="1" t="s">
        <v>981</v>
      </c>
      <c r="C2965" s="1" t="s">
        <v>1020</v>
      </c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</row>
    <row r="2966" spans="1:17" x14ac:dyDescent="0.25">
      <c r="A2966" s="1" t="s">
        <v>7701</v>
      </c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</row>
    <row r="2967" spans="1:17" x14ac:dyDescent="0.25">
      <c r="A2967" s="1" t="s">
        <v>998</v>
      </c>
      <c r="B2967" s="1" t="s">
        <v>993</v>
      </c>
      <c r="C2967" s="1" t="s">
        <v>994</v>
      </c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</row>
    <row r="2968" spans="1:17" x14ac:dyDescent="0.25">
      <c r="A2968" s="1" t="s">
        <v>925</v>
      </c>
      <c r="B2968" s="1" t="s">
        <v>927</v>
      </c>
      <c r="C2968" s="1" t="s">
        <v>919</v>
      </c>
      <c r="D2968" s="1" t="s">
        <v>998</v>
      </c>
      <c r="E2968" s="1" t="s">
        <v>993</v>
      </c>
      <c r="F2968" s="1" t="s">
        <v>994</v>
      </c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</row>
    <row r="2969" spans="1:17" x14ac:dyDescent="0.25">
      <c r="A2969" s="1" t="s">
        <v>940</v>
      </c>
      <c r="B2969" s="1" t="s">
        <v>1011</v>
      </c>
      <c r="C2969" s="1" t="s">
        <v>981</v>
      </c>
      <c r="D2969" s="1" t="s">
        <v>10830</v>
      </c>
      <c r="E2969" s="1" t="s">
        <v>999</v>
      </c>
      <c r="F2969" s="1" t="s">
        <v>921</v>
      </c>
      <c r="G2969" s="1" t="s">
        <v>993</v>
      </c>
      <c r="H2969" s="1"/>
      <c r="I2969" s="1"/>
      <c r="J2969" s="1"/>
      <c r="K2969" s="1"/>
      <c r="L2969" s="1"/>
      <c r="M2969" s="1"/>
      <c r="N2969" s="1"/>
      <c r="O2969" s="1"/>
      <c r="P2969" s="1"/>
      <c r="Q2969" s="1"/>
    </row>
    <row r="2970" spans="1:17" x14ac:dyDescent="0.25">
      <c r="A2970" s="1" t="s">
        <v>940</v>
      </c>
      <c r="B2970" s="1" t="s">
        <v>1011</v>
      </c>
      <c r="C2970" s="1" t="s">
        <v>981</v>
      </c>
      <c r="D2970" s="1" t="s">
        <v>10830</v>
      </c>
      <c r="E2970" s="1" t="s">
        <v>999</v>
      </c>
      <c r="F2970" s="1" t="s">
        <v>921</v>
      </c>
      <c r="G2970" s="1" t="s">
        <v>993</v>
      </c>
      <c r="H2970" s="1"/>
      <c r="I2970" s="1"/>
      <c r="J2970" s="1"/>
      <c r="K2970" s="1"/>
      <c r="L2970" s="1"/>
      <c r="M2970" s="1"/>
      <c r="N2970" s="1"/>
      <c r="O2970" s="1"/>
      <c r="P2970" s="1"/>
      <c r="Q2970" s="1"/>
    </row>
    <row r="2971" spans="1:17" x14ac:dyDescent="0.25">
      <c r="A2971" s="1" t="s">
        <v>940</v>
      </c>
      <c r="B2971" s="1" t="s">
        <v>1011</v>
      </c>
      <c r="C2971" s="1" t="s">
        <v>981</v>
      </c>
      <c r="D2971" s="1" t="s">
        <v>10830</v>
      </c>
      <c r="E2971" s="1" t="s">
        <v>999</v>
      </c>
      <c r="F2971" s="1" t="s">
        <v>921</v>
      </c>
      <c r="G2971" s="1" t="s">
        <v>993</v>
      </c>
      <c r="H2971" s="1"/>
      <c r="I2971" s="1"/>
      <c r="J2971" s="1"/>
      <c r="K2971" s="1"/>
      <c r="L2971" s="1"/>
      <c r="M2971" s="1"/>
      <c r="N2971" s="1"/>
      <c r="O2971" s="1"/>
      <c r="P2971" s="1"/>
      <c r="Q2971" s="1"/>
    </row>
    <row r="2972" spans="1:17" x14ac:dyDescent="0.25">
      <c r="A2972" s="1" t="s">
        <v>940</v>
      </c>
      <c r="B2972" s="1" t="s">
        <v>1011</v>
      </c>
      <c r="C2972" s="1" t="s">
        <v>981</v>
      </c>
      <c r="D2972" s="1" t="s">
        <v>10830</v>
      </c>
      <c r="E2972" s="1" t="s">
        <v>999</v>
      </c>
      <c r="F2972" s="1" t="s">
        <v>921</v>
      </c>
      <c r="G2972" s="1" t="s">
        <v>993</v>
      </c>
      <c r="H2972" s="1"/>
      <c r="I2972" s="1"/>
      <c r="J2972" s="1"/>
      <c r="K2972" s="1"/>
      <c r="L2972" s="1"/>
      <c r="M2972" s="1"/>
      <c r="N2972" s="1"/>
      <c r="O2972" s="1"/>
      <c r="P2972" s="1"/>
      <c r="Q2972" s="1"/>
    </row>
    <row r="2973" spans="1:17" x14ac:dyDescent="0.25">
      <c r="A2973" s="1" t="s">
        <v>927</v>
      </c>
      <c r="B2973" s="1" t="s">
        <v>998</v>
      </c>
      <c r="C2973" s="1" t="s">
        <v>992</v>
      </c>
      <c r="D2973" s="1" t="s">
        <v>981</v>
      </c>
      <c r="E2973" s="1" t="s">
        <v>993</v>
      </c>
      <c r="F2973" s="1" t="s">
        <v>994</v>
      </c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</row>
    <row r="2974" spans="1:17" x14ac:dyDescent="0.25">
      <c r="A2974" s="1" t="s">
        <v>927</v>
      </c>
      <c r="B2974" s="1" t="s">
        <v>998</v>
      </c>
      <c r="C2974" s="1" t="s">
        <v>992</v>
      </c>
      <c r="D2974" s="1" t="s">
        <v>981</v>
      </c>
      <c r="E2974" s="1" t="s">
        <v>993</v>
      </c>
      <c r="F2974" s="1" t="s">
        <v>994</v>
      </c>
      <c r="G2974" s="1" t="s">
        <v>1086</v>
      </c>
      <c r="H2974" s="1" t="s">
        <v>933</v>
      </c>
      <c r="I2974" s="1"/>
      <c r="J2974" s="1"/>
      <c r="K2974" s="1"/>
      <c r="L2974" s="1"/>
      <c r="M2974" s="1"/>
      <c r="N2974" s="1"/>
      <c r="O2974" s="1"/>
      <c r="P2974" s="1"/>
      <c r="Q2974" s="1"/>
    </row>
    <row r="2975" spans="1:17" x14ac:dyDescent="0.25">
      <c r="A2975" s="1" t="s">
        <v>927</v>
      </c>
      <c r="B2975" s="1" t="s">
        <v>981</v>
      </c>
      <c r="C2975" s="1" t="s">
        <v>999</v>
      </c>
      <c r="D2975" s="1" t="s">
        <v>921</v>
      </c>
      <c r="E2975" s="1" t="s">
        <v>993</v>
      </c>
      <c r="F2975" s="1" t="s">
        <v>10722</v>
      </c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</row>
    <row r="2976" spans="1:17" x14ac:dyDescent="0.25">
      <c r="A2976" s="1" t="s">
        <v>927</v>
      </c>
      <c r="B2976" s="1" t="s">
        <v>981</v>
      </c>
      <c r="C2976" s="1" t="s">
        <v>999</v>
      </c>
      <c r="D2976" s="1" t="s">
        <v>921</v>
      </c>
      <c r="E2976" s="1" t="s">
        <v>993</v>
      </c>
      <c r="F2976" s="1" t="s">
        <v>992</v>
      </c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</row>
    <row r="2977" spans="1:17" x14ac:dyDescent="0.25">
      <c r="A2977" s="1" t="s">
        <v>25</v>
      </c>
      <c r="B2977" s="1" t="s">
        <v>927</v>
      </c>
      <c r="C2977" s="1" t="s">
        <v>998</v>
      </c>
      <c r="D2977" s="1" t="s">
        <v>981</v>
      </c>
      <c r="E2977" s="1" t="s">
        <v>920</v>
      </c>
      <c r="F2977" s="1" t="s">
        <v>933</v>
      </c>
      <c r="G2977" s="1" t="s">
        <v>960</v>
      </c>
      <c r="H2977" s="1" t="s">
        <v>921</v>
      </c>
      <c r="I2977" s="1" t="s">
        <v>993</v>
      </c>
      <c r="J2977" s="1" t="s">
        <v>994</v>
      </c>
      <c r="K2977" s="1"/>
      <c r="L2977" s="1"/>
      <c r="M2977" s="1"/>
      <c r="N2977" s="1"/>
      <c r="O2977" s="1"/>
      <c r="P2977" s="1"/>
      <c r="Q2977" s="1"/>
    </row>
    <row r="2978" spans="1:17" x14ac:dyDescent="0.25">
      <c r="A2978" s="1" t="s">
        <v>927</v>
      </c>
      <c r="B2978" s="1" t="s">
        <v>981</v>
      </c>
      <c r="C2978" s="1" t="s">
        <v>999</v>
      </c>
      <c r="D2978" s="1" t="s">
        <v>921</v>
      </c>
      <c r="E2978" s="1" t="s">
        <v>993</v>
      </c>
      <c r="F2978" s="1" t="s">
        <v>25</v>
      </c>
      <c r="G2978" s="1" t="s">
        <v>998</v>
      </c>
      <c r="H2978" s="1" t="s">
        <v>920</v>
      </c>
      <c r="I2978" s="1" t="s">
        <v>933</v>
      </c>
      <c r="J2978" s="1" t="s">
        <v>960</v>
      </c>
      <c r="K2978" s="1" t="s">
        <v>994</v>
      </c>
      <c r="L2978" s="1" t="s">
        <v>992</v>
      </c>
      <c r="M2978" s="1" t="s">
        <v>1066</v>
      </c>
      <c r="N2978" s="1"/>
      <c r="O2978" s="1"/>
      <c r="P2978" s="1"/>
      <c r="Q2978" s="1"/>
    </row>
    <row r="2979" spans="1:17" x14ac:dyDescent="0.25">
      <c r="A2979" s="1" t="s">
        <v>25</v>
      </c>
      <c r="B2979" s="1" t="s">
        <v>927</v>
      </c>
      <c r="C2979" s="1" t="s">
        <v>998</v>
      </c>
      <c r="D2979" s="1" t="s">
        <v>981</v>
      </c>
      <c r="E2979" s="1" t="s">
        <v>920</v>
      </c>
      <c r="F2979" s="1" t="s">
        <v>933</v>
      </c>
      <c r="G2979" s="1" t="s">
        <v>960</v>
      </c>
      <c r="H2979" s="1" t="s">
        <v>921</v>
      </c>
      <c r="I2979" s="1" t="s">
        <v>993</v>
      </c>
      <c r="J2979" s="1" t="s">
        <v>994</v>
      </c>
      <c r="K2979" s="1" t="s">
        <v>1001</v>
      </c>
      <c r="L2979" s="1" t="s">
        <v>919</v>
      </c>
      <c r="M2979" s="1"/>
      <c r="N2979" s="1"/>
      <c r="O2979" s="1"/>
      <c r="P2979" s="1"/>
      <c r="Q2979" s="1"/>
    </row>
    <row r="2980" spans="1:17" x14ac:dyDescent="0.25">
      <c r="A2980" s="1" t="s">
        <v>931</v>
      </c>
      <c r="B2980" s="1" t="s">
        <v>932</v>
      </c>
      <c r="C2980" s="1" t="s">
        <v>25</v>
      </c>
      <c r="D2980" s="1" t="s">
        <v>923</v>
      </c>
      <c r="E2980" s="1" t="s">
        <v>916</v>
      </c>
      <c r="F2980" s="1" t="s">
        <v>920</v>
      </c>
      <c r="G2980" s="1" t="s">
        <v>974</v>
      </c>
      <c r="H2980" s="1" t="s">
        <v>921</v>
      </c>
      <c r="I2980" s="1" t="s">
        <v>10781</v>
      </c>
      <c r="J2980" s="1" t="s">
        <v>1085</v>
      </c>
      <c r="K2980" s="1" t="s">
        <v>955</v>
      </c>
      <c r="L2980" s="1" t="s">
        <v>924</v>
      </c>
      <c r="M2980" s="1" t="s">
        <v>1014</v>
      </c>
      <c r="N2980" s="1" t="s">
        <v>10740</v>
      </c>
      <c r="O2980" s="1"/>
      <c r="P2980" s="1"/>
      <c r="Q2980" s="1"/>
    </row>
    <row r="2981" spans="1:17" x14ac:dyDescent="0.25">
      <c r="A2981" s="1" t="s">
        <v>931</v>
      </c>
      <c r="B2981" s="1" t="s">
        <v>932</v>
      </c>
      <c r="C2981" s="1" t="s">
        <v>25</v>
      </c>
      <c r="D2981" s="1" t="s">
        <v>923</v>
      </c>
      <c r="E2981" s="1" t="s">
        <v>916</v>
      </c>
      <c r="F2981" s="1" t="s">
        <v>920</v>
      </c>
      <c r="G2981" s="1" t="s">
        <v>974</v>
      </c>
      <c r="H2981" s="1" t="s">
        <v>921</v>
      </c>
      <c r="I2981" s="1" t="s">
        <v>1019</v>
      </c>
      <c r="J2981" s="1"/>
      <c r="K2981" s="1"/>
      <c r="L2981" s="1"/>
      <c r="M2981" s="1"/>
      <c r="N2981" s="1"/>
      <c r="O2981" s="1"/>
      <c r="P2981" s="1"/>
      <c r="Q2981" s="1"/>
    </row>
    <row r="2982" spans="1:17" x14ac:dyDescent="0.25">
      <c r="A2982" s="1" t="s">
        <v>931</v>
      </c>
      <c r="B2982" s="1" t="s">
        <v>932</v>
      </c>
      <c r="C2982" s="1" t="s">
        <v>25</v>
      </c>
      <c r="D2982" s="1" t="s">
        <v>923</v>
      </c>
      <c r="E2982" s="1" t="s">
        <v>916</v>
      </c>
      <c r="F2982" s="1" t="s">
        <v>920</v>
      </c>
      <c r="G2982" s="1" t="s">
        <v>974</v>
      </c>
      <c r="H2982" s="1" t="s">
        <v>921</v>
      </c>
      <c r="I2982" s="1" t="s">
        <v>926</v>
      </c>
      <c r="J2982" s="1" t="s">
        <v>10731</v>
      </c>
      <c r="K2982" s="1" t="s">
        <v>927</v>
      </c>
      <c r="L2982" s="1" t="s">
        <v>10975</v>
      </c>
      <c r="M2982" s="1" t="s">
        <v>981</v>
      </c>
      <c r="N2982" s="1" t="s">
        <v>928</v>
      </c>
      <c r="O2982" s="1"/>
      <c r="P2982" s="1"/>
      <c r="Q2982" s="1"/>
    </row>
    <row r="2983" spans="1:17" x14ac:dyDescent="0.25">
      <c r="A2983" s="1" t="s">
        <v>940</v>
      </c>
      <c r="B2983" s="1" t="s">
        <v>1011</v>
      </c>
      <c r="C2983" s="1" t="s">
        <v>25</v>
      </c>
      <c r="D2983" s="1" t="s">
        <v>927</v>
      </c>
      <c r="E2983" s="1" t="s">
        <v>916</v>
      </c>
      <c r="F2983" s="1" t="s">
        <v>981</v>
      </c>
      <c r="G2983" s="1" t="s">
        <v>982</v>
      </c>
      <c r="H2983" s="1" t="s">
        <v>920</v>
      </c>
      <c r="I2983" s="1" t="s">
        <v>933</v>
      </c>
      <c r="J2983" s="1" t="s">
        <v>921</v>
      </c>
      <c r="K2983" s="1" t="s">
        <v>993</v>
      </c>
      <c r="L2983" s="1" t="s">
        <v>994</v>
      </c>
      <c r="M2983" s="1" t="s">
        <v>937</v>
      </c>
      <c r="N2983" s="1" t="s">
        <v>1013</v>
      </c>
      <c r="O2983" s="1" t="s">
        <v>1057</v>
      </c>
      <c r="P2983" s="1" t="s">
        <v>928</v>
      </c>
      <c r="Q2983" s="1" t="s">
        <v>1059</v>
      </c>
    </row>
    <row r="2984" spans="1:17" x14ac:dyDescent="0.25">
      <c r="A2984" s="1" t="s">
        <v>940</v>
      </c>
      <c r="B2984" s="1" t="s">
        <v>1011</v>
      </c>
      <c r="C2984" s="1" t="s">
        <v>25</v>
      </c>
      <c r="D2984" s="1" t="s">
        <v>927</v>
      </c>
      <c r="E2984" s="1" t="s">
        <v>916</v>
      </c>
      <c r="F2984" s="1" t="s">
        <v>981</v>
      </c>
      <c r="G2984" s="1" t="s">
        <v>982</v>
      </c>
      <c r="H2984" s="1" t="s">
        <v>920</v>
      </c>
      <c r="I2984" s="1" t="s">
        <v>933</v>
      </c>
      <c r="J2984" s="1" t="s">
        <v>921</v>
      </c>
      <c r="K2984" s="1" t="s">
        <v>993</v>
      </c>
      <c r="L2984" s="1" t="s">
        <v>994</v>
      </c>
      <c r="M2984" s="1" t="s">
        <v>1066</v>
      </c>
      <c r="N2984" s="1"/>
      <c r="O2984" s="1"/>
      <c r="P2984" s="1"/>
      <c r="Q2984" s="1"/>
    </row>
    <row r="2985" spans="1:17" x14ac:dyDescent="0.25">
      <c r="A2985" s="1" t="s">
        <v>940</v>
      </c>
      <c r="B2985" s="1" t="s">
        <v>1011</v>
      </c>
      <c r="C2985" s="1" t="s">
        <v>25</v>
      </c>
      <c r="D2985" s="1" t="s">
        <v>927</v>
      </c>
      <c r="E2985" s="1" t="s">
        <v>916</v>
      </c>
      <c r="F2985" s="1" t="s">
        <v>981</v>
      </c>
      <c r="G2985" s="1" t="s">
        <v>982</v>
      </c>
      <c r="H2985" s="1" t="s">
        <v>920</v>
      </c>
      <c r="I2985" s="1" t="s">
        <v>933</v>
      </c>
      <c r="J2985" s="1" t="s">
        <v>921</v>
      </c>
      <c r="K2985" s="1" t="s">
        <v>993</v>
      </c>
      <c r="L2985" s="1" t="s">
        <v>994</v>
      </c>
      <c r="M2985" s="1"/>
      <c r="N2985" s="1"/>
      <c r="O2985" s="1"/>
      <c r="P2985" s="1"/>
      <c r="Q2985" s="1"/>
    </row>
    <row r="2986" spans="1:17" x14ac:dyDescent="0.25">
      <c r="A2986" s="1" t="s">
        <v>25</v>
      </c>
      <c r="B2986" s="1" t="s">
        <v>923</v>
      </c>
      <c r="C2986" s="1" t="s">
        <v>948</v>
      </c>
      <c r="D2986" s="1" t="s">
        <v>1069</v>
      </c>
      <c r="E2986" s="1" t="s">
        <v>1070</v>
      </c>
      <c r="F2986" s="1" t="s">
        <v>958</v>
      </c>
      <c r="G2986" s="1" t="s">
        <v>957</v>
      </c>
      <c r="H2986" s="1" t="s">
        <v>10797</v>
      </c>
      <c r="I2986" s="1"/>
      <c r="J2986" s="1"/>
      <c r="K2986" s="1"/>
      <c r="L2986" s="1"/>
      <c r="M2986" s="1"/>
      <c r="N2986" s="1"/>
      <c r="O2986" s="1"/>
      <c r="P2986" s="1"/>
      <c r="Q2986" s="1"/>
    </row>
    <row r="2987" spans="1:17" x14ac:dyDescent="0.25">
      <c r="A2987" s="1" t="s">
        <v>25</v>
      </c>
      <c r="B2987" s="1" t="s">
        <v>923</v>
      </c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</row>
    <row r="2988" spans="1:17" x14ac:dyDescent="0.25">
      <c r="A2988" s="1" t="s">
        <v>298</v>
      </c>
      <c r="B2988" s="1" t="s">
        <v>25</v>
      </c>
      <c r="C2988" s="1" t="s">
        <v>923</v>
      </c>
      <c r="D2988" s="1" t="s">
        <v>997</v>
      </c>
      <c r="E2988" s="1" t="s">
        <v>927</v>
      </c>
      <c r="F2988" s="1" t="s">
        <v>998</v>
      </c>
      <c r="G2988" s="1" t="s">
        <v>992</v>
      </c>
      <c r="H2988" s="1" t="s">
        <v>1086</v>
      </c>
      <c r="I2988" s="1" t="s">
        <v>920</v>
      </c>
      <c r="J2988" s="1" t="s">
        <v>933</v>
      </c>
      <c r="K2988" s="1" t="s">
        <v>994</v>
      </c>
      <c r="L2988" s="1" t="s">
        <v>10830</v>
      </c>
      <c r="M2988" s="1" t="s">
        <v>993</v>
      </c>
      <c r="N2988" s="1" t="s">
        <v>1001</v>
      </c>
      <c r="O2988" s="1" t="s">
        <v>981</v>
      </c>
      <c r="P2988" s="1" t="s">
        <v>939</v>
      </c>
      <c r="Q2988" s="1" t="s">
        <v>1066</v>
      </c>
    </row>
    <row r="2989" spans="1:17" x14ac:dyDescent="0.25">
      <c r="A2989" s="1" t="s">
        <v>298</v>
      </c>
      <c r="B2989" s="1" t="s">
        <v>25</v>
      </c>
      <c r="C2989" s="1" t="s">
        <v>923</v>
      </c>
      <c r="D2989" s="1" t="s">
        <v>997</v>
      </c>
      <c r="E2989" s="1" t="s">
        <v>927</v>
      </c>
      <c r="F2989" s="1" t="s">
        <v>998</v>
      </c>
      <c r="G2989" s="1" t="s">
        <v>992</v>
      </c>
      <c r="H2989" s="1" t="s">
        <v>1086</v>
      </c>
      <c r="I2989" s="1" t="s">
        <v>920</v>
      </c>
      <c r="J2989" s="1" t="s">
        <v>933</v>
      </c>
      <c r="K2989" s="1" t="s">
        <v>994</v>
      </c>
      <c r="L2989" s="1" t="s">
        <v>958</v>
      </c>
      <c r="M2989" s="1" t="s">
        <v>10972</v>
      </c>
      <c r="N2989" s="1"/>
      <c r="O2989" s="1"/>
      <c r="P2989" s="1"/>
      <c r="Q2989" s="1"/>
    </row>
    <row r="2990" spans="1:17" x14ac:dyDescent="0.25">
      <c r="A2990" s="1" t="s">
        <v>25</v>
      </c>
      <c r="B2990" s="1" t="s">
        <v>997</v>
      </c>
      <c r="C2990" s="1" t="s">
        <v>927</v>
      </c>
      <c r="D2990" s="1" t="s">
        <v>998</v>
      </c>
      <c r="E2990" s="1" t="s">
        <v>920</v>
      </c>
      <c r="F2990" s="1" t="s">
        <v>933</v>
      </c>
      <c r="G2990" s="1" t="s">
        <v>994</v>
      </c>
      <c r="H2990" s="1"/>
      <c r="I2990" s="1"/>
      <c r="J2990" s="1"/>
      <c r="K2990" s="1"/>
      <c r="L2990" s="1"/>
      <c r="M2990" s="1"/>
      <c r="N2990" s="1"/>
      <c r="O2990" s="1"/>
      <c r="P2990" s="1"/>
      <c r="Q2990" s="1"/>
    </row>
    <row r="2991" spans="1:17" x14ac:dyDescent="0.25">
      <c r="A2991" s="1" t="s">
        <v>998</v>
      </c>
      <c r="B2991" s="1" t="s">
        <v>933</v>
      </c>
      <c r="C2991" s="1" t="s">
        <v>994</v>
      </c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</row>
    <row r="2992" spans="1:17" x14ac:dyDescent="0.25">
      <c r="A2992" s="1" t="s">
        <v>996</v>
      </c>
      <c r="B2992" s="1" t="s">
        <v>25</v>
      </c>
      <c r="C2992" s="1" t="s">
        <v>997</v>
      </c>
      <c r="D2992" s="1" t="s">
        <v>927</v>
      </c>
      <c r="E2992" s="1" t="s">
        <v>998</v>
      </c>
      <c r="F2992" s="1" t="s">
        <v>933</v>
      </c>
      <c r="G2992" s="1" t="s">
        <v>993</v>
      </c>
      <c r="H2992" s="1" t="s">
        <v>994</v>
      </c>
      <c r="I2992" s="1"/>
      <c r="J2992" s="1"/>
      <c r="K2992" s="1"/>
      <c r="L2992" s="1"/>
      <c r="M2992" s="1"/>
      <c r="N2992" s="1"/>
      <c r="O2992" s="1"/>
      <c r="P2992" s="1"/>
      <c r="Q2992" s="1"/>
    </row>
    <row r="2993" spans="1:17" x14ac:dyDescent="0.25">
      <c r="A2993" s="1" t="s">
        <v>948</v>
      </c>
      <c r="B2993" s="1" t="s">
        <v>298</v>
      </c>
      <c r="C2993" s="1" t="s">
        <v>1149</v>
      </c>
      <c r="D2993" s="1" t="s">
        <v>25</v>
      </c>
      <c r="E2993" s="1" t="s">
        <v>923</v>
      </c>
      <c r="F2993" s="1" t="s">
        <v>997</v>
      </c>
      <c r="G2993" s="1" t="s">
        <v>954</v>
      </c>
      <c r="H2993" s="1" t="s">
        <v>994</v>
      </c>
      <c r="I2993" s="1" t="s">
        <v>996</v>
      </c>
      <c r="J2993" s="1" t="s">
        <v>927</v>
      </c>
      <c r="K2993" s="1" t="s">
        <v>998</v>
      </c>
      <c r="L2993" s="1" t="s">
        <v>933</v>
      </c>
      <c r="M2993" s="1" t="s">
        <v>993</v>
      </c>
      <c r="N2993" s="1"/>
      <c r="O2993" s="1"/>
      <c r="P2993" s="1"/>
      <c r="Q2993" s="1"/>
    </row>
    <row r="2994" spans="1:17" x14ac:dyDescent="0.25">
      <c r="A2994" s="1" t="s">
        <v>996</v>
      </c>
      <c r="B2994" s="1" t="s">
        <v>25</v>
      </c>
      <c r="C2994" s="1" t="s">
        <v>923</v>
      </c>
      <c r="D2994" s="1" t="s">
        <v>998</v>
      </c>
      <c r="E2994" s="1" t="s">
        <v>1053</v>
      </c>
      <c r="F2994" s="1" t="s">
        <v>933</v>
      </c>
      <c r="G2994" s="1" t="s">
        <v>2541</v>
      </c>
      <c r="H2994" s="1"/>
      <c r="I2994" s="1"/>
      <c r="J2994" s="1"/>
      <c r="K2994" s="1"/>
      <c r="L2994" s="1"/>
      <c r="M2994" s="1"/>
      <c r="N2994" s="1"/>
      <c r="O2994" s="1"/>
      <c r="P2994" s="1"/>
      <c r="Q2994" s="1"/>
    </row>
    <row r="2995" spans="1:17" x14ac:dyDescent="0.25">
      <c r="A2995" s="1" t="s">
        <v>996</v>
      </c>
      <c r="B2995" s="1" t="s">
        <v>25</v>
      </c>
      <c r="C2995" s="1" t="s">
        <v>923</v>
      </c>
      <c r="D2995" s="1" t="s">
        <v>998</v>
      </c>
      <c r="E2995" s="1" t="s">
        <v>1053</v>
      </c>
      <c r="F2995" s="1" t="s">
        <v>933</v>
      </c>
      <c r="G2995" s="1" t="s">
        <v>2541</v>
      </c>
      <c r="H2995" s="1"/>
      <c r="I2995" s="1"/>
      <c r="J2995" s="1"/>
      <c r="K2995" s="1"/>
      <c r="L2995" s="1"/>
      <c r="M2995" s="1"/>
      <c r="N2995" s="1"/>
      <c r="O2995" s="1"/>
      <c r="P2995" s="1"/>
      <c r="Q2995" s="1"/>
    </row>
    <row r="2996" spans="1:17" x14ac:dyDescent="0.25">
      <c r="A2996" s="1" t="s">
        <v>996</v>
      </c>
      <c r="B2996" s="1" t="s">
        <v>25</v>
      </c>
      <c r="C2996" s="1" t="s">
        <v>997</v>
      </c>
      <c r="D2996" s="1" t="s">
        <v>927</v>
      </c>
      <c r="E2996" s="1" t="s">
        <v>998</v>
      </c>
      <c r="F2996" s="1" t="s">
        <v>992</v>
      </c>
      <c r="G2996" s="1" t="s">
        <v>933</v>
      </c>
      <c r="H2996" s="1" t="s">
        <v>994</v>
      </c>
      <c r="I2996" s="1"/>
      <c r="J2996" s="1"/>
      <c r="K2996" s="1"/>
      <c r="L2996" s="1"/>
      <c r="M2996" s="1"/>
      <c r="N2996" s="1"/>
      <c r="O2996" s="1"/>
      <c r="P2996" s="1"/>
      <c r="Q2996" s="1"/>
    </row>
    <row r="2997" spans="1:17" x14ac:dyDescent="0.25">
      <c r="A2997" s="1" t="s">
        <v>1001</v>
      </c>
      <c r="B2997" s="1" t="s">
        <v>992</v>
      </c>
      <c r="C2997" s="1" t="s">
        <v>981</v>
      </c>
      <c r="D2997" s="1" t="s">
        <v>1066</v>
      </c>
      <c r="E2997" s="1" t="s">
        <v>10848</v>
      </c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</row>
    <row r="2998" spans="1:17" x14ac:dyDescent="0.25">
      <c r="A2998" s="1" t="s">
        <v>928</v>
      </c>
      <c r="B2998" s="1" t="s">
        <v>919</v>
      </c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</row>
    <row r="2999" spans="1:17" x14ac:dyDescent="0.25">
      <c r="A2999" s="1" t="s">
        <v>918</v>
      </c>
      <c r="B2999" s="1" t="s">
        <v>25</v>
      </c>
      <c r="C2999" s="1" t="s">
        <v>923</v>
      </c>
      <c r="D2999" s="1" t="s">
        <v>927</v>
      </c>
      <c r="E2999" s="1" t="s">
        <v>10768</v>
      </c>
      <c r="F2999" s="1" t="s">
        <v>919</v>
      </c>
      <c r="G2999" s="1" t="s">
        <v>920</v>
      </c>
      <c r="H2999" s="1" t="s">
        <v>933</v>
      </c>
      <c r="I2999" s="1" t="s">
        <v>921</v>
      </c>
      <c r="J2999" s="1" t="s">
        <v>981</v>
      </c>
      <c r="K2999" s="1"/>
      <c r="L2999" s="1"/>
      <c r="M2999" s="1"/>
      <c r="N2999" s="1"/>
      <c r="O2999" s="1"/>
      <c r="P2999" s="1"/>
      <c r="Q2999" s="1"/>
    </row>
    <row r="3000" spans="1:17" x14ac:dyDescent="0.25">
      <c r="A3000" s="1" t="s">
        <v>918</v>
      </c>
      <c r="B3000" s="1" t="s">
        <v>25</v>
      </c>
      <c r="C3000" s="1" t="s">
        <v>923</v>
      </c>
      <c r="D3000" s="1" t="s">
        <v>919</v>
      </c>
      <c r="E3000" s="1" t="s">
        <v>920</v>
      </c>
      <c r="F3000" s="1" t="s">
        <v>921</v>
      </c>
      <c r="G3000" s="1" t="s">
        <v>927</v>
      </c>
      <c r="H3000" s="1" t="s">
        <v>981</v>
      </c>
      <c r="I3000" s="1" t="s">
        <v>933</v>
      </c>
      <c r="J3000" s="1"/>
      <c r="K3000" s="1"/>
      <c r="L3000" s="1"/>
      <c r="M3000" s="1"/>
      <c r="N3000" s="1"/>
      <c r="O3000" s="1"/>
      <c r="P3000" s="1"/>
      <c r="Q3000" s="1"/>
    </row>
    <row r="3001" spans="1:17" x14ac:dyDescent="0.25">
      <c r="A3001" s="1" t="s">
        <v>1001</v>
      </c>
      <c r="B3001" s="1" t="s">
        <v>927</v>
      </c>
      <c r="C3001" s="1" t="s">
        <v>992</v>
      </c>
      <c r="D3001" s="1" t="s">
        <v>981</v>
      </c>
      <c r="E3001" s="1" t="s">
        <v>919</v>
      </c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</row>
    <row r="3002" spans="1:17" x14ac:dyDescent="0.25">
      <c r="A3002" s="1" t="s">
        <v>1001</v>
      </c>
      <c r="B3002" s="1" t="s">
        <v>927</v>
      </c>
      <c r="C3002" s="1" t="s">
        <v>992</v>
      </c>
      <c r="D3002" s="1" t="s">
        <v>981</v>
      </c>
      <c r="E3002" s="1" t="s">
        <v>919</v>
      </c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</row>
    <row r="3003" spans="1:17" x14ac:dyDescent="0.25">
      <c r="A3003" s="1" t="s">
        <v>1001</v>
      </c>
      <c r="B3003" s="1" t="s">
        <v>927</v>
      </c>
      <c r="C3003" s="1" t="s">
        <v>992</v>
      </c>
      <c r="D3003" s="1" t="s">
        <v>981</v>
      </c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</row>
    <row r="3004" spans="1:17" x14ac:dyDescent="0.25">
      <c r="A3004" s="1" t="s">
        <v>983</v>
      </c>
      <c r="B3004" s="1" t="s">
        <v>919</v>
      </c>
      <c r="C3004" s="1" t="s">
        <v>1001</v>
      </c>
      <c r="D3004" s="1" t="s">
        <v>927</v>
      </c>
      <c r="E3004" s="1" t="s">
        <v>992</v>
      </c>
      <c r="F3004" s="1" t="s">
        <v>981</v>
      </c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</row>
    <row r="3005" spans="1:17" x14ac:dyDescent="0.25">
      <c r="A3005" s="1" t="s">
        <v>1001</v>
      </c>
      <c r="B3005" s="1" t="s">
        <v>927</v>
      </c>
      <c r="C3005" s="1" t="s">
        <v>992</v>
      </c>
      <c r="D3005" s="1" t="s">
        <v>981</v>
      </c>
      <c r="E3005" s="1" t="s">
        <v>919</v>
      </c>
      <c r="F3005" s="1" t="s">
        <v>924</v>
      </c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</row>
    <row r="3006" spans="1:17" x14ac:dyDescent="0.25">
      <c r="A3006" s="1" t="s">
        <v>1001</v>
      </c>
      <c r="B3006" s="1" t="s">
        <v>927</v>
      </c>
      <c r="C3006" s="1" t="s">
        <v>992</v>
      </c>
      <c r="D3006" s="1" t="s">
        <v>981</v>
      </c>
      <c r="E3006" s="1" t="s">
        <v>1066</v>
      </c>
      <c r="F3006" s="1" t="s">
        <v>919</v>
      </c>
      <c r="G3006" s="1" t="s">
        <v>993</v>
      </c>
      <c r="H3006" s="1"/>
      <c r="I3006" s="1"/>
      <c r="J3006" s="1"/>
      <c r="K3006" s="1"/>
      <c r="L3006" s="1"/>
      <c r="M3006" s="1"/>
      <c r="N3006" s="1"/>
      <c r="O3006" s="1"/>
      <c r="P3006" s="1"/>
      <c r="Q3006" s="1"/>
    </row>
    <row r="3007" spans="1:17" x14ac:dyDescent="0.25">
      <c r="A3007" s="1" t="s">
        <v>1001</v>
      </c>
      <c r="B3007" s="1" t="s">
        <v>927</v>
      </c>
      <c r="C3007" s="1" t="s">
        <v>992</v>
      </c>
      <c r="D3007" s="1" t="s">
        <v>981</v>
      </c>
      <c r="E3007" s="1" t="s">
        <v>1066</v>
      </c>
      <c r="F3007" s="1" t="s">
        <v>919</v>
      </c>
      <c r="G3007" s="1" t="s">
        <v>993</v>
      </c>
      <c r="H3007" s="1"/>
      <c r="I3007" s="1"/>
      <c r="J3007" s="1"/>
      <c r="K3007" s="1"/>
      <c r="L3007" s="1"/>
      <c r="M3007" s="1"/>
      <c r="N3007" s="1"/>
      <c r="O3007" s="1"/>
      <c r="P3007" s="1"/>
      <c r="Q3007" s="1"/>
    </row>
    <row r="3008" spans="1:17" x14ac:dyDescent="0.25">
      <c r="A3008" s="1" t="s">
        <v>1001</v>
      </c>
      <c r="B3008" s="1" t="s">
        <v>927</v>
      </c>
      <c r="C3008" s="1" t="s">
        <v>992</v>
      </c>
      <c r="D3008" s="1" t="s">
        <v>981</v>
      </c>
      <c r="E3008" s="1" t="s">
        <v>1066</v>
      </c>
      <c r="F3008" s="1" t="s">
        <v>919</v>
      </c>
      <c r="G3008" s="1" t="s">
        <v>993</v>
      </c>
      <c r="H3008" s="1"/>
      <c r="I3008" s="1"/>
      <c r="J3008" s="1"/>
      <c r="K3008" s="1"/>
      <c r="L3008" s="1"/>
      <c r="M3008" s="1"/>
      <c r="N3008" s="1"/>
      <c r="O3008" s="1"/>
      <c r="P3008" s="1"/>
      <c r="Q3008" s="1"/>
    </row>
    <row r="3009" spans="1:17" x14ac:dyDescent="0.25">
      <c r="A3009" s="1" t="s">
        <v>1001</v>
      </c>
      <c r="B3009" s="1" t="s">
        <v>927</v>
      </c>
      <c r="C3009" s="1" t="s">
        <v>992</v>
      </c>
      <c r="D3009" s="1" t="s">
        <v>981</v>
      </c>
      <c r="E3009" s="1" t="s">
        <v>1066</v>
      </c>
      <c r="F3009" s="1" t="s">
        <v>919</v>
      </c>
      <c r="G3009" s="1" t="s">
        <v>993</v>
      </c>
      <c r="H3009" s="1"/>
      <c r="I3009" s="1"/>
      <c r="J3009" s="1"/>
      <c r="K3009" s="1"/>
      <c r="L3009" s="1"/>
      <c r="M3009" s="1"/>
      <c r="N3009" s="1"/>
      <c r="O3009" s="1"/>
      <c r="P3009" s="1"/>
      <c r="Q3009" s="1"/>
    </row>
    <row r="3010" spans="1:17" x14ac:dyDescent="0.25">
      <c r="A3010" s="1" t="s">
        <v>918</v>
      </c>
      <c r="B3010" s="1" t="s">
        <v>25</v>
      </c>
      <c r="C3010" s="1" t="s">
        <v>927</v>
      </c>
      <c r="D3010" s="1" t="s">
        <v>919</v>
      </c>
      <c r="E3010" s="1" t="s">
        <v>920</v>
      </c>
      <c r="F3010" s="1" t="s">
        <v>921</v>
      </c>
      <c r="G3010" s="1" t="s">
        <v>1001</v>
      </c>
      <c r="H3010" s="1" t="s">
        <v>992</v>
      </c>
      <c r="I3010" s="1" t="s">
        <v>981</v>
      </c>
      <c r="J3010" s="1" t="s">
        <v>1066</v>
      </c>
      <c r="K3010" s="1" t="s">
        <v>993</v>
      </c>
      <c r="L3010" s="1"/>
      <c r="M3010" s="1"/>
      <c r="N3010" s="1"/>
      <c r="O3010" s="1"/>
      <c r="P3010" s="1"/>
      <c r="Q3010" s="1"/>
    </row>
    <row r="3011" spans="1:17" x14ac:dyDescent="0.25">
      <c r="A3011" s="1" t="s">
        <v>1001</v>
      </c>
      <c r="B3011" s="1" t="s">
        <v>927</v>
      </c>
      <c r="C3011" s="1" t="s">
        <v>992</v>
      </c>
      <c r="D3011" s="1" t="s">
        <v>981</v>
      </c>
      <c r="E3011" s="1" t="s">
        <v>993</v>
      </c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</row>
    <row r="3012" spans="1:17" x14ac:dyDescent="0.25">
      <c r="A3012" s="1" t="s">
        <v>1001</v>
      </c>
      <c r="B3012" s="1" t="s">
        <v>927</v>
      </c>
      <c r="C3012" s="1" t="s">
        <v>992</v>
      </c>
      <c r="D3012" s="1" t="s">
        <v>981</v>
      </c>
      <c r="E3012" s="1" t="s">
        <v>993</v>
      </c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</row>
    <row r="3013" spans="1:17" x14ac:dyDescent="0.25">
      <c r="A3013" s="1" t="s">
        <v>1001</v>
      </c>
      <c r="B3013" s="1" t="s">
        <v>927</v>
      </c>
      <c r="C3013" s="1" t="s">
        <v>992</v>
      </c>
      <c r="D3013" s="1" t="s">
        <v>981</v>
      </c>
      <c r="E3013" s="1" t="s">
        <v>993</v>
      </c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</row>
    <row r="3014" spans="1:17" x14ac:dyDescent="0.25">
      <c r="A3014" s="1" t="s">
        <v>25</v>
      </c>
      <c r="B3014" s="1" t="s">
        <v>923</v>
      </c>
      <c r="C3014" s="1" t="s">
        <v>927</v>
      </c>
      <c r="D3014" s="1" t="s">
        <v>919</v>
      </c>
      <c r="E3014" s="1" t="s">
        <v>920</v>
      </c>
      <c r="F3014" s="1" t="s">
        <v>921</v>
      </c>
      <c r="G3014" s="1" t="s">
        <v>1001</v>
      </c>
      <c r="H3014" s="1" t="s">
        <v>992</v>
      </c>
      <c r="I3014" s="1" t="s">
        <v>981</v>
      </c>
      <c r="J3014" s="1" t="s">
        <v>993</v>
      </c>
      <c r="K3014" s="1"/>
      <c r="L3014" s="1"/>
      <c r="M3014" s="1"/>
      <c r="N3014" s="1"/>
      <c r="O3014" s="1"/>
      <c r="P3014" s="1"/>
      <c r="Q3014" s="1"/>
    </row>
    <row r="3015" spans="1:17" x14ac:dyDescent="0.25">
      <c r="A3015" s="1" t="s">
        <v>1011</v>
      </c>
      <c r="B3015" s="1" t="s">
        <v>921</v>
      </c>
      <c r="C3015" s="1" t="s">
        <v>940</v>
      </c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</row>
    <row r="3016" spans="1:17" x14ac:dyDescent="0.25">
      <c r="A3016" s="1" t="s">
        <v>1011</v>
      </c>
      <c r="B3016" s="1" t="s">
        <v>921</v>
      </c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</row>
    <row r="3017" spans="1:17" x14ac:dyDescent="0.25">
      <c r="A3017" s="1" t="s">
        <v>999</v>
      </c>
      <c r="B3017" s="1" t="s">
        <v>921</v>
      </c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</row>
    <row r="3018" spans="1:17" x14ac:dyDescent="0.25">
      <c r="A3018" s="1" t="s">
        <v>999</v>
      </c>
      <c r="B3018" s="1" t="s">
        <v>921</v>
      </c>
      <c r="C3018" s="1" t="s">
        <v>936</v>
      </c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</row>
    <row r="3019" spans="1:17" x14ac:dyDescent="0.25">
      <c r="A3019" s="1" t="s">
        <v>999</v>
      </c>
      <c r="B3019" s="1" t="s">
        <v>921</v>
      </c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</row>
    <row r="3020" spans="1:17" x14ac:dyDescent="0.25">
      <c r="A3020" s="1" t="s">
        <v>25</v>
      </c>
      <c r="B3020" s="1" t="s">
        <v>920</v>
      </c>
      <c r="C3020" s="1" t="s">
        <v>921</v>
      </c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</row>
    <row r="3021" spans="1:17" x14ac:dyDescent="0.25">
      <c r="A3021" s="1" t="s">
        <v>25</v>
      </c>
      <c r="B3021" s="1" t="s">
        <v>920</v>
      </c>
      <c r="C3021" s="1" t="s">
        <v>921</v>
      </c>
      <c r="D3021" s="1" t="s">
        <v>1019</v>
      </c>
      <c r="E3021" s="1" t="s">
        <v>10758</v>
      </c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</row>
    <row r="3022" spans="1:17" x14ac:dyDescent="0.25">
      <c r="A3022" s="1" t="s">
        <v>25</v>
      </c>
      <c r="B3022" s="1" t="s">
        <v>920</v>
      </c>
      <c r="C3022" s="1" t="s">
        <v>921</v>
      </c>
      <c r="D3022" s="1" t="s">
        <v>11024</v>
      </c>
      <c r="E3022" s="1" t="s">
        <v>1102</v>
      </c>
      <c r="F3022" s="1" t="s">
        <v>11025</v>
      </c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</row>
    <row r="3023" spans="1:17" x14ac:dyDescent="0.25">
      <c r="A3023" s="1" t="s">
        <v>918</v>
      </c>
      <c r="B3023" s="1" t="s">
        <v>25</v>
      </c>
      <c r="C3023" s="1" t="s">
        <v>923</v>
      </c>
      <c r="D3023" s="1" t="s">
        <v>947</v>
      </c>
      <c r="E3023" s="1" t="s">
        <v>919</v>
      </c>
      <c r="F3023" s="1" t="s">
        <v>920</v>
      </c>
      <c r="G3023" s="1" t="s">
        <v>924</v>
      </c>
      <c r="H3023" s="1" t="s">
        <v>921</v>
      </c>
      <c r="I3023" s="1" t="s">
        <v>952</v>
      </c>
      <c r="J3023" s="1" t="s">
        <v>1037</v>
      </c>
      <c r="K3023" s="1"/>
      <c r="L3023" s="1"/>
      <c r="M3023" s="1"/>
      <c r="N3023" s="1"/>
      <c r="O3023" s="1"/>
      <c r="P3023" s="1"/>
      <c r="Q3023" s="1"/>
    </row>
    <row r="3024" spans="1:17" x14ac:dyDescent="0.25">
      <c r="A3024" s="1" t="s">
        <v>918</v>
      </c>
      <c r="B3024" s="1" t="s">
        <v>25</v>
      </c>
      <c r="C3024" s="1" t="s">
        <v>923</v>
      </c>
      <c r="D3024" s="1" t="s">
        <v>947</v>
      </c>
      <c r="E3024" s="1" t="s">
        <v>919</v>
      </c>
      <c r="F3024" s="1" t="s">
        <v>920</v>
      </c>
      <c r="G3024" s="1" t="s">
        <v>924</v>
      </c>
      <c r="H3024" s="1" t="s">
        <v>921</v>
      </c>
      <c r="I3024" s="1"/>
      <c r="J3024" s="1"/>
      <c r="K3024" s="1"/>
      <c r="L3024" s="1"/>
      <c r="M3024" s="1"/>
      <c r="N3024" s="1"/>
      <c r="O3024" s="1"/>
      <c r="P3024" s="1"/>
      <c r="Q3024" s="1"/>
    </row>
    <row r="3025" spans="1:17" x14ac:dyDescent="0.25">
      <c r="A3025" s="1" t="s">
        <v>918</v>
      </c>
      <c r="B3025" s="1" t="s">
        <v>25</v>
      </c>
      <c r="C3025" s="1" t="s">
        <v>923</v>
      </c>
      <c r="D3025" s="1" t="s">
        <v>927</v>
      </c>
      <c r="E3025" s="1" t="s">
        <v>919</v>
      </c>
      <c r="F3025" s="1" t="s">
        <v>920</v>
      </c>
      <c r="G3025" s="1" t="s">
        <v>933</v>
      </c>
      <c r="H3025" s="1" t="s">
        <v>921</v>
      </c>
      <c r="I3025" s="1" t="s">
        <v>10734</v>
      </c>
      <c r="J3025" s="1" t="s">
        <v>1085</v>
      </c>
      <c r="K3025" s="1" t="s">
        <v>10735</v>
      </c>
      <c r="L3025" s="1" t="s">
        <v>955</v>
      </c>
      <c r="M3025" s="1" t="s">
        <v>1014</v>
      </c>
      <c r="N3025" s="1" t="s">
        <v>924</v>
      </c>
      <c r="O3025" s="1" t="s">
        <v>1079</v>
      </c>
      <c r="P3025" s="1" t="s">
        <v>945</v>
      </c>
      <c r="Q3025" s="1" t="s">
        <v>11026</v>
      </c>
    </row>
    <row r="3026" spans="1:17" x14ac:dyDescent="0.25">
      <c r="A3026" s="1" t="s">
        <v>918</v>
      </c>
      <c r="B3026" s="1" t="s">
        <v>25</v>
      </c>
      <c r="C3026" s="1" t="s">
        <v>923</v>
      </c>
      <c r="D3026" s="1" t="s">
        <v>927</v>
      </c>
      <c r="E3026" s="1" t="s">
        <v>919</v>
      </c>
      <c r="F3026" s="1" t="s">
        <v>920</v>
      </c>
      <c r="G3026" s="1" t="s">
        <v>933</v>
      </c>
      <c r="H3026" s="1" t="s">
        <v>921</v>
      </c>
      <c r="I3026" s="1" t="s">
        <v>936</v>
      </c>
      <c r="J3026" s="1" t="s">
        <v>1037</v>
      </c>
      <c r="K3026" s="1"/>
      <c r="L3026" s="1"/>
      <c r="M3026" s="1"/>
      <c r="N3026" s="1"/>
      <c r="O3026" s="1"/>
      <c r="P3026" s="1"/>
      <c r="Q3026" s="1"/>
    </row>
    <row r="3027" spans="1:17" x14ac:dyDescent="0.25">
      <c r="A3027" s="1" t="s">
        <v>918</v>
      </c>
      <c r="B3027" s="1" t="s">
        <v>25</v>
      </c>
      <c r="C3027" s="1" t="s">
        <v>923</v>
      </c>
      <c r="D3027" s="1" t="s">
        <v>927</v>
      </c>
      <c r="E3027" s="1" t="s">
        <v>919</v>
      </c>
      <c r="F3027" s="1" t="s">
        <v>920</v>
      </c>
      <c r="G3027" s="1" t="s">
        <v>933</v>
      </c>
      <c r="H3027" s="1" t="s">
        <v>921</v>
      </c>
      <c r="I3027" s="1" t="s">
        <v>1001</v>
      </c>
      <c r="J3027" s="1" t="s">
        <v>1000</v>
      </c>
      <c r="K3027" s="1" t="s">
        <v>936</v>
      </c>
      <c r="L3027" s="1"/>
      <c r="M3027" s="1"/>
      <c r="N3027" s="1"/>
      <c r="O3027" s="1"/>
      <c r="P3027" s="1"/>
      <c r="Q3027" s="1"/>
    </row>
    <row r="3028" spans="1:17" x14ac:dyDescent="0.25">
      <c r="A3028" s="1" t="s">
        <v>918</v>
      </c>
      <c r="B3028" s="1" t="s">
        <v>25</v>
      </c>
      <c r="C3028" s="1" t="s">
        <v>923</v>
      </c>
      <c r="D3028" s="1" t="s">
        <v>927</v>
      </c>
      <c r="E3028" s="1" t="s">
        <v>919</v>
      </c>
      <c r="F3028" s="1" t="s">
        <v>920</v>
      </c>
      <c r="G3028" s="1" t="s">
        <v>933</v>
      </c>
      <c r="H3028" s="1" t="s">
        <v>921</v>
      </c>
      <c r="I3028" s="1" t="s">
        <v>946</v>
      </c>
      <c r="J3028" s="1" t="s">
        <v>922</v>
      </c>
      <c r="K3028" s="1"/>
      <c r="L3028" s="1"/>
      <c r="M3028" s="1"/>
      <c r="N3028" s="1"/>
      <c r="O3028" s="1"/>
      <c r="P3028" s="1"/>
      <c r="Q3028" s="1"/>
    </row>
    <row r="3029" spans="1:17" x14ac:dyDescent="0.25">
      <c r="A3029" s="1" t="s">
        <v>1001</v>
      </c>
      <c r="B3029" s="1" t="s">
        <v>927</v>
      </c>
      <c r="C3029" s="1" t="s">
        <v>981</v>
      </c>
      <c r="D3029" s="1" t="s">
        <v>1019</v>
      </c>
      <c r="E3029" s="1" t="s">
        <v>983</v>
      </c>
      <c r="F3029" s="1" t="s">
        <v>984</v>
      </c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</row>
    <row r="3030" spans="1:17" x14ac:dyDescent="0.25">
      <c r="A3030" s="1" t="s">
        <v>1001</v>
      </c>
      <c r="B3030" s="1" t="s">
        <v>10722</v>
      </c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</row>
    <row r="3031" spans="1:17" x14ac:dyDescent="0.25">
      <c r="A3031" s="1" t="s">
        <v>1069</v>
      </c>
      <c r="B3031" s="1" t="s">
        <v>25</v>
      </c>
      <c r="C3031" s="1" t="s">
        <v>923</v>
      </c>
      <c r="D3031" s="1" t="s">
        <v>975</v>
      </c>
      <c r="E3031" s="1" t="s">
        <v>1060</v>
      </c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</row>
    <row r="3032" spans="1:17" x14ac:dyDescent="0.25">
      <c r="A3032" s="1" t="s">
        <v>25</v>
      </c>
      <c r="B3032" s="1" t="s">
        <v>997</v>
      </c>
      <c r="C3032" s="1" t="s">
        <v>927</v>
      </c>
      <c r="D3032" s="1" t="s">
        <v>994</v>
      </c>
      <c r="E3032" s="1" t="s">
        <v>998</v>
      </c>
      <c r="F3032" s="1" t="s">
        <v>981</v>
      </c>
      <c r="G3032" s="1" t="s">
        <v>920</v>
      </c>
      <c r="H3032" s="1" t="s">
        <v>933</v>
      </c>
      <c r="I3032" s="1" t="s">
        <v>960</v>
      </c>
      <c r="J3032" s="1" t="s">
        <v>921</v>
      </c>
      <c r="K3032" s="1" t="s">
        <v>993</v>
      </c>
      <c r="L3032" s="1" t="s">
        <v>11027</v>
      </c>
      <c r="M3032" s="1"/>
      <c r="N3032" s="1"/>
      <c r="O3032" s="1"/>
      <c r="P3032" s="1"/>
      <c r="Q3032" s="1"/>
    </row>
    <row r="3033" spans="1:17" x14ac:dyDescent="0.25">
      <c r="A3033" s="1" t="s">
        <v>948</v>
      </c>
      <c r="B3033" s="1" t="s">
        <v>298</v>
      </c>
      <c r="C3033" s="1" t="s">
        <v>1149</v>
      </c>
      <c r="D3033" s="1" t="s">
        <v>25</v>
      </c>
      <c r="E3033" s="1" t="s">
        <v>923</v>
      </c>
      <c r="F3033" s="1" t="s">
        <v>997</v>
      </c>
      <c r="G3033" s="1" t="s">
        <v>954</v>
      </c>
      <c r="H3033" s="1" t="s">
        <v>994</v>
      </c>
      <c r="I3033" s="1" t="s">
        <v>922</v>
      </c>
      <c r="J3033" s="1"/>
      <c r="K3033" s="1"/>
      <c r="L3033" s="1"/>
      <c r="M3033" s="1"/>
      <c r="N3033" s="1"/>
      <c r="O3033" s="1"/>
      <c r="P3033" s="1"/>
      <c r="Q3033" s="1"/>
    </row>
    <row r="3034" spans="1:17" x14ac:dyDescent="0.25">
      <c r="A3034" s="1" t="s">
        <v>948</v>
      </c>
      <c r="B3034" s="1" t="s">
        <v>298</v>
      </c>
      <c r="C3034" s="1" t="s">
        <v>1149</v>
      </c>
      <c r="D3034" s="1" t="s">
        <v>25</v>
      </c>
      <c r="E3034" s="1" t="s">
        <v>923</v>
      </c>
      <c r="F3034" s="1" t="s">
        <v>997</v>
      </c>
      <c r="G3034" s="1" t="s">
        <v>954</v>
      </c>
      <c r="H3034" s="1" t="s">
        <v>994</v>
      </c>
      <c r="I3034" s="1" t="s">
        <v>937</v>
      </c>
      <c r="J3034" s="1" t="s">
        <v>1013</v>
      </c>
      <c r="K3034" s="1" t="s">
        <v>1057</v>
      </c>
      <c r="L3034" s="1" t="s">
        <v>927</v>
      </c>
      <c r="M3034" s="1" t="s">
        <v>928</v>
      </c>
      <c r="N3034" s="1" t="s">
        <v>1059</v>
      </c>
      <c r="O3034" s="1"/>
      <c r="P3034" s="1"/>
      <c r="Q3034" s="1"/>
    </row>
    <row r="3035" spans="1:17" x14ac:dyDescent="0.25">
      <c r="A3035" s="1" t="s">
        <v>948</v>
      </c>
      <c r="B3035" s="1" t="s">
        <v>298</v>
      </c>
      <c r="C3035" s="1" t="s">
        <v>1149</v>
      </c>
      <c r="D3035" s="1" t="s">
        <v>25</v>
      </c>
      <c r="E3035" s="1" t="s">
        <v>923</v>
      </c>
      <c r="F3035" s="1" t="s">
        <v>997</v>
      </c>
      <c r="G3035" s="1" t="s">
        <v>954</v>
      </c>
      <c r="H3035" s="1" t="s">
        <v>994</v>
      </c>
      <c r="I3035" s="1" t="s">
        <v>152</v>
      </c>
      <c r="J3035" s="1" t="s">
        <v>929</v>
      </c>
      <c r="K3035" s="1" t="s">
        <v>10722</v>
      </c>
      <c r="L3035" s="1"/>
      <c r="M3035" s="1"/>
      <c r="N3035" s="1"/>
      <c r="O3035" s="1"/>
      <c r="P3035" s="1"/>
      <c r="Q3035" s="1"/>
    </row>
    <row r="3036" spans="1:17" x14ac:dyDescent="0.25">
      <c r="A3036" s="1" t="s">
        <v>948</v>
      </c>
      <c r="B3036" s="1" t="s">
        <v>298</v>
      </c>
      <c r="C3036" s="1" t="s">
        <v>1149</v>
      </c>
      <c r="D3036" s="1" t="s">
        <v>25</v>
      </c>
      <c r="E3036" s="1" t="s">
        <v>923</v>
      </c>
      <c r="F3036" s="1" t="s">
        <v>997</v>
      </c>
      <c r="G3036" s="1" t="s">
        <v>954</v>
      </c>
      <c r="H3036" s="1" t="s">
        <v>994</v>
      </c>
      <c r="I3036" s="1" t="s">
        <v>11028</v>
      </c>
      <c r="J3036" s="1"/>
      <c r="K3036" s="1"/>
      <c r="L3036" s="1"/>
      <c r="M3036" s="1"/>
      <c r="N3036" s="1"/>
      <c r="O3036" s="1"/>
      <c r="P3036" s="1"/>
      <c r="Q3036" s="1"/>
    </row>
    <row r="3037" spans="1:17" x14ac:dyDescent="0.25">
      <c r="A3037" s="1" t="s">
        <v>948</v>
      </c>
      <c r="B3037" s="1" t="s">
        <v>298</v>
      </c>
      <c r="C3037" s="1" t="s">
        <v>1149</v>
      </c>
      <c r="D3037" s="1" t="s">
        <v>25</v>
      </c>
      <c r="E3037" s="1" t="s">
        <v>923</v>
      </c>
      <c r="F3037" s="1" t="s">
        <v>997</v>
      </c>
      <c r="G3037" s="1" t="s">
        <v>954</v>
      </c>
      <c r="H3037" s="1" t="s">
        <v>994</v>
      </c>
      <c r="I3037" s="1" t="s">
        <v>1023</v>
      </c>
      <c r="J3037" s="1" t="s">
        <v>1085</v>
      </c>
      <c r="K3037" s="1" t="s">
        <v>955</v>
      </c>
      <c r="L3037" s="1" t="s">
        <v>1014</v>
      </c>
      <c r="M3037" s="1" t="s">
        <v>944</v>
      </c>
      <c r="N3037" s="1" t="s">
        <v>956</v>
      </c>
      <c r="O3037" s="1" t="s">
        <v>10820</v>
      </c>
      <c r="P3037" s="1"/>
      <c r="Q3037" s="1"/>
    </row>
    <row r="3038" spans="1:17" x14ac:dyDescent="0.25">
      <c r="A3038" s="1" t="s">
        <v>996</v>
      </c>
      <c r="B3038" s="1" t="s">
        <v>927</v>
      </c>
      <c r="C3038" s="1" t="s">
        <v>10726</v>
      </c>
      <c r="D3038" s="1" t="s">
        <v>933</v>
      </c>
      <c r="E3038" s="1" t="s">
        <v>924</v>
      </c>
      <c r="F3038" s="1" t="s">
        <v>1099</v>
      </c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</row>
    <row r="3039" spans="1:17" x14ac:dyDescent="0.25">
      <c r="A3039" s="1" t="s">
        <v>996</v>
      </c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</row>
    <row r="3040" spans="1:17" x14ac:dyDescent="0.25">
      <c r="A3040" s="1" t="s">
        <v>948</v>
      </c>
      <c r="B3040" s="1" t="s">
        <v>298</v>
      </c>
      <c r="C3040" s="1" t="s">
        <v>1149</v>
      </c>
      <c r="D3040" s="1" t="s">
        <v>25</v>
      </c>
      <c r="E3040" s="1" t="s">
        <v>923</v>
      </c>
      <c r="F3040" s="1" t="s">
        <v>997</v>
      </c>
      <c r="G3040" s="1" t="s">
        <v>954</v>
      </c>
      <c r="H3040" s="1" t="s">
        <v>994</v>
      </c>
      <c r="I3040" s="1" t="s">
        <v>996</v>
      </c>
      <c r="J3040" s="1" t="s">
        <v>920</v>
      </c>
      <c r="K3040" s="1"/>
      <c r="L3040" s="1"/>
      <c r="M3040" s="1"/>
      <c r="N3040" s="1"/>
      <c r="O3040" s="1"/>
      <c r="P3040" s="1"/>
      <c r="Q3040" s="1"/>
    </row>
    <row r="3041" spans="1:17" x14ac:dyDescent="0.25">
      <c r="A3041" s="1" t="s">
        <v>10810</v>
      </c>
      <c r="B3041" s="1" t="s">
        <v>1058</v>
      </c>
      <c r="C3041" s="1" t="s">
        <v>948</v>
      </c>
      <c r="D3041" s="1" t="s">
        <v>298</v>
      </c>
      <c r="E3041" s="1" t="s">
        <v>1149</v>
      </c>
      <c r="F3041" s="1" t="s">
        <v>25</v>
      </c>
      <c r="G3041" s="1" t="s">
        <v>923</v>
      </c>
      <c r="H3041" s="1" t="s">
        <v>997</v>
      </c>
      <c r="I3041" s="1" t="s">
        <v>954</v>
      </c>
      <c r="J3041" s="1" t="s">
        <v>994</v>
      </c>
      <c r="K3041" s="1"/>
      <c r="L3041" s="1"/>
      <c r="M3041" s="1"/>
      <c r="N3041" s="1"/>
      <c r="O3041" s="1"/>
      <c r="P3041" s="1"/>
      <c r="Q3041" s="1"/>
    </row>
    <row r="3042" spans="1:17" x14ac:dyDescent="0.25">
      <c r="A3042" s="1" t="s">
        <v>933</v>
      </c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</row>
    <row r="3043" spans="1:17" x14ac:dyDescent="0.25">
      <c r="A3043" s="1" t="s">
        <v>997</v>
      </c>
      <c r="B3043" s="1" t="s">
        <v>933</v>
      </c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</row>
    <row r="3044" spans="1:17" x14ac:dyDescent="0.25">
      <c r="A3044" s="1" t="s">
        <v>996</v>
      </c>
      <c r="B3044" s="1" t="s">
        <v>10804</v>
      </c>
      <c r="C3044" s="1" t="s">
        <v>961</v>
      </c>
      <c r="D3044" s="1" t="s">
        <v>10781</v>
      </c>
      <c r="E3044" s="1" t="s">
        <v>1085</v>
      </c>
      <c r="F3044" s="1" t="s">
        <v>955</v>
      </c>
      <c r="G3044" s="1" t="s">
        <v>1014</v>
      </c>
      <c r="H3044" s="1" t="s">
        <v>10740</v>
      </c>
      <c r="I3044" s="1"/>
      <c r="J3044" s="1"/>
      <c r="K3044" s="1"/>
      <c r="L3044" s="1"/>
      <c r="M3044" s="1"/>
      <c r="N3044" s="1"/>
      <c r="O3044" s="1"/>
      <c r="P3044" s="1"/>
      <c r="Q3044" s="1"/>
    </row>
    <row r="3045" spans="1:17" x14ac:dyDescent="0.25">
      <c r="A3045" s="1" t="s">
        <v>996</v>
      </c>
      <c r="B3045" s="1" t="s">
        <v>948</v>
      </c>
      <c r="C3045" s="1" t="s">
        <v>10788</v>
      </c>
      <c r="D3045" s="1" t="s">
        <v>25</v>
      </c>
      <c r="E3045" s="1" t="s">
        <v>923</v>
      </c>
      <c r="F3045" s="1" t="s">
        <v>997</v>
      </c>
      <c r="G3045" s="1" t="s">
        <v>1086</v>
      </c>
      <c r="H3045" s="1" t="s">
        <v>920</v>
      </c>
      <c r="I3045" s="1"/>
      <c r="J3045" s="1"/>
      <c r="K3045" s="1"/>
      <c r="L3045" s="1"/>
      <c r="M3045" s="1"/>
      <c r="N3045" s="1"/>
      <c r="O3045" s="1"/>
      <c r="P3045" s="1"/>
      <c r="Q3045" s="1"/>
    </row>
    <row r="3046" spans="1:17" x14ac:dyDescent="0.25">
      <c r="A3046" s="1" t="s">
        <v>996</v>
      </c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</row>
    <row r="3047" spans="1:17" x14ac:dyDescent="0.25">
      <c r="A3047" s="1" t="s">
        <v>298</v>
      </c>
      <c r="B3047" s="1" t="s">
        <v>25</v>
      </c>
      <c r="C3047" s="1" t="s">
        <v>923</v>
      </c>
      <c r="D3047" s="1" t="s">
        <v>997</v>
      </c>
      <c r="E3047" s="1" t="s">
        <v>927</v>
      </c>
      <c r="F3047" s="1" t="s">
        <v>998</v>
      </c>
      <c r="G3047" s="1" t="s">
        <v>992</v>
      </c>
      <c r="H3047" s="1" t="s">
        <v>1086</v>
      </c>
      <c r="I3047" s="1" t="s">
        <v>920</v>
      </c>
      <c r="J3047" s="1" t="s">
        <v>933</v>
      </c>
      <c r="K3047" s="1" t="s">
        <v>994</v>
      </c>
      <c r="L3047" s="1"/>
      <c r="M3047" s="1"/>
      <c r="N3047" s="1"/>
      <c r="O3047" s="1"/>
      <c r="P3047" s="1"/>
      <c r="Q3047" s="1"/>
    </row>
    <row r="3048" spans="1:17" x14ac:dyDescent="0.25">
      <c r="A3048" s="1" t="s">
        <v>90</v>
      </c>
      <c r="B3048" s="1" t="s">
        <v>996</v>
      </c>
      <c r="C3048" s="1" t="s">
        <v>25</v>
      </c>
      <c r="D3048" s="1" t="s">
        <v>923</v>
      </c>
      <c r="E3048" s="1" t="s">
        <v>997</v>
      </c>
      <c r="F3048" s="1" t="s">
        <v>927</v>
      </c>
      <c r="G3048" s="1" t="s">
        <v>998</v>
      </c>
      <c r="H3048" s="1" t="s">
        <v>1086</v>
      </c>
      <c r="I3048" s="1" t="s">
        <v>994</v>
      </c>
      <c r="J3048" s="1" t="s">
        <v>1001</v>
      </c>
      <c r="K3048" s="1" t="s">
        <v>992</v>
      </c>
      <c r="L3048" s="1" t="s">
        <v>981</v>
      </c>
      <c r="M3048" s="1" t="s">
        <v>1066</v>
      </c>
      <c r="N3048" s="1"/>
      <c r="O3048" s="1"/>
      <c r="P3048" s="1"/>
      <c r="Q3048" s="1"/>
    </row>
    <row r="3049" spans="1:17" x14ac:dyDescent="0.25">
      <c r="A3049" s="1" t="s">
        <v>1077</v>
      </c>
      <c r="B3049" s="1" t="s">
        <v>983</v>
      </c>
      <c r="C3049" s="1" t="s">
        <v>984</v>
      </c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</row>
    <row r="3050" spans="1:17" x14ac:dyDescent="0.25">
      <c r="A3050" s="1" t="s">
        <v>1053</v>
      </c>
      <c r="B3050" s="1" t="s">
        <v>933</v>
      </c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</row>
    <row r="3051" spans="1:17" x14ac:dyDescent="0.25">
      <c r="A3051" s="1" t="s">
        <v>933</v>
      </c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</row>
    <row r="3052" spans="1:17" x14ac:dyDescent="0.25">
      <c r="A3052" s="1" t="s">
        <v>933</v>
      </c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</row>
    <row r="3053" spans="1:17" x14ac:dyDescent="0.25">
      <c r="A3053" s="1" t="s">
        <v>933</v>
      </c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</row>
    <row r="3054" spans="1:17" x14ac:dyDescent="0.25">
      <c r="A3054" s="1" t="s">
        <v>996</v>
      </c>
      <c r="B3054" s="1" t="s">
        <v>998</v>
      </c>
      <c r="C3054" s="1" t="s">
        <v>933</v>
      </c>
      <c r="D3054" s="1" t="s">
        <v>2541</v>
      </c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</row>
    <row r="3055" spans="1:17" x14ac:dyDescent="0.25">
      <c r="A3055" s="1" t="s">
        <v>933</v>
      </c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</row>
    <row r="3056" spans="1:17" x14ac:dyDescent="0.25">
      <c r="A3056" s="1" t="s">
        <v>933</v>
      </c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</row>
    <row r="3057" spans="1:17" x14ac:dyDescent="0.25">
      <c r="A3057" s="1" t="s">
        <v>996</v>
      </c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</row>
    <row r="3058" spans="1:17" x14ac:dyDescent="0.25">
      <c r="A3058" s="1" t="s">
        <v>996</v>
      </c>
      <c r="B3058" s="1" t="s">
        <v>998</v>
      </c>
      <c r="C3058" s="1" t="s">
        <v>933</v>
      </c>
      <c r="D3058" s="1" t="s">
        <v>2541</v>
      </c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</row>
    <row r="3059" spans="1:17" x14ac:dyDescent="0.25">
      <c r="A3059" s="1" t="s">
        <v>1053</v>
      </c>
      <c r="B3059" s="1" t="s">
        <v>961</v>
      </c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</row>
    <row r="3060" spans="1:17" x14ac:dyDescent="0.25">
      <c r="A3060" s="1" t="s">
        <v>1167</v>
      </c>
      <c r="B3060" s="1" t="s">
        <v>998</v>
      </c>
      <c r="C3060" s="1" t="s">
        <v>10730</v>
      </c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</row>
    <row r="3061" spans="1:17" x14ac:dyDescent="0.25">
      <c r="A3061" s="1" t="s">
        <v>996</v>
      </c>
      <c r="B3061" s="1" t="s">
        <v>998</v>
      </c>
      <c r="C3061" s="1" t="s">
        <v>933</v>
      </c>
      <c r="D3061" s="1" t="s">
        <v>2541</v>
      </c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</row>
    <row r="3062" spans="1:17" x14ac:dyDescent="0.25">
      <c r="A3062" s="1" t="s">
        <v>933</v>
      </c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</row>
    <row r="3063" spans="1:17" x14ac:dyDescent="0.25">
      <c r="A3063" s="1" t="s">
        <v>933</v>
      </c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</row>
    <row r="3064" spans="1:17" x14ac:dyDescent="0.25">
      <c r="A3064" s="1" t="s">
        <v>996</v>
      </c>
      <c r="B3064" s="1" t="s">
        <v>10804</v>
      </c>
      <c r="C3064" s="1" t="s">
        <v>961</v>
      </c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</row>
    <row r="3065" spans="1:17" x14ac:dyDescent="0.25">
      <c r="A3065" s="1" t="s">
        <v>996</v>
      </c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</row>
    <row r="3066" spans="1:17" x14ac:dyDescent="0.25">
      <c r="A3066" s="1" t="s">
        <v>918</v>
      </c>
      <c r="B3066" s="1" t="s">
        <v>1110</v>
      </c>
      <c r="C3066" s="1" t="s">
        <v>25</v>
      </c>
      <c r="D3066" s="1" t="s">
        <v>923</v>
      </c>
      <c r="E3066" s="1" t="s">
        <v>919</v>
      </c>
      <c r="F3066" s="1" t="s">
        <v>920</v>
      </c>
      <c r="G3066" s="1" t="s">
        <v>954</v>
      </c>
      <c r="H3066" s="1" t="s">
        <v>328</v>
      </c>
      <c r="I3066" s="1" t="s">
        <v>921</v>
      </c>
      <c r="J3066" s="1" t="s">
        <v>1135</v>
      </c>
      <c r="K3066" s="1" t="s">
        <v>1136</v>
      </c>
      <c r="L3066" s="1" t="s">
        <v>1137</v>
      </c>
      <c r="M3066" s="1"/>
      <c r="N3066" s="1"/>
      <c r="O3066" s="1"/>
      <c r="P3066" s="1"/>
      <c r="Q3066" s="1"/>
    </row>
    <row r="3067" spans="1:17" x14ac:dyDescent="0.25">
      <c r="A3067" s="1" t="s">
        <v>923</v>
      </c>
      <c r="B3067" s="1" t="s">
        <v>1053</v>
      </c>
      <c r="C3067" s="1" t="s">
        <v>933</v>
      </c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</row>
    <row r="3068" spans="1:17" x14ac:dyDescent="0.25">
      <c r="A3068" s="1" t="s">
        <v>25</v>
      </c>
      <c r="B3068" s="1" t="s">
        <v>927</v>
      </c>
      <c r="C3068" s="1" t="s">
        <v>10837</v>
      </c>
      <c r="D3068" s="1" t="s">
        <v>981</v>
      </c>
      <c r="E3068" s="1" t="s">
        <v>994</v>
      </c>
      <c r="F3068" s="1" t="s">
        <v>996</v>
      </c>
      <c r="G3068" s="1" t="s">
        <v>948</v>
      </c>
      <c r="H3068" s="1" t="s">
        <v>10788</v>
      </c>
      <c r="I3068" s="1" t="s">
        <v>923</v>
      </c>
      <c r="J3068" s="1" t="s">
        <v>997</v>
      </c>
      <c r="K3068" s="1" t="s">
        <v>1086</v>
      </c>
      <c r="L3068" s="1" t="s">
        <v>920</v>
      </c>
      <c r="M3068" s="1" t="s">
        <v>918</v>
      </c>
      <c r="N3068" s="1" t="s">
        <v>919</v>
      </c>
      <c r="O3068" s="1" t="s">
        <v>936</v>
      </c>
      <c r="P3068" s="1" t="s">
        <v>1037</v>
      </c>
      <c r="Q3068" s="1"/>
    </row>
    <row r="3069" spans="1:17" x14ac:dyDescent="0.25">
      <c r="A3069" s="1" t="s">
        <v>996</v>
      </c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</row>
    <row r="3070" spans="1:17" x14ac:dyDescent="0.25">
      <c r="A3070" s="1" t="s">
        <v>1069</v>
      </c>
      <c r="B3070" s="1" t="s">
        <v>918</v>
      </c>
      <c r="C3070" s="1" t="s">
        <v>25</v>
      </c>
      <c r="D3070" s="1" t="s">
        <v>923</v>
      </c>
      <c r="E3070" s="1" t="s">
        <v>927</v>
      </c>
      <c r="F3070" s="1" t="s">
        <v>10761</v>
      </c>
      <c r="G3070" s="1" t="s">
        <v>919</v>
      </c>
      <c r="H3070" s="1" t="s">
        <v>920</v>
      </c>
      <c r="I3070" s="1" t="s">
        <v>924</v>
      </c>
      <c r="J3070" s="1" t="s">
        <v>921</v>
      </c>
      <c r="K3070" s="1" t="s">
        <v>925</v>
      </c>
      <c r="L3070" s="1" t="s">
        <v>981</v>
      </c>
      <c r="M3070" s="1" t="s">
        <v>928</v>
      </c>
      <c r="N3070" s="1" t="s">
        <v>929</v>
      </c>
      <c r="O3070" s="1"/>
      <c r="P3070" s="1"/>
      <c r="Q3070" s="1"/>
    </row>
    <row r="3071" spans="1:17" x14ac:dyDescent="0.25">
      <c r="A3071" s="1" t="s">
        <v>933</v>
      </c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</row>
    <row r="3072" spans="1:17" x14ac:dyDescent="0.25">
      <c r="A3072" s="1" t="s">
        <v>25</v>
      </c>
      <c r="B3072" s="1" t="s">
        <v>923</v>
      </c>
      <c r="C3072" s="1" t="s">
        <v>998</v>
      </c>
      <c r="D3072" s="1" t="s">
        <v>1053</v>
      </c>
      <c r="E3072" s="1" t="s">
        <v>1086</v>
      </c>
      <c r="F3072" s="1" t="s">
        <v>933</v>
      </c>
      <c r="G3072" s="1" t="s">
        <v>1477</v>
      </c>
      <c r="H3072" s="1" t="s">
        <v>1055</v>
      </c>
      <c r="I3072" s="1" t="s">
        <v>994</v>
      </c>
      <c r="J3072" s="1"/>
      <c r="K3072" s="1"/>
      <c r="L3072" s="1"/>
      <c r="M3072" s="1"/>
      <c r="N3072" s="1"/>
      <c r="O3072" s="1"/>
      <c r="P3072" s="1"/>
      <c r="Q3072" s="1"/>
    </row>
    <row r="3073" spans="1:17" x14ac:dyDescent="0.25">
      <c r="A3073" s="1" t="s">
        <v>1077</v>
      </c>
      <c r="B3073" s="1" t="s">
        <v>983</v>
      </c>
      <c r="C3073" s="1" t="s">
        <v>984</v>
      </c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</row>
    <row r="3074" spans="1:17" x14ac:dyDescent="0.25">
      <c r="A3074" s="1" t="s">
        <v>933</v>
      </c>
      <c r="B3074" s="1" t="s">
        <v>949</v>
      </c>
      <c r="C3074" s="1" t="s">
        <v>1110</v>
      </c>
      <c r="D3074" s="1" t="s">
        <v>25</v>
      </c>
      <c r="E3074" s="1" t="s">
        <v>923</v>
      </c>
      <c r="F3074" s="1" t="s">
        <v>920</v>
      </c>
      <c r="G3074" s="1" t="s">
        <v>954</v>
      </c>
      <c r="H3074" s="1" t="s">
        <v>974</v>
      </c>
      <c r="I3074" s="1" t="s">
        <v>1141</v>
      </c>
      <c r="J3074" s="1"/>
      <c r="K3074" s="1"/>
      <c r="L3074" s="1"/>
      <c r="M3074" s="1"/>
      <c r="N3074" s="1"/>
      <c r="O3074" s="1"/>
      <c r="P3074" s="1"/>
      <c r="Q3074" s="1"/>
    </row>
    <row r="3075" spans="1:17" x14ac:dyDescent="0.25">
      <c r="A3075" s="1" t="s">
        <v>1053</v>
      </c>
      <c r="B3075" s="1" t="s">
        <v>10722</v>
      </c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</row>
    <row r="3076" spans="1:17" x14ac:dyDescent="0.25">
      <c r="A3076" s="1" t="s">
        <v>933</v>
      </c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</row>
    <row r="3077" spans="1:17" x14ac:dyDescent="0.25">
      <c r="A3077" s="1" t="s">
        <v>996</v>
      </c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</row>
    <row r="3078" spans="1:17" x14ac:dyDescent="0.25">
      <c r="A3078" s="1" t="s">
        <v>948</v>
      </c>
      <c r="B3078" s="1" t="s">
        <v>1149</v>
      </c>
      <c r="C3078" s="1" t="s">
        <v>25</v>
      </c>
      <c r="D3078" s="1" t="s">
        <v>923</v>
      </c>
      <c r="E3078" s="1" t="s">
        <v>1167</v>
      </c>
      <c r="F3078" s="1" t="s">
        <v>998</v>
      </c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</row>
    <row r="3079" spans="1:17" x14ac:dyDescent="0.25">
      <c r="A3079" s="1" t="s">
        <v>1069</v>
      </c>
      <c r="B3079" s="1" t="s">
        <v>918</v>
      </c>
      <c r="C3079" s="1" t="s">
        <v>25</v>
      </c>
      <c r="D3079" s="1" t="s">
        <v>923</v>
      </c>
      <c r="E3079" s="1" t="s">
        <v>927</v>
      </c>
      <c r="F3079" s="1" t="s">
        <v>10761</v>
      </c>
      <c r="G3079" s="1" t="s">
        <v>919</v>
      </c>
      <c r="H3079" s="1" t="s">
        <v>920</v>
      </c>
      <c r="I3079" s="1" t="s">
        <v>924</v>
      </c>
      <c r="J3079" s="1" t="s">
        <v>921</v>
      </c>
      <c r="K3079" s="1" t="s">
        <v>936</v>
      </c>
      <c r="L3079" s="1"/>
      <c r="M3079" s="1"/>
      <c r="N3079" s="1"/>
      <c r="O3079" s="1"/>
      <c r="P3079" s="1"/>
      <c r="Q3079" s="1"/>
    </row>
    <row r="3080" spans="1:17" x14ac:dyDescent="0.25">
      <c r="A3080" s="1" t="s">
        <v>1069</v>
      </c>
      <c r="B3080" s="1" t="s">
        <v>918</v>
      </c>
      <c r="C3080" s="1" t="s">
        <v>25</v>
      </c>
      <c r="D3080" s="1" t="s">
        <v>923</v>
      </c>
      <c r="E3080" s="1" t="s">
        <v>927</v>
      </c>
      <c r="F3080" s="1" t="s">
        <v>10761</v>
      </c>
      <c r="G3080" s="1" t="s">
        <v>919</v>
      </c>
      <c r="H3080" s="1" t="s">
        <v>920</v>
      </c>
      <c r="I3080" s="1" t="s">
        <v>924</v>
      </c>
      <c r="J3080" s="1" t="s">
        <v>921</v>
      </c>
      <c r="K3080" s="1" t="s">
        <v>933</v>
      </c>
      <c r="L3080" s="1"/>
      <c r="M3080" s="1"/>
      <c r="N3080" s="1"/>
      <c r="O3080" s="1"/>
      <c r="P3080" s="1"/>
      <c r="Q3080" s="1"/>
    </row>
    <row r="3081" spans="1:17" x14ac:dyDescent="0.25">
      <c r="A3081" s="1" t="s">
        <v>918</v>
      </c>
      <c r="B3081" s="1" t="s">
        <v>25</v>
      </c>
      <c r="C3081" s="1" t="s">
        <v>919</v>
      </c>
      <c r="D3081" s="1" t="s">
        <v>920</v>
      </c>
      <c r="E3081" s="1" t="s">
        <v>921</v>
      </c>
      <c r="F3081" s="1" t="s">
        <v>1149</v>
      </c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</row>
    <row r="3082" spans="1:17" x14ac:dyDescent="0.25">
      <c r="A3082" s="1" t="s">
        <v>981</v>
      </c>
      <c r="B3082" s="1" t="s">
        <v>1019</v>
      </c>
      <c r="C3082" s="1" t="s">
        <v>983</v>
      </c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</row>
    <row r="3083" spans="1:17" x14ac:dyDescent="0.25">
      <c r="A3083" s="1" t="s">
        <v>90</v>
      </c>
      <c r="B3083" s="1" t="s">
        <v>996</v>
      </c>
      <c r="C3083" s="1" t="s">
        <v>25</v>
      </c>
      <c r="D3083" s="1" t="s">
        <v>923</v>
      </c>
      <c r="E3083" s="1" t="s">
        <v>997</v>
      </c>
      <c r="F3083" s="1" t="s">
        <v>927</v>
      </c>
      <c r="G3083" s="1" t="s">
        <v>998</v>
      </c>
      <c r="H3083" s="1" t="s">
        <v>1086</v>
      </c>
      <c r="I3083" s="1" t="s">
        <v>994</v>
      </c>
      <c r="J3083" s="1" t="s">
        <v>981</v>
      </c>
      <c r="K3083" s="1" t="s">
        <v>933</v>
      </c>
      <c r="L3083" s="1"/>
      <c r="M3083" s="1"/>
      <c r="N3083" s="1"/>
      <c r="O3083" s="1"/>
      <c r="P3083" s="1"/>
      <c r="Q3083" s="1"/>
    </row>
    <row r="3084" spans="1:17" x14ac:dyDescent="0.25">
      <c r="A3084" s="1" t="s">
        <v>918</v>
      </c>
      <c r="B3084" s="1" t="s">
        <v>25</v>
      </c>
      <c r="C3084" s="1" t="s">
        <v>919</v>
      </c>
      <c r="D3084" s="1" t="s">
        <v>920</v>
      </c>
      <c r="E3084" s="1" t="s">
        <v>921</v>
      </c>
      <c r="F3084" s="1" t="s">
        <v>1001</v>
      </c>
      <c r="G3084" s="1" t="s">
        <v>927</v>
      </c>
      <c r="H3084" s="1" t="s">
        <v>992</v>
      </c>
      <c r="I3084" s="1"/>
      <c r="J3084" s="1"/>
      <c r="K3084" s="1"/>
      <c r="L3084" s="1"/>
      <c r="M3084" s="1"/>
      <c r="N3084" s="1"/>
      <c r="O3084" s="1"/>
      <c r="P3084" s="1"/>
      <c r="Q3084" s="1"/>
    </row>
    <row r="3085" spans="1:17" x14ac:dyDescent="0.25">
      <c r="A3085" s="1" t="s">
        <v>1069</v>
      </c>
      <c r="B3085" s="1" t="s">
        <v>918</v>
      </c>
      <c r="C3085" s="1" t="s">
        <v>25</v>
      </c>
      <c r="D3085" s="1" t="s">
        <v>923</v>
      </c>
      <c r="E3085" s="1" t="s">
        <v>927</v>
      </c>
      <c r="F3085" s="1" t="s">
        <v>10761</v>
      </c>
      <c r="G3085" s="1" t="s">
        <v>919</v>
      </c>
      <c r="H3085" s="1" t="s">
        <v>920</v>
      </c>
      <c r="I3085" s="1" t="s">
        <v>924</v>
      </c>
      <c r="J3085" s="1" t="s">
        <v>921</v>
      </c>
      <c r="K3085" s="1" t="s">
        <v>1001</v>
      </c>
      <c r="L3085" s="1"/>
      <c r="M3085" s="1"/>
      <c r="N3085" s="1"/>
      <c r="O3085" s="1"/>
      <c r="P3085" s="1"/>
      <c r="Q3085" s="1"/>
    </row>
    <row r="3086" spans="1:17" x14ac:dyDescent="0.25">
      <c r="A3086" s="1" t="s">
        <v>25</v>
      </c>
      <c r="B3086" s="1" t="s">
        <v>1086</v>
      </c>
      <c r="C3086" s="1" t="s">
        <v>919</v>
      </c>
      <c r="D3086" s="1" t="s">
        <v>920</v>
      </c>
      <c r="E3086" s="1" t="s">
        <v>921</v>
      </c>
      <c r="F3086" s="1" t="s">
        <v>1001</v>
      </c>
      <c r="G3086" s="1" t="s">
        <v>11029</v>
      </c>
      <c r="H3086" s="1" t="s">
        <v>983</v>
      </c>
      <c r="I3086" s="1" t="s">
        <v>924</v>
      </c>
      <c r="J3086" s="1" t="s">
        <v>10841</v>
      </c>
      <c r="K3086" s="1"/>
      <c r="L3086" s="1"/>
      <c r="M3086" s="1"/>
      <c r="N3086" s="1"/>
      <c r="O3086" s="1"/>
      <c r="P3086" s="1"/>
      <c r="Q3086" s="1"/>
    </row>
    <row r="3087" spans="1:17" x14ac:dyDescent="0.25">
      <c r="A3087" s="1" t="s">
        <v>10930</v>
      </c>
      <c r="B3087" s="1" t="s">
        <v>10931</v>
      </c>
      <c r="C3087" s="1" t="s">
        <v>11019</v>
      </c>
      <c r="D3087" s="1" t="s">
        <v>2772</v>
      </c>
      <c r="E3087" s="1" t="s">
        <v>1049</v>
      </c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</row>
    <row r="3088" spans="1:17" x14ac:dyDescent="0.25">
      <c r="A3088" s="1" t="s">
        <v>933</v>
      </c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</row>
    <row r="3089" spans="1:17" x14ac:dyDescent="0.25">
      <c r="A3089" s="1" t="s">
        <v>996</v>
      </c>
      <c r="B3089" s="1" t="s">
        <v>10876</v>
      </c>
      <c r="C3089" s="1" t="s">
        <v>2541</v>
      </c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</row>
    <row r="3090" spans="1:17" x14ac:dyDescent="0.25">
      <c r="A3090" s="1" t="s">
        <v>996</v>
      </c>
      <c r="B3090" s="1" t="s">
        <v>1012</v>
      </c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</row>
    <row r="3091" spans="1:17" x14ac:dyDescent="0.25">
      <c r="A3091" s="1" t="s">
        <v>1069</v>
      </c>
      <c r="B3091" s="1" t="s">
        <v>918</v>
      </c>
      <c r="C3091" s="1" t="s">
        <v>25</v>
      </c>
      <c r="D3091" s="1" t="s">
        <v>923</v>
      </c>
      <c r="E3091" s="1" t="s">
        <v>927</v>
      </c>
      <c r="F3091" s="1" t="s">
        <v>10761</v>
      </c>
      <c r="G3091" s="1" t="s">
        <v>919</v>
      </c>
      <c r="H3091" s="1" t="s">
        <v>920</v>
      </c>
      <c r="I3091" s="1" t="s">
        <v>924</v>
      </c>
      <c r="J3091" s="1" t="s">
        <v>921</v>
      </c>
      <c r="K3091" s="1" t="s">
        <v>10913</v>
      </c>
      <c r="L3091" s="1" t="s">
        <v>10914</v>
      </c>
      <c r="M3091" s="1" t="s">
        <v>11030</v>
      </c>
      <c r="N3091" s="1"/>
      <c r="O3091" s="1"/>
      <c r="P3091" s="1"/>
      <c r="Q3091" s="1"/>
    </row>
    <row r="3092" spans="1:17" x14ac:dyDescent="0.25">
      <c r="A3092" s="1" t="s">
        <v>948</v>
      </c>
      <c r="B3092" s="1" t="s">
        <v>298</v>
      </c>
      <c r="C3092" s="1" t="s">
        <v>1149</v>
      </c>
      <c r="D3092" s="1" t="s">
        <v>25</v>
      </c>
      <c r="E3092" s="1" t="s">
        <v>923</v>
      </c>
      <c r="F3092" s="1" t="s">
        <v>997</v>
      </c>
      <c r="G3092" s="1" t="s">
        <v>954</v>
      </c>
      <c r="H3092" s="1" t="s">
        <v>994</v>
      </c>
      <c r="I3092" s="1" t="s">
        <v>916</v>
      </c>
      <c r="J3092" s="1" t="s">
        <v>1078</v>
      </c>
      <c r="K3092" s="1" t="s">
        <v>980</v>
      </c>
      <c r="L3092" s="1" t="s">
        <v>919</v>
      </c>
      <c r="M3092" s="1" t="s">
        <v>920</v>
      </c>
      <c r="N3092" s="1" t="s">
        <v>921</v>
      </c>
      <c r="O3092" s="1" t="s">
        <v>10928</v>
      </c>
      <c r="P3092" s="1"/>
      <c r="Q3092" s="1"/>
    </row>
    <row r="3093" spans="1:17" x14ac:dyDescent="0.25">
      <c r="A3093" s="1" t="s">
        <v>996</v>
      </c>
      <c r="B3093" s="1" t="s">
        <v>10876</v>
      </c>
      <c r="C3093" s="1" t="s">
        <v>2541</v>
      </c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</row>
    <row r="3094" spans="1:17" x14ac:dyDescent="0.25">
      <c r="A3094" s="1" t="s">
        <v>918</v>
      </c>
      <c r="B3094" s="1" t="s">
        <v>25</v>
      </c>
      <c r="C3094" s="1" t="s">
        <v>919</v>
      </c>
      <c r="D3094" s="1" t="s">
        <v>920</v>
      </c>
      <c r="E3094" s="1" t="s">
        <v>924</v>
      </c>
      <c r="F3094" s="1" t="s">
        <v>10928</v>
      </c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</row>
    <row r="3095" spans="1:17" x14ac:dyDescent="0.25">
      <c r="A3095" s="1" t="s">
        <v>918</v>
      </c>
      <c r="B3095" s="1" t="s">
        <v>25</v>
      </c>
      <c r="C3095" s="1" t="s">
        <v>919</v>
      </c>
      <c r="D3095" s="1" t="s">
        <v>920</v>
      </c>
      <c r="E3095" s="1" t="s">
        <v>924</v>
      </c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</row>
    <row r="3096" spans="1:17" x14ac:dyDescent="0.25">
      <c r="A3096" s="1" t="s">
        <v>918</v>
      </c>
      <c r="B3096" s="1" t="s">
        <v>25</v>
      </c>
      <c r="C3096" s="1" t="s">
        <v>919</v>
      </c>
      <c r="D3096" s="1" t="s">
        <v>920</v>
      </c>
      <c r="E3096" s="1" t="s">
        <v>924</v>
      </c>
      <c r="F3096" s="1" t="s">
        <v>10729</v>
      </c>
      <c r="G3096" s="1" t="s">
        <v>930</v>
      </c>
      <c r="H3096" s="1"/>
      <c r="I3096" s="1"/>
      <c r="J3096" s="1"/>
      <c r="K3096" s="1"/>
      <c r="L3096" s="1"/>
      <c r="M3096" s="1"/>
      <c r="N3096" s="1"/>
      <c r="O3096" s="1"/>
      <c r="P3096" s="1"/>
      <c r="Q3096" s="1"/>
    </row>
    <row r="3097" spans="1:17" x14ac:dyDescent="0.25">
      <c r="A3097" s="1" t="s">
        <v>25</v>
      </c>
      <c r="B3097" s="1" t="s">
        <v>919</v>
      </c>
      <c r="C3097" s="1" t="s">
        <v>920</v>
      </c>
      <c r="D3097" s="1" t="s">
        <v>921</v>
      </c>
      <c r="E3097" s="1" t="s">
        <v>918</v>
      </c>
      <c r="F3097" s="1" t="s">
        <v>924</v>
      </c>
      <c r="G3097" s="1" t="s">
        <v>936</v>
      </c>
      <c r="H3097" s="1" t="s">
        <v>929</v>
      </c>
      <c r="I3097" s="1"/>
      <c r="J3097" s="1"/>
      <c r="K3097" s="1"/>
      <c r="L3097" s="1"/>
      <c r="M3097" s="1"/>
      <c r="N3097" s="1"/>
      <c r="O3097" s="1"/>
      <c r="P3097" s="1"/>
      <c r="Q3097" s="1"/>
    </row>
    <row r="3098" spans="1:17" x14ac:dyDescent="0.25">
      <c r="A3098" s="1" t="s">
        <v>10842</v>
      </c>
      <c r="B3098" s="1" t="s">
        <v>10843</v>
      </c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</row>
    <row r="3099" spans="1:17" x14ac:dyDescent="0.25">
      <c r="A3099" s="1" t="s">
        <v>50</v>
      </c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</row>
    <row r="3100" spans="1:17" x14ac:dyDescent="0.25">
      <c r="A3100" s="1" t="s">
        <v>50</v>
      </c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</row>
    <row r="3101" spans="1:17" x14ac:dyDescent="0.25">
      <c r="A3101" s="1" t="s">
        <v>999</v>
      </c>
      <c r="B3101" s="1" t="s">
        <v>1073</v>
      </c>
      <c r="C3101" s="1" t="s">
        <v>921</v>
      </c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</row>
    <row r="3102" spans="1:17" x14ac:dyDescent="0.25">
      <c r="A3102" s="1" t="s">
        <v>50</v>
      </c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</row>
    <row r="3103" spans="1:17" x14ac:dyDescent="0.25">
      <c r="A3103" s="1" t="s">
        <v>25</v>
      </c>
      <c r="B3103" s="1" t="s">
        <v>927</v>
      </c>
      <c r="C3103" s="1" t="s">
        <v>998</v>
      </c>
      <c r="D3103" s="1" t="s">
        <v>920</v>
      </c>
      <c r="E3103" s="1" t="s">
        <v>933</v>
      </c>
      <c r="F3103" s="1" t="s">
        <v>921</v>
      </c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</row>
    <row r="3104" spans="1:17" x14ac:dyDescent="0.25">
      <c r="A3104" s="1" t="s">
        <v>1069</v>
      </c>
      <c r="B3104" s="1" t="s">
        <v>918</v>
      </c>
      <c r="C3104" s="1" t="s">
        <v>25</v>
      </c>
      <c r="D3104" s="1" t="s">
        <v>923</v>
      </c>
      <c r="E3104" s="1" t="s">
        <v>927</v>
      </c>
      <c r="F3104" s="1" t="s">
        <v>10761</v>
      </c>
      <c r="G3104" s="1" t="s">
        <v>919</v>
      </c>
      <c r="H3104" s="1" t="s">
        <v>920</v>
      </c>
      <c r="I3104" s="1" t="s">
        <v>924</v>
      </c>
      <c r="J3104" s="1" t="s">
        <v>921</v>
      </c>
      <c r="K3104" s="1" t="s">
        <v>936</v>
      </c>
      <c r="L3104" s="1"/>
      <c r="M3104" s="1"/>
      <c r="N3104" s="1"/>
      <c r="O3104" s="1"/>
      <c r="P3104" s="1"/>
      <c r="Q3104" s="1"/>
    </row>
    <row r="3105" spans="1:17" x14ac:dyDescent="0.25">
      <c r="A3105" s="1" t="s">
        <v>1069</v>
      </c>
      <c r="B3105" s="1" t="s">
        <v>918</v>
      </c>
      <c r="C3105" s="1" t="s">
        <v>25</v>
      </c>
      <c r="D3105" s="1" t="s">
        <v>923</v>
      </c>
      <c r="E3105" s="1" t="s">
        <v>927</v>
      </c>
      <c r="F3105" s="1" t="s">
        <v>10761</v>
      </c>
      <c r="G3105" s="1" t="s">
        <v>919</v>
      </c>
      <c r="H3105" s="1" t="s">
        <v>920</v>
      </c>
      <c r="I3105" s="1" t="s">
        <v>924</v>
      </c>
      <c r="J3105" s="1" t="s">
        <v>921</v>
      </c>
      <c r="K3105" s="1"/>
      <c r="L3105" s="1"/>
      <c r="M3105" s="1"/>
      <c r="N3105" s="1"/>
      <c r="O3105" s="1"/>
      <c r="P3105" s="1"/>
      <c r="Q3105" s="1"/>
    </row>
    <row r="3106" spans="1:17" x14ac:dyDescent="0.25">
      <c r="A3106" s="1" t="s">
        <v>931</v>
      </c>
      <c r="B3106" s="1" t="s">
        <v>948</v>
      </c>
      <c r="C3106" s="1" t="s">
        <v>1149</v>
      </c>
      <c r="D3106" s="1" t="s">
        <v>25</v>
      </c>
      <c r="E3106" s="1" t="s">
        <v>923</v>
      </c>
      <c r="F3106" s="1" t="s">
        <v>997</v>
      </c>
      <c r="G3106" s="1" t="s">
        <v>1086</v>
      </c>
      <c r="H3106" s="1" t="s">
        <v>933</v>
      </c>
      <c r="I3106" s="1"/>
      <c r="J3106" s="1"/>
      <c r="K3106" s="1"/>
      <c r="L3106" s="1"/>
      <c r="M3106" s="1"/>
      <c r="N3106" s="1"/>
      <c r="O3106" s="1"/>
      <c r="P3106" s="1"/>
      <c r="Q3106" s="1"/>
    </row>
    <row r="3107" spans="1:17" x14ac:dyDescent="0.25">
      <c r="A3107" s="1" t="s">
        <v>996</v>
      </c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</row>
    <row r="3108" spans="1:17" x14ac:dyDescent="0.25">
      <c r="A3108" s="1" t="s">
        <v>996</v>
      </c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</row>
    <row r="3109" spans="1:17" x14ac:dyDescent="0.25">
      <c r="A3109" s="1" t="s">
        <v>1077</v>
      </c>
      <c r="B3109" s="1" t="s">
        <v>983</v>
      </c>
      <c r="C3109" s="1" t="s">
        <v>984</v>
      </c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</row>
    <row r="3110" spans="1:17" x14ac:dyDescent="0.25">
      <c r="A3110" s="1" t="s">
        <v>25</v>
      </c>
      <c r="B3110" s="1" t="s">
        <v>923</v>
      </c>
      <c r="C3110" s="1" t="s">
        <v>998</v>
      </c>
      <c r="D3110" s="1" t="s">
        <v>1053</v>
      </c>
      <c r="E3110" s="1" t="s">
        <v>1086</v>
      </c>
      <c r="F3110" s="1" t="s">
        <v>933</v>
      </c>
      <c r="G3110" s="1" t="s">
        <v>1477</v>
      </c>
      <c r="H3110" s="1" t="s">
        <v>1055</v>
      </c>
      <c r="I3110" s="1" t="s">
        <v>994</v>
      </c>
      <c r="J3110" s="1"/>
      <c r="K3110" s="1"/>
      <c r="L3110" s="1"/>
      <c r="M3110" s="1"/>
      <c r="N3110" s="1"/>
      <c r="O3110" s="1"/>
      <c r="P3110" s="1"/>
      <c r="Q3110" s="1"/>
    </row>
    <row r="3111" spans="1:17" x14ac:dyDescent="0.25">
      <c r="A3111" s="1" t="s">
        <v>1167</v>
      </c>
      <c r="B3111" s="1" t="s">
        <v>998</v>
      </c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</row>
    <row r="3112" spans="1:17" x14ac:dyDescent="0.25">
      <c r="A3112" s="1" t="s">
        <v>948</v>
      </c>
      <c r="B3112" s="1" t="s">
        <v>1149</v>
      </c>
      <c r="C3112" s="1" t="s">
        <v>25</v>
      </c>
      <c r="D3112" s="1" t="s">
        <v>923</v>
      </c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</row>
    <row r="3113" spans="1:17" x14ac:dyDescent="0.25">
      <c r="A3113" s="1" t="s">
        <v>996</v>
      </c>
      <c r="B3113" s="1" t="s">
        <v>25</v>
      </c>
      <c r="C3113" s="1" t="s">
        <v>923</v>
      </c>
      <c r="D3113" s="1" t="s">
        <v>997</v>
      </c>
      <c r="E3113" s="1" t="s">
        <v>920</v>
      </c>
      <c r="F3113" s="1" t="s">
        <v>1131</v>
      </c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</row>
    <row r="3114" spans="1:17" x14ac:dyDescent="0.25">
      <c r="A3114" s="1" t="s">
        <v>1149</v>
      </c>
      <c r="B3114" s="1" t="s">
        <v>25</v>
      </c>
      <c r="C3114" s="1" t="s">
        <v>997</v>
      </c>
      <c r="D3114" s="1" t="s">
        <v>998</v>
      </c>
      <c r="E3114" s="1" t="s">
        <v>933</v>
      </c>
      <c r="F3114" s="1" t="s">
        <v>994</v>
      </c>
      <c r="G3114" s="1" t="s">
        <v>996</v>
      </c>
      <c r="H3114" s="1" t="s">
        <v>948</v>
      </c>
      <c r="I3114" s="1" t="s">
        <v>10788</v>
      </c>
      <c r="J3114" s="1" t="s">
        <v>923</v>
      </c>
      <c r="K3114" s="1" t="s">
        <v>1086</v>
      </c>
      <c r="L3114" s="1" t="s">
        <v>920</v>
      </c>
      <c r="M3114" s="1"/>
      <c r="N3114" s="1"/>
      <c r="O3114" s="1"/>
      <c r="P3114" s="1"/>
      <c r="Q3114" s="1"/>
    </row>
    <row r="3115" spans="1:17" x14ac:dyDescent="0.25">
      <c r="A3115" s="1" t="s">
        <v>948</v>
      </c>
      <c r="B3115" s="1" t="s">
        <v>918</v>
      </c>
      <c r="C3115" s="1" t="s">
        <v>25</v>
      </c>
      <c r="D3115" s="1" t="s">
        <v>919</v>
      </c>
      <c r="E3115" s="1" t="s">
        <v>920</v>
      </c>
      <c r="F3115" s="1" t="s">
        <v>954</v>
      </c>
      <c r="G3115" s="1" t="s">
        <v>1149</v>
      </c>
      <c r="H3115" s="1" t="s">
        <v>997</v>
      </c>
      <c r="I3115" s="1" t="s">
        <v>998</v>
      </c>
      <c r="J3115" s="1" t="s">
        <v>933</v>
      </c>
      <c r="K3115" s="1" t="s">
        <v>994</v>
      </c>
      <c r="L3115" s="1"/>
      <c r="M3115" s="1"/>
      <c r="N3115" s="1"/>
      <c r="O3115" s="1"/>
      <c r="P3115" s="1"/>
      <c r="Q3115" s="1"/>
    </row>
    <row r="3116" spans="1:17" x14ac:dyDescent="0.25">
      <c r="A3116" s="1" t="s">
        <v>918</v>
      </c>
      <c r="B3116" s="1" t="s">
        <v>1110</v>
      </c>
      <c r="C3116" s="1" t="s">
        <v>25</v>
      </c>
      <c r="D3116" s="1" t="s">
        <v>923</v>
      </c>
      <c r="E3116" s="1" t="s">
        <v>919</v>
      </c>
      <c r="F3116" s="1" t="s">
        <v>920</v>
      </c>
      <c r="G3116" s="1" t="s">
        <v>954</v>
      </c>
      <c r="H3116" s="1" t="s">
        <v>328</v>
      </c>
      <c r="I3116" s="1" t="s">
        <v>921</v>
      </c>
      <c r="J3116" s="1" t="s">
        <v>934</v>
      </c>
      <c r="K3116" s="1" t="s">
        <v>973</v>
      </c>
      <c r="L3116" s="1" t="s">
        <v>916</v>
      </c>
      <c r="M3116" s="1" t="s">
        <v>933</v>
      </c>
      <c r="N3116" s="1"/>
      <c r="O3116" s="1"/>
      <c r="P3116" s="1"/>
      <c r="Q3116" s="1"/>
    </row>
    <row r="3117" spans="1:17" x14ac:dyDescent="0.25">
      <c r="A3117" s="1" t="s">
        <v>996</v>
      </c>
      <c r="B3117" s="1" t="s">
        <v>997</v>
      </c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</row>
    <row r="3118" spans="1:17" x14ac:dyDescent="0.25">
      <c r="A3118" s="1" t="s">
        <v>25</v>
      </c>
      <c r="B3118" s="1" t="s">
        <v>1086</v>
      </c>
      <c r="C3118" s="1" t="s">
        <v>919</v>
      </c>
      <c r="D3118" s="1" t="s">
        <v>920</v>
      </c>
      <c r="E3118" s="1" t="s">
        <v>921</v>
      </c>
      <c r="F3118" s="1" t="s">
        <v>1001</v>
      </c>
      <c r="G3118" s="1" t="s">
        <v>992</v>
      </c>
      <c r="H3118" s="1" t="s">
        <v>981</v>
      </c>
      <c r="I3118" s="1" t="s">
        <v>1066</v>
      </c>
      <c r="J3118" s="1" t="s">
        <v>996</v>
      </c>
      <c r="K3118" s="1" t="s">
        <v>10876</v>
      </c>
      <c r="L3118" s="1" t="s">
        <v>2541</v>
      </c>
      <c r="M3118" s="1"/>
      <c r="N3118" s="1"/>
      <c r="O3118" s="1"/>
      <c r="P3118" s="1"/>
      <c r="Q3118" s="1"/>
    </row>
    <row r="3119" spans="1:17" x14ac:dyDescent="0.25">
      <c r="A3119" s="1" t="s">
        <v>996</v>
      </c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</row>
    <row r="3120" spans="1:17" x14ac:dyDescent="0.25">
      <c r="A3120" s="1" t="s">
        <v>996</v>
      </c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</row>
    <row r="3121" spans="1:17" x14ac:dyDescent="0.25">
      <c r="A3121" s="1" t="s">
        <v>996</v>
      </c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</row>
    <row r="3122" spans="1:17" x14ac:dyDescent="0.25">
      <c r="A3122" s="1" t="s">
        <v>996</v>
      </c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</row>
    <row r="3123" spans="1:17" x14ac:dyDescent="0.25">
      <c r="A3123" s="1" t="s">
        <v>996</v>
      </c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</row>
    <row r="3124" spans="1:17" x14ac:dyDescent="0.25">
      <c r="A3124" s="1" t="s">
        <v>996</v>
      </c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</row>
    <row r="3125" spans="1:17" x14ac:dyDescent="0.25">
      <c r="A3125" s="1" t="s">
        <v>996</v>
      </c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</row>
    <row r="3126" spans="1:17" x14ac:dyDescent="0.25">
      <c r="A3126" s="1" t="s">
        <v>996</v>
      </c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</row>
    <row r="3127" spans="1:17" x14ac:dyDescent="0.25">
      <c r="A3127" s="1" t="s">
        <v>996</v>
      </c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</row>
    <row r="3128" spans="1:17" x14ac:dyDescent="0.25">
      <c r="A3128" s="1" t="s">
        <v>996</v>
      </c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</row>
    <row r="3129" spans="1:17" x14ac:dyDescent="0.25">
      <c r="A3129" s="1" t="s">
        <v>996</v>
      </c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</row>
    <row r="3130" spans="1:17" x14ac:dyDescent="0.25">
      <c r="A3130" s="1" t="s">
        <v>996</v>
      </c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</row>
    <row r="3131" spans="1:17" x14ac:dyDescent="0.25">
      <c r="A3131" s="1" t="s">
        <v>996</v>
      </c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</row>
    <row r="3132" spans="1:17" x14ac:dyDescent="0.25">
      <c r="A3132" s="1" t="s">
        <v>996</v>
      </c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</row>
    <row r="3133" spans="1:17" x14ac:dyDescent="0.25">
      <c r="A3133" s="1" t="s">
        <v>996</v>
      </c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</row>
    <row r="3134" spans="1:17" x14ac:dyDescent="0.25">
      <c r="A3134" s="1" t="s">
        <v>996</v>
      </c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</row>
    <row r="3135" spans="1:17" x14ac:dyDescent="0.25">
      <c r="A3135" s="1" t="s">
        <v>996</v>
      </c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</row>
    <row r="3136" spans="1:17" x14ac:dyDescent="0.25">
      <c r="A3136" s="1" t="s">
        <v>996</v>
      </c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</row>
    <row r="3137" spans="1:17" x14ac:dyDescent="0.25">
      <c r="A3137" s="1" t="s">
        <v>1001</v>
      </c>
      <c r="B3137" s="1" t="s">
        <v>996</v>
      </c>
      <c r="C3137" s="1" t="s">
        <v>933</v>
      </c>
      <c r="D3137" s="1" t="s">
        <v>2541</v>
      </c>
      <c r="E3137" s="1" t="s">
        <v>994</v>
      </c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</row>
    <row r="3138" spans="1:17" x14ac:dyDescent="0.25">
      <c r="A3138" s="1" t="s">
        <v>996</v>
      </c>
      <c r="B3138" s="1" t="s">
        <v>933</v>
      </c>
      <c r="C3138" s="1" t="s">
        <v>994</v>
      </c>
      <c r="D3138" s="1" t="s">
        <v>1055</v>
      </c>
      <c r="E3138" s="1" t="s">
        <v>11031</v>
      </c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</row>
    <row r="3139" spans="1:17" x14ac:dyDescent="0.25">
      <c r="A3139" s="1" t="s">
        <v>996</v>
      </c>
      <c r="B3139" s="1" t="s">
        <v>933</v>
      </c>
      <c r="C3139" s="1" t="s">
        <v>994</v>
      </c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</row>
    <row r="3140" spans="1:17" x14ac:dyDescent="0.25">
      <c r="A3140" s="1" t="s">
        <v>1066</v>
      </c>
      <c r="B3140" s="1" t="s">
        <v>996</v>
      </c>
      <c r="C3140" s="1" t="s">
        <v>933</v>
      </c>
      <c r="D3140" s="1" t="s">
        <v>994</v>
      </c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</row>
    <row r="3141" spans="1:17" x14ac:dyDescent="0.25">
      <c r="A3141" s="1" t="s">
        <v>981</v>
      </c>
      <c r="B3141" s="1" t="s">
        <v>1019</v>
      </c>
      <c r="C3141" s="1" t="s">
        <v>983</v>
      </c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</row>
    <row r="3142" spans="1:17" x14ac:dyDescent="0.25">
      <c r="A3142" s="1" t="s">
        <v>981</v>
      </c>
      <c r="B3142" s="1" t="s">
        <v>1019</v>
      </c>
      <c r="C3142" s="1" t="s">
        <v>983</v>
      </c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</row>
    <row r="3143" spans="1:17" x14ac:dyDescent="0.25">
      <c r="A3143" s="1" t="s">
        <v>981</v>
      </c>
      <c r="B3143" s="1" t="s">
        <v>1019</v>
      </c>
      <c r="C3143" s="1" t="s">
        <v>983</v>
      </c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</row>
    <row r="3144" spans="1:17" x14ac:dyDescent="0.25">
      <c r="A3144" s="1" t="s">
        <v>981</v>
      </c>
      <c r="B3144" s="1" t="s">
        <v>1019</v>
      </c>
      <c r="C3144" s="1" t="s">
        <v>983</v>
      </c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</row>
    <row r="3145" spans="1:17" x14ac:dyDescent="0.25">
      <c r="A3145" s="1" t="s">
        <v>981</v>
      </c>
      <c r="B3145" s="1" t="s">
        <v>1019</v>
      </c>
      <c r="C3145" s="1" t="s">
        <v>983</v>
      </c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</row>
    <row r="3146" spans="1:17" x14ac:dyDescent="0.25">
      <c r="A3146" s="1" t="s">
        <v>256</v>
      </c>
      <c r="B3146" s="1" t="s">
        <v>1049</v>
      </c>
      <c r="C3146" s="1" t="s">
        <v>10833</v>
      </c>
      <c r="D3146" s="1" t="s">
        <v>10845</v>
      </c>
      <c r="E3146" s="1" t="s">
        <v>10835</v>
      </c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</row>
    <row r="3147" spans="1:17" x14ac:dyDescent="0.25">
      <c r="A3147" s="1" t="s">
        <v>1001</v>
      </c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</row>
    <row r="3148" spans="1:17" x14ac:dyDescent="0.25">
      <c r="A3148" s="1" t="s">
        <v>927</v>
      </c>
      <c r="B3148" s="1" t="s">
        <v>919</v>
      </c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</row>
    <row r="3149" spans="1:17" x14ac:dyDescent="0.25">
      <c r="A3149" s="1" t="s">
        <v>1001</v>
      </c>
      <c r="B3149" s="1" t="s">
        <v>927</v>
      </c>
      <c r="C3149" s="1" t="s">
        <v>992</v>
      </c>
      <c r="D3149" s="1" t="s">
        <v>981</v>
      </c>
      <c r="E3149" s="1" t="s">
        <v>1066</v>
      </c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</row>
    <row r="3150" spans="1:17" x14ac:dyDescent="0.25">
      <c r="A3150" s="1" t="s">
        <v>964</v>
      </c>
      <c r="B3150" s="1" t="s">
        <v>1109</v>
      </c>
      <c r="C3150" s="1" t="s">
        <v>919</v>
      </c>
      <c r="D3150" s="1" t="s">
        <v>25</v>
      </c>
      <c r="E3150" s="1" t="s">
        <v>923</v>
      </c>
      <c r="F3150" s="1" t="s">
        <v>916</v>
      </c>
      <c r="G3150" s="1" t="s">
        <v>1078</v>
      </c>
      <c r="H3150" s="1" t="s">
        <v>980</v>
      </c>
      <c r="I3150" s="1" t="s">
        <v>920</v>
      </c>
      <c r="J3150" s="1" t="s">
        <v>921</v>
      </c>
      <c r="K3150" s="1" t="s">
        <v>981</v>
      </c>
      <c r="L3150" s="1"/>
      <c r="M3150" s="1"/>
      <c r="N3150" s="1"/>
      <c r="O3150" s="1"/>
      <c r="P3150" s="1"/>
      <c r="Q3150" s="1"/>
    </row>
    <row r="3151" spans="1:17" x14ac:dyDescent="0.25">
      <c r="A3151" s="1" t="s">
        <v>981</v>
      </c>
      <c r="B3151" s="1" t="s">
        <v>1019</v>
      </c>
      <c r="C3151" s="1" t="s">
        <v>983</v>
      </c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</row>
    <row r="3152" spans="1:17" x14ac:dyDescent="0.25">
      <c r="A3152" s="1" t="s">
        <v>1001</v>
      </c>
      <c r="B3152" s="1" t="s">
        <v>927</v>
      </c>
      <c r="C3152" s="1" t="s">
        <v>981</v>
      </c>
      <c r="D3152" s="1" t="s">
        <v>1019</v>
      </c>
      <c r="E3152" s="1" t="s">
        <v>983</v>
      </c>
      <c r="F3152" s="1" t="s">
        <v>984</v>
      </c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</row>
    <row r="3153" spans="1:17" x14ac:dyDescent="0.25">
      <c r="A3153" s="1" t="s">
        <v>1001</v>
      </c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</row>
    <row r="3154" spans="1:17" x14ac:dyDescent="0.25">
      <c r="A3154" s="1" t="s">
        <v>1001</v>
      </c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</row>
    <row r="3155" spans="1:17" x14ac:dyDescent="0.25">
      <c r="A3155" s="1" t="s">
        <v>1001</v>
      </c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</row>
    <row r="3156" spans="1:17" x14ac:dyDescent="0.25">
      <c r="A3156" s="1" t="s">
        <v>1001</v>
      </c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</row>
    <row r="3157" spans="1:17" x14ac:dyDescent="0.25">
      <c r="A3157" s="1" t="s">
        <v>1001</v>
      </c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</row>
    <row r="3158" spans="1:17" x14ac:dyDescent="0.25">
      <c r="A3158" s="1" t="s">
        <v>1001</v>
      </c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</row>
    <row r="3159" spans="1:17" x14ac:dyDescent="0.25">
      <c r="A3159" s="1" t="s">
        <v>1001</v>
      </c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</row>
    <row r="3160" spans="1:17" x14ac:dyDescent="0.25">
      <c r="A3160" s="1" t="s">
        <v>1001</v>
      </c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</row>
    <row r="3161" spans="1:17" x14ac:dyDescent="0.25">
      <c r="A3161" s="1" t="s">
        <v>1001</v>
      </c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</row>
    <row r="3162" spans="1:17" x14ac:dyDescent="0.25">
      <c r="A3162" s="1" t="s">
        <v>1001</v>
      </c>
      <c r="B3162" s="1" t="s">
        <v>996</v>
      </c>
      <c r="C3162" s="1" t="s">
        <v>2541</v>
      </c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</row>
    <row r="3163" spans="1:17" x14ac:dyDescent="0.25">
      <c r="A3163" s="1" t="s">
        <v>1001</v>
      </c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</row>
    <row r="3164" spans="1:17" x14ac:dyDescent="0.25">
      <c r="A3164" s="1" t="s">
        <v>1001</v>
      </c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</row>
    <row r="3165" spans="1:17" x14ac:dyDescent="0.25">
      <c r="A3165" s="1" t="s">
        <v>1001</v>
      </c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</row>
    <row r="3166" spans="1:17" x14ac:dyDescent="0.25">
      <c r="A3166" s="1" t="s">
        <v>918</v>
      </c>
      <c r="B3166" s="1" t="s">
        <v>25</v>
      </c>
      <c r="C3166" s="1" t="s">
        <v>919</v>
      </c>
      <c r="D3166" s="1" t="s">
        <v>920</v>
      </c>
      <c r="E3166" s="1" t="s">
        <v>933</v>
      </c>
      <c r="F3166" s="1" t="s">
        <v>924</v>
      </c>
      <c r="G3166" s="1" t="s">
        <v>921</v>
      </c>
      <c r="H3166" s="1" t="s">
        <v>955</v>
      </c>
      <c r="I3166" s="1" t="s">
        <v>1036</v>
      </c>
      <c r="J3166" s="1" t="s">
        <v>1014</v>
      </c>
      <c r="K3166" s="1" t="s">
        <v>944</v>
      </c>
      <c r="L3166" s="1" t="s">
        <v>956</v>
      </c>
      <c r="M3166" s="1"/>
      <c r="N3166" s="1"/>
      <c r="O3166" s="1"/>
      <c r="P3166" s="1"/>
      <c r="Q3166" s="1"/>
    </row>
    <row r="3167" spans="1:17" x14ac:dyDescent="0.25">
      <c r="A3167" s="1" t="s">
        <v>918</v>
      </c>
      <c r="B3167" s="1" t="s">
        <v>25</v>
      </c>
      <c r="C3167" s="1" t="s">
        <v>919</v>
      </c>
      <c r="D3167" s="1" t="s">
        <v>920</v>
      </c>
      <c r="E3167" s="1" t="s">
        <v>933</v>
      </c>
      <c r="F3167" s="1" t="s">
        <v>924</v>
      </c>
      <c r="G3167" s="1" t="s">
        <v>921</v>
      </c>
      <c r="H3167" s="1" t="s">
        <v>958</v>
      </c>
      <c r="I3167" s="1" t="s">
        <v>927</v>
      </c>
      <c r="J3167" s="1" t="s">
        <v>928</v>
      </c>
      <c r="K3167" s="1" t="s">
        <v>936</v>
      </c>
      <c r="L3167" s="1" t="s">
        <v>930</v>
      </c>
      <c r="M3167" s="1" t="s">
        <v>945</v>
      </c>
      <c r="N3167" s="1"/>
      <c r="O3167" s="1"/>
      <c r="P3167" s="1"/>
      <c r="Q3167" s="1"/>
    </row>
    <row r="3168" spans="1:17" x14ac:dyDescent="0.25">
      <c r="A3168" s="1" t="s">
        <v>918</v>
      </c>
      <c r="B3168" s="1" t="s">
        <v>25</v>
      </c>
      <c r="C3168" s="1" t="s">
        <v>919</v>
      </c>
      <c r="D3168" s="1" t="s">
        <v>920</v>
      </c>
      <c r="E3168" s="1" t="s">
        <v>933</v>
      </c>
      <c r="F3168" s="1" t="s">
        <v>924</v>
      </c>
      <c r="G3168" s="1" t="s">
        <v>921</v>
      </c>
      <c r="H3168" s="1" t="s">
        <v>936</v>
      </c>
      <c r="I3168" s="1" t="s">
        <v>1085</v>
      </c>
      <c r="J3168" s="1" t="s">
        <v>955</v>
      </c>
      <c r="K3168" s="1" t="s">
        <v>1014</v>
      </c>
      <c r="L3168" s="1" t="s">
        <v>944</v>
      </c>
      <c r="M3168" s="1" t="s">
        <v>956</v>
      </c>
      <c r="N3168" s="1" t="s">
        <v>10797</v>
      </c>
      <c r="O3168" s="1"/>
      <c r="P3168" s="1"/>
      <c r="Q3168" s="1"/>
    </row>
    <row r="3169" spans="1:17" x14ac:dyDescent="0.25">
      <c r="A3169" s="1" t="s">
        <v>918</v>
      </c>
      <c r="B3169" s="1" t="s">
        <v>25</v>
      </c>
      <c r="C3169" s="1" t="s">
        <v>919</v>
      </c>
      <c r="D3169" s="1" t="s">
        <v>920</v>
      </c>
      <c r="E3169" s="1" t="s">
        <v>933</v>
      </c>
      <c r="F3169" s="1" t="s">
        <v>924</v>
      </c>
      <c r="G3169" s="1" t="s">
        <v>921</v>
      </c>
      <c r="H3169" s="1" t="s">
        <v>1001</v>
      </c>
      <c r="I3169" s="1" t="s">
        <v>927</v>
      </c>
      <c r="J3169" s="1" t="s">
        <v>936</v>
      </c>
      <c r="K3169" s="1"/>
      <c r="L3169" s="1"/>
      <c r="M3169" s="1"/>
      <c r="N3169" s="1"/>
      <c r="O3169" s="1"/>
      <c r="P3169" s="1"/>
      <c r="Q3169" s="1"/>
    </row>
    <row r="3170" spans="1:17" x14ac:dyDescent="0.25">
      <c r="A3170" s="1" t="s">
        <v>918</v>
      </c>
      <c r="B3170" s="1" t="s">
        <v>25</v>
      </c>
      <c r="C3170" s="1" t="s">
        <v>919</v>
      </c>
      <c r="D3170" s="1" t="s">
        <v>920</v>
      </c>
      <c r="E3170" s="1" t="s">
        <v>933</v>
      </c>
      <c r="F3170" s="1" t="s">
        <v>924</v>
      </c>
      <c r="G3170" s="1" t="s">
        <v>921</v>
      </c>
      <c r="H3170" s="1" t="s">
        <v>978</v>
      </c>
      <c r="I3170" s="1"/>
      <c r="J3170" s="1"/>
      <c r="K3170" s="1"/>
      <c r="L3170" s="1"/>
      <c r="M3170" s="1"/>
      <c r="N3170" s="1"/>
      <c r="O3170" s="1"/>
      <c r="P3170" s="1"/>
      <c r="Q3170" s="1"/>
    </row>
    <row r="3171" spans="1:17" x14ac:dyDescent="0.25">
      <c r="A3171" s="1" t="s">
        <v>918</v>
      </c>
      <c r="B3171" s="1" t="s">
        <v>25</v>
      </c>
      <c r="C3171" s="1" t="s">
        <v>919</v>
      </c>
      <c r="D3171" s="1" t="s">
        <v>920</v>
      </c>
      <c r="E3171" s="1" t="s">
        <v>933</v>
      </c>
      <c r="F3171" s="1" t="s">
        <v>924</v>
      </c>
      <c r="G3171" s="1" t="s">
        <v>921</v>
      </c>
      <c r="H3171" s="1" t="s">
        <v>978</v>
      </c>
      <c r="I3171" s="1"/>
      <c r="J3171" s="1"/>
      <c r="K3171" s="1"/>
      <c r="L3171" s="1"/>
      <c r="M3171" s="1"/>
      <c r="N3171" s="1"/>
      <c r="O3171" s="1"/>
      <c r="P3171" s="1"/>
      <c r="Q3171" s="1"/>
    </row>
    <row r="3172" spans="1:17" x14ac:dyDescent="0.25">
      <c r="A3172" s="1" t="s">
        <v>10796</v>
      </c>
      <c r="B3172" s="1" t="s">
        <v>952</v>
      </c>
      <c r="C3172" s="1" t="s">
        <v>919</v>
      </c>
      <c r="D3172" s="1" t="s">
        <v>1037</v>
      </c>
      <c r="E3172" s="1" t="s">
        <v>10726</v>
      </c>
      <c r="F3172" s="1" t="s">
        <v>924</v>
      </c>
      <c r="G3172" s="1" t="s">
        <v>10797</v>
      </c>
      <c r="H3172" s="1"/>
      <c r="I3172" s="1"/>
      <c r="J3172" s="1"/>
      <c r="K3172" s="1"/>
      <c r="L3172" s="1"/>
      <c r="M3172" s="1"/>
      <c r="N3172" s="1"/>
      <c r="O3172" s="1"/>
      <c r="P3172" s="1"/>
      <c r="Q3172" s="1"/>
    </row>
    <row r="3173" spans="1:17" x14ac:dyDescent="0.25">
      <c r="A3173" s="1" t="s">
        <v>952</v>
      </c>
      <c r="B3173" s="1" t="s">
        <v>919</v>
      </c>
      <c r="C3173" s="1" t="s">
        <v>1037</v>
      </c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</row>
    <row r="3174" spans="1:17" x14ac:dyDescent="0.25">
      <c r="A3174" s="1" t="s">
        <v>952</v>
      </c>
      <c r="B3174" s="1" t="s">
        <v>919</v>
      </c>
      <c r="C3174" s="1" t="s">
        <v>1037</v>
      </c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</row>
    <row r="3175" spans="1:17" x14ac:dyDescent="0.25">
      <c r="A3175" s="1" t="s">
        <v>952</v>
      </c>
      <c r="B3175" s="1" t="s">
        <v>919</v>
      </c>
      <c r="C3175" s="1" t="s">
        <v>1037</v>
      </c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</row>
    <row r="3176" spans="1:17" x14ac:dyDescent="0.25">
      <c r="A3176" s="1" t="s">
        <v>952</v>
      </c>
      <c r="B3176" s="1" t="s">
        <v>919</v>
      </c>
      <c r="C3176" s="1" t="s">
        <v>1037</v>
      </c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</row>
    <row r="3177" spans="1:17" x14ac:dyDescent="0.25">
      <c r="A3177" s="1" t="s">
        <v>952</v>
      </c>
      <c r="B3177" s="1" t="s">
        <v>919</v>
      </c>
      <c r="C3177" s="1" t="s">
        <v>1037</v>
      </c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</row>
    <row r="3178" spans="1:17" x14ac:dyDescent="0.25">
      <c r="A3178" s="1" t="s">
        <v>952</v>
      </c>
      <c r="B3178" s="1" t="s">
        <v>919</v>
      </c>
      <c r="C3178" s="1" t="s">
        <v>1037</v>
      </c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</row>
    <row r="3179" spans="1:17" x14ac:dyDescent="0.25">
      <c r="A3179" s="1" t="s">
        <v>918</v>
      </c>
      <c r="B3179" s="1" t="s">
        <v>25</v>
      </c>
      <c r="C3179" s="1" t="s">
        <v>923</v>
      </c>
      <c r="D3179" s="1" t="s">
        <v>973</v>
      </c>
      <c r="E3179" s="1" t="s">
        <v>916</v>
      </c>
      <c r="F3179" s="1" t="s">
        <v>920</v>
      </c>
      <c r="G3179" s="1" t="s">
        <v>954</v>
      </c>
      <c r="H3179" s="1" t="s">
        <v>974</v>
      </c>
      <c r="I3179" s="1" t="s">
        <v>921</v>
      </c>
      <c r="J3179" s="1"/>
      <c r="K3179" s="1"/>
      <c r="L3179" s="1"/>
      <c r="M3179" s="1"/>
      <c r="N3179" s="1"/>
      <c r="O3179" s="1"/>
      <c r="P3179" s="1"/>
      <c r="Q3179" s="1"/>
    </row>
    <row r="3180" spans="1:17" x14ac:dyDescent="0.25">
      <c r="A3180" s="1" t="s">
        <v>918</v>
      </c>
      <c r="B3180" s="1" t="s">
        <v>25</v>
      </c>
      <c r="C3180" s="1" t="s">
        <v>923</v>
      </c>
      <c r="D3180" s="1" t="s">
        <v>973</v>
      </c>
      <c r="E3180" s="1" t="s">
        <v>916</v>
      </c>
      <c r="F3180" s="1" t="s">
        <v>920</v>
      </c>
      <c r="G3180" s="1" t="s">
        <v>954</v>
      </c>
      <c r="H3180" s="1" t="s">
        <v>974</v>
      </c>
      <c r="I3180" s="1" t="s">
        <v>921</v>
      </c>
      <c r="J3180" s="1" t="s">
        <v>10982</v>
      </c>
      <c r="K3180" s="1"/>
      <c r="L3180" s="1"/>
      <c r="M3180" s="1"/>
      <c r="N3180" s="1"/>
      <c r="O3180" s="1"/>
      <c r="P3180" s="1"/>
      <c r="Q3180" s="1"/>
    </row>
    <row r="3181" spans="1:17" x14ac:dyDescent="0.25">
      <c r="A3181" s="1" t="s">
        <v>918</v>
      </c>
      <c r="B3181" s="1" t="s">
        <v>25</v>
      </c>
      <c r="C3181" s="1" t="s">
        <v>923</v>
      </c>
      <c r="D3181" s="1" t="s">
        <v>973</v>
      </c>
      <c r="E3181" s="1" t="s">
        <v>916</v>
      </c>
      <c r="F3181" s="1" t="s">
        <v>920</v>
      </c>
      <c r="G3181" s="1" t="s">
        <v>954</v>
      </c>
      <c r="H3181" s="1" t="s">
        <v>974</v>
      </c>
      <c r="I3181" s="1" t="s">
        <v>921</v>
      </c>
      <c r="J3181" s="1" t="s">
        <v>927</v>
      </c>
      <c r="K3181" s="1" t="s">
        <v>981</v>
      </c>
      <c r="L3181" s="1" t="s">
        <v>919</v>
      </c>
      <c r="M3181" s="1"/>
      <c r="N3181" s="1"/>
      <c r="O3181" s="1"/>
      <c r="P3181" s="1"/>
      <c r="Q3181" s="1"/>
    </row>
    <row r="3182" spans="1:17" x14ac:dyDescent="0.25">
      <c r="A3182" s="1" t="s">
        <v>925</v>
      </c>
      <c r="B3182" s="1" t="s">
        <v>918</v>
      </c>
      <c r="C3182" s="1" t="s">
        <v>10813</v>
      </c>
      <c r="D3182" s="1" t="s">
        <v>927</v>
      </c>
      <c r="E3182" s="1" t="s">
        <v>919</v>
      </c>
      <c r="F3182" s="1" t="s">
        <v>921</v>
      </c>
      <c r="G3182" s="1" t="s">
        <v>25</v>
      </c>
      <c r="H3182" s="1" t="s">
        <v>923</v>
      </c>
      <c r="I3182" s="1" t="s">
        <v>916</v>
      </c>
      <c r="J3182" s="1" t="s">
        <v>1078</v>
      </c>
      <c r="K3182" s="1" t="s">
        <v>980</v>
      </c>
      <c r="L3182" s="1" t="s">
        <v>920</v>
      </c>
      <c r="M3182" s="1" t="s">
        <v>973</v>
      </c>
      <c r="N3182" s="1" t="s">
        <v>954</v>
      </c>
      <c r="O3182" s="1" t="s">
        <v>974</v>
      </c>
      <c r="P3182" s="1"/>
      <c r="Q3182" s="1"/>
    </row>
    <row r="3183" spans="1:17" x14ac:dyDescent="0.25">
      <c r="A3183" s="1" t="s">
        <v>918</v>
      </c>
      <c r="B3183" s="1" t="s">
        <v>25</v>
      </c>
      <c r="C3183" s="1" t="s">
        <v>923</v>
      </c>
      <c r="D3183" s="1" t="s">
        <v>973</v>
      </c>
      <c r="E3183" s="1" t="s">
        <v>916</v>
      </c>
      <c r="F3183" s="1" t="s">
        <v>920</v>
      </c>
      <c r="G3183" s="1" t="s">
        <v>954</v>
      </c>
      <c r="H3183" s="1" t="s">
        <v>974</v>
      </c>
      <c r="I3183" s="1" t="s">
        <v>921</v>
      </c>
      <c r="J3183" s="1" t="s">
        <v>1019</v>
      </c>
      <c r="K3183" s="1"/>
      <c r="L3183" s="1"/>
      <c r="M3183" s="1"/>
      <c r="N3183" s="1"/>
      <c r="O3183" s="1"/>
      <c r="P3183" s="1"/>
      <c r="Q3183" s="1"/>
    </row>
    <row r="3184" spans="1:17" x14ac:dyDescent="0.25">
      <c r="A3184" s="1" t="s">
        <v>918</v>
      </c>
      <c r="B3184" s="1" t="s">
        <v>25</v>
      </c>
      <c r="C3184" s="1" t="s">
        <v>923</v>
      </c>
      <c r="D3184" s="1" t="s">
        <v>973</v>
      </c>
      <c r="E3184" s="1" t="s">
        <v>916</v>
      </c>
      <c r="F3184" s="1" t="s">
        <v>920</v>
      </c>
      <c r="G3184" s="1" t="s">
        <v>954</v>
      </c>
      <c r="H3184" s="1" t="s">
        <v>974</v>
      </c>
      <c r="I3184" s="1" t="s">
        <v>921</v>
      </c>
      <c r="J3184" s="1" t="s">
        <v>1040</v>
      </c>
      <c r="K3184" s="1" t="s">
        <v>919</v>
      </c>
      <c r="L3184" s="1" t="s">
        <v>930</v>
      </c>
      <c r="M3184" s="1" t="s">
        <v>929</v>
      </c>
      <c r="N3184" s="1" t="s">
        <v>941</v>
      </c>
      <c r="O3184" s="1" t="s">
        <v>1143</v>
      </c>
      <c r="P3184" s="1" t="s">
        <v>1085</v>
      </c>
      <c r="Q3184" s="1" t="s">
        <v>955</v>
      </c>
    </row>
    <row r="3185" spans="1:17" x14ac:dyDescent="0.25">
      <c r="A3185" s="1" t="s">
        <v>918</v>
      </c>
      <c r="B3185" s="1" t="s">
        <v>25</v>
      </c>
      <c r="C3185" s="1" t="s">
        <v>923</v>
      </c>
      <c r="D3185" s="1" t="s">
        <v>973</v>
      </c>
      <c r="E3185" s="1" t="s">
        <v>916</v>
      </c>
      <c r="F3185" s="1" t="s">
        <v>920</v>
      </c>
      <c r="G3185" s="1" t="s">
        <v>954</v>
      </c>
      <c r="H3185" s="1" t="s">
        <v>974</v>
      </c>
      <c r="I3185" s="1" t="s">
        <v>921</v>
      </c>
      <c r="J3185" s="1"/>
      <c r="K3185" s="1"/>
      <c r="L3185" s="1"/>
      <c r="M3185" s="1"/>
      <c r="N3185" s="1"/>
      <c r="O3185" s="1"/>
      <c r="P3185" s="1"/>
      <c r="Q3185" s="1"/>
    </row>
    <row r="3186" spans="1:17" x14ac:dyDescent="0.25">
      <c r="A3186" s="1" t="s">
        <v>955</v>
      </c>
      <c r="B3186" s="1" t="s">
        <v>10871</v>
      </c>
      <c r="C3186" s="1" t="s">
        <v>924</v>
      </c>
      <c r="D3186" s="1" t="s">
        <v>1014</v>
      </c>
      <c r="E3186" s="1" t="s">
        <v>956</v>
      </c>
      <c r="F3186" s="1" t="s">
        <v>918</v>
      </c>
      <c r="G3186" s="1" t="s">
        <v>1036</v>
      </c>
      <c r="H3186" s="1" t="s">
        <v>944</v>
      </c>
      <c r="I3186" s="1" t="s">
        <v>983</v>
      </c>
      <c r="J3186" s="1" t="s">
        <v>984</v>
      </c>
      <c r="K3186" s="1" t="s">
        <v>1019</v>
      </c>
      <c r="L3186" s="1" t="s">
        <v>919</v>
      </c>
      <c r="M3186" s="1" t="s">
        <v>1020</v>
      </c>
      <c r="N3186" s="1" t="s">
        <v>1021</v>
      </c>
      <c r="O3186" s="1" t="s">
        <v>10739</v>
      </c>
      <c r="P3186" s="1" t="s">
        <v>10870</v>
      </c>
      <c r="Q3186" s="1" t="s">
        <v>930</v>
      </c>
    </row>
    <row r="3187" spans="1:17" x14ac:dyDescent="0.25">
      <c r="A3187" s="1" t="s">
        <v>983</v>
      </c>
      <c r="B3187" s="1" t="s">
        <v>984</v>
      </c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</row>
    <row r="3188" spans="1:17" x14ac:dyDescent="0.25">
      <c r="A3188" s="1" t="s">
        <v>983</v>
      </c>
      <c r="B3188" s="1" t="s">
        <v>984</v>
      </c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</row>
    <row r="3189" spans="1:17" x14ac:dyDescent="0.25">
      <c r="A3189" s="1" t="s">
        <v>983</v>
      </c>
      <c r="B3189" s="1" t="s">
        <v>984</v>
      </c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</row>
    <row r="3190" spans="1:17" x14ac:dyDescent="0.25">
      <c r="A3190" s="1" t="s">
        <v>983</v>
      </c>
      <c r="B3190" s="1" t="s">
        <v>984</v>
      </c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</row>
    <row r="3191" spans="1:17" x14ac:dyDescent="0.25">
      <c r="A3191" s="1" t="s">
        <v>983</v>
      </c>
      <c r="B3191" s="1" t="s">
        <v>984</v>
      </c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</row>
    <row r="3192" spans="1:17" x14ac:dyDescent="0.25">
      <c r="A3192" s="1" t="s">
        <v>983</v>
      </c>
      <c r="B3192" s="1" t="s">
        <v>984</v>
      </c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</row>
    <row r="3193" spans="1:17" x14ac:dyDescent="0.25">
      <c r="A3193" s="1" t="s">
        <v>983</v>
      </c>
      <c r="B3193" s="1" t="s">
        <v>984</v>
      </c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</row>
    <row r="3194" spans="1:17" x14ac:dyDescent="0.25">
      <c r="A3194" s="1" t="s">
        <v>983</v>
      </c>
      <c r="B3194" s="1" t="s">
        <v>984</v>
      </c>
      <c r="C3194" s="1" t="s">
        <v>10739</v>
      </c>
      <c r="D3194" s="1" t="s">
        <v>955</v>
      </c>
      <c r="E3194" s="1" t="s">
        <v>1014</v>
      </c>
      <c r="F3194" s="1" t="s">
        <v>10740</v>
      </c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</row>
    <row r="3195" spans="1:17" x14ac:dyDescent="0.25">
      <c r="A3195" s="1" t="s">
        <v>50</v>
      </c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</row>
    <row r="3196" spans="1:17" x14ac:dyDescent="0.25">
      <c r="A3196" s="1" t="s">
        <v>927</v>
      </c>
      <c r="B3196" s="1" t="s">
        <v>993</v>
      </c>
      <c r="C3196" s="1" t="s">
        <v>960</v>
      </c>
      <c r="D3196" s="1" t="s">
        <v>961</v>
      </c>
      <c r="E3196" s="1" t="s">
        <v>1147</v>
      </c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</row>
    <row r="3197" spans="1:17" x14ac:dyDescent="0.25">
      <c r="A3197" s="1" t="s">
        <v>924</v>
      </c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</row>
    <row r="3198" spans="1:17" x14ac:dyDescent="0.25">
      <c r="A3198" s="1" t="s">
        <v>25</v>
      </c>
      <c r="B3198" s="1" t="s">
        <v>919</v>
      </c>
      <c r="C3198" s="1" t="s">
        <v>920</v>
      </c>
      <c r="D3198" s="1" t="s">
        <v>921</v>
      </c>
      <c r="E3198" s="1" t="s">
        <v>10729</v>
      </c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</row>
    <row r="3199" spans="1:17" x14ac:dyDescent="0.25">
      <c r="A3199" s="1" t="s">
        <v>25</v>
      </c>
      <c r="B3199" s="1" t="s">
        <v>919</v>
      </c>
      <c r="C3199" s="1" t="s">
        <v>920</v>
      </c>
      <c r="D3199" s="1" t="s">
        <v>921</v>
      </c>
      <c r="E3199" s="1" t="s">
        <v>929</v>
      </c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</row>
    <row r="3200" spans="1:17" x14ac:dyDescent="0.25">
      <c r="A3200" s="1" t="s">
        <v>25</v>
      </c>
      <c r="B3200" s="1" t="s">
        <v>919</v>
      </c>
      <c r="C3200" s="1" t="s">
        <v>920</v>
      </c>
      <c r="D3200" s="1" t="s">
        <v>921</v>
      </c>
      <c r="E3200" s="1" t="s">
        <v>1109</v>
      </c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</row>
    <row r="3201" spans="1:17" x14ac:dyDescent="0.25">
      <c r="A3201" s="1" t="s">
        <v>25</v>
      </c>
      <c r="B3201" s="1" t="s">
        <v>919</v>
      </c>
      <c r="C3201" s="1" t="s">
        <v>920</v>
      </c>
      <c r="D3201" s="1" t="s">
        <v>921</v>
      </c>
      <c r="E3201" s="1" t="s">
        <v>918</v>
      </c>
      <c r="F3201" s="1" t="s">
        <v>936</v>
      </c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</row>
    <row r="3202" spans="1:17" x14ac:dyDescent="0.25">
      <c r="A3202" s="1" t="s">
        <v>25</v>
      </c>
      <c r="B3202" s="1" t="s">
        <v>919</v>
      </c>
      <c r="C3202" s="1" t="s">
        <v>920</v>
      </c>
      <c r="D3202" s="1" t="s">
        <v>921</v>
      </c>
      <c r="E3202" s="1" t="s">
        <v>1001</v>
      </c>
      <c r="F3202" s="1" t="s">
        <v>1016</v>
      </c>
      <c r="G3202" s="1" t="s">
        <v>152</v>
      </c>
      <c r="H3202" s="1"/>
      <c r="I3202" s="1"/>
      <c r="J3202" s="1"/>
      <c r="K3202" s="1"/>
      <c r="L3202" s="1"/>
      <c r="M3202" s="1"/>
      <c r="N3202" s="1"/>
      <c r="O3202" s="1"/>
      <c r="P3202" s="1"/>
      <c r="Q3202" s="1"/>
    </row>
    <row r="3203" spans="1:17" x14ac:dyDescent="0.25">
      <c r="A3203" s="1" t="s">
        <v>25</v>
      </c>
      <c r="B3203" s="1" t="s">
        <v>919</v>
      </c>
      <c r="C3203" s="1" t="s">
        <v>920</v>
      </c>
      <c r="D3203" s="1" t="s">
        <v>921</v>
      </c>
      <c r="E3203" s="1" t="s">
        <v>918</v>
      </c>
      <c r="F3203" s="1" t="s">
        <v>930</v>
      </c>
      <c r="G3203" s="1" t="s">
        <v>945</v>
      </c>
      <c r="H3203" s="1"/>
      <c r="I3203" s="1"/>
      <c r="J3203" s="1"/>
      <c r="K3203" s="1"/>
      <c r="L3203" s="1"/>
      <c r="M3203" s="1"/>
      <c r="N3203" s="1"/>
      <c r="O3203" s="1"/>
      <c r="P3203" s="1"/>
      <c r="Q3203" s="1"/>
    </row>
    <row r="3204" spans="1:17" x14ac:dyDescent="0.25">
      <c r="A3204" s="1" t="s">
        <v>25</v>
      </c>
      <c r="B3204" s="1" t="s">
        <v>919</v>
      </c>
      <c r="C3204" s="1" t="s">
        <v>920</v>
      </c>
      <c r="D3204" s="1" t="s">
        <v>921</v>
      </c>
      <c r="E3204" s="1" t="s">
        <v>983</v>
      </c>
      <c r="F3204" s="1" t="s">
        <v>984</v>
      </c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</row>
    <row r="3205" spans="1:17" x14ac:dyDescent="0.25">
      <c r="A3205" s="1" t="s">
        <v>25</v>
      </c>
      <c r="B3205" s="1" t="s">
        <v>919</v>
      </c>
      <c r="C3205" s="1" t="s">
        <v>920</v>
      </c>
      <c r="D3205" s="1" t="s">
        <v>921</v>
      </c>
      <c r="E3205" s="1" t="s">
        <v>1001</v>
      </c>
      <c r="F3205" s="1" t="s">
        <v>927</v>
      </c>
      <c r="G3205" s="1" t="s">
        <v>981</v>
      </c>
      <c r="H3205" s="1"/>
      <c r="I3205" s="1"/>
      <c r="J3205" s="1"/>
      <c r="K3205" s="1"/>
      <c r="L3205" s="1"/>
      <c r="M3205" s="1"/>
      <c r="N3205" s="1"/>
      <c r="O3205" s="1"/>
      <c r="P3205" s="1"/>
      <c r="Q3205" s="1"/>
    </row>
    <row r="3206" spans="1:17" x14ac:dyDescent="0.25">
      <c r="A3206" s="1" t="s">
        <v>25</v>
      </c>
      <c r="B3206" s="1" t="s">
        <v>919</v>
      </c>
      <c r="C3206" s="1" t="s">
        <v>920</v>
      </c>
      <c r="D3206" s="1" t="s">
        <v>921</v>
      </c>
      <c r="E3206" s="1" t="s">
        <v>961</v>
      </c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</row>
    <row r="3207" spans="1:17" x14ac:dyDescent="0.25">
      <c r="A3207" s="1" t="s">
        <v>1023</v>
      </c>
      <c r="B3207" s="1" t="s">
        <v>11032</v>
      </c>
      <c r="C3207" s="1" t="s">
        <v>983</v>
      </c>
      <c r="D3207" s="1" t="s">
        <v>989</v>
      </c>
      <c r="E3207" s="1" t="s">
        <v>984</v>
      </c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</row>
    <row r="3208" spans="1:17" x14ac:dyDescent="0.25">
      <c r="A3208" s="1" t="s">
        <v>50</v>
      </c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</row>
    <row r="3209" spans="1:17" x14ac:dyDescent="0.25">
      <c r="A3209" s="1" t="s">
        <v>50</v>
      </c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</row>
    <row r="3210" spans="1:17" x14ac:dyDescent="0.25">
      <c r="A3210" s="1" t="s">
        <v>1040</v>
      </c>
      <c r="B3210" s="1" t="s">
        <v>919</v>
      </c>
      <c r="C3210" s="1" t="s">
        <v>10729</v>
      </c>
      <c r="D3210" s="1" t="s">
        <v>930</v>
      </c>
      <c r="E3210" s="1" t="s">
        <v>945</v>
      </c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</row>
    <row r="3211" spans="1:17" x14ac:dyDescent="0.25">
      <c r="A3211" s="1" t="s">
        <v>921</v>
      </c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</row>
    <row r="3212" spans="1:17" x14ac:dyDescent="0.25">
      <c r="A3212" s="1" t="s">
        <v>933</v>
      </c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</row>
    <row r="3213" spans="1:17" x14ac:dyDescent="0.25">
      <c r="A3213" s="1" t="s">
        <v>1001</v>
      </c>
      <c r="B3213" s="1" t="s">
        <v>10880</v>
      </c>
      <c r="C3213" s="1" t="s">
        <v>927</v>
      </c>
      <c r="D3213" s="1" t="s">
        <v>919</v>
      </c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</row>
    <row r="3214" spans="1:17" x14ac:dyDescent="0.25">
      <c r="A3214" s="1" t="s">
        <v>11033</v>
      </c>
      <c r="B3214" s="1" t="s">
        <v>176</v>
      </c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</row>
    <row r="3215" spans="1:17" x14ac:dyDescent="0.25">
      <c r="A3215" s="1" t="s">
        <v>943</v>
      </c>
      <c r="B3215" s="1" t="s">
        <v>924</v>
      </c>
      <c r="C3215" s="1" t="s">
        <v>945</v>
      </c>
      <c r="D3215" s="1" t="s">
        <v>8695</v>
      </c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</row>
    <row r="3216" spans="1:17" x14ac:dyDescent="0.25">
      <c r="A3216" s="1" t="s">
        <v>25</v>
      </c>
      <c r="B3216" s="1" t="s">
        <v>927</v>
      </c>
      <c r="C3216" s="1" t="s">
        <v>981</v>
      </c>
      <c r="D3216" s="1" t="s">
        <v>920</v>
      </c>
      <c r="E3216" s="1" t="s">
        <v>933</v>
      </c>
      <c r="F3216" s="1" t="s">
        <v>921</v>
      </c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</row>
    <row r="3217" spans="1:17" x14ac:dyDescent="0.25">
      <c r="A3217" s="1" t="s">
        <v>1001</v>
      </c>
      <c r="B3217" s="1" t="s">
        <v>927</v>
      </c>
      <c r="C3217" s="1" t="s">
        <v>992</v>
      </c>
      <c r="D3217" s="1" t="s">
        <v>981</v>
      </c>
      <c r="E3217" s="1" t="s">
        <v>10726</v>
      </c>
      <c r="F3217" s="1" t="s">
        <v>919</v>
      </c>
      <c r="G3217" s="1" t="s">
        <v>924</v>
      </c>
      <c r="H3217" s="1"/>
      <c r="I3217" s="1"/>
      <c r="J3217" s="1"/>
      <c r="K3217" s="1"/>
      <c r="L3217" s="1"/>
      <c r="M3217" s="1"/>
      <c r="N3217" s="1"/>
      <c r="O3217" s="1"/>
      <c r="P3217" s="1"/>
      <c r="Q3217" s="1"/>
    </row>
    <row r="3218" spans="1:17" x14ac:dyDescent="0.25">
      <c r="A3218" s="1" t="s">
        <v>1001</v>
      </c>
      <c r="B3218" s="1" t="s">
        <v>918</v>
      </c>
      <c r="C3218" s="1" t="s">
        <v>927</v>
      </c>
      <c r="D3218" s="1" t="s">
        <v>981</v>
      </c>
      <c r="E3218" s="1" t="s">
        <v>978</v>
      </c>
      <c r="F3218" s="1" t="s">
        <v>919</v>
      </c>
      <c r="G3218" s="1" t="s">
        <v>920</v>
      </c>
      <c r="H3218" s="1" t="s">
        <v>933</v>
      </c>
      <c r="I3218" s="1" t="s">
        <v>936</v>
      </c>
      <c r="J3218" s="1" t="s">
        <v>921</v>
      </c>
      <c r="K3218" s="1"/>
      <c r="L3218" s="1"/>
      <c r="M3218" s="1"/>
      <c r="N3218" s="1"/>
      <c r="O3218" s="1"/>
      <c r="P3218" s="1"/>
      <c r="Q3218" s="1"/>
    </row>
    <row r="3219" spans="1:17" x14ac:dyDescent="0.25">
      <c r="A3219" s="1" t="s">
        <v>1001</v>
      </c>
      <c r="B3219" s="1" t="s">
        <v>927</v>
      </c>
      <c r="C3219" s="1" t="s">
        <v>919</v>
      </c>
      <c r="D3219" s="1" t="s">
        <v>960</v>
      </c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</row>
    <row r="3220" spans="1:17" x14ac:dyDescent="0.25">
      <c r="A3220" s="1" t="s">
        <v>927</v>
      </c>
      <c r="B3220" s="1" t="s">
        <v>981</v>
      </c>
      <c r="C3220" s="1" t="s">
        <v>919</v>
      </c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</row>
    <row r="3221" spans="1:17" x14ac:dyDescent="0.25">
      <c r="A3221" s="1" t="s">
        <v>11034</v>
      </c>
      <c r="B3221" s="1" t="s">
        <v>10724</v>
      </c>
      <c r="C3221" s="1" t="s">
        <v>1111</v>
      </c>
      <c r="D3221" s="1" t="s">
        <v>1112</v>
      </c>
      <c r="E3221" s="1" t="s">
        <v>921</v>
      </c>
      <c r="F3221" s="1" t="s">
        <v>8195</v>
      </c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</row>
    <row r="3222" spans="1:17" x14ac:dyDescent="0.25">
      <c r="A3222" s="1" t="s">
        <v>981</v>
      </c>
      <c r="B3222" s="1" t="s">
        <v>983</v>
      </c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</row>
    <row r="3223" spans="1:17" x14ac:dyDescent="0.25">
      <c r="A3223" s="1" t="s">
        <v>934</v>
      </c>
      <c r="B3223" s="1" t="s">
        <v>940</v>
      </c>
      <c r="C3223" s="1" t="s">
        <v>1011</v>
      </c>
      <c r="D3223" s="1" t="s">
        <v>25</v>
      </c>
      <c r="E3223" s="1" t="s">
        <v>923</v>
      </c>
      <c r="F3223" s="1" t="s">
        <v>916</v>
      </c>
      <c r="G3223" s="1" t="s">
        <v>920</v>
      </c>
      <c r="H3223" s="1" t="s">
        <v>933</v>
      </c>
      <c r="I3223" s="1" t="s">
        <v>921</v>
      </c>
      <c r="J3223" s="1" t="s">
        <v>992</v>
      </c>
      <c r="K3223" s="1"/>
      <c r="L3223" s="1"/>
      <c r="M3223" s="1"/>
      <c r="N3223" s="1"/>
      <c r="O3223" s="1"/>
      <c r="P3223" s="1"/>
      <c r="Q3223" s="1"/>
    </row>
    <row r="3224" spans="1:17" x14ac:dyDescent="0.25">
      <c r="A3224" s="1" t="s">
        <v>1001</v>
      </c>
      <c r="B3224" s="1" t="s">
        <v>927</v>
      </c>
      <c r="C3224" s="1" t="s">
        <v>981</v>
      </c>
      <c r="D3224" s="1" t="s">
        <v>919</v>
      </c>
      <c r="E3224" s="1" t="s">
        <v>921</v>
      </c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</row>
    <row r="3225" spans="1:17" x14ac:dyDescent="0.25">
      <c r="A3225" s="1" t="s">
        <v>2927</v>
      </c>
      <c r="B3225" s="1" t="s">
        <v>1051</v>
      </c>
      <c r="C3225" s="1" t="s">
        <v>25</v>
      </c>
      <c r="D3225" s="1" t="s">
        <v>1053</v>
      </c>
      <c r="E3225" s="1" t="s">
        <v>1086</v>
      </c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</row>
    <row r="3226" spans="1:17" x14ac:dyDescent="0.25">
      <c r="A3226" s="1" t="s">
        <v>918</v>
      </c>
      <c r="B3226" s="1" t="s">
        <v>25</v>
      </c>
      <c r="C3226" s="1" t="s">
        <v>923</v>
      </c>
      <c r="D3226" s="1" t="s">
        <v>973</v>
      </c>
      <c r="E3226" s="1" t="s">
        <v>916</v>
      </c>
      <c r="F3226" s="1" t="s">
        <v>920</v>
      </c>
      <c r="G3226" s="1" t="s">
        <v>954</v>
      </c>
      <c r="H3226" s="1" t="s">
        <v>974</v>
      </c>
      <c r="I3226" s="1" t="s">
        <v>921</v>
      </c>
      <c r="J3226" s="1"/>
      <c r="K3226" s="1"/>
      <c r="L3226" s="1"/>
      <c r="M3226" s="1"/>
      <c r="N3226" s="1"/>
      <c r="O3226" s="1"/>
      <c r="P3226" s="1"/>
      <c r="Q3226" s="1"/>
    </row>
    <row r="3227" spans="1:17" x14ac:dyDescent="0.25">
      <c r="A3227" s="1" t="s">
        <v>949</v>
      </c>
      <c r="B3227" s="1" t="s">
        <v>923</v>
      </c>
      <c r="C3227" s="1" t="s">
        <v>973</v>
      </c>
      <c r="D3227" s="1" t="s">
        <v>916</v>
      </c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</row>
    <row r="3228" spans="1:17" x14ac:dyDescent="0.25">
      <c r="A3228" s="1" t="s">
        <v>25</v>
      </c>
      <c r="B3228" s="1" t="s">
        <v>923</v>
      </c>
      <c r="C3228" s="1" t="s">
        <v>927</v>
      </c>
      <c r="D3228" s="1" t="s">
        <v>919</v>
      </c>
      <c r="E3228" s="1" t="s">
        <v>920</v>
      </c>
      <c r="F3228" s="1" t="s">
        <v>921</v>
      </c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</row>
    <row r="3229" spans="1:17" x14ac:dyDescent="0.25">
      <c r="A3229" s="1" t="s">
        <v>964</v>
      </c>
      <c r="B3229" s="1" t="s">
        <v>10724</v>
      </c>
      <c r="C3229" s="1" t="s">
        <v>25</v>
      </c>
      <c r="D3229" s="1" t="s">
        <v>997</v>
      </c>
      <c r="E3229" s="1" t="s">
        <v>953</v>
      </c>
      <c r="F3229" s="1" t="s">
        <v>994</v>
      </c>
      <c r="G3229" s="1" t="s">
        <v>5407</v>
      </c>
      <c r="H3229" s="1" t="s">
        <v>10739</v>
      </c>
      <c r="I3229" s="1" t="s">
        <v>1143</v>
      </c>
      <c r="J3229" s="1" t="s">
        <v>1085</v>
      </c>
      <c r="K3229" s="1" t="s">
        <v>955</v>
      </c>
      <c r="L3229" s="1" t="s">
        <v>10895</v>
      </c>
      <c r="M3229" s="1" t="s">
        <v>11035</v>
      </c>
      <c r="N3229" s="1" t="s">
        <v>924</v>
      </c>
      <c r="O3229" s="1" t="s">
        <v>1014</v>
      </c>
      <c r="P3229" s="1" t="s">
        <v>944</v>
      </c>
      <c r="Q3229" s="1" t="s">
        <v>956</v>
      </c>
    </row>
    <row r="3230" spans="1:17" x14ac:dyDescent="0.25">
      <c r="A3230" s="1" t="s">
        <v>996</v>
      </c>
      <c r="B3230" s="1" t="s">
        <v>948</v>
      </c>
      <c r="C3230" s="1" t="s">
        <v>10788</v>
      </c>
      <c r="D3230" s="1" t="s">
        <v>25</v>
      </c>
      <c r="E3230" s="1" t="s">
        <v>923</v>
      </c>
      <c r="F3230" s="1" t="s">
        <v>997</v>
      </c>
      <c r="G3230" s="1" t="s">
        <v>1086</v>
      </c>
      <c r="H3230" s="1" t="s">
        <v>920</v>
      </c>
      <c r="I3230" s="1" t="s">
        <v>933</v>
      </c>
      <c r="J3230" s="1"/>
      <c r="K3230" s="1"/>
      <c r="L3230" s="1"/>
      <c r="M3230" s="1"/>
      <c r="N3230" s="1"/>
      <c r="O3230" s="1"/>
      <c r="P3230" s="1"/>
      <c r="Q3230" s="1"/>
    </row>
    <row r="3231" spans="1:17" x14ac:dyDescent="0.25">
      <c r="A3231" s="1" t="s">
        <v>10821</v>
      </c>
      <c r="B3231" s="1" t="s">
        <v>988</v>
      </c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</row>
    <row r="3232" spans="1:17" x14ac:dyDescent="0.25">
      <c r="A3232" s="1" t="s">
        <v>925</v>
      </c>
      <c r="B3232" s="1" t="s">
        <v>10821</v>
      </c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</row>
    <row r="3233" spans="1:17" x14ac:dyDescent="0.25">
      <c r="A3233" s="1" t="s">
        <v>8195</v>
      </c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</row>
    <row r="3234" spans="1:17" x14ac:dyDescent="0.25">
      <c r="A3234" s="1" t="s">
        <v>1082</v>
      </c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</row>
    <row r="3235" spans="1:17" x14ac:dyDescent="0.25">
      <c r="A3235" s="1" t="s">
        <v>981</v>
      </c>
      <c r="B3235" s="1" t="s">
        <v>1019</v>
      </c>
      <c r="C3235" s="1" t="s">
        <v>983</v>
      </c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</row>
    <row r="3236" spans="1:17" x14ac:dyDescent="0.25">
      <c r="A3236" s="1" t="s">
        <v>994</v>
      </c>
      <c r="B3236" s="1" t="s">
        <v>981</v>
      </c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</row>
    <row r="3237" spans="1:17" x14ac:dyDescent="0.25">
      <c r="A3237" s="1" t="s">
        <v>25</v>
      </c>
      <c r="B3237" s="1" t="s">
        <v>923</v>
      </c>
      <c r="C3237" s="1" t="s">
        <v>920</v>
      </c>
      <c r="D3237" s="1" t="s">
        <v>933</v>
      </c>
      <c r="E3237" s="1" t="s">
        <v>954</v>
      </c>
      <c r="F3237" s="1" t="s">
        <v>921</v>
      </c>
      <c r="G3237" s="1" t="s">
        <v>1017</v>
      </c>
      <c r="H3237" s="1" t="s">
        <v>1037</v>
      </c>
      <c r="I3237" s="1"/>
      <c r="J3237" s="1"/>
      <c r="K3237" s="1"/>
      <c r="L3237" s="1"/>
      <c r="M3237" s="1"/>
      <c r="N3237" s="1"/>
      <c r="O3237" s="1"/>
      <c r="P3237" s="1"/>
      <c r="Q3237" s="1"/>
    </row>
    <row r="3238" spans="1:17" x14ac:dyDescent="0.25">
      <c r="A3238" s="1" t="s">
        <v>981</v>
      </c>
      <c r="B3238" s="1" t="s">
        <v>983</v>
      </c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</row>
    <row r="3239" spans="1:17" x14ac:dyDescent="0.25">
      <c r="A3239" s="1" t="s">
        <v>918</v>
      </c>
      <c r="B3239" s="1" t="s">
        <v>25</v>
      </c>
      <c r="C3239" s="1" t="s">
        <v>927</v>
      </c>
      <c r="D3239" s="1" t="s">
        <v>919</v>
      </c>
      <c r="E3239" s="1" t="s">
        <v>920</v>
      </c>
      <c r="F3239" s="1" t="s">
        <v>936</v>
      </c>
      <c r="G3239" s="1" t="s">
        <v>1108</v>
      </c>
      <c r="H3239" s="1" t="s">
        <v>960</v>
      </c>
      <c r="I3239" s="1" t="s">
        <v>961</v>
      </c>
      <c r="J3239" s="1" t="s">
        <v>921</v>
      </c>
      <c r="K3239" s="1" t="s">
        <v>1097</v>
      </c>
      <c r="L3239" s="1" t="s">
        <v>922</v>
      </c>
      <c r="M3239" s="1"/>
      <c r="N3239" s="1"/>
      <c r="O3239" s="1"/>
      <c r="P3239" s="1"/>
      <c r="Q3239" s="1"/>
    </row>
    <row r="3240" spans="1:17" x14ac:dyDescent="0.25">
      <c r="A3240" s="1" t="s">
        <v>25</v>
      </c>
      <c r="B3240" s="1" t="s">
        <v>920</v>
      </c>
      <c r="C3240" s="1" t="s">
        <v>933</v>
      </c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</row>
    <row r="3241" spans="1:17" x14ac:dyDescent="0.25">
      <c r="A3241" s="1" t="s">
        <v>50</v>
      </c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</row>
    <row r="3242" spans="1:17" x14ac:dyDescent="0.25">
      <c r="A3242" s="1" t="s">
        <v>25</v>
      </c>
      <c r="B3242" s="1" t="s">
        <v>1086</v>
      </c>
      <c r="C3242" s="1" t="s">
        <v>919</v>
      </c>
      <c r="D3242" s="1" t="s">
        <v>920</v>
      </c>
      <c r="E3242" s="1" t="s">
        <v>921</v>
      </c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</row>
    <row r="3243" spans="1:17" x14ac:dyDescent="0.25">
      <c r="A3243" s="1" t="s">
        <v>996</v>
      </c>
      <c r="B3243" s="1" t="s">
        <v>1053</v>
      </c>
      <c r="C3243" s="1" t="s">
        <v>11036</v>
      </c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</row>
    <row r="3244" spans="1:17" x14ac:dyDescent="0.25">
      <c r="A3244" s="1" t="s">
        <v>1001</v>
      </c>
      <c r="B3244" s="1" t="s">
        <v>918</v>
      </c>
      <c r="C3244" s="1" t="s">
        <v>927</v>
      </c>
      <c r="D3244" s="1" t="s">
        <v>981</v>
      </c>
      <c r="E3244" s="1" t="s">
        <v>919</v>
      </c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</row>
    <row r="3245" spans="1:17" x14ac:dyDescent="0.25">
      <c r="A3245" s="1" t="s">
        <v>996</v>
      </c>
      <c r="B3245" s="1" t="s">
        <v>933</v>
      </c>
      <c r="C3245" s="1" t="s">
        <v>994</v>
      </c>
      <c r="D3245" s="1" t="s">
        <v>927</v>
      </c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</row>
    <row r="3246" spans="1:17" x14ac:dyDescent="0.25">
      <c r="A3246" s="1" t="s">
        <v>927</v>
      </c>
      <c r="B3246" s="1" t="s">
        <v>953</v>
      </c>
      <c r="C3246" s="1" t="s">
        <v>943</v>
      </c>
      <c r="D3246" s="1" t="s">
        <v>983</v>
      </c>
      <c r="E3246" s="1" t="s">
        <v>919</v>
      </c>
      <c r="F3246" s="1" t="s">
        <v>984</v>
      </c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</row>
    <row r="3247" spans="1:17" x14ac:dyDescent="0.25">
      <c r="A3247" s="1" t="s">
        <v>927</v>
      </c>
      <c r="B3247" s="1" t="s">
        <v>953</v>
      </c>
      <c r="C3247" s="1" t="s">
        <v>943</v>
      </c>
      <c r="D3247" s="1" t="s">
        <v>983</v>
      </c>
      <c r="E3247" s="1" t="s">
        <v>919</v>
      </c>
      <c r="F3247" s="1" t="s">
        <v>984</v>
      </c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</row>
    <row r="3248" spans="1:17" x14ac:dyDescent="0.25">
      <c r="A3248" s="1" t="s">
        <v>1001</v>
      </c>
      <c r="B3248" s="1" t="s">
        <v>927</v>
      </c>
      <c r="C3248" s="1" t="s">
        <v>987</v>
      </c>
      <c r="D3248" s="1" t="s">
        <v>981</v>
      </c>
      <c r="E3248" s="1" t="s">
        <v>919</v>
      </c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</row>
    <row r="3249" spans="1:17" x14ac:dyDescent="0.25">
      <c r="A3249" s="1" t="s">
        <v>985</v>
      </c>
      <c r="B3249" s="1" t="s">
        <v>10942</v>
      </c>
      <c r="C3249" s="1" t="s">
        <v>10943</v>
      </c>
      <c r="D3249" s="1" t="s">
        <v>1099</v>
      </c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</row>
    <row r="3250" spans="1:17" x14ac:dyDescent="0.25">
      <c r="A3250" s="1" t="s">
        <v>50</v>
      </c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</row>
    <row r="3251" spans="1:17" x14ac:dyDescent="0.25">
      <c r="A3251" s="1" t="s">
        <v>1066</v>
      </c>
      <c r="B3251" s="1" t="s">
        <v>1099</v>
      </c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</row>
    <row r="3252" spans="1:17" x14ac:dyDescent="0.25">
      <c r="A3252" s="1" t="s">
        <v>992</v>
      </c>
      <c r="B3252" s="1" t="s">
        <v>933</v>
      </c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</row>
    <row r="3253" spans="1:17" x14ac:dyDescent="0.25">
      <c r="A3253" s="1" t="s">
        <v>918</v>
      </c>
      <c r="B3253" s="1" t="s">
        <v>942</v>
      </c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</row>
    <row r="3254" spans="1:17" x14ac:dyDescent="0.25">
      <c r="A3254" s="1" t="s">
        <v>996</v>
      </c>
      <c r="B3254" s="1" t="s">
        <v>2541</v>
      </c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</row>
    <row r="3255" spans="1:17" x14ac:dyDescent="0.25">
      <c r="A3255" s="1" t="s">
        <v>996</v>
      </c>
      <c r="B3255" s="1" t="s">
        <v>2541</v>
      </c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</row>
    <row r="3256" spans="1:17" x14ac:dyDescent="0.25">
      <c r="A3256" s="1" t="s">
        <v>996</v>
      </c>
      <c r="B3256" s="1" t="s">
        <v>2541</v>
      </c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</row>
    <row r="3257" spans="1:17" x14ac:dyDescent="0.25">
      <c r="A3257" s="1" t="s">
        <v>996</v>
      </c>
      <c r="B3257" s="1" t="s">
        <v>2541</v>
      </c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</row>
    <row r="3258" spans="1:17" x14ac:dyDescent="0.25">
      <c r="A3258" s="1" t="s">
        <v>996</v>
      </c>
      <c r="B3258" s="1" t="s">
        <v>2541</v>
      </c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</row>
    <row r="3259" spans="1:17" x14ac:dyDescent="0.25">
      <c r="A3259" s="1" t="s">
        <v>996</v>
      </c>
      <c r="B3259" s="1" t="s">
        <v>2541</v>
      </c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</row>
    <row r="3260" spans="1:17" x14ac:dyDescent="0.25">
      <c r="A3260" s="1" t="s">
        <v>996</v>
      </c>
      <c r="B3260" s="1" t="s">
        <v>2541</v>
      </c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</row>
    <row r="3261" spans="1:17" x14ac:dyDescent="0.25">
      <c r="A3261" s="1" t="s">
        <v>996</v>
      </c>
      <c r="B3261" s="1" t="s">
        <v>2541</v>
      </c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</row>
    <row r="3262" spans="1:17" x14ac:dyDescent="0.25">
      <c r="A3262" s="1" t="s">
        <v>996</v>
      </c>
      <c r="B3262" s="1" t="s">
        <v>2541</v>
      </c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</row>
    <row r="3263" spans="1:17" x14ac:dyDescent="0.25">
      <c r="A3263" s="1" t="s">
        <v>996</v>
      </c>
      <c r="B3263" s="1" t="s">
        <v>2541</v>
      </c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</row>
    <row r="3264" spans="1:17" x14ac:dyDescent="0.25">
      <c r="A3264" s="1" t="s">
        <v>11037</v>
      </c>
      <c r="B3264" s="1" t="s">
        <v>1057</v>
      </c>
      <c r="C3264" s="1" t="s">
        <v>10716</v>
      </c>
      <c r="D3264" s="1" t="s">
        <v>11038</v>
      </c>
      <c r="E3264" s="1" t="s">
        <v>10798</v>
      </c>
      <c r="F3264" s="1" t="s">
        <v>10767</v>
      </c>
      <c r="G3264" s="1" t="s">
        <v>984</v>
      </c>
      <c r="H3264" s="1" t="s">
        <v>990</v>
      </c>
      <c r="I3264" s="1" t="s">
        <v>991</v>
      </c>
      <c r="J3264" s="1" t="s">
        <v>11039</v>
      </c>
      <c r="K3264" s="1" t="s">
        <v>1020</v>
      </c>
      <c r="L3264" s="1" t="s">
        <v>11040</v>
      </c>
      <c r="M3264" s="1"/>
      <c r="N3264" s="1"/>
      <c r="O3264" s="1"/>
      <c r="P3264" s="1"/>
      <c r="Q3264" s="1"/>
    </row>
    <row r="3265" spans="1:17" x14ac:dyDescent="0.25">
      <c r="A3265" s="1" t="s">
        <v>981</v>
      </c>
      <c r="B3265" s="1" t="s">
        <v>928</v>
      </c>
      <c r="C3265" s="1" t="s">
        <v>10821</v>
      </c>
      <c r="D3265" s="1" t="s">
        <v>11041</v>
      </c>
      <c r="E3265" s="1" t="s">
        <v>10755</v>
      </c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</row>
    <row r="3266" spans="1:17" x14ac:dyDescent="0.25">
      <c r="A3266" s="1" t="s">
        <v>50</v>
      </c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</row>
    <row r="3267" spans="1:17" x14ac:dyDescent="0.25">
      <c r="A3267" s="1" t="s">
        <v>298</v>
      </c>
      <c r="B3267" s="1" t="s">
        <v>25</v>
      </c>
      <c r="C3267" s="1" t="s">
        <v>927</v>
      </c>
      <c r="D3267" s="1" t="s">
        <v>998</v>
      </c>
      <c r="E3267" s="1" t="s">
        <v>1086</v>
      </c>
      <c r="F3267" s="1" t="s">
        <v>920</v>
      </c>
      <c r="G3267" s="1" t="s">
        <v>933</v>
      </c>
      <c r="H3267" s="1"/>
      <c r="I3267" s="1"/>
      <c r="J3267" s="1"/>
      <c r="K3267" s="1"/>
      <c r="L3267" s="1"/>
      <c r="M3267" s="1"/>
      <c r="N3267" s="1"/>
      <c r="O3267" s="1"/>
      <c r="P3267" s="1"/>
      <c r="Q3267" s="1"/>
    </row>
    <row r="3268" spans="1:17" x14ac:dyDescent="0.25">
      <c r="A3268" s="1" t="s">
        <v>996</v>
      </c>
      <c r="B3268" s="1" t="s">
        <v>2541</v>
      </c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</row>
    <row r="3269" spans="1:17" x14ac:dyDescent="0.25">
      <c r="A3269" s="1" t="s">
        <v>2541</v>
      </c>
      <c r="B3269" s="1" t="s">
        <v>937</v>
      </c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</row>
    <row r="3270" spans="1:17" x14ac:dyDescent="0.25">
      <c r="A3270" s="1" t="s">
        <v>1001</v>
      </c>
      <c r="B3270" s="1" t="s">
        <v>328</v>
      </c>
      <c r="C3270" s="1" t="s">
        <v>2541</v>
      </c>
      <c r="D3270" s="1" t="s">
        <v>10920</v>
      </c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</row>
    <row r="3271" spans="1:17" x14ac:dyDescent="0.25">
      <c r="A3271" s="1" t="s">
        <v>996</v>
      </c>
      <c r="B3271" s="1" t="s">
        <v>2541</v>
      </c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</row>
    <row r="3272" spans="1:17" x14ac:dyDescent="0.25">
      <c r="A3272" s="1" t="s">
        <v>996</v>
      </c>
      <c r="B3272" s="1" t="s">
        <v>2541</v>
      </c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</row>
    <row r="3273" spans="1:17" x14ac:dyDescent="0.25">
      <c r="A3273" s="1" t="s">
        <v>934</v>
      </c>
      <c r="B3273" s="1" t="s">
        <v>948</v>
      </c>
      <c r="C3273" s="1" t="s">
        <v>918</v>
      </c>
      <c r="D3273" s="1" t="s">
        <v>949</v>
      </c>
      <c r="E3273" s="1" t="s">
        <v>25</v>
      </c>
      <c r="F3273" s="1" t="s">
        <v>916</v>
      </c>
      <c r="G3273" s="1" t="s">
        <v>919</v>
      </c>
      <c r="H3273" s="1" t="s">
        <v>920</v>
      </c>
      <c r="I3273" s="1" t="s">
        <v>328</v>
      </c>
      <c r="J3273" s="1" t="s">
        <v>950</v>
      </c>
      <c r="K3273" s="1" t="s">
        <v>921</v>
      </c>
      <c r="L3273" s="1" t="s">
        <v>927</v>
      </c>
      <c r="M3273" s="1" t="s">
        <v>933</v>
      </c>
      <c r="N3273" s="1" t="s">
        <v>929</v>
      </c>
      <c r="O3273" s="1"/>
      <c r="P3273" s="1"/>
      <c r="Q3273" s="1"/>
    </row>
    <row r="3274" spans="1:17" x14ac:dyDescent="0.25">
      <c r="A3274" s="1" t="s">
        <v>934</v>
      </c>
      <c r="B3274" s="1" t="s">
        <v>948</v>
      </c>
      <c r="C3274" s="1" t="s">
        <v>918</v>
      </c>
      <c r="D3274" s="1" t="s">
        <v>949</v>
      </c>
      <c r="E3274" s="1" t="s">
        <v>25</v>
      </c>
      <c r="F3274" s="1" t="s">
        <v>916</v>
      </c>
      <c r="G3274" s="1" t="s">
        <v>919</v>
      </c>
      <c r="H3274" s="1" t="s">
        <v>920</v>
      </c>
      <c r="I3274" s="1" t="s">
        <v>328</v>
      </c>
      <c r="J3274" s="1" t="s">
        <v>950</v>
      </c>
      <c r="K3274" s="1" t="s">
        <v>921</v>
      </c>
      <c r="L3274" s="1" t="s">
        <v>1000</v>
      </c>
      <c r="M3274" s="1" t="s">
        <v>10729</v>
      </c>
      <c r="N3274" s="1" t="s">
        <v>930</v>
      </c>
      <c r="O3274" s="1"/>
      <c r="P3274" s="1"/>
      <c r="Q3274" s="1"/>
    </row>
    <row r="3275" spans="1:17" x14ac:dyDescent="0.25">
      <c r="A3275" s="1" t="s">
        <v>934</v>
      </c>
      <c r="B3275" s="1" t="s">
        <v>948</v>
      </c>
      <c r="C3275" s="1" t="s">
        <v>918</v>
      </c>
      <c r="D3275" s="1" t="s">
        <v>949</v>
      </c>
      <c r="E3275" s="1" t="s">
        <v>25</v>
      </c>
      <c r="F3275" s="1" t="s">
        <v>916</v>
      </c>
      <c r="G3275" s="1" t="s">
        <v>919</v>
      </c>
      <c r="H3275" s="1" t="s">
        <v>920</v>
      </c>
      <c r="I3275" s="1" t="s">
        <v>328</v>
      </c>
      <c r="J3275" s="1" t="s">
        <v>950</v>
      </c>
      <c r="K3275" s="1" t="s">
        <v>921</v>
      </c>
      <c r="L3275" s="1" t="s">
        <v>84</v>
      </c>
      <c r="M3275" s="1" t="s">
        <v>941</v>
      </c>
      <c r="N3275" s="1" t="s">
        <v>1143</v>
      </c>
      <c r="O3275" s="1" t="s">
        <v>1085</v>
      </c>
      <c r="P3275" s="1" t="s">
        <v>955</v>
      </c>
      <c r="Q3275" s="1" t="s">
        <v>924</v>
      </c>
    </row>
    <row r="3276" spans="1:17" x14ac:dyDescent="0.25">
      <c r="A3276" s="1" t="s">
        <v>934</v>
      </c>
      <c r="B3276" s="1" t="s">
        <v>948</v>
      </c>
      <c r="C3276" s="1" t="s">
        <v>918</v>
      </c>
      <c r="D3276" s="1" t="s">
        <v>949</v>
      </c>
      <c r="E3276" s="1" t="s">
        <v>25</v>
      </c>
      <c r="F3276" s="1" t="s">
        <v>916</v>
      </c>
      <c r="G3276" s="1" t="s">
        <v>919</v>
      </c>
      <c r="H3276" s="1" t="s">
        <v>920</v>
      </c>
      <c r="I3276" s="1" t="s">
        <v>328</v>
      </c>
      <c r="J3276" s="1" t="s">
        <v>950</v>
      </c>
      <c r="K3276" s="1" t="s">
        <v>921</v>
      </c>
      <c r="L3276" s="1"/>
      <c r="M3276" s="1"/>
      <c r="N3276" s="1"/>
      <c r="O3276" s="1"/>
      <c r="P3276" s="1"/>
      <c r="Q3276" s="1"/>
    </row>
    <row r="3277" spans="1:17" x14ac:dyDescent="0.25">
      <c r="A3277" s="1" t="s">
        <v>934</v>
      </c>
      <c r="B3277" s="1" t="s">
        <v>948</v>
      </c>
      <c r="C3277" s="1" t="s">
        <v>918</v>
      </c>
      <c r="D3277" s="1" t="s">
        <v>949</v>
      </c>
      <c r="E3277" s="1" t="s">
        <v>25</v>
      </c>
      <c r="F3277" s="1" t="s">
        <v>916</v>
      </c>
      <c r="G3277" s="1" t="s">
        <v>919</v>
      </c>
      <c r="H3277" s="1" t="s">
        <v>920</v>
      </c>
      <c r="I3277" s="1" t="s">
        <v>328</v>
      </c>
      <c r="J3277" s="1" t="s">
        <v>950</v>
      </c>
      <c r="K3277" s="1" t="s">
        <v>921</v>
      </c>
      <c r="L3277" s="1" t="s">
        <v>298</v>
      </c>
      <c r="M3277" s="1" t="s">
        <v>923</v>
      </c>
      <c r="N3277" s="1" t="s">
        <v>1012</v>
      </c>
      <c r="O3277" s="1" t="s">
        <v>11042</v>
      </c>
      <c r="P3277" s="1" t="s">
        <v>924</v>
      </c>
      <c r="Q3277" s="1" t="s">
        <v>1014</v>
      </c>
    </row>
    <row r="3278" spans="1:17" x14ac:dyDescent="0.25">
      <c r="A3278" s="1" t="s">
        <v>934</v>
      </c>
      <c r="B3278" s="1" t="s">
        <v>25</v>
      </c>
      <c r="C3278" s="1" t="s">
        <v>923</v>
      </c>
      <c r="D3278" s="1" t="s">
        <v>6421</v>
      </c>
      <c r="E3278" s="1" t="s">
        <v>920</v>
      </c>
      <c r="F3278" s="1" t="s">
        <v>328</v>
      </c>
      <c r="G3278" s="1" t="s">
        <v>921</v>
      </c>
      <c r="H3278" s="1"/>
      <c r="I3278" s="1"/>
      <c r="J3278" s="1"/>
      <c r="K3278" s="1"/>
      <c r="L3278" s="1"/>
      <c r="M3278" s="1"/>
      <c r="N3278" s="1"/>
      <c r="O3278" s="1"/>
      <c r="P3278" s="1"/>
      <c r="Q3278" s="1"/>
    </row>
    <row r="3279" spans="1:17" x14ac:dyDescent="0.25">
      <c r="A3279" s="1" t="s">
        <v>934</v>
      </c>
      <c r="B3279" s="1" t="s">
        <v>25</v>
      </c>
      <c r="C3279" s="1" t="s">
        <v>923</v>
      </c>
      <c r="D3279" s="1" t="s">
        <v>6421</v>
      </c>
      <c r="E3279" s="1" t="s">
        <v>920</v>
      </c>
      <c r="F3279" s="1" t="s">
        <v>328</v>
      </c>
      <c r="G3279" s="1" t="s">
        <v>921</v>
      </c>
      <c r="H3279" s="1" t="s">
        <v>1131</v>
      </c>
      <c r="I3279" s="1"/>
      <c r="J3279" s="1"/>
      <c r="K3279" s="1"/>
      <c r="L3279" s="1"/>
      <c r="M3279" s="1"/>
      <c r="N3279" s="1"/>
      <c r="O3279" s="1"/>
      <c r="P3279" s="1"/>
      <c r="Q3279" s="1"/>
    </row>
    <row r="3280" spans="1:17" x14ac:dyDescent="0.25">
      <c r="A3280" s="1" t="s">
        <v>934</v>
      </c>
      <c r="B3280" s="1" t="s">
        <v>25</v>
      </c>
      <c r="C3280" s="1" t="s">
        <v>923</v>
      </c>
      <c r="D3280" s="1" t="s">
        <v>6421</v>
      </c>
      <c r="E3280" s="1" t="s">
        <v>920</v>
      </c>
      <c r="F3280" s="1" t="s">
        <v>328</v>
      </c>
      <c r="G3280" s="1" t="s">
        <v>921</v>
      </c>
      <c r="H3280" s="1" t="s">
        <v>951</v>
      </c>
      <c r="I3280" s="1" t="s">
        <v>918</v>
      </c>
      <c r="J3280" s="1" t="s">
        <v>916</v>
      </c>
      <c r="K3280" s="1" t="s">
        <v>954</v>
      </c>
      <c r="L3280" s="1" t="s">
        <v>1148</v>
      </c>
      <c r="M3280" s="1" t="s">
        <v>927</v>
      </c>
      <c r="N3280" s="1" t="s">
        <v>1086</v>
      </c>
      <c r="O3280" s="1"/>
      <c r="P3280" s="1"/>
      <c r="Q3280" s="1"/>
    </row>
    <row r="3281" spans="1:17" x14ac:dyDescent="0.25">
      <c r="A3281" s="1" t="s">
        <v>934</v>
      </c>
      <c r="B3281" s="1" t="s">
        <v>918</v>
      </c>
      <c r="C3281" s="1" t="s">
        <v>1110</v>
      </c>
      <c r="D3281" s="1" t="s">
        <v>25</v>
      </c>
      <c r="E3281" s="1" t="s">
        <v>923</v>
      </c>
      <c r="F3281" s="1" t="s">
        <v>920</v>
      </c>
      <c r="G3281" s="1" t="s">
        <v>954</v>
      </c>
      <c r="H3281" s="1" t="s">
        <v>974</v>
      </c>
      <c r="I3281" s="1" t="s">
        <v>921</v>
      </c>
      <c r="J3281" s="1" t="s">
        <v>6421</v>
      </c>
      <c r="K3281" s="1" t="s">
        <v>328</v>
      </c>
      <c r="L3281" s="1"/>
      <c r="M3281" s="1"/>
      <c r="N3281" s="1"/>
      <c r="O3281" s="1"/>
      <c r="P3281" s="1"/>
      <c r="Q3281" s="1"/>
    </row>
    <row r="3282" spans="1:17" x14ac:dyDescent="0.25">
      <c r="A3282" s="1" t="s">
        <v>934</v>
      </c>
      <c r="B3282" s="1" t="s">
        <v>948</v>
      </c>
      <c r="C3282" s="1" t="s">
        <v>918</v>
      </c>
      <c r="D3282" s="1" t="s">
        <v>949</v>
      </c>
      <c r="E3282" s="1" t="s">
        <v>25</v>
      </c>
      <c r="F3282" s="1" t="s">
        <v>916</v>
      </c>
      <c r="G3282" s="1" t="s">
        <v>919</v>
      </c>
      <c r="H3282" s="1" t="s">
        <v>920</v>
      </c>
      <c r="I3282" s="1" t="s">
        <v>328</v>
      </c>
      <c r="J3282" s="1" t="s">
        <v>950</v>
      </c>
      <c r="K3282" s="1" t="s">
        <v>921</v>
      </c>
      <c r="L3282" s="1" t="s">
        <v>923</v>
      </c>
      <c r="M3282" s="1" t="s">
        <v>6421</v>
      </c>
      <c r="N3282" s="1" t="s">
        <v>964</v>
      </c>
      <c r="O3282" s="1"/>
      <c r="P3282" s="1"/>
      <c r="Q3282" s="1"/>
    </row>
    <row r="3283" spans="1:17" x14ac:dyDescent="0.25">
      <c r="A3283" s="1" t="s">
        <v>934</v>
      </c>
      <c r="B3283" s="1" t="s">
        <v>25</v>
      </c>
      <c r="C3283" s="1" t="s">
        <v>923</v>
      </c>
      <c r="D3283" s="1" t="s">
        <v>6421</v>
      </c>
      <c r="E3283" s="1" t="s">
        <v>920</v>
      </c>
      <c r="F3283" s="1" t="s">
        <v>328</v>
      </c>
      <c r="G3283" s="1" t="s">
        <v>921</v>
      </c>
      <c r="H3283" s="1"/>
      <c r="I3283" s="1"/>
      <c r="J3283" s="1"/>
      <c r="K3283" s="1"/>
      <c r="L3283" s="1"/>
      <c r="M3283" s="1"/>
      <c r="N3283" s="1"/>
      <c r="O3283" s="1"/>
      <c r="P3283" s="1"/>
      <c r="Q3283" s="1"/>
    </row>
    <row r="3284" spans="1:17" x14ac:dyDescent="0.25">
      <c r="A3284" s="1" t="s">
        <v>918</v>
      </c>
      <c r="B3284" s="1" t="s">
        <v>25</v>
      </c>
      <c r="C3284" s="1" t="s">
        <v>923</v>
      </c>
      <c r="D3284" s="1" t="s">
        <v>973</v>
      </c>
      <c r="E3284" s="1" t="s">
        <v>916</v>
      </c>
      <c r="F3284" s="1" t="s">
        <v>920</v>
      </c>
      <c r="G3284" s="1" t="s">
        <v>954</v>
      </c>
      <c r="H3284" s="1" t="s">
        <v>974</v>
      </c>
      <c r="I3284" s="1" t="s">
        <v>921</v>
      </c>
      <c r="J3284" s="1"/>
      <c r="K3284" s="1"/>
      <c r="L3284" s="1"/>
      <c r="M3284" s="1"/>
      <c r="N3284" s="1"/>
      <c r="O3284" s="1"/>
      <c r="P3284" s="1"/>
      <c r="Q3284" s="1"/>
    </row>
    <row r="3285" spans="1:17" x14ac:dyDescent="0.25">
      <c r="A3285" s="1" t="s">
        <v>923</v>
      </c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</row>
    <row r="3286" spans="1:17" x14ac:dyDescent="0.25">
      <c r="A3286" s="1" t="s">
        <v>923</v>
      </c>
      <c r="B3286" s="1" t="s">
        <v>1118</v>
      </c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</row>
    <row r="3287" spans="1:17" x14ac:dyDescent="0.25">
      <c r="A3287" s="1" t="s">
        <v>25</v>
      </c>
      <c r="B3287" s="1" t="s">
        <v>923</v>
      </c>
      <c r="C3287" s="1" t="s">
        <v>920</v>
      </c>
      <c r="D3287" s="1" t="s">
        <v>921</v>
      </c>
      <c r="E3287" s="1" t="s">
        <v>1136</v>
      </c>
      <c r="F3287" s="1" t="s">
        <v>1137</v>
      </c>
      <c r="G3287" s="1" t="s">
        <v>10752</v>
      </c>
      <c r="H3287" s="1"/>
      <c r="I3287" s="1"/>
      <c r="J3287" s="1"/>
      <c r="K3287" s="1"/>
      <c r="L3287" s="1"/>
      <c r="M3287" s="1"/>
      <c r="N3287" s="1"/>
      <c r="O3287" s="1"/>
      <c r="P3287" s="1"/>
      <c r="Q3287" s="1"/>
    </row>
    <row r="3288" spans="1:17" x14ac:dyDescent="0.25">
      <c r="A3288" s="1" t="s">
        <v>918</v>
      </c>
      <c r="B3288" s="1" t="s">
        <v>927</v>
      </c>
      <c r="C3288" s="1" t="s">
        <v>919</v>
      </c>
      <c r="D3288" s="1" t="s">
        <v>936</v>
      </c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</row>
    <row r="3289" spans="1:17" x14ac:dyDescent="0.25">
      <c r="A3289" s="1" t="s">
        <v>918</v>
      </c>
      <c r="B3289" s="1" t="s">
        <v>927</v>
      </c>
      <c r="C3289" s="1" t="s">
        <v>919</v>
      </c>
      <c r="D3289" s="1" t="s">
        <v>936</v>
      </c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</row>
    <row r="3290" spans="1:17" x14ac:dyDescent="0.25">
      <c r="A3290" s="1" t="s">
        <v>918</v>
      </c>
      <c r="B3290" s="1" t="s">
        <v>927</v>
      </c>
      <c r="C3290" s="1" t="s">
        <v>919</v>
      </c>
      <c r="D3290" s="1" t="s">
        <v>936</v>
      </c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</row>
    <row r="3291" spans="1:17" x14ac:dyDescent="0.25">
      <c r="A3291" s="1" t="s">
        <v>918</v>
      </c>
      <c r="B3291" s="1" t="s">
        <v>995</v>
      </c>
      <c r="C3291" s="1" t="s">
        <v>919</v>
      </c>
      <c r="D3291" s="1" t="s">
        <v>924</v>
      </c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</row>
    <row r="3292" spans="1:17" x14ac:dyDescent="0.25">
      <c r="A3292" s="1" t="s">
        <v>918</v>
      </c>
      <c r="B3292" s="1" t="s">
        <v>995</v>
      </c>
      <c r="C3292" s="1" t="s">
        <v>919</v>
      </c>
      <c r="D3292" s="1" t="s">
        <v>924</v>
      </c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</row>
    <row r="3293" spans="1:17" x14ac:dyDescent="0.25">
      <c r="A3293" s="1" t="s">
        <v>918</v>
      </c>
      <c r="B3293" s="1" t="s">
        <v>995</v>
      </c>
      <c r="C3293" s="1" t="s">
        <v>919</v>
      </c>
      <c r="D3293" s="1" t="s">
        <v>924</v>
      </c>
      <c r="E3293" s="1" t="s">
        <v>964</v>
      </c>
      <c r="F3293" s="1" t="s">
        <v>1109</v>
      </c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</row>
    <row r="3294" spans="1:17" x14ac:dyDescent="0.25">
      <c r="A3294" s="1" t="s">
        <v>918</v>
      </c>
      <c r="B3294" s="1" t="s">
        <v>995</v>
      </c>
      <c r="C3294" s="1" t="s">
        <v>919</v>
      </c>
      <c r="D3294" s="1" t="s">
        <v>924</v>
      </c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</row>
    <row r="3295" spans="1:17" x14ac:dyDescent="0.25">
      <c r="A3295" s="1" t="s">
        <v>918</v>
      </c>
      <c r="B3295" s="1" t="s">
        <v>995</v>
      </c>
      <c r="C3295" s="1" t="s">
        <v>919</v>
      </c>
      <c r="D3295" s="1" t="s">
        <v>924</v>
      </c>
      <c r="E3295" s="1" t="s">
        <v>11043</v>
      </c>
      <c r="F3295" s="1" t="s">
        <v>944</v>
      </c>
      <c r="G3295" s="1" t="s">
        <v>996</v>
      </c>
      <c r="H3295" s="1" t="s">
        <v>923</v>
      </c>
      <c r="I3295" s="1" t="s">
        <v>997</v>
      </c>
      <c r="J3295" s="1" t="s">
        <v>998</v>
      </c>
      <c r="K3295" s="1"/>
      <c r="L3295" s="1"/>
      <c r="M3295" s="1"/>
      <c r="N3295" s="1"/>
      <c r="O3295" s="1"/>
      <c r="P3295" s="1"/>
      <c r="Q3295" s="1"/>
    </row>
    <row r="3296" spans="1:17" x14ac:dyDescent="0.25">
      <c r="A3296" s="1" t="s">
        <v>918</v>
      </c>
      <c r="B3296" s="1" t="s">
        <v>995</v>
      </c>
      <c r="C3296" s="1" t="s">
        <v>919</v>
      </c>
      <c r="D3296" s="1" t="s">
        <v>924</v>
      </c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</row>
    <row r="3297" spans="1:17" x14ac:dyDescent="0.25">
      <c r="A3297" s="1" t="s">
        <v>1031</v>
      </c>
      <c r="B3297" s="1" t="s">
        <v>11004</v>
      </c>
      <c r="C3297" s="1" t="s">
        <v>1136</v>
      </c>
      <c r="D3297" s="1" t="s">
        <v>1032</v>
      </c>
      <c r="E3297" s="1" t="s">
        <v>1033</v>
      </c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</row>
    <row r="3298" spans="1:17" x14ac:dyDescent="0.25">
      <c r="A3298" s="1" t="s">
        <v>1031</v>
      </c>
      <c r="B3298" s="1" t="s">
        <v>976</v>
      </c>
      <c r="C3298" s="1" t="s">
        <v>1033</v>
      </c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</row>
    <row r="3299" spans="1:17" x14ac:dyDescent="0.25">
      <c r="A3299" s="1" t="s">
        <v>11038</v>
      </c>
      <c r="B3299" s="1" t="s">
        <v>10798</v>
      </c>
      <c r="C3299" s="1" t="s">
        <v>10767</v>
      </c>
      <c r="D3299" s="1" t="s">
        <v>11039</v>
      </c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</row>
    <row r="3300" spans="1:17" x14ac:dyDescent="0.25">
      <c r="A3300" s="1" t="s">
        <v>918</v>
      </c>
      <c r="B3300" s="1" t="s">
        <v>953</v>
      </c>
      <c r="C3300" s="1" t="s">
        <v>939</v>
      </c>
      <c r="D3300" s="1" t="s">
        <v>1060</v>
      </c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</row>
    <row r="3301" spans="1:17" x14ac:dyDescent="0.25">
      <c r="A3301" s="1" t="s">
        <v>918</v>
      </c>
      <c r="B3301" s="1" t="s">
        <v>25</v>
      </c>
      <c r="C3301" s="1" t="s">
        <v>997</v>
      </c>
      <c r="D3301" s="1" t="s">
        <v>919</v>
      </c>
      <c r="E3301" s="1" t="s">
        <v>920</v>
      </c>
      <c r="F3301" s="1" t="s">
        <v>924</v>
      </c>
      <c r="G3301" s="1" t="s">
        <v>927</v>
      </c>
      <c r="H3301" s="1" t="s">
        <v>916</v>
      </c>
      <c r="I3301" s="1" t="s">
        <v>921</v>
      </c>
      <c r="J3301" s="1"/>
      <c r="K3301" s="1"/>
      <c r="L3301" s="1"/>
      <c r="M3301" s="1"/>
      <c r="N3301" s="1"/>
      <c r="O3301" s="1"/>
      <c r="P3301" s="1"/>
      <c r="Q3301" s="1"/>
    </row>
    <row r="3302" spans="1:17" x14ac:dyDescent="0.25">
      <c r="A3302" s="1" t="s">
        <v>934</v>
      </c>
      <c r="B3302" s="1" t="s">
        <v>918</v>
      </c>
      <c r="C3302" s="1" t="s">
        <v>25</v>
      </c>
      <c r="D3302" s="1" t="s">
        <v>919</v>
      </c>
      <c r="E3302" s="1" t="s">
        <v>920</v>
      </c>
      <c r="F3302" s="1" t="s">
        <v>924</v>
      </c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</row>
    <row r="3303" spans="1:17" x14ac:dyDescent="0.25">
      <c r="A3303" s="1" t="s">
        <v>934</v>
      </c>
      <c r="B3303" s="1" t="s">
        <v>918</v>
      </c>
      <c r="C3303" s="1" t="s">
        <v>25</v>
      </c>
      <c r="D3303" s="1" t="s">
        <v>919</v>
      </c>
      <c r="E3303" s="1" t="s">
        <v>920</v>
      </c>
      <c r="F3303" s="1" t="s">
        <v>924</v>
      </c>
      <c r="G3303" s="1" t="s">
        <v>750</v>
      </c>
      <c r="H3303" s="1" t="s">
        <v>923</v>
      </c>
      <c r="I3303" s="1" t="s">
        <v>1129</v>
      </c>
      <c r="J3303" s="1" t="s">
        <v>954</v>
      </c>
      <c r="K3303" s="1" t="s">
        <v>11033</v>
      </c>
      <c r="L3303" s="1"/>
      <c r="M3303" s="1"/>
      <c r="N3303" s="1"/>
      <c r="O3303" s="1"/>
      <c r="P3303" s="1"/>
      <c r="Q3303" s="1"/>
    </row>
    <row r="3304" spans="1:17" x14ac:dyDescent="0.25">
      <c r="A3304" s="1" t="s">
        <v>934</v>
      </c>
      <c r="B3304" s="1" t="s">
        <v>918</v>
      </c>
      <c r="C3304" s="1" t="s">
        <v>25</v>
      </c>
      <c r="D3304" s="1" t="s">
        <v>919</v>
      </c>
      <c r="E3304" s="1" t="s">
        <v>920</v>
      </c>
      <c r="F3304" s="1" t="s">
        <v>924</v>
      </c>
      <c r="G3304" s="1" t="s">
        <v>1110</v>
      </c>
      <c r="H3304" s="1" t="s">
        <v>923</v>
      </c>
      <c r="I3304" s="1" t="s">
        <v>974</v>
      </c>
      <c r="J3304" s="1" t="s">
        <v>921</v>
      </c>
      <c r="K3304" s="1" t="s">
        <v>927</v>
      </c>
      <c r="L3304" s="1" t="s">
        <v>936</v>
      </c>
      <c r="M3304" s="1" t="s">
        <v>943</v>
      </c>
      <c r="N3304" s="1" t="s">
        <v>1079</v>
      </c>
      <c r="O3304" s="1"/>
      <c r="P3304" s="1"/>
      <c r="Q3304" s="1"/>
    </row>
    <row r="3305" spans="1:17" x14ac:dyDescent="0.25">
      <c r="A3305" s="1" t="s">
        <v>934</v>
      </c>
      <c r="B3305" s="1" t="s">
        <v>918</v>
      </c>
      <c r="C3305" s="1" t="s">
        <v>25</v>
      </c>
      <c r="D3305" s="1" t="s">
        <v>919</v>
      </c>
      <c r="E3305" s="1" t="s">
        <v>920</v>
      </c>
      <c r="F3305" s="1" t="s">
        <v>924</v>
      </c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</row>
    <row r="3306" spans="1:17" x14ac:dyDescent="0.25">
      <c r="A3306" s="1" t="s">
        <v>934</v>
      </c>
      <c r="B3306" s="1" t="s">
        <v>918</v>
      </c>
      <c r="C3306" s="1" t="s">
        <v>25</v>
      </c>
      <c r="D3306" s="1" t="s">
        <v>919</v>
      </c>
      <c r="E3306" s="1" t="s">
        <v>920</v>
      </c>
      <c r="F3306" s="1" t="s">
        <v>924</v>
      </c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</row>
    <row r="3307" spans="1:17" x14ac:dyDescent="0.25">
      <c r="A3307" s="1" t="s">
        <v>934</v>
      </c>
      <c r="B3307" s="1" t="s">
        <v>918</v>
      </c>
      <c r="C3307" s="1" t="s">
        <v>25</v>
      </c>
      <c r="D3307" s="1" t="s">
        <v>919</v>
      </c>
      <c r="E3307" s="1" t="s">
        <v>920</v>
      </c>
      <c r="F3307" s="1" t="s">
        <v>924</v>
      </c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</row>
    <row r="3308" spans="1:17" x14ac:dyDescent="0.25">
      <c r="A3308" s="1" t="s">
        <v>934</v>
      </c>
      <c r="B3308" s="1" t="s">
        <v>918</v>
      </c>
      <c r="C3308" s="1" t="s">
        <v>25</v>
      </c>
      <c r="D3308" s="1" t="s">
        <v>919</v>
      </c>
      <c r="E3308" s="1" t="s">
        <v>920</v>
      </c>
      <c r="F3308" s="1" t="s">
        <v>924</v>
      </c>
      <c r="G3308" s="1" t="s">
        <v>941</v>
      </c>
      <c r="H3308" s="1" t="s">
        <v>11026</v>
      </c>
      <c r="I3308" s="1" t="s">
        <v>930</v>
      </c>
      <c r="J3308" s="1" t="s">
        <v>11044</v>
      </c>
      <c r="K3308" s="1" t="s">
        <v>945</v>
      </c>
      <c r="L3308" s="1"/>
      <c r="M3308" s="1"/>
      <c r="N3308" s="1"/>
      <c r="O3308" s="1"/>
      <c r="P3308" s="1"/>
      <c r="Q3308" s="1"/>
    </row>
    <row r="3309" spans="1:17" x14ac:dyDescent="0.25">
      <c r="A3309" s="1" t="s">
        <v>934</v>
      </c>
      <c r="B3309" s="1" t="s">
        <v>918</v>
      </c>
      <c r="C3309" s="1" t="s">
        <v>25</v>
      </c>
      <c r="D3309" s="1" t="s">
        <v>919</v>
      </c>
      <c r="E3309" s="1" t="s">
        <v>920</v>
      </c>
      <c r="F3309" s="1" t="s">
        <v>924</v>
      </c>
      <c r="G3309" s="1" t="s">
        <v>930</v>
      </c>
      <c r="H3309" s="1" t="s">
        <v>1014</v>
      </c>
      <c r="I3309" s="1" t="s">
        <v>955</v>
      </c>
      <c r="J3309" s="1" t="s">
        <v>10871</v>
      </c>
      <c r="K3309" s="1" t="s">
        <v>956</v>
      </c>
      <c r="L3309" s="1"/>
      <c r="M3309" s="1"/>
      <c r="N3309" s="1"/>
      <c r="O3309" s="1"/>
      <c r="P3309" s="1"/>
      <c r="Q3309" s="1"/>
    </row>
    <row r="3310" spans="1:17" x14ac:dyDescent="0.25">
      <c r="A3310" s="1" t="s">
        <v>934</v>
      </c>
      <c r="B3310" s="1" t="s">
        <v>918</v>
      </c>
      <c r="C3310" s="1" t="s">
        <v>25</v>
      </c>
      <c r="D3310" s="1" t="s">
        <v>919</v>
      </c>
      <c r="E3310" s="1" t="s">
        <v>920</v>
      </c>
      <c r="F3310" s="1" t="s">
        <v>924</v>
      </c>
      <c r="G3310" s="1" t="s">
        <v>964</v>
      </c>
      <c r="H3310" s="1" t="s">
        <v>1109</v>
      </c>
      <c r="I3310" s="1"/>
      <c r="J3310" s="1"/>
      <c r="K3310" s="1"/>
      <c r="L3310" s="1"/>
      <c r="M3310" s="1"/>
      <c r="N3310" s="1"/>
      <c r="O3310" s="1"/>
      <c r="P3310" s="1"/>
      <c r="Q3310" s="1"/>
    </row>
    <row r="3311" spans="1:17" x14ac:dyDescent="0.25">
      <c r="A3311" s="1" t="s">
        <v>934</v>
      </c>
      <c r="B3311" s="1" t="s">
        <v>918</v>
      </c>
      <c r="C3311" s="1" t="s">
        <v>25</v>
      </c>
      <c r="D3311" s="1" t="s">
        <v>919</v>
      </c>
      <c r="E3311" s="1" t="s">
        <v>920</v>
      </c>
      <c r="F3311" s="1" t="s">
        <v>924</v>
      </c>
      <c r="G3311" s="1" t="s">
        <v>943</v>
      </c>
      <c r="H3311" s="1" t="s">
        <v>1079</v>
      </c>
      <c r="I3311" s="1"/>
      <c r="J3311" s="1"/>
      <c r="K3311" s="1"/>
      <c r="L3311" s="1"/>
      <c r="M3311" s="1"/>
      <c r="N3311" s="1"/>
      <c r="O3311" s="1"/>
      <c r="P3311" s="1"/>
      <c r="Q3311" s="1"/>
    </row>
    <row r="3312" spans="1:17" x14ac:dyDescent="0.25">
      <c r="A3312" s="1" t="s">
        <v>934</v>
      </c>
      <c r="B3312" s="1" t="s">
        <v>918</v>
      </c>
      <c r="C3312" s="1" t="s">
        <v>25</v>
      </c>
      <c r="D3312" s="1" t="s">
        <v>919</v>
      </c>
      <c r="E3312" s="1" t="s">
        <v>920</v>
      </c>
      <c r="F3312" s="1" t="s">
        <v>924</v>
      </c>
      <c r="G3312" s="1" t="s">
        <v>964</v>
      </c>
      <c r="H3312" s="1" t="s">
        <v>1109</v>
      </c>
      <c r="I3312" s="1"/>
      <c r="J3312" s="1"/>
      <c r="K3312" s="1"/>
      <c r="L3312" s="1"/>
      <c r="M3312" s="1"/>
      <c r="N3312" s="1"/>
      <c r="O3312" s="1"/>
      <c r="P3312" s="1"/>
      <c r="Q3312" s="1"/>
    </row>
    <row r="3313" spans="1:17" x14ac:dyDescent="0.25">
      <c r="A3313" s="1" t="s">
        <v>934</v>
      </c>
      <c r="B3313" s="1" t="s">
        <v>918</v>
      </c>
      <c r="C3313" s="1" t="s">
        <v>25</v>
      </c>
      <c r="D3313" s="1" t="s">
        <v>919</v>
      </c>
      <c r="E3313" s="1" t="s">
        <v>920</v>
      </c>
      <c r="F3313" s="1" t="s">
        <v>924</v>
      </c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</row>
    <row r="3314" spans="1:17" x14ac:dyDescent="0.25">
      <c r="A3314" s="1" t="s">
        <v>934</v>
      </c>
      <c r="B3314" s="1" t="s">
        <v>918</v>
      </c>
      <c r="C3314" s="1" t="s">
        <v>25</v>
      </c>
      <c r="D3314" s="1" t="s">
        <v>919</v>
      </c>
      <c r="E3314" s="1" t="s">
        <v>920</v>
      </c>
      <c r="F3314" s="1" t="s">
        <v>924</v>
      </c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</row>
    <row r="3315" spans="1:17" x14ac:dyDescent="0.25">
      <c r="A3315" s="1" t="s">
        <v>934</v>
      </c>
      <c r="B3315" s="1" t="s">
        <v>918</v>
      </c>
      <c r="C3315" s="1" t="s">
        <v>25</v>
      </c>
      <c r="D3315" s="1" t="s">
        <v>919</v>
      </c>
      <c r="E3315" s="1" t="s">
        <v>920</v>
      </c>
      <c r="F3315" s="1" t="s">
        <v>924</v>
      </c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</row>
    <row r="3316" spans="1:17" x14ac:dyDescent="0.25">
      <c r="A3316" s="1" t="s">
        <v>934</v>
      </c>
      <c r="B3316" s="1" t="s">
        <v>918</v>
      </c>
      <c r="C3316" s="1" t="s">
        <v>25</v>
      </c>
      <c r="D3316" s="1" t="s">
        <v>919</v>
      </c>
      <c r="E3316" s="1" t="s">
        <v>920</v>
      </c>
      <c r="F3316" s="1" t="s">
        <v>924</v>
      </c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</row>
    <row r="3317" spans="1:17" x14ac:dyDescent="0.25">
      <c r="A3317" s="1" t="s">
        <v>934</v>
      </c>
      <c r="B3317" s="1" t="s">
        <v>918</v>
      </c>
      <c r="C3317" s="1" t="s">
        <v>25</v>
      </c>
      <c r="D3317" s="1" t="s">
        <v>919</v>
      </c>
      <c r="E3317" s="1" t="s">
        <v>920</v>
      </c>
      <c r="F3317" s="1" t="s">
        <v>924</v>
      </c>
      <c r="G3317" s="1" t="s">
        <v>941</v>
      </c>
      <c r="H3317" s="1" t="s">
        <v>943</v>
      </c>
      <c r="I3317" s="1" t="s">
        <v>1040</v>
      </c>
      <c r="J3317" s="1" t="s">
        <v>1114</v>
      </c>
      <c r="K3317" s="1" t="s">
        <v>936</v>
      </c>
      <c r="L3317" s="1" t="s">
        <v>930</v>
      </c>
      <c r="M3317" s="1" t="s">
        <v>945</v>
      </c>
      <c r="N3317" s="1"/>
      <c r="O3317" s="1"/>
      <c r="P3317" s="1"/>
      <c r="Q3317" s="1"/>
    </row>
    <row r="3318" spans="1:17" x14ac:dyDescent="0.25">
      <c r="A3318" s="1" t="s">
        <v>934</v>
      </c>
      <c r="B3318" s="1" t="s">
        <v>918</v>
      </c>
      <c r="C3318" s="1" t="s">
        <v>25</v>
      </c>
      <c r="D3318" s="1" t="s">
        <v>919</v>
      </c>
      <c r="E3318" s="1" t="s">
        <v>920</v>
      </c>
      <c r="F3318" s="1" t="s">
        <v>924</v>
      </c>
      <c r="G3318" s="1" t="s">
        <v>923</v>
      </c>
      <c r="H3318" s="1"/>
      <c r="I3318" s="1"/>
      <c r="J3318" s="1"/>
      <c r="K3318" s="1"/>
      <c r="L3318" s="1"/>
      <c r="M3318" s="1"/>
      <c r="N3318" s="1"/>
      <c r="O3318" s="1"/>
      <c r="P3318" s="1"/>
      <c r="Q3318" s="1"/>
    </row>
    <row r="3319" spans="1:17" x14ac:dyDescent="0.25">
      <c r="A3319" s="1" t="s">
        <v>934</v>
      </c>
      <c r="B3319" s="1" t="s">
        <v>918</v>
      </c>
      <c r="C3319" s="1" t="s">
        <v>25</v>
      </c>
      <c r="D3319" s="1" t="s">
        <v>919</v>
      </c>
      <c r="E3319" s="1" t="s">
        <v>920</v>
      </c>
      <c r="F3319" s="1" t="s">
        <v>924</v>
      </c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</row>
    <row r="3320" spans="1:17" x14ac:dyDescent="0.25">
      <c r="A3320" s="1" t="s">
        <v>934</v>
      </c>
      <c r="B3320" s="1" t="s">
        <v>918</v>
      </c>
      <c r="C3320" s="1" t="s">
        <v>25</v>
      </c>
      <c r="D3320" s="1" t="s">
        <v>919</v>
      </c>
      <c r="E3320" s="1" t="s">
        <v>920</v>
      </c>
      <c r="F3320" s="1" t="s">
        <v>924</v>
      </c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</row>
    <row r="3321" spans="1:17" x14ac:dyDescent="0.25">
      <c r="A3321" s="1" t="s">
        <v>934</v>
      </c>
      <c r="B3321" s="1" t="s">
        <v>918</v>
      </c>
      <c r="C3321" s="1" t="s">
        <v>25</v>
      </c>
      <c r="D3321" s="1" t="s">
        <v>919</v>
      </c>
      <c r="E3321" s="1" t="s">
        <v>920</v>
      </c>
      <c r="F3321" s="1" t="s">
        <v>924</v>
      </c>
      <c r="G3321" s="1" t="s">
        <v>923</v>
      </c>
      <c r="H3321" s="1" t="s">
        <v>954</v>
      </c>
      <c r="I3321" s="1" t="s">
        <v>974</v>
      </c>
      <c r="J3321" s="1" t="s">
        <v>1031</v>
      </c>
      <c r="K3321" s="1" t="s">
        <v>916</v>
      </c>
      <c r="L3321" s="1"/>
      <c r="M3321" s="1"/>
      <c r="N3321" s="1"/>
      <c r="O3321" s="1"/>
      <c r="P3321" s="1"/>
      <c r="Q3321" s="1"/>
    </row>
    <row r="3322" spans="1:17" x14ac:dyDescent="0.25">
      <c r="A3322" s="1" t="s">
        <v>934</v>
      </c>
      <c r="B3322" s="1" t="s">
        <v>918</v>
      </c>
      <c r="C3322" s="1" t="s">
        <v>25</v>
      </c>
      <c r="D3322" s="1" t="s">
        <v>919</v>
      </c>
      <c r="E3322" s="1" t="s">
        <v>920</v>
      </c>
      <c r="F3322" s="1" t="s">
        <v>924</v>
      </c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</row>
    <row r="3323" spans="1:17" x14ac:dyDescent="0.25">
      <c r="A3323" s="1" t="s">
        <v>934</v>
      </c>
      <c r="B3323" s="1" t="s">
        <v>918</v>
      </c>
      <c r="C3323" s="1" t="s">
        <v>25</v>
      </c>
      <c r="D3323" s="1" t="s">
        <v>919</v>
      </c>
      <c r="E3323" s="1" t="s">
        <v>920</v>
      </c>
      <c r="F3323" s="1" t="s">
        <v>924</v>
      </c>
      <c r="G3323" s="1" t="s">
        <v>1031</v>
      </c>
      <c r="H3323" s="1" t="s">
        <v>923</v>
      </c>
      <c r="I3323" s="1" t="s">
        <v>916</v>
      </c>
      <c r="J3323" s="1" t="s">
        <v>954</v>
      </c>
      <c r="K3323" s="1" t="s">
        <v>974</v>
      </c>
      <c r="L3323" s="1"/>
      <c r="M3323" s="1"/>
      <c r="N3323" s="1"/>
      <c r="O3323" s="1"/>
      <c r="P3323" s="1"/>
      <c r="Q3323" s="1"/>
    </row>
    <row r="3324" spans="1:17" x14ac:dyDescent="0.25">
      <c r="A3324" s="1" t="s">
        <v>923</v>
      </c>
      <c r="B3324" s="1" t="s">
        <v>934</v>
      </c>
      <c r="C3324" s="1" t="s">
        <v>918</v>
      </c>
      <c r="D3324" s="1" t="s">
        <v>25</v>
      </c>
      <c r="E3324" s="1" t="s">
        <v>919</v>
      </c>
      <c r="F3324" s="1" t="s">
        <v>920</v>
      </c>
      <c r="G3324" s="1" t="s">
        <v>924</v>
      </c>
      <c r="H3324" s="1"/>
      <c r="I3324" s="1"/>
      <c r="J3324" s="1"/>
      <c r="K3324" s="1"/>
      <c r="L3324" s="1"/>
      <c r="M3324" s="1"/>
      <c r="N3324" s="1"/>
      <c r="O3324" s="1"/>
      <c r="P3324" s="1"/>
      <c r="Q3324" s="1"/>
    </row>
    <row r="3325" spans="1:17" x14ac:dyDescent="0.25">
      <c r="A3325" s="1" t="s">
        <v>934</v>
      </c>
      <c r="B3325" s="1" t="s">
        <v>918</v>
      </c>
      <c r="C3325" s="1" t="s">
        <v>25</v>
      </c>
      <c r="D3325" s="1" t="s">
        <v>919</v>
      </c>
      <c r="E3325" s="1" t="s">
        <v>920</v>
      </c>
      <c r="F3325" s="1" t="s">
        <v>924</v>
      </c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</row>
    <row r="3326" spans="1:17" x14ac:dyDescent="0.25">
      <c r="A3326" s="1" t="s">
        <v>10905</v>
      </c>
      <c r="B3326" s="1" t="s">
        <v>10724</v>
      </c>
      <c r="C3326" s="1" t="s">
        <v>11045</v>
      </c>
      <c r="D3326" s="1" t="s">
        <v>138</v>
      </c>
      <c r="E3326" s="1" t="s">
        <v>10906</v>
      </c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</row>
    <row r="3327" spans="1:17" x14ac:dyDescent="0.25">
      <c r="A3327" s="1" t="s">
        <v>933</v>
      </c>
      <c r="B3327" s="1" t="s">
        <v>1016</v>
      </c>
      <c r="C3327" s="1" t="s">
        <v>10812</v>
      </c>
      <c r="D3327" s="1" t="s">
        <v>996</v>
      </c>
      <c r="E3327" s="1" t="s">
        <v>1053</v>
      </c>
      <c r="F3327" s="1" t="s">
        <v>1086</v>
      </c>
      <c r="G3327" s="1" t="s">
        <v>2541</v>
      </c>
      <c r="H3327" s="1"/>
      <c r="I3327" s="1"/>
      <c r="J3327" s="1"/>
      <c r="K3327" s="1"/>
      <c r="L3327" s="1"/>
      <c r="M3327" s="1"/>
      <c r="N3327" s="1"/>
      <c r="O3327" s="1"/>
      <c r="P3327" s="1"/>
      <c r="Q3327" s="1"/>
    </row>
    <row r="3328" spans="1:17" x14ac:dyDescent="0.25">
      <c r="A3328" s="1" t="s">
        <v>298</v>
      </c>
      <c r="B3328" s="1" t="s">
        <v>25</v>
      </c>
      <c r="C3328" s="1" t="s">
        <v>1148</v>
      </c>
      <c r="D3328" s="1" t="s">
        <v>923</v>
      </c>
      <c r="E3328" s="1" t="s">
        <v>2927</v>
      </c>
      <c r="F3328" s="1" t="s">
        <v>933</v>
      </c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</row>
    <row r="3329" spans="1:17" x14ac:dyDescent="0.25">
      <c r="A3329" s="1" t="s">
        <v>50</v>
      </c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</row>
    <row r="3330" spans="1:17" x14ac:dyDescent="0.25">
      <c r="A3330" s="1" t="s">
        <v>918</v>
      </c>
      <c r="B3330" s="1" t="s">
        <v>919</v>
      </c>
      <c r="C3330" s="1" t="s">
        <v>936</v>
      </c>
      <c r="D3330" s="1" t="s">
        <v>10734</v>
      </c>
      <c r="E3330" s="1" t="s">
        <v>955</v>
      </c>
      <c r="F3330" s="1" t="s">
        <v>1014</v>
      </c>
      <c r="G3330" s="1" t="s">
        <v>956</v>
      </c>
      <c r="H3330" s="1"/>
      <c r="I3330" s="1"/>
      <c r="J3330" s="1"/>
      <c r="K3330" s="1"/>
      <c r="L3330" s="1"/>
      <c r="M3330" s="1"/>
      <c r="N3330" s="1"/>
      <c r="O3330" s="1"/>
      <c r="P3330" s="1"/>
      <c r="Q3330" s="1"/>
    </row>
    <row r="3331" spans="1:17" x14ac:dyDescent="0.25">
      <c r="A3331" s="1" t="s">
        <v>918</v>
      </c>
      <c r="B3331" s="1" t="s">
        <v>919</v>
      </c>
      <c r="C3331" s="1" t="s">
        <v>936</v>
      </c>
      <c r="D3331" s="1" t="s">
        <v>948</v>
      </c>
      <c r="E3331" s="1" t="s">
        <v>25</v>
      </c>
      <c r="F3331" s="1" t="s">
        <v>920</v>
      </c>
      <c r="G3331" s="1" t="s">
        <v>954</v>
      </c>
      <c r="H3331" s="1"/>
      <c r="I3331" s="1"/>
      <c r="J3331" s="1"/>
      <c r="K3331" s="1"/>
      <c r="L3331" s="1"/>
      <c r="M3331" s="1"/>
      <c r="N3331" s="1"/>
      <c r="O3331" s="1"/>
      <c r="P3331" s="1"/>
      <c r="Q3331" s="1"/>
    </row>
    <row r="3332" spans="1:17" x14ac:dyDescent="0.25">
      <c r="A3332" s="1" t="s">
        <v>996</v>
      </c>
      <c r="B3332" s="1" t="s">
        <v>2541</v>
      </c>
      <c r="C3332" s="1" t="s">
        <v>1053</v>
      </c>
      <c r="D3332" s="1" t="s">
        <v>1001</v>
      </c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</row>
    <row r="3333" spans="1:17" x14ac:dyDescent="0.25">
      <c r="A3333" s="1" t="s">
        <v>1001</v>
      </c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</row>
    <row r="3334" spans="1:17" x14ac:dyDescent="0.25">
      <c r="A3334" s="1" t="s">
        <v>996</v>
      </c>
      <c r="B3334" s="1" t="s">
        <v>2541</v>
      </c>
      <c r="C3334" s="1" t="s">
        <v>1053</v>
      </c>
      <c r="D3334" s="1" t="s">
        <v>1082</v>
      </c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</row>
    <row r="3335" spans="1:17" x14ac:dyDescent="0.25">
      <c r="A3335" s="1" t="s">
        <v>8391</v>
      </c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</row>
    <row r="3336" spans="1:17" x14ac:dyDescent="0.25">
      <c r="A3336" s="1" t="s">
        <v>927</v>
      </c>
      <c r="B3336" s="1" t="s">
        <v>919</v>
      </c>
      <c r="C3336" s="1" t="s">
        <v>924</v>
      </c>
      <c r="D3336" s="1" t="s">
        <v>918</v>
      </c>
      <c r="E3336" s="1" t="s">
        <v>936</v>
      </c>
      <c r="F3336" s="1" t="s">
        <v>967</v>
      </c>
      <c r="G3336" s="1" t="s">
        <v>969</v>
      </c>
      <c r="H3336" s="1" t="s">
        <v>10706</v>
      </c>
      <c r="I3336" s="1" t="s">
        <v>970</v>
      </c>
      <c r="J3336" s="1" t="s">
        <v>968</v>
      </c>
      <c r="K3336" s="1" t="s">
        <v>1065</v>
      </c>
      <c r="L3336" s="1" t="s">
        <v>11046</v>
      </c>
      <c r="M3336" s="1"/>
      <c r="N3336" s="1"/>
      <c r="O3336" s="1"/>
      <c r="P3336" s="1"/>
      <c r="Q3336" s="1"/>
    </row>
    <row r="3337" spans="1:17" x14ac:dyDescent="0.25">
      <c r="A3337" s="1" t="s">
        <v>918</v>
      </c>
      <c r="B3337" s="1" t="s">
        <v>25</v>
      </c>
      <c r="C3337" s="1" t="s">
        <v>997</v>
      </c>
      <c r="D3337" s="1" t="s">
        <v>919</v>
      </c>
      <c r="E3337" s="1" t="s">
        <v>920</v>
      </c>
      <c r="F3337" s="1" t="s">
        <v>924</v>
      </c>
      <c r="G3337" s="1" t="s">
        <v>936</v>
      </c>
      <c r="H3337" s="1" t="s">
        <v>967</v>
      </c>
      <c r="I3337" s="1" t="s">
        <v>1050</v>
      </c>
      <c r="J3337" s="1" t="s">
        <v>969</v>
      </c>
      <c r="K3337" s="1" t="s">
        <v>970</v>
      </c>
      <c r="L3337" s="1" t="s">
        <v>1014</v>
      </c>
      <c r="M3337" s="1"/>
      <c r="N3337" s="1"/>
      <c r="O3337" s="1"/>
      <c r="P3337" s="1"/>
      <c r="Q3337" s="1"/>
    </row>
    <row r="3338" spans="1:17" x14ac:dyDescent="0.25">
      <c r="A3338" s="1" t="s">
        <v>918</v>
      </c>
      <c r="B3338" s="1" t="s">
        <v>25</v>
      </c>
      <c r="C3338" s="1" t="s">
        <v>923</v>
      </c>
      <c r="D3338" s="1" t="s">
        <v>1078</v>
      </c>
      <c r="E3338" s="1" t="s">
        <v>919</v>
      </c>
      <c r="F3338" s="1" t="s">
        <v>920</v>
      </c>
      <c r="G3338" s="1" t="s">
        <v>924</v>
      </c>
      <c r="H3338" s="1" t="s">
        <v>921</v>
      </c>
      <c r="I3338" s="1" t="s">
        <v>927</v>
      </c>
      <c r="J3338" s="1" t="s">
        <v>939</v>
      </c>
      <c r="K3338" s="1" t="s">
        <v>928</v>
      </c>
      <c r="L3338" s="1" t="s">
        <v>929</v>
      </c>
      <c r="M3338" s="1" t="s">
        <v>10849</v>
      </c>
      <c r="N3338" s="1" t="s">
        <v>10967</v>
      </c>
      <c r="O3338" s="1" t="s">
        <v>10968</v>
      </c>
      <c r="P3338" s="1" t="s">
        <v>10969</v>
      </c>
      <c r="Q3338" s="1" t="s">
        <v>10970</v>
      </c>
    </row>
    <row r="3339" spans="1:17" x14ac:dyDescent="0.25">
      <c r="A3339" s="1" t="s">
        <v>918</v>
      </c>
      <c r="B3339" s="1" t="s">
        <v>25</v>
      </c>
      <c r="C3339" s="1" t="s">
        <v>923</v>
      </c>
      <c r="D3339" s="1" t="s">
        <v>1078</v>
      </c>
      <c r="E3339" s="1" t="s">
        <v>919</v>
      </c>
      <c r="F3339" s="1" t="s">
        <v>920</v>
      </c>
      <c r="G3339" s="1" t="s">
        <v>924</v>
      </c>
      <c r="H3339" s="1" t="s">
        <v>921</v>
      </c>
      <c r="I3339" s="1" t="s">
        <v>10821</v>
      </c>
      <c r="J3339" s="1"/>
      <c r="K3339" s="1"/>
      <c r="L3339" s="1"/>
      <c r="M3339" s="1"/>
      <c r="N3339" s="1"/>
      <c r="O3339" s="1"/>
      <c r="P3339" s="1"/>
      <c r="Q3339" s="1"/>
    </row>
    <row r="3340" spans="1:17" x14ac:dyDescent="0.25">
      <c r="A3340" s="1" t="s">
        <v>996</v>
      </c>
      <c r="B3340" s="1" t="s">
        <v>997</v>
      </c>
      <c r="C3340" s="1" t="s">
        <v>998</v>
      </c>
      <c r="D3340" s="1" t="s">
        <v>992</v>
      </c>
      <c r="E3340" s="1" t="s">
        <v>933</v>
      </c>
      <c r="F3340" s="1" t="s">
        <v>994</v>
      </c>
      <c r="G3340" s="1" t="s">
        <v>1001</v>
      </c>
      <c r="H3340" s="1" t="s">
        <v>927</v>
      </c>
      <c r="I3340" s="1" t="s">
        <v>981</v>
      </c>
      <c r="J3340" s="1" t="s">
        <v>919</v>
      </c>
      <c r="K3340" s="1"/>
      <c r="L3340" s="1"/>
      <c r="M3340" s="1"/>
      <c r="N3340" s="1"/>
      <c r="O3340" s="1"/>
      <c r="P3340" s="1"/>
      <c r="Q3340" s="1"/>
    </row>
    <row r="3341" spans="1:17" x14ac:dyDescent="0.25">
      <c r="A3341" s="1" t="s">
        <v>918</v>
      </c>
      <c r="B3341" s="1" t="s">
        <v>25</v>
      </c>
      <c r="C3341" s="1" t="s">
        <v>923</v>
      </c>
      <c r="D3341" s="1" t="s">
        <v>1078</v>
      </c>
      <c r="E3341" s="1" t="s">
        <v>919</v>
      </c>
      <c r="F3341" s="1" t="s">
        <v>920</v>
      </c>
      <c r="G3341" s="1" t="s">
        <v>924</v>
      </c>
      <c r="H3341" s="1" t="s">
        <v>921</v>
      </c>
      <c r="I3341" s="1" t="s">
        <v>10821</v>
      </c>
      <c r="J3341" s="1" t="s">
        <v>996</v>
      </c>
      <c r="K3341" s="1" t="s">
        <v>997</v>
      </c>
      <c r="L3341" s="1" t="s">
        <v>998</v>
      </c>
      <c r="M3341" s="1" t="s">
        <v>992</v>
      </c>
      <c r="N3341" s="1" t="s">
        <v>933</v>
      </c>
      <c r="O3341" s="1" t="s">
        <v>994</v>
      </c>
      <c r="P3341" s="1"/>
      <c r="Q3341" s="1"/>
    </row>
    <row r="3342" spans="1:17" x14ac:dyDescent="0.25">
      <c r="A3342" s="1" t="s">
        <v>996</v>
      </c>
      <c r="B3342" s="1" t="s">
        <v>997</v>
      </c>
      <c r="C3342" s="1" t="s">
        <v>998</v>
      </c>
      <c r="D3342" s="1" t="s">
        <v>992</v>
      </c>
      <c r="E3342" s="1" t="s">
        <v>933</v>
      </c>
      <c r="F3342" s="1" t="s">
        <v>994</v>
      </c>
      <c r="G3342" s="1" t="s">
        <v>978</v>
      </c>
      <c r="H3342" s="1"/>
      <c r="I3342" s="1"/>
      <c r="J3342" s="1"/>
      <c r="K3342" s="1"/>
      <c r="L3342" s="1"/>
      <c r="M3342" s="1"/>
      <c r="N3342" s="1"/>
      <c r="O3342" s="1"/>
      <c r="P3342" s="1"/>
      <c r="Q3342" s="1"/>
    </row>
    <row r="3343" spans="1:17" x14ac:dyDescent="0.25">
      <c r="A3343" s="1" t="s">
        <v>927</v>
      </c>
      <c r="B3343" s="1" t="s">
        <v>960</v>
      </c>
      <c r="C3343" s="1" t="s">
        <v>961</v>
      </c>
      <c r="D3343" s="1" t="s">
        <v>1147</v>
      </c>
      <c r="E3343" s="1" t="s">
        <v>996</v>
      </c>
      <c r="F3343" s="1" t="s">
        <v>997</v>
      </c>
      <c r="G3343" s="1" t="s">
        <v>998</v>
      </c>
      <c r="H3343" s="1" t="s">
        <v>992</v>
      </c>
      <c r="I3343" s="1" t="s">
        <v>933</v>
      </c>
      <c r="J3343" s="1" t="s">
        <v>994</v>
      </c>
      <c r="K3343" s="1"/>
      <c r="L3343" s="1"/>
      <c r="M3343" s="1"/>
      <c r="N3343" s="1"/>
      <c r="O3343" s="1"/>
      <c r="P3343" s="1"/>
      <c r="Q3343" s="1"/>
    </row>
    <row r="3344" spans="1:17" x14ac:dyDescent="0.25">
      <c r="A3344" s="1" t="s">
        <v>996</v>
      </c>
      <c r="B3344" s="1" t="s">
        <v>997</v>
      </c>
      <c r="C3344" s="1" t="s">
        <v>998</v>
      </c>
      <c r="D3344" s="1" t="s">
        <v>992</v>
      </c>
      <c r="E3344" s="1" t="s">
        <v>933</v>
      </c>
      <c r="F3344" s="1" t="s">
        <v>994</v>
      </c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</row>
    <row r="3345" spans="1:17" x14ac:dyDescent="0.25">
      <c r="A3345" s="1" t="s">
        <v>996</v>
      </c>
      <c r="B3345" s="1" t="s">
        <v>997</v>
      </c>
      <c r="C3345" s="1" t="s">
        <v>998</v>
      </c>
      <c r="D3345" s="1" t="s">
        <v>992</v>
      </c>
      <c r="E3345" s="1" t="s">
        <v>933</v>
      </c>
      <c r="F3345" s="1" t="s">
        <v>994</v>
      </c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</row>
    <row r="3346" spans="1:17" x14ac:dyDescent="0.25">
      <c r="A3346" s="1" t="s">
        <v>923</v>
      </c>
      <c r="B3346" s="1" t="s">
        <v>935</v>
      </c>
      <c r="C3346" s="1" t="s">
        <v>920</v>
      </c>
      <c r="D3346" s="1" t="s">
        <v>918</v>
      </c>
      <c r="E3346" s="1" t="s">
        <v>919</v>
      </c>
      <c r="F3346" s="1" t="s">
        <v>936</v>
      </c>
      <c r="G3346" s="1" t="s">
        <v>6492</v>
      </c>
      <c r="H3346" s="1"/>
      <c r="I3346" s="1"/>
      <c r="J3346" s="1"/>
      <c r="K3346" s="1"/>
      <c r="L3346" s="1"/>
      <c r="M3346" s="1"/>
      <c r="N3346" s="1"/>
      <c r="O3346" s="1"/>
      <c r="P3346" s="1"/>
      <c r="Q3346" s="1"/>
    </row>
    <row r="3347" spans="1:17" x14ac:dyDescent="0.25">
      <c r="A3347" s="1" t="s">
        <v>923</v>
      </c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</row>
    <row r="3348" spans="1:17" x14ac:dyDescent="0.25">
      <c r="A3348" s="1" t="s">
        <v>923</v>
      </c>
      <c r="B3348" s="1" t="s">
        <v>960</v>
      </c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</row>
    <row r="3349" spans="1:17" x14ac:dyDescent="0.25">
      <c r="A3349" s="1" t="s">
        <v>923</v>
      </c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</row>
    <row r="3350" spans="1:17" x14ac:dyDescent="0.25">
      <c r="A3350" s="1" t="s">
        <v>923</v>
      </c>
      <c r="B3350" s="1" t="s">
        <v>1013</v>
      </c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</row>
    <row r="3351" spans="1:17" x14ac:dyDescent="0.25">
      <c r="A3351" s="1" t="s">
        <v>923</v>
      </c>
      <c r="B3351" s="1" t="s">
        <v>918</v>
      </c>
      <c r="C3351" s="1" t="s">
        <v>25</v>
      </c>
      <c r="D3351" s="1" t="s">
        <v>920</v>
      </c>
      <c r="E3351" s="1" t="s">
        <v>924</v>
      </c>
      <c r="F3351" s="1" t="s">
        <v>921</v>
      </c>
      <c r="G3351" s="1" t="s">
        <v>11047</v>
      </c>
      <c r="H3351" s="1" t="s">
        <v>1000</v>
      </c>
      <c r="I3351" s="1" t="s">
        <v>11048</v>
      </c>
      <c r="J3351" s="1" t="s">
        <v>1063</v>
      </c>
      <c r="K3351" s="1"/>
      <c r="L3351" s="1"/>
      <c r="M3351" s="1"/>
      <c r="N3351" s="1"/>
      <c r="O3351" s="1"/>
      <c r="P3351" s="1"/>
      <c r="Q3351" s="1"/>
    </row>
    <row r="3352" spans="1:17" x14ac:dyDescent="0.25">
      <c r="A3352" s="1" t="s">
        <v>923</v>
      </c>
      <c r="B3352" s="1" t="s">
        <v>35</v>
      </c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</row>
    <row r="3353" spans="1:17" x14ac:dyDescent="0.25">
      <c r="A3353" s="1" t="s">
        <v>923</v>
      </c>
      <c r="B3353" s="1" t="s">
        <v>1000</v>
      </c>
      <c r="C3353" s="1" t="s">
        <v>921</v>
      </c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</row>
    <row r="3354" spans="1:17" x14ac:dyDescent="0.25">
      <c r="A3354" s="1" t="s">
        <v>923</v>
      </c>
      <c r="B3354" s="1" t="s">
        <v>918</v>
      </c>
      <c r="C3354" s="1" t="s">
        <v>919</v>
      </c>
      <c r="D3354" s="1" t="s">
        <v>922</v>
      </c>
      <c r="E3354" s="1" t="s">
        <v>961</v>
      </c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</row>
    <row r="3355" spans="1:17" x14ac:dyDescent="0.25">
      <c r="A3355" s="1" t="s">
        <v>923</v>
      </c>
      <c r="B3355" s="1" t="s">
        <v>1001</v>
      </c>
      <c r="C3355" s="1" t="s">
        <v>10936</v>
      </c>
      <c r="D3355" s="1" t="s">
        <v>927</v>
      </c>
      <c r="E3355" s="1" t="s">
        <v>981</v>
      </c>
      <c r="F3355" s="1" t="s">
        <v>919</v>
      </c>
      <c r="G3355" s="1" t="s">
        <v>1000</v>
      </c>
      <c r="H3355" s="1" t="s">
        <v>11049</v>
      </c>
      <c r="I3355" s="1"/>
      <c r="J3355" s="1"/>
      <c r="K3355" s="1"/>
      <c r="L3355" s="1"/>
      <c r="M3355" s="1"/>
      <c r="N3355" s="1"/>
      <c r="O3355" s="1"/>
      <c r="P3355" s="1"/>
      <c r="Q3355" s="1"/>
    </row>
    <row r="3356" spans="1:17" x14ac:dyDescent="0.25">
      <c r="A3356" s="1" t="s">
        <v>923</v>
      </c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</row>
    <row r="3357" spans="1:17" x14ac:dyDescent="0.25">
      <c r="A3357" s="1" t="s">
        <v>923</v>
      </c>
      <c r="B3357" s="1" t="s">
        <v>1001</v>
      </c>
      <c r="C3357" s="1" t="s">
        <v>918</v>
      </c>
      <c r="D3357" s="1" t="s">
        <v>927</v>
      </c>
      <c r="E3357" s="1" t="s">
        <v>919</v>
      </c>
      <c r="F3357" s="1" t="s">
        <v>936</v>
      </c>
      <c r="G3357" s="1" t="s">
        <v>967</v>
      </c>
      <c r="H3357" s="1" t="s">
        <v>968</v>
      </c>
      <c r="I3357" s="1" t="s">
        <v>969</v>
      </c>
      <c r="J3357" s="1" t="s">
        <v>970</v>
      </c>
      <c r="K3357" s="1"/>
      <c r="L3357" s="1"/>
      <c r="M3357" s="1"/>
      <c r="N3357" s="1"/>
      <c r="O3357" s="1"/>
      <c r="P3357" s="1"/>
      <c r="Q3357" s="1"/>
    </row>
    <row r="3358" spans="1:17" x14ac:dyDescent="0.25">
      <c r="A3358" s="1" t="s">
        <v>923</v>
      </c>
      <c r="B3358" s="1" t="s">
        <v>935</v>
      </c>
      <c r="C3358" s="1" t="s">
        <v>920</v>
      </c>
      <c r="D3358" s="1" t="s">
        <v>11047</v>
      </c>
      <c r="E3358" s="1" t="s">
        <v>1000</v>
      </c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</row>
    <row r="3359" spans="1:17" x14ac:dyDescent="0.25">
      <c r="A3359" s="1" t="s">
        <v>918</v>
      </c>
      <c r="B3359" s="1" t="s">
        <v>953</v>
      </c>
      <c r="C3359" s="1" t="s">
        <v>939</v>
      </c>
      <c r="D3359" s="1" t="s">
        <v>1060</v>
      </c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</row>
    <row r="3360" spans="1:17" x14ac:dyDescent="0.25">
      <c r="A3360" s="1" t="s">
        <v>934</v>
      </c>
      <c r="B3360" s="1" t="s">
        <v>25</v>
      </c>
      <c r="C3360" s="1" t="s">
        <v>923</v>
      </c>
      <c r="D3360" s="1" t="s">
        <v>920</v>
      </c>
      <c r="E3360" s="1" t="s">
        <v>933</v>
      </c>
      <c r="F3360" s="1" t="s">
        <v>954</v>
      </c>
      <c r="G3360" s="1" t="s">
        <v>974</v>
      </c>
      <c r="H3360" s="1" t="s">
        <v>1054</v>
      </c>
      <c r="I3360" s="1" t="s">
        <v>950</v>
      </c>
      <c r="J3360" s="1" t="s">
        <v>921</v>
      </c>
      <c r="K3360" s="1" t="s">
        <v>10919</v>
      </c>
      <c r="L3360" s="1"/>
      <c r="M3360" s="1"/>
      <c r="N3360" s="1"/>
      <c r="O3360" s="1"/>
      <c r="P3360" s="1"/>
      <c r="Q3360" s="1"/>
    </row>
    <row r="3361" spans="1:17" x14ac:dyDescent="0.25">
      <c r="A3361" s="1" t="s">
        <v>934</v>
      </c>
      <c r="B3361" s="1" t="s">
        <v>25</v>
      </c>
      <c r="C3361" s="1" t="s">
        <v>923</v>
      </c>
      <c r="D3361" s="1" t="s">
        <v>920</v>
      </c>
      <c r="E3361" s="1" t="s">
        <v>933</v>
      </c>
      <c r="F3361" s="1" t="s">
        <v>954</v>
      </c>
      <c r="G3361" s="1" t="s">
        <v>974</v>
      </c>
      <c r="H3361" s="1" t="s">
        <v>1054</v>
      </c>
      <c r="I3361" s="1" t="s">
        <v>950</v>
      </c>
      <c r="J3361" s="1" t="s">
        <v>921</v>
      </c>
      <c r="K3361" s="1" t="s">
        <v>10808</v>
      </c>
      <c r="L3361" s="1"/>
      <c r="M3361" s="1"/>
      <c r="N3361" s="1"/>
      <c r="O3361" s="1"/>
      <c r="P3361" s="1"/>
      <c r="Q3361" s="1"/>
    </row>
    <row r="3362" spans="1:17" x14ac:dyDescent="0.25">
      <c r="A3362" s="1" t="s">
        <v>934</v>
      </c>
      <c r="B3362" s="1" t="s">
        <v>25</v>
      </c>
      <c r="C3362" s="1" t="s">
        <v>923</v>
      </c>
      <c r="D3362" s="1" t="s">
        <v>920</v>
      </c>
      <c r="E3362" s="1" t="s">
        <v>933</v>
      </c>
      <c r="F3362" s="1" t="s">
        <v>954</v>
      </c>
      <c r="G3362" s="1" t="s">
        <v>974</v>
      </c>
      <c r="H3362" s="1" t="s">
        <v>1054</v>
      </c>
      <c r="I3362" s="1" t="s">
        <v>950</v>
      </c>
      <c r="J3362" s="1" t="s">
        <v>921</v>
      </c>
      <c r="K3362" s="1"/>
      <c r="L3362" s="1"/>
      <c r="M3362" s="1"/>
      <c r="N3362" s="1"/>
      <c r="O3362" s="1"/>
      <c r="P3362" s="1"/>
      <c r="Q3362" s="1"/>
    </row>
    <row r="3363" spans="1:17" x14ac:dyDescent="0.25">
      <c r="A3363" s="1" t="s">
        <v>918</v>
      </c>
      <c r="B3363" s="1" t="s">
        <v>927</v>
      </c>
      <c r="C3363" s="1" t="s">
        <v>1056</v>
      </c>
      <c r="D3363" s="1" t="s">
        <v>981</v>
      </c>
      <c r="E3363" s="1" t="s">
        <v>919</v>
      </c>
      <c r="F3363" s="1" t="s">
        <v>25</v>
      </c>
      <c r="G3363" s="1" t="s">
        <v>923</v>
      </c>
      <c r="H3363" s="1" t="s">
        <v>920</v>
      </c>
      <c r="I3363" s="1" t="s">
        <v>933</v>
      </c>
      <c r="J3363" s="1" t="s">
        <v>954</v>
      </c>
      <c r="K3363" s="1" t="s">
        <v>974</v>
      </c>
      <c r="L3363" s="1" t="s">
        <v>921</v>
      </c>
      <c r="M3363" s="1"/>
      <c r="N3363" s="1"/>
      <c r="O3363" s="1"/>
      <c r="P3363" s="1"/>
      <c r="Q3363" s="1"/>
    </row>
    <row r="3364" spans="1:17" x14ac:dyDescent="0.25">
      <c r="A3364" s="1" t="s">
        <v>25</v>
      </c>
      <c r="B3364" s="1" t="s">
        <v>1086</v>
      </c>
      <c r="C3364" s="1" t="s">
        <v>919</v>
      </c>
      <c r="D3364" s="1" t="s">
        <v>920</v>
      </c>
      <c r="E3364" s="1" t="s">
        <v>921</v>
      </c>
      <c r="F3364" s="1" t="s">
        <v>924</v>
      </c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</row>
    <row r="3365" spans="1:17" x14ac:dyDescent="0.25">
      <c r="A3365" s="1" t="s">
        <v>25</v>
      </c>
      <c r="B3365" s="1" t="s">
        <v>927</v>
      </c>
      <c r="C3365" s="1" t="s">
        <v>998</v>
      </c>
      <c r="D3365" s="1" t="s">
        <v>1086</v>
      </c>
      <c r="E3365" s="1" t="s">
        <v>920</v>
      </c>
      <c r="F3365" s="1" t="s">
        <v>933</v>
      </c>
      <c r="G3365" s="1" t="s">
        <v>921</v>
      </c>
      <c r="H3365" s="1"/>
      <c r="I3365" s="1"/>
      <c r="J3365" s="1"/>
      <c r="K3365" s="1"/>
      <c r="L3365" s="1"/>
      <c r="M3365" s="1"/>
      <c r="N3365" s="1"/>
      <c r="O3365" s="1"/>
      <c r="P3365" s="1"/>
      <c r="Q3365" s="1"/>
    </row>
    <row r="3366" spans="1:17" x14ac:dyDescent="0.25">
      <c r="A3366" s="1" t="s">
        <v>25</v>
      </c>
      <c r="B3366" s="1" t="s">
        <v>927</v>
      </c>
      <c r="C3366" s="1" t="s">
        <v>998</v>
      </c>
      <c r="D3366" s="1" t="s">
        <v>1086</v>
      </c>
      <c r="E3366" s="1" t="s">
        <v>920</v>
      </c>
      <c r="F3366" s="1" t="s">
        <v>933</v>
      </c>
      <c r="G3366" s="1" t="s">
        <v>921</v>
      </c>
      <c r="H3366" s="1" t="s">
        <v>1053</v>
      </c>
      <c r="I3366" s="1"/>
      <c r="J3366" s="1"/>
      <c r="K3366" s="1"/>
      <c r="L3366" s="1"/>
      <c r="M3366" s="1"/>
      <c r="N3366" s="1"/>
      <c r="O3366" s="1"/>
      <c r="P3366" s="1"/>
      <c r="Q3366" s="1"/>
    </row>
    <row r="3367" spans="1:17" x14ac:dyDescent="0.25">
      <c r="A3367" s="1" t="s">
        <v>25</v>
      </c>
      <c r="B3367" s="1" t="s">
        <v>927</v>
      </c>
      <c r="C3367" s="1" t="s">
        <v>998</v>
      </c>
      <c r="D3367" s="1" t="s">
        <v>1086</v>
      </c>
      <c r="E3367" s="1" t="s">
        <v>920</v>
      </c>
      <c r="F3367" s="1" t="s">
        <v>933</v>
      </c>
      <c r="G3367" s="1" t="s">
        <v>921</v>
      </c>
      <c r="H3367" s="1"/>
      <c r="I3367" s="1"/>
      <c r="J3367" s="1"/>
      <c r="K3367" s="1"/>
      <c r="L3367" s="1"/>
      <c r="M3367" s="1"/>
      <c r="N3367" s="1"/>
      <c r="O3367" s="1"/>
      <c r="P3367" s="1"/>
      <c r="Q3367" s="1"/>
    </row>
    <row r="3368" spans="1:17" x14ac:dyDescent="0.25">
      <c r="A3368" s="1" t="s">
        <v>25</v>
      </c>
      <c r="B3368" s="1" t="s">
        <v>927</v>
      </c>
      <c r="C3368" s="1" t="s">
        <v>998</v>
      </c>
      <c r="D3368" s="1" t="s">
        <v>1086</v>
      </c>
      <c r="E3368" s="1" t="s">
        <v>920</v>
      </c>
      <c r="F3368" s="1" t="s">
        <v>933</v>
      </c>
      <c r="G3368" s="1" t="s">
        <v>921</v>
      </c>
      <c r="H3368" s="1"/>
      <c r="I3368" s="1"/>
      <c r="J3368" s="1"/>
      <c r="K3368" s="1"/>
      <c r="L3368" s="1"/>
      <c r="M3368" s="1"/>
      <c r="N3368" s="1"/>
      <c r="O3368" s="1"/>
      <c r="P3368" s="1"/>
      <c r="Q3368" s="1"/>
    </row>
    <row r="3369" spans="1:17" x14ac:dyDescent="0.25">
      <c r="A3369" s="1" t="s">
        <v>10698</v>
      </c>
      <c r="B3369" s="1" t="s">
        <v>983</v>
      </c>
      <c r="C3369" s="1" t="s">
        <v>919</v>
      </c>
      <c r="D3369" s="1" t="s">
        <v>1020</v>
      </c>
      <c r="E3369" s="1" t="s">
        <v>929</v>
      </c>
      <c r="F3369" s="1" t="s">
        <v>918</v>
      </c>
      <c r="G3369" s="1" t="s">
        <v>25</v>
      </c>
      <c r="H3369" s="1" t="s">
        <v>927</v>
      </c>
      <c r="I3369" s="1" t="s">
        <v>920</v>
      </c>
      <c r="J3369" s="1" t="s">
        <v>936</v>
      </c>
      <c r="K3369" s="1" t="s">
        <v>1108</v>
      </c>
      <c r="L3369" s="1" t="s">
        <v>960</v>
      </c>
      <c r="M3369" s="1" t="s">
        <v>961</v>
      </c>
      <c r="N3369" s="1" t="s">
        <v>921</v>
      </c>
      <c r="O3369" s="1"/>
      <c r="P3369" s="1"/>
      <c r="Q3369" s="1"/>
    </row>
    <row r="3370" spans="1:17" x14ac:dyDescent="0.25">
      <c r="A3370" s="1" t="s">
        <v>10698</v>
      </c>
      <c r="B3370" s="1" t="s">
        <v>983</v>
      </c>
      <c r="C3370" s="1" t="s">
        <v>919</v>
      </c>
      <c r="D3370" s="1" t="s">
        <v>1020</v>
      </c>
      <c r="E3370" s="1" t="s">
        <v>929</v>
      </c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</row>
    <row r="3371" spans="1:17" x14ac:dyDescent="0.25">
      <c r="A3371" s="1" t="s">
        <v>10698</v>
      </c>
      <c r="B3371" s="1" t="s">
        <v>983</v>
      </c>
      <c r="C3371" s="1" t="s">
        <v>919</v>
      </c>
      <c r="D3371" s="1" t="s">
        <v>1020</v>
      </c>
      <c r="E3371" s="1" t="s">
        <v>929</v>
      </c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</row>
    <row r="3372" spans="1:17" x14ac:dyDescent="0.25">
      <c r="A3372" s="1" t="s">
        <v>933</v>
      </c>
      <c r="B3372" s="1" t="s">
        <v>981</v>
      </c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</row>
    <row r="3373" spans="1:17" x14ac:dyDescent="0.25">
      <c r="A3373" s="1" t="s">
        <v>925</v>
      </c>
      <c r="B3373" s="1" t="s">
        <v>927</v>
      </c>
      <c r="C3373" s="1" t="s">
        <v>919</v>
      </c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</row>
    <row r="3374" spans="1:17" x14ac:dyDescent="0.25">
      <c r="A3374" s="1" t="s">
        <v>918</v>
      </c>
      <c r="B3374" s="1" t="s">
        <v>932</v>
      </c>
      <c r="C3374" s="1" t="s">
        <v>25</v>
      </c>
      <c r="D3374" s="1" t="s">
        <v>923</v>
      </c>
      <c r="E3374" s="1" t="s">
        <v>916</v>
      </c>
      <c r="F3374" s="1" t="s">
        <v>920</v>
      </c>
      <c r="G3374" s="1" t="s">
        <v>933</v>
      </c>
      <c r="H3374" s="1" t="s">
        <v>921</v>
      </c>
      <c r="I3374" s="1" t="s">
        <v>1001</v>
      </c>
      <c r="J3374" s="1" t="s">
        <v>927</v>
      </c>
      <c r="K3374" s="1" t="s">
        <v>919</v>
      </c>
      <c r="L3374" s="1" t="s">
        <v>936</v>
      </c>
      <c r="M3374" s="1" t="s">
        <v>961</v>
      </c>
      <c r="N3374" s="1"/>
      <c r="O3374" s="1"/>
      <c r="P3374" s="1"/>
      <c r="Q3374" s="1"/>
    </row>
    <row r="3375" spans="1:17" x14ac:dyDescent="0.25">
      <c r="A3375" s="1" t="s">
        <v>1001</v>
      </c>
      <c r="B3375" s="1" t="s">
        <v>927</v>
      </c>
      <c r="C3375" s="1" t="s">
        <v>919</v>
      </c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</row>
    <row r="3376" spans="1:17" x14ac:dyDescent="0.25">
      <c r="A3376" s="1" t="s">
        <v>1001</v>
      </c>
      <c r="B3376" s="1" t="s">
        <v>927</v>
      </c>
      <c r="C3376" s="1" t="s">
        <v>919</v>
      </c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</row>
    <row r="3377" spans="1:17" x14ac:dyDescent="0.25">
      <c r="A3377" s="1" t="s">
        <v>1001</v>
      </c>
      <c r="B3377" s="1" t="s">
        <v>927</v>
      </c>
      <c r="C3377" s="1" t="s">
        <v>919</v>
      </c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</row>
    <row r="3378" spans="1:17" x14ac:dyDescent="0.25">
      <c r="A3378" s="1" t="s">
        <v>1001</v>
      </c>
      <c r="B3378" s="1" t="s">
        <v>927</v>
      </c>
      <c r="C3378" s="1" t="s">
        <v>919</v>
      </c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</row>
    <row r="3379" spans="1:17" x14ac:dyDescent="0.25">
      <c r="A3379" s="1" t="s">
        <v>1001</v>
      </c>
      <c r="B3379" s="1" t="s">
        <v>927</v>
      </c>
      <c r="C3379" s="1" t="s">
        <v>919</v>
      </c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</row>
    <row r="3380" spans="1:17" x14ac:dyDescent="0.25">
      <c r="A3380" s="1" t="s">
        <v>1001</v>
      </c>
      <c r="B3380" s="1" t="s">
        <v>927</v>
      </c>
      <c r="C3380" s="1" t="s">
        <v>919</v>
      </c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</row>
    <row r="3381" spans="1:17" x14ac:dyDescent="0.25">
      <c r="A3381" s="1" t="s">
        <v>927</v>
      </c>
      <c r="B3381" s="1" t="s">
        <v>919</v>
      </c>
      <c r="C3381" s="1" t="s">
        <v>1001</v>
      </c>
      <c r="D3381" s="1" t="s">
        <v>981</v>
      </c>
      <c r="E3381" s="1" t="s">
        <v>921</v>
      </c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</row>
    <row r="3382" spans="1:17" x14ac:dyDescent="0.25">
      <c r="A3382" s="1" t="s">
        <v>1001</v>
      </c>
      <c r="B3382" s="1" t="s">
        <v>927</v>
      </c>
      <c r="C3382" s="1" t="s">
        <v>981</v>
      </c>
      <c r="D3382" s="1" t="s">
        <v>919</v>
      </c>
      <c r="E3382" s="1" t="s">
        <v>921</v>
      </c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</row>
    <row r="3383" spans="1:17" x14ac:dyDescent="0.25">
      <c r="A3383" s="1" t="s">
        <v>1001</v>
      </c>
      <c r="B3383" s="1" t="s">
        <v>927</v>
      </c>
      <c r="C3383" s="1" t="s">
        <v>981</v>
      </c>
      <c r="D3383" s="1" t="s">
        <v>919</v>
      </c>
      <c r="E3383" s="1" t="s">
        <v>921</v>
      </c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</row>
    <row r="3384" spans="1:17" x14ac:dyDescent="0.25">
      <c r="A3384" s="1" t="s">
        <v>1001</v>
      </c>
      <c r="B3384" s="1" t="s">
        <v>927</v>
      </c>
      <c r="C3384" s="1" t="s">
        <v>981</v>
      </c>
      <c r="D3384" s="1" t="s">
        <v>919</v>
      </c>
      <c r="E3384" s="1" t="s">
        <v>921</v>
      </c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</row>
    <row r="3385" spans="1:17" x14ac:dyDescent="0.25">
      <c r="A3385" s="1" t="s">
        <v>1001</v>
      </c>
      <c r="B3385" s="1" t="s">
        <v>927</v>
      </c>
      <c r="C3385" s="1" t="s">
        <v>981</v>
      </c>
      <c r="D3385" s="1" t="s">
        <v>919</v>
      </c>
      <c r="E3385" s="1" t="s">
        <v>921</v>
      </c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</row>
    <row r="3386" spans="1:17" x14ac:dyDescent="0.25">
      <c r="A3386" s="1" t="s">
        <v>1001</v>
      </c>
      <c r="B3386" s="1" t="s">
        <v>927</v>
      </c>
      <c r="C3386" s="1" t="s">
        <v>981</v>
      </c>
      <c r="D3386" s="1" t="s">
        <v>919</v>
      </c>
      <c r="E3386" s="1" t="s">
        <v>921</v>
      </c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</row>
    <row r="3387" spans="1:17" x14ac:dyDescent="0.25">
      <c r="A3387" s="1" t="s">
        <v>1001</v>
      </c>
      <c r="B3387" s="1" t="s">
        <v>927</v>
      </c>
      <c r="C3387" s="1" t="s">
        <v>981</v>
      </c>
      <c r="D3387" s="1" t="s">
        <v>919</v>
      </c>
      <c r="E3387" s="1" t="s">
        <v>921</v>
      </c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</row>
    <row r="3388" spans="1:17" x14ac:dyDescent="0.25">
      <c r="A3388" s="1" t="s">
        <v>1001</v>
      </c>
      <c r="B3388" s="1" t="s">
        <v>927</v>
      </c>
      <c r="C3388" s="1" t="s">
        <v>981</v>
      </c>
      <c r="D3388" s="1" t="s">
        <v>919</v>
      </c>
      <c r="E3388" s="1" t="s">
        <v>921</v>
      </c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</row>
    <row r="3389" spans="1:17" x14ac:dyDescent="0.25">
      <c r="A3389" s="1" t="s">
        <v>1001</v>
      </c>
      <c r="B3389" s="1" t="s">
        <v>927</v>
      </c>
      <c r="C3389" s="1" t="s">
        <v>981</v>
      </c>
      <c r="D3389" s="1" t="s">
        <v>919</v>
      </c>
      <c r="E3389" s="1" t="s">
        <v>921</v>
      </c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</row>
    <row r="3390" spans="1:17" x14ac:dyDescent="0.25">
      <c r="A3390" s="1" t="s">
        <v>1001</v>
      </c>
      <c r="B3390" s="1" t="s">
        <v>927</v>
      </c>
      <c r="C3390" s="1" t="s">
        <v>981</v>
      </c>
      <c r="D3390" s="1" t="s">
        <v>919</v>
      </c>
      <c r="E3390" s="1" t="s">
        <v>921</v>
      </c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</row>
    <row r="3391" spans="1:17" x14ac:dyDescent="0.25">
      <c r="A3391" s="1" t="s">
        <v>927</v>
      </c>
      <c r="B3391" s="1" t="s">
        <v>10726</v>
      </c>
      <c r="C3391" s="1" t="s">
        <v>919</v>
      </c>
      <c r="D3391" s="1" t="s">
        <v>924</v>
      </c>
      <c r="E3391" s="1" t="s">
        <v>1001</v>
      </c>
      <c r="F3391" s="1" t="s">
        <v>981</v>
      </c>
      <c r="G3391" s="1" t="s">
        <v>921</v>
      </c>
      <c r="H3391" s="1"/>
      <c r="I3391" s="1"/>
      <c r="J3391" s="1"/>
      <c r="K3391" s="1"/>
      <c r="L3391" s="1"/>
      <c r="M3391" s="1"/>
      <c r="N3391" s="1"/>
      <c r="O3391" s="1"/>
      <c r="P3391" s="1"/>
      <c r="Q3391" s="1"/>
    </row>
    <row r="3392" spans="1:17" x14ac:dyDescent="0.25">
      <c r="A3392" s="1" t="s">
        <v>918</v>
      </c>
      <c r="B3392" s="1" t="s">
        <v>25</v>
      </c>
      <c r="C3392" s="1" t="s">
        <v>923</v>
      </c>
      <c r="D3392" s="1" t="s">
        <v>1000</v>
      </c>
      <c r="E3392" s="1" t="s">
        <v>919</v>
      </c>
      <c r="F3392" s="1" t="s">
        <v>920</v>
      </c>
      <c r="G3392" s="1" t="s">
        <v>933</v>
      </c>
      <c r="H3392" s="1" t="s">
        <v>921</v>
      </c>
      <c r="I3392" s="1" t="s">
        <v>11047</v>
      </c>
      <c r="J3392" s="1"/>
      <c r="K3392" s="1"/>
      <c r="L3392" s="1"/>
      <c r="M3392" s="1"/>
      <c r="N3392" s="1"/>
      <c r="O3392" s="1"/>
      <c r="P3392" s="1"/>
      <c r="Q3392" s="1"/>
    </row>
    <row r="3393" spans="1:17" x14ac:dyDescent="0.25">
      <c r="A3393" s="1" t="s">
        <v>918</v>
      </c>
      <c r="B3393" s="1" t="s">
        <v>25</v>
      </c>
      <c r="C3393" s="1" t="s">
        <v>919</v>
      </c>
      <c r="D3393" s="1" t="s">
        <v>924</v>
      </c>
      <c r="E3393" s="1" t="s">
        <v>923</v>
      </c>
      <c r="F3393" s="1" t="s">
        <v>1000</v>
      </c>
      <c r="G3393" s="1" t="s">
        <v>920</v>
      </c>
      <c r="H3393" s="1" t="s">
        <v>933</v>
      </c>
      <c r="I3393" s="1" t="s">
        <v>921</v>
      </c>
      <c r="J3393" s="1"/>
      <c r="K3393" s="1"/>
      <c r="L3393" s="1"/>
      <c r="M3393" s="1"/>
      <c r="N3393" s="1"/>
      <c r="O3393" s="1"/>
      <c r="P3393" s="1"/>
      <c r="Q3393" s="1"/>
    </row>
    <row r="3394" spans="1:17" x14ac:dyDescent="0.25">
      <c r="A3394" s="1" t="s">
        <v>256</v>
      </c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</row>
    <row r="3395" spans="1:17" x14ac:dyDescent="0.25">
      <c r="A3395" s="1" t="s">
        <v>256</v>
      </c>
      <c r="B3395" s="1" t="s">
        <v>1001</v>
      </c>
      <c r="C3395" s="1" t="s">
        <v>981</v>
      </c>
      <c r="D3395" s="1" t="s">
        <v>152</v>
      </c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</row>
    <row r="3396" spans="1:17" x14ac:dyDescent="0.25">
      <c r="A3396" s="1" t="s">
        <v>256</v>
      </c>
      <c r="B3396" s="1" t="s">
        <v>2927</v>
      </c>
      <c r="C3396" s="1" t="s">
        <v>933</v>
      </c>
      <c r="D3396" s="1" t="s">
        <v>1053</v>
      </c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</row>
    <row r="3397" spans="1:17" x14ac:dyDescent="0.25">
      <c r="A3397" s="1" t="s">
        <v>256</v>
      </c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</row>
    <row r="3398" spans="1:17" x14ac:dyDescent="0.25">
      <c r="A3398" s="1" t="s">
        <v>256</v>
      </c>
      <c r="B3398" s="1" t="s">
        <v>2927</v>
      </c>
      <c r="C3398" s="1" t="s">
        <v>933</v>
      </c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</row>
    <row r="3399" spans="1:17" x14ac:dyDescent="0.25">
      <c r="A3399" s="1" t="s">
        <v>256</v>
      </c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</row>
    <row r="3400" spans="1:17" x14ac:dyDescent="0.25">
      <c r="A3400" s="1" t="s">
        <v>256</v>
      </c>
      <c r="B3400" s="1" t="s">
        <v>2927</v>
      </c>
      <c r="C3400" s="1" t="s">
        <v>933</v>
      </c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</row>
    <row r="3401" spans="1:17" x14ac:dyDescent="0.25">
      <c r="A3401" s="1" t="s">
        <v>256</v>
      </c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</row>
    <row r="3402" spans="1:17" x14ac:dyDescent="0.25">
      <c r="A3402" s="1" t="s">
        <v>256</v>
      </c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</row>
    <row r="3403" spans="1:17" x14ac:dyDescent="0.25">
      <c r="A3403" s="1" t="s">
        <v>256</v>
      </c>
      <c r="B3403" s="1" t="s">
        <v>1013</v>
      </c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</row>
    <row r="3404" spans="1:17" x14ac:dyDescent="0.25">
      <c r="A3404" s="1" t="s">
        <v>256</v>
      </c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</row>
    <row r="3405" spans="1:17" x14ac:dyDescent="0.25">
      <c r="A3405" s="1" t="s">
        <v>256</v>
      </c>
      <c r="B3405" s="1" t="s">
        <v>2927</v>
      </c>
      <c r="C3405" s="1" t="s">
        <v>933</v>
      </c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</row>
    <row r="3406" spans="1:17" x14ac:dyDescent="0.25">
      <c r="A3406" s="1" t="s">
        <v>926</v>
      </c>
      <c r="B3406" s="1" t="s">
        <v>10731</v>
      </c>
      <c r="C3406" s="1" t="s">
        <v>927</v>
      </c>
      <c r="D3406" s="1" t="s">
        <v>10975</v>
      </c>
      <c r="E3406" s="1" t="s">
        <v>981</v>
      </c>
      <c r="F3406" s="1" t="s">
        <v>928</v>
      </c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</row>
    <row r="3407" spans="1:17" x14ac:dyDescent="0.25">
      <c r="A3407" s="1" t="s">
        <v>926</v>
      </c>
      <c r="B3407" s="1" t="s">
        <v>10731</v>
      </c>
      <c r="C3407" s="1" t="s">
        <v>927</v>
      </c>
      <c r="D3407" s="1" t="s">
        <v>10975</v>
      </c>
      <c r="E3407" s="1" t="s">
        <v>981</v>
      </c>
      <c r="F3407" s="1" t="s">
        <v>928</v>
      </c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</row>
    <row r="3408" spans="1:17" x14ac:dyDescent="0.25">
      <c r="A3408" s="1" t="s">
        <v>926</v>
      </c>
      <c r="B3408" s="1" t="s">
        <v>10731</v>
      </c>
      <c r="C3408" s="1" t="s">
        <v>927</v>
      </c>
      <c r="D3408" s="1" t="s">
        <v>10975</v>
      </c>
      <c r="E3408" s="1" t="s">
        <v>981</v>
      </c>
      <c r="F3408" s="1" t="s">
        <v>928</v>
      </c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</row>
    <row r="3409" spans="1:17" x14ac:dyDescent="0.25">
      <c r="A3409" s="1" t="s">
        <v>926</v>
      </c>
      <c r="B3409" s="1" t="s">
        <v>10731</v>
      </c>
      <c r="C3409" s="1" t="s">
        <v>927</v>
      </c>
      <c r="D3409" s="1" t="s">
        <v>10975</v>
      </c>
      <c r="E3409" s="1" t="s">
        <v>981</v>
      </c>
      <c r="F3409" s="1" t="s">
        <v>928</v>
      </c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</row>
    <row r="3410" spans="1:17" x14ac:dyDescent="0.25">
      <c r="A3410" s="1" t="s">
        <v>926</v>
      </c>
      <c r="B3410" s="1" t="s">
        <v>10731</v>
      </c>
      <c r="C3410" s="1" t="s">
        <v>927</v>
      </c>
      <c r="D3410" s="1" t="s">
        <v>10975</v>
      </c>
      <c r="E3410" s="1" t="s">
        <v>981</v>
      </c>
      <c r="F3410" s="1" t="s">
        <v>928</v>
      </c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</row>
    <row r="3411" spans="1:17" x14ac:dyDescent="0.25">
      <c r="A3411" s="1" t="s">
        <v>918</v>
      </c>
      <c r="B3411" s="1" t="s">
        <v>919</v>
      </c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</row>
    <row r="3412" spans="1:17" x14ac:dyDescent="0.25">
      <c r="A3412" s="1" t="s">
        <v>948</v>
      </c>
      <c r="B3412" s="1" t="s">
        <v>918</v>
      </c>
      <c r="C3412" s="1" t="s">
        <v>25</v>
      </c>
      <c r="D3412" s="1" t="s">
        <v>919</v>
      </c>
      <c r="E3412" s="1" t="s">
        <v>920</v>
      </c>
      <c r="F3412" s="1" t="s">
        <v>954</v>
      </c>
      <c r="G3412" s="1" t="s">
        <v>927</v>
      </c>
      <c r="H3412" s="1" t="s">
        <v>10774</v>
      </c>
      <c r="I3412" s="1" t="s">
        <v>928</v>
      </c>
      <c r="J3412" s="1" t="s">
        <v>1059</v>
      </c>
      <c r="K3412" s="1" t="s">
        <v>10821</v>
      </c>
      <c r="L3412" s="1"/>
      <c r="M3412" s="1"/>
      <c r="N3412" s="1"/>
      <c r="O3412" s="1"/>
      <c r="P3412" s="1"/>
      <c r="Q3412" s="1"/>
    </row>
    <row r="3413" spans="1:17" x14ac:dyDescent="0.25">
      <c r="A3413" s="1" t="s">
        <v>1019</v>
      </c>
      <c r="B3413" s="1" t="s">
        <v>983</v>
      </c>
      <c r="C3413" s="1" t="s">
        <v>919</v>
      </c>
      <c r="D3413" s="1" t="s">
        <v>924</v>
      </c>
      <c r="E3413" s="1" t="s">
        <v>1020</v>
      </c>
      <c r="F3413" s="1" t="s">
        <v>984</v>
      </c>
      <c r="G3413" s="1" t="s">
        <v>1021</v>
      </c>
      <c r="H3413" s="1" t="s">
        <v>10758</v>
      </c>
      <c r="I3413" s="1"/>
      <c r="J3413" s="1"/>
      <c r="K3413" s="1"/>
      <c r="L3413" s="1"/>
      <c r="M3413" s="1"/>
      <c r="N3413" s="1"/>
      <c r="O3413" s="1"/>
      <c r="P3413" s="1"/>
      <c r="Q3413" s="1"/>
    </row>
    <row r="3414" spans="1:17" x14ac:dyDescent="0.25">
      <c r="A3414" s="1" t="s">
        <v>1149</v>
      </c>
      <c r="B3414" s="1" t="s">
        <v>25</v>
      </c>
      <c r="C3414" s="1" t="s">
        <v>923</v>
      </c>
      <c r="D3414" s="1" t="s">
        <v>998</v>
      </c>
      <c r="E3414" s="1" t="s">
        <v>1086</v>
      </c>
      <c r="F3414" s="1" t="s">
        <v>920</v>
      </c>
      <c r="G3414" s="1" t="s">
        <v>933</v>
      </c>
      <c r="H3414" s="1" t="s">
        <v>10719</v>
      </c>
      <c r="I3414" s="1" t="s">
        <v>919</v>
      </c>
      <c r="J3414" s="1" t="s">
        <v>921</v>
      </c>
      <c r="K3414" s="1" t="s">
        <v>927</v>
      </c>
      <c r="L3414" s="1"/>
      <c r="M3414" s="1"/>
      <c r="N3414" s="1"/>
      <c r="O3414" s="1"/>
      <c r="P3414" s="1"/>
      <c r="Q3414" s="1"/>
    </row>
    <row r="3415" spans="1:17" x14ac:dyDescent="0.25">
      <c r="A3415" s="1" t="s">
        <v>918</v>
      </c>
      <c r="B3415" s="1" t="s">
        <v>25</v>
      </c>
      <c r="C3415" s="1" t="s">
        <v>919</v>
      </c>
      <c r="D3415" s="1" t="s">
        <v>920</v>
      </c>
      <c r="E3415" s="1" t="s">
        <v>921</v>
      </c>
      <c r="F3415" s="1" t="s">
        <v>1086</v>
      </c>
      <c r="G3415" s="1" t="s">
        <v>1001</v>
      </c>
      <c r="H3415" s="1" t="s">
        <v>927</v>
      </c>
      <c r="I3415" s="1" t="s">
        <v>936</v>
      </c>
      <c r="J3415" s="1"/>
      <c r="K3415" s="1"/>
      <c r="L3415" s="1"/>
      <c r="M3415" s="1"/>
      <c r="N3415" s="1"/>
      <c r="O3415" s="1"/>
      <c r="P3415" s="1"/>
      <c r="Q3415" s="1"/>
    </row>
    <row r="3416" spans="1:17" x14ac:dyDescent="0.25">
      <c r="A3416" s="1" t="s">
        <v>948</v>
      </c>
      <c r="B3416" s="1" t="s">
        <v>298</v>
      </c>
      <c r="C3416" s="1" t="s">
        <v>1149</v>
      </c>
      <c r="D3416" s="1" t="s">
        <v>25</v>
      </c>
      <c r="E3416" s="1" t="s">
        <v>923</v>
      </c>
      <c r="F3416" s="1" t="s">
        <v>997</v>
      </c>
      <c r="G3416" s="1" t="s">
        <v>954</v>
      </c>
      <c r="H3416" s="1" t="s">
        <v>994</v>
      </c>
      <c r="I3416" s="1" t="s">
        <v>1086</v>
      </c>
      <c r="J3416" s="1" t="s">
        <v>919</v>
      </c>
      <c r="K3416" s="1" t="s">
        <v>920</v>
      </c>
      <c r="L3416" s="1" t="s">
        <v>921</v>
      </c>
      <c r="M3416" s="1"/>
      <c r="N3416" s="1"/>
      <c r="O3416" s="1"/>
      <c r="P3416" s="1"/>
      <c r="Q3416" s="1"/>
    </row>
    <row r="3417" spans="1:17" x14ac:dyDescent="0.25">
      <c r="A3417" s="1" t="s">
        <v>25</v>
      </c>
      <c r="B3417" s="1" t="s">
        <v>1086</v>
      </c>
      <c r="C3417" s="1" t="s">
        <v>919</v>
      </c>
      <c r="D3417" s="1" t="s">
        <v>920</v>
      </c>
      <c r="E3417" s="1" t="s">
        <v>921</v>
      </c>
      <c r="F3417" s="1" t="s">
        <v>1066</v>
      </c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</row>
    <row r="3418" spans="1:17" x14ac:dyDescent="0.25">
      <c r="A3418" s="1" t="s">
        <v>25</v>
      </c>
      <c r="B3418" s="1" t="s">
        <v>1086</v>
      </c>
      <c r="C3418" s="1" t="s">
        <v>919</v>
      </c>
      <c r="D3418" s="1" t="s">
        <v>920</v>
      </c>
      <c r="E3418" s="1" t="s">
        <v>921</v>
      </c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</row>
    <row r="3419" spans="1:17" x14ac:dyDescent="0.25">
      <c r="A3419" s="1" t="s">
        <v>948</v>
      </c>
      <c r="B3419" s="1" t="s">
        <v>918</v>
      </c>
      <c r="C3419" s="1" t="s">
        <v>25</v>
      </c>
      <c r="D3419" s="1" t="s">
        <v>919</v>
      </c>
      <c r="E3419" s="1" t="s">
        <v>920</v>
      </c>
      <c r="F3419" s="1" t="s">
        <v>954</v>
      </c>
      <c r="G3419" s="1" t="s">
        <v>1114</v>
      </c>
      <c r="H3419" s="1" t="s">
        <v>1086</v>
      </c>
      <c r="I3419" s="1" t="s">
        <v>921</v>
      </c>
      <c r="J3419" s="1"/>
      <c r="K3419" s="1"/>
      <c r="L3419" s="1"/>
      <c r="M3419" s="1"/>
      <c r="N3419" s="1"/>
      <c r="O3419" s="1"/>
      <c r="P3419" s="1"/>
      <c r="Q3419" s="1"/>
    </row>
    <row r="3420" spans="1:17" x14ac:dyDescent="0.25">
      <c r="A3420" s="1" t="s">
        <v>25</v>
      </c>
      <c r="B3420" s="1" t="s">
        <v>1086</v>
      </c>
      <c r="C3420" s="1" t="s">
        <v>919</v>
      </c>
      <c r="D3420" s="1" t="s">
        <v>920</v>
      </c>
      <c r="E3420" s="1" t="s">
        <v>921</v>
      </c>
      <c r="F3420" s="1" t="s">
        <v>948</v>
      </c>
      <c r="G3420" s="1" t="s">
        <v>1149</v>
      </c>
      <c r="H3420" s="1" t="s">
        <v>923</v>
      </c>
      <c r="I3420" s="1" t="s">
        <v>997</v>
      </c>
      <c r="J3420" s="1" t="s">
        <v>10873</v>
      </c>
      <c r="K3420" s="1" t="s">
        <v>927</v>
      </c>
      <c r="L3420" s="1" t="s">
        <v>981</v>
      </c>
      <c r="M3420" s="1" t="s">
        <v>933</v>
      </c>
      <c r="N3420" s="1"/>
      <c r="O3420" s="1"/>
      <c r="P3420" s="1"/>
      <c r="Q3420" s="1"/>
    </row>
    <row r="3421" spans="1:17" x14ac:dyDescent="0.25">
      <c r="A3421" s="1" t="s">
        <v>25</v>
      </c>
      <c r="B3421" s="1" t="s">
        <v>1086</v>
      </c>
      <c r="C3421" s="1" t="s">
        <v>919</v>
      </c>
      <c r="D3421" s="1" t="s">
        <v>920</v>
      </c>
      <c r="E3421" s="1" t="s">
        <v>921</v>
      </c>
      <c r="F3421" s="1" t="s">
        <v>927</v>
      </c>
      <c r="G3421" s="1" t="s">
        <v>998</v>
      </c>
      <c r="H3421" s="1" t="s">
        <v>933</v>
      </c>
      <c r="I3421" s="1" t="s">
        <v>10876</v>
      </c>
      <c r="J3421" s="1" t="s">
        <v>923</v>
      </c>
      <c r="K3421" s="1" t="s">
        <v>926</v>
      </c>
      <c r="L3421" s="1" t="s">
        <v>10731</v>
      </c>
      <c r="M3421" s="1" t="s">
        <v>10975</v>
      </c>
      <c r="N3421" s="1" t="s">
        <v>981</v>
      </c>
      <c r="O3421" s="1" t="s">
        <v>928</v>
      </c>
      <c r="P3421" s="1"/>
      <c r="Q3421" s="1"/>
    </row>
    <row r="3422" spans="1:17" x14ac:dyDescent="0.25">
      <c r="A3422" s="1" t="s">
        <v>948</v>
      </c>
      <c r="B3422" s="1" t="s">
        <v>298</v>
      </c>
      <c r="C3422" s="1" t="s">
        <v>25</v>
      </c>
      <c r="D3422" s="1" t="s">
        <v>923</v>
      </c>
      <c r="E3422" s="1" t="s">
        <v>1086</v>
      </c>
      <c r="F3422" s="1" t="s">
        <v>919</v>
      </c>
      <c r="G3422" s="1" t="s">
        <v>920</v>
      </c>
      <c r="H3422" s="1" t="s">
        <v>921</v>
      </c>
      <c r="I3422" s="1" t="s">
        <v>992</v>
      </c>
      <c r="J3422" s="1"/>
      <c r="K3422" s="1"/>
      <c r="L3422" s="1"/>
      <c r="M3422" s="1"/>
      <c r="N3422" s="1"/>
      <c r="O3422" s="1"/>
      <c r="P3422" s="1"/>
      <c r="Q3422" s="1"/>
    </row>
    <row r="3423" spans="1:17" x14ac:dyDescent="0.25">
      <c r="A3423" s="1" t="s">
        <v>25</v>
      </c>
      <c r="B3423" s="1" t="s">
        <v>1086</v>
      </c>
      <c r="C3423" s="1" t="s">
        <v>919</v>
      </c>
      <c r="D3423" s="1" t="s">
        <v>920</v>
      </c>
      <c r="E3423" s="1" t="s">
        <v>921</v>
      </c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</row>
    <row r="3424" spans="1:17" x14ac:dyDescent="0.25">
      <c r="A3424" s="1" t="s">
        <v>918</v>
      </c>
      <c r="B3424" s="1" t="s">
        <v>927</v>
      </c>
      <c r="C3424" s="1" t="s">
        <v>1056</v>
      </c>
      <c r="D3424" s="1" t="s">
        <v>981</v>
      </c>
      <c r="E3424" s="1" t="s">
        <v>919</v>
      </c>
      <c r="F3424" s="1" t="s">
        <v>25</v>
      </c>
      <c r="G3424" s="1" t="s">
        <v>1086</v>
      </c>
      <c r="H3424" s="1" t="s">
        <v>920</v>
      </c>
      <c r="I3424" s="1" t="s">
        <v>921</v>
      </c>
      <c r="J3424" s="1"/>
      <c r="K3424" s="1"/>
      <c r="L3424" s="1"/>
      <c r="M3424" s="1"/>
      <c r="N3424" s="1"/>
      <c r="O3424" s="1"/>
      <c r="P3424" s="1"/>
      <c r="Q3424" s="1"/>
    </row>
    <row r="3425" spans="1:17" x14ac:dyDescent="0.25">
      <c r="A3425" s="1" t="s">
        <v>25</v>
      </c>
      <c r="B3425" s="1" t="s">
        <v>1086</v>
      </c>
      <c r="C3425" s="1" t="s">
        <v>919</v>
      </c>
      <c r="D3425" s="1" t="s">
        <v>920</v>
      </c>
      <c r="E3425" s="1" t="s">
        <v>921</v>
      </c>
      <c r="F3425" s="1" t="s">
        <v>1001</v>
      </c>
      <c r="G3425" s="1" t="s">
        <v>992</v>
      </c>
      <c r="H3425" s="1" t="s">
        <v>981</v>
      </c>
      <c r="I3425" s="1" t="s">
        <v>1066</v>
      </c>
      <c r="J3425" s="1"/>
      <c r="K3425" s="1"/>
      <c r="L3425" s="1"/>
      <c r="M3425" s="1"/>
      <c r="N3425" s="1"/>
      <c r="O3425" s="1"/>
      <c r="P3425" s="1"/>
      <c r="Q3425" s="1"/>
    </row>
    <row r="3426" spans="1:17" x14ac:dyDescent="0.25">
      <c r="A3426" s="1" t="s">
        <v>25</v>
      </c>
      <c r="B3426" s="1" t="s">
        <v>1086</v>
      </c>
      <c r="C3426" s="1" t="s">
        <v>919</v>
      </c>
      <c r="D3426" s="1" t="s">
        <v>920</v>
      </c>
      <c r="E3426" s="1" t="s">
        <v>921</v>
      </c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</row>
    <row r="3427" spans="1:17" x14ac:dyDescent="0.25">
      <c r="A3427" s="1" t="s">
        <v>25</v>
      </c>
      <c r="B3427" s="1" t="s">
        <v>1086</v>
      </c>
      <c r="C3427" s="1" t="s">
        <v>919</v>
      </c>
      <c r="D3427" s="1" t="s">
        <v>920</v>
      </c>
      <c r="E3427" s="1" t="s">
        <v>921</v>
      </c>
      <c r="F3427" s="1" t="s">
        <v>1001</v>
      </c>
      <c r="G3427" s="1" t="s">
        <v>992</v>
      </c>
      <c r="H3427" s="1" t="s">
        <v>981</v>
      </c>
      <c r="I3427" s="1"/>
      <c r="J3427" s="1"/>
      <c r="K3427" s="1"/>
      <c r="L3427" s="1"/>
      <c r="M3427" s="1"/>
      <c r="N3427" s="1"/>
      <c r="O3427" s="1"/>
      <c r="P3427" s="1"/>
      <c r="Q3427" s="1"/>
    </row>
    <row r="3428" spans="1:17" x14ac:dyDescent="0.25">
      <c r="A3428" s="1" t="s">
        <v>25</v>
      </c>
      <c r="B3428" s="1" t="s">
        <v>1086</v>
      </c>
      <c r="C3428" s="1" t="s">
        <v>919</v>
      </c>
      <c r="D3428" s="1" t="s">
        <v>920</v>
      </c>
      <c r="E3428" s="1" t="s">
        <v>921</v>
      </c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</row>
    <row r="3429" spans="1:17" x14ac:dyDescent="0.25">
      <c r="A3429" s="1" t="s">
        <v>25</v>
      </c>
      <c r="B3429" s="1" t="s">
        <v>1086</v>
      </c>
      <c r="C3429" s="1" t="s">
        <v>919</v>
      </c>
      <c r="D3429" s="1" t="s">
        <v>920</v>
      </c>
      <c r="E3429" s="1" t="s">
        <v>921</v>
      </c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</row>
    <row r="3430" spans="1:17" x14ac:dyDescent="0.25">
      <c r="A3430" s="1" t="s">
        <v>25</v>
      </c>
      <c r="B3430" s="1" t="s">
        <v>1086</v>
      </c>
      <c r="C3430" s="1" t="s">
        <v>919</v>
      </c>
      <c r="D3430" s="1" t="s">
        <v>920</v>
      </c>
      <c r="E3430" s="1" t="s">
        <v>921</v>
      </c>
      <c r="F3430" s="1" t="s">
        <v>2927</v>
      </c>
      <c r="G3430" s="1" t="s">
        <v>998</v>
      </c>
      <c r="H3430" s="1" t="s">
        <v>933</v>
      </c>
      <c r="I3430" s="1" t="s">
        <v>994</v>
      </c>
      <c r="J3430" s="1" t="s">
        <v>11050</v>
      </c>
      <c r="K3430" s="1"/>
      <c r="L3430" s="1"/>
      <c r="M3430" s="1"/>
      <c r="N3430" s="1"/>
      <c r="O3430" s="1"/>
      <c r="P3430" s="1"/>
      <c r="Q3430" s="1"/>
    </row>
    <row r="3431" spans="1:17" x14ac:dyDescent="0.25">
      <c r="A3431" s="1" t="s">
        <v>25</v>
      </c>
      <c r="B3431" s="1" t="s">
        <v>1086</v>
      </c>
      <c r="C3431" s="1" t="s">
        <v>919</v>
      </c>
      <c r="D3431" s="1" t="s">
        <v>920</v>
      </c>
      <c r="E3431" s="1" t="s">
        <v>921</v>
      </c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</row>
    <row r="3432" spans="1:17" x14ac:dyDescent="0.25">
      <c r="A3432" s="1" t="s">
        <v>25</v>
      </c>
      <c r="B3432" s="1" t="s">
        <v>1086</v>
      </c>
      <c r="C3432" s="1" t="s">
        <v>919</v>
      </c>
      <c r="D3432" s="1" t="s">
        <v>920</v>
      </c>
      <c r="E3432" s="1" t="s">
        <v>921</v>
      </c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</row>
    <row r="3433" spans="1:17" x14ac:dyDescent="0.25">
      <c r="A3433" s="1" t="s">
        <v>25</v>
      </c>
      <c r="B3433" s="1" t="s">
        <v>1086</v>
      </c>
      <c r="C3433" s="1" t="s">
        <v>919</v>
      </c>
      <c r="D3433" s="1" t="s">
        <v>920</v>
      </c>
      <c r="E3433" s="1" t="s">
        <v>921</v>
      </c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</row>
    <row r="3434" spans="1:17" x14ac:dyDescent="0.25">
      <c r="A3434" s="1" t="s">
        <v>25</v>
      </c>
      <c r="B3434" s="1" t="s">
        <v>1086</v>
      </c>
      <c r="C3434" s="1" t="s">
        <v>919</v>
      </c>
      <c r="D3434" s="1" t="s">
        <v>920</v>
      </c>
      <c r="E3434" s="1" t="s">
        <v>921</v>
      </c>
      <c r="F3434" s="1" t="s">
        <v>927</v>
      </c>
      <c r="G3434" s="1" t="s">
        <v>10726</v>
      </c>
      <c r="H3434" s="1" t="s">
        <v>924</v>
      </c>
      <c r="I3434" s="1"/>
      <c r="J3434" s="1"/>
      <c r="K3434" s="1"/>
      <c r="L3434" s="1"/>
      <c r="M3434" s="1"/>
      <c r="N3434" s="1"/>
      <c r="O3434" s="1"/>
      <c r="P3434" s="1"/>
      <c r="Q3434" s="1"/>
    </row>
    <row r="3435" spans="1:17" x14ac:dyDescent="0.25">
      <c r="A3435" s="1" t="s">
        <v>25</v>
      </c>
      <c r="B3435" s="1" t="s">
        <v>1086</v>
      </c>
      <c r="C3435" s="1" t="s">
        <v>919</v>
      </c>
      <c r="D3435" s="1" t="s">
        <v>920</v>
      </c>
      <c r="E3435" s="1" t="s">
        <v>921</v>
      </c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</row>
    <row r="3436" spans="1:17" x14ac:dyDescent="0.25">
      <c r="A3436" s="1" t="s">
        <v>25</v>
      </c>
      <c r="B3436" s="1" t="s">
        <v>1086</v>
      </c>
      <c r="C3436" s="1" t="s">
        <v>919</v>
      </c>
      <c r="D3436" s="1" t="s">
        <v>920</v>
      </c>
      <c r="E3436" s="1" t="s">
        <v>921</v>
      </c>
      <c r="F3436" s="1" t="s">
        <v>11050</v>
      </c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</row>
    <row r="3437" spans="1:17" x14ac:dyDescent="0.25">
      <c r="A3437" s="1" t="s">
        <v>25</v>
      </c>
      <c r="B3437" s="1" t="s">
        <v>1086</v>
      </c>
      <c r="C3437" s="1" t="s">
        <v>919</v>
      </c>
      <c r="D3437" s="1" t="s">
        <v>920</v>
      </c>
      <c r="E3437" s="1" t="s">
        <v>921</v>
      </c>
      <c r="F3437" s="1" t="s">
        <v>960</v>
      </c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</row>
    <row r="3438" spans="1:17" x14ac:dyDescent="0.25">
      <c r="A3438" s="1" t="s">
        <v>25</v>
      </c>
      <c r="B3438" s="1" t="s">
        <v>1086</v>
      </c>
      <c r="C3438" s="1" t="s">
        <v>919</v>
      </c>
      <c r="D3438" s="1" t="s">
        <v>920</v>
      </c>
      <c r="E3438" s="1" t="s">
        <v>921</v>
      </c>
      <c r="F3438" s="1" t="s">
        <v>918</v>
      </c>
      <c r="G3438" s="1" t="s">
        <v>927</v>
      </c>
      <c r="H3438" s="1" t="s">
        <v>936</v>
      </c>
      <c r="I3438" s="1" t="s">
        <v>1037</v>
      </c>
      <c r="J3438" s="1"/>
      <c r="K3438" s="1"/>
      <c r="L3438" s="1"/>
      <c r="M3438" s="1"/>
      <c r="N3438" s="1"/>
      <c r="O3438" s="1"/>
      <c r="P3438" s="1"/>
      <c r="Q3438" s="1"/>
    </row>
    <row r="3439" spans="1:17" x14ac:dyDescent="0.25">
      <c r="A3439" s="1" t="s">
        <v>25</v>
      </c>
      <c r="B3439" s="1" t="s">
        <v>1086</v>
      </c>
      <c r="C3439" s="1" t="s">
        <v>919</v>
      </c>
      <c r="D3439" s="1" t="s">
        <v>920</v>
      </c>
      <c r="E3439" s="1" t="s">
        <v>921</v>
      </c>
      <c r="F3439" s="1" t="s">
        <v>918</v>
      </c>
      <c r="G3439" s="1" t="s">
        <v>1001</v>
      </c>
      <c r="H3439" s="1" t="s">
        <v>927</v>
      </c>
      <c r="I3439" s="1" t="s">
        <v>936</v>
      </c>
      <c r="J3439" s="1"/>
      <c r="K3439" s="1"/>
      <c r="L3439" s="1"/>
      <c r="M3439" s="1"/>
      <c r="N3439" s="1"/>
      <c r="O3439" s="1"/>
      <c r="P3439" s="1"/>
      <c r="Q3439" s="1"/>
    </row>
    <row r="3440" spans="1:17" x14ac:dyDescent="0.25">
      <c r="A3440" s="1" t="s">
        <v>25</v>
      </c>
      <c r="B3440" s="1" t="s">
        <v>1086</v>
      </c>
      <c r="C3440" s="1" t="s">
        <v>919</v>
      </c>
      <c r="D3440" s="1" t="s">
        <v>920</v>
      </c>
      <c r="E3440" s="1" t="s">
        <v>921</v>
      </c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</row>
    <row r="3441" spans="1:17" x14ac:dyDescent="0.25">
      <c r="A3441" s="1" t="s">
        <v>25</v>
      </c>
      <c r="B3441" s="1" t="s">
        <v>1086</v>
      </c>
      <c r="C3441" s="1" t="s">
        <v>919</v>
      </c>
      <c r="D3441" s="1" t="s">
        <v>920</v>
      </c>
      <c r="E3441" s="1" t="s">
        <v>921</v>
      </c>
      <c r="F3441" s="1" t="s">
        <v>992</v>
      </c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</row>
    <row r="3442" spans="1:17" x14ac:dyDescent="0.25">
      <c r="A3442" s="1" t="s">
        <v>25</v>
      </c>
      <c r="B3442" s="1" t="s">
        <v>1086</v>
      </c>
      <c r="C3442" s="1" t="s">
        <v>919</v>
      </c>
      <c r="D3442" s="1" t="s">
        <v>920</v>
      </c>
      <c r="E3442" s="1" t="s">
        <v>921</v>
      </c>
      <c r="F3442" s="1" t="s">
        <v>926</v>
      </c>
      <c r="G3442" s="1" t="s">
        <v>10731</v>
      </c>
      <c r="H3442" s="1" t="s">
        <v>927</v>
      </c>
      <c r="I3442" s="1" t="s">
        <v>10975</v>
      </c>
      <c r="J3442" s="1" t="s">
        <v>981</v>
      </c>
      <c r="K3442" s="1" t="s">
        <v>928</v>
      </c>
      <c r="L3442" s="1"/>
      <c r="M3442" s="1"/>
      <c r="N3442" s="1"/>
      <c r="O3442" s="1"/>
      <c r="P3442" s="1"/>
      <c r="Q3442" s="1"/>
    </row>
    <row r="3443" spans="1:17" x14ac:dyDescent="0.25">
      <c r="A3443" s="1" t="s">
        <v>25</v>
      </c>
      <c r="B3443" s="1" t="s">
        <v>1086</v>
      </c>
      <c r="C3443" s="1" t="s">
        <v>919</v>
      </c>
      <c r="D3443" s="1" t="s">
        <v>920</v>
      </c>
      <c r="E3443" s="1" t="s">
        <v>921</v>
      </c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</row>
    <row r="3444" spans="1:17" x14ac:dyDescent="0.25">
      <c r="A3444" s="1" t="s">
        <v>25</v>
      </c>
      <c r="B3444" s="1" t="s">
        <v>1086</v>
      </c>
      <c r="C3444" s="1" t="s">
        <v>919</v>
      </c>
      <c r="D3444" s="1" t="s">
        <v>920</v>
      </c>
      <c r="E3444" s="1" t="s">
        <v>921</v>
      </c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</row>
    <row r="3445" spans="1:17" x14ac:dyDescent="0.25">
      <c r="A3445" s="1" t="s">
        <v>25</v>
      </c>
      <c r="B3445" s="1" t="s">
        <v>1086</v>
      </c>
      <c r="C3445" s="1" t="s">
        <v>919</v>
      </c>
      <c r="D3445" s="1" t="s">
        <v>920</v>
      </c>
      <c r="E3445" s="1" t="s">
        <v>921</v>
      </c>
      <c r="F3445" s="1" t="s">
        <v>927</v>
      </c>
      <c r="G3445" s="1" t="s">
        <v>998</v>
      </c>
      <c r="H3445" s="1" t="s">
        <v>933</v>
      </c>
      <c r="I3445" s="1"/>
      <c r="J3445" s="1"/>
      <c r="K3445" s="1"/>
      <c r="L3445" s="1"/>
      <c r="M3445" s="1"/>
      <c r="N3445" s="1"/>
      <c r="O3445" s="1"/>
      <c r="P3445" s="1"/>
      <c r="Q3445" s="1"/>
    </row>
    <row r="3446" spans="1:17" x14ac:dyDescent="0.25">
      <c r="A3446" s="1" t="s">
        <v>25</v>
      </c>
      <c r="B3446" s="1" t="s">
        <v>1086</v>
      </c>
      <c r="C3446" s="1" t="s">
        <v>919</v>
      </c>
      <c r="D3446" s="1" t="s">
        <v>920</v>
      </c>
      <c r="E3446" s="1" t="s">
        <v>921</v>
      </c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</row>
    <row r="3447" spans="1:17" x14ac:dyDescent="0.25">
      <c r="A3447" s="1" t="s">
        <v>25</v>
      </c>
      <c r="B3447" s="1" t="s">
        <v>1086</v>
      </c>
      <c r="C3447" s="1" t="s">
        <v>919</v>
      </c>
      <c r="D3447" s="1" t="s">
        <v>920</v>
      </c>
      <c r="E3447" s="1" t="s">
        <v>921</v>
      </c>
      <c r="F3447" s="1" t="s">
        <v>1066</v>
      </c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</row>
    <row r="3448" spans="1:17" x14ac:dyDescent="0.25">
      <c r="A3448" s="1" t="s">
        <v>25</v>
      </c>
      <c r="B3448" s="1" t="s">
        <v>1086</v>
      </c>
      <c r="C3448" s="1" t="s">
        <v>919</v>
      </c>
      <c r="D3448" s="1" t="s">
        <v>920</v>
      </c>
      <c r="E3448" s="1" t="s">
        <v>921</v>
      </c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</row>
    <row r="3449" spans="1:17" x14ac:dyDescent="0.25">
      <c r="A3449" s="1" t="s">
        <v>1001</v>
      </c>
      <c r="B3449" s="1" t="s">
        <v>918</v>
      </c>
      <c r="C3449" s="1" t="s">
        <v>927</v>
      </c>
      <c r="D3449" s="1" t="s">
        <v>981</v>
      </c>
      <c r="E3449" s="1" t="s">
        <v>983</v>
      </c>
      <c r="F3449" s="1" t="s">
        <v>919</v>
      </c>
      <c r="G3449" s="1" t="s">
        <v>936</v>
      </c>
      <c r="H3449" s="1" t="s">
        <v>972</v>
      </c>
      <c r="I3449" s="1"/>
      <c r="J3449" s="1"/>
      <c r="K3449" s="1"/>
      <c r="L3449" s="1"/>
      <c r="M3449" s="1"/>
      <c r="N3449" s="1"/>
      <c r="O3449" s="1"/>
      <c r="P3449" s="1"/>
      <c r="Q3449" s="1"/>
    </row>
    <row r="3450" spans="1:17" x14ac:dyDescent="0.25">
      <c r="A3450" s="1" t="s">
        <v>1001</v>
      </c>
      <c r="B3450" s="1" t="s">
        <v>918</v>
      </c>
      <c r="C3450" s="1" t="s">
        <v>25</v>
      </c>
      <c r="D3450" s="1" t="s">
        <v>923</v>
      </c>
      <c r="E3450" s="1" t="s">
        <v>927</v>
      </c>
      <c r="F3450" s="1" t="s">
        <v>919</v>
      </c>
      <c r="G3450" s="1" t="s">
        <v>920</v>
      </c>
      <c r="H3450" s="1" t="s">
        <v>921</v>
      </c>
      <c r="I3450" s="1" t="s">
        <v>981</v>
      </c>
      <c r="J3450" s="1" t="s">
        <v>983</v>
      </c>
      <c r="K3450" s="1" t="s">
        <v>936</v>
      </c>
      <c r="L3450" s="1" t="s">
        <v>972</v>
      </c>
      <c r="M3450" s="1"/>
      <c r="N3450" s="1"/>
      <c r="O3450" s="1"/>
      <c r="P3450" s="1"/>
      <c r="Q3450" s="1"/>
    </row>
    <row r="3451" spans="1:17" x14ac:dyDescent="0.25">
      <c r="A3451" s="1" t="s">
        <v>1001</v>
      </c>
      <c r="B3451" s="1" t="s">
        <v>927</v>
      </c>
      <c r="C3451" s="1" t="s">
        <v>919</v>
      </c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</row>
    <row r="3452" spans="1:17" x14ac:dyDescent="0.25">
      <c r="A3452" s="1" t="s">
        <v>1001</v>
      </c>
      <c r="B3452" s="1" t="s">
        <v>927</v>
      </c>
      <c r="C3452" s="1" t="s">
        <v>919</v>
      </c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</row>
    <row r="3453" spans="1:17" x14ac:dyDescent="0.25">
      <c r="A3453" s="1" t="s">
        <v>925</v>
      </c>
      <c r="B3453" s="1" t="s">
        <v>927</v>
      </c>
      <c r="C3453" s="1" t="s">
        <v>919</v>
      </c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</row>
    <row r="3454" spans="1:17" x14ac:dyDescent="0.25">
      <c r="A3454" s="1" t="s">
        <v>925</v>
      </c>
      <c r="B3454" s="1" t="s">
        <v>927</v>
      </c>
      <c r="C3454" s="1" t="s">
        <v>919</v>
      </c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</row>
    <row r="3455" spans="1:17" x14ac:dyDescent="0.25">
      <c r="A3455" s="1" t="s">
        <v>925</v>
      </c>
      <c r="B3455" s="1" t="s">
        <v>927</v>
      </c>
      <c r="C3455" s="1" t="s">
        <v>919</v>
      </c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</row>
    <row r="3456" spans="1:17" x14ac:dyDescent="0.25">
      <c r="A3456" s="1" t="s">
        <v>925</v>
      </c>
      <c r="B3456" s="1" t="s">
        <v>927</v>
      </c>
      <c r="C3456" s="1" t="s">
        <v>919</v>
      </c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</row>
    <row r="3457" spans="1:17" x14ac:dyDescent="0.25">
      <c r="A3457" s="1" t="s">
        <v>925</v>
      </c>
      <c r="B3457" s="1" t="s">
        <v>927</v>
      </c>
      <c r="C3457" s="1" t="s">
        <v>919</v>
      </c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</row>
    <row r="3458" spans="1:17" x14ac:dyDescent="0.25">
      <c r="A3458" s="1" t="s">
        <v>925</v>
      </c>
      <c r="B3458" s="1" t="s">
        <v>927</v>
      </c>
      <c r="C3458" s="1" t="s">
        <v>919</v>
      </c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</row>
    <row r="3459" spans="1:17" x14ac:dyDescent="0.25">
      <c r="A3459" s="1" t="s">
        <v>925</v>
      </c>
      <c r="B3459" s="1" t="s">
        <v>927</v>
      </c>
      <c r="C3459" s="1" t="s">
        <v>919</v>
      </c>
      <c r="D3459" s="1" t="s">
        <v>1114</v>
      </c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</row>
    <row r="3460" spans="1:17" x14ac:dyDescent="0.25">
      <c r="A3460" s="1" t="s">
        <v>925</v>
      </c>
      <c r="B3460" s="1" t="s">
        <v>927</v>
      </c>
      <c r="C3460" s="1" t="s">
        <v>919</v>
      </c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</row>
    <row r="3461" spans="1:17" x14ac:dyDescent="0.25">
      <c r="A3461" s="1" t="s">
        <v>925</v>
      </c>
      <c r="B3461" s="1" t="s">
        <v>927</v>
      </c>
      <c r="C3461" s="1" t="s">
        <v>919</v>
      </c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</row>
    <row r="3462" spans="1:17" x14ac:dyDescent="0.25">
      <c r="A3462" s="1" t="s">
        <v>925</v>
      </c>
      <c r="B3462" s="1" t="s">
        <v>927</v>
      </c>
      <c r="C3462" s="1" t="s">
        <v>919</v>
      </c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</row>
    <row r="3463" spans="1:17" x14ac:dyDescent="0.25">
      <c r="A3463" s="1" t="s">
        <v>925</v>
      </c>
      <c r="B3463" s="1" t="s">
        <v>927</v>
      </c>
      <c r="C3463" s="1" t="s">
        <v>919</v>
      </c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</row>
    <row r="3464" spans="1:17" x14ac:dyDescent="0.25">
      <c r="A3464" s="1" t="s">
        <v>925</v>
      </c>
      <c r="B3464" s="1" t="s">
        <v>927</v>
      </c>
      <c r="C3464" s="1" t="s">
        <v>919</v>
      </c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</row>
    <row r="3465" spans="1:17" x14ac:dyDescent="0.25">
      <c r="A3465" s="1" t="s">
        <v>925</v>
      </c>
      <c r="B3465" s="1" t="s">
        <v>927</v>
      </c>
      <c r="C3465" s="1" t="s">
        <v>919</v>
      </c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</row>
    <row r="3466" spans="1:17" x14ac:dyDescent="0.25">
      <c r="A3466" s="1" t="s">
        <v>925</v>
      </c>
      <c r="B3466" s="1" t="s">
        <v>927</v>
      </c>
      <c r="C3466" s="1" t="s">
        <v>919</v>
      </c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</row>
    <row r="3467" spans="1:17" x14ac:dyDescent="0.25">
      <c r="A3467" s="1" t="s">
        <v>925</v>
      </c>
      <c r="B3467" s="1" t="s">
        <v>927</v>
      </c>
      <c r="C3467" s="1" t="s">
        <v>919</v>
      </c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</row>
    <row r="3468" spans="1:17" x14ac:dyDescent="0.25">
      <c r="A3468" s="1" t="s">
        <v>925</v>
      </c>
      <c r="B3468" s="1" t="s">
        <v>927</v>
      </c>
      <c r="C3468" s="1" t="s">
        <v>919</v>
      </c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</row>
    <row r="3469" spans="1:17" x14ac:dyDescent="0.25">
      <c r="A3469" s="1" t="s">
        <v>925</v>
      </c>
      <c r="B3469" s="1" t="s">
        <v>927</v>
      </c>
      <c r="C3469" s="1" t="s">
        <v>919</v>
      </c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</row>
    <row r="3470" spans="1:17" x14ac:dyDescent="0.25">
      <c r="A3470" s="1" t="s">
        <v>928</v>
      </c>
      <c r="B3470" s="1" t="s">
        <v>983</v>
      </c>
      <c r="C3470" s="1" t="s">
        <v>919</v>
      </c>
      <c r="D3470" s="1" t="s">
        <v>1020</v>
      </c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</row>
    <row r="3471" spans="1:17" x14ac:dyDescent="0.25">
      <c r="A3471" s="1" t="s">
        <v>928</v>
      </c>
      <c r="B3471" s="1" t="s">
        <v>983</v>
      </c>
      <c r="C3471" s="1" t="s">
        <v>919</v>
      </c>
      <c r="D3471" s="1" t="s">
        <v>1020</v>
      </c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</row>
    <row r="3472" spans="1:17" x14ac:dyDescent="0.25">
      <c r="A3472" s="1" t="s">
        <v>928</v>
      </c>
      <c r="B3472" s="1" t="s">
        <v>983</v>
      </c>
      <c r="C3472" s="1" t="s">
        <v>919</v>
      </c>
      <c r="D3472" s="1" t="s">
        <v>1020</v>
      </c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</row>
    <row r="3473" spans="1:17" x14ac:dyDescent="0.25">
      <c r="A3473" s="1" t="s">
        <v>928</v>
      </c>
      <c r="B3473" s="1" t="s">
        <v>983</v>
      </c>
      <c r="C3473" s="1" t="s">
        <v>919</v>
      </c>
      <c r="D3473" s="1" t="s">
        <v>1020</v>
      </c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</row>
    <row r="3474" spans="1:17" x14ac:dyDescent="0.25">
      <c r="A3474" s="1" t="s">
        <v>918</v>
      </c>
      <c r="B3474" s="1" t="s">
        <v>25</v>
      </c>
      <c r="C3474" s="1" t="s">
        <v>923</v>
      </c>
      <c r="D3474" s="1" t="s">
        <v>1000</v>
      </c>
      <c r="E3474" s="1" t="s">
        <v>919</v>
      </c>
      <c r="F3474" s="1" t="s">
        <v>920</v>
      </c>
      <c r="G3474" s="1" t="s">
        <v>933</v>
      </c>
      <c r="H3474" s="1" t="s">
        <v>921</v>
      </c>
      <c r="I3474" s="1" t="s">
        <v>928</v>
      </c>
      <c r="J3474" s="1" t="s">
        <v>983</v>
      </c>
      <c r="K3474" s="1" t="s">
        <v>1020</v>
      </c>
      <c r="L3474" s="1"/>
      <c r="M3474" s="1"/>
      <c r="N3474" s="1"/>
      <c r="O3474" s="1"/>
      <c r="P3474" s="1"/>
      <c r="Q3474" s="1"/>
    </row>
    <row r="3475" spans="1:17" x14ac:dyDescent="0.25">
      <c r="A3475" s="1" t="s">
        <v>948</v>
      </c>
      <c r="B3475" s="1" t="s">
        <v>918</v>
      </c>
      <c r="C3475" s="1" t="s">
        <v>25</v>
      </c>
      <c r="D3475" s="1" t="s">
        <v>919</v>
      </c>
      <c r="E3475" s="1" t="s">
        <v>920</v>
      </c>
      <c r="F3475" s="1" t="s">
        <v>954</v>
      </c>
      <c r="G3475" s="1" t="s">
        <v>928</v>
      </c>
      <c r="H3475" s="1" t="s">
        <v>983</v>
      </c>
      <c r="I3475" s="1" t="s">
        <v>1020</v>
      </c>
      <c r="J3475" s="1"/>
      <c r="K3475" s="1"/>
      <c r="L3475" s="1"/>
      <c r="M3475" s="1"/>
      <c r="N3475" s="1"/>
      <c r="O3475" s="1"/>
      <c r="P3475" s="1"/>
      <c r="Q3475" s="1"/>
    </row>
    <row r="3476" spans="1:17" x14ac:dyDescent="0.25">
      <c r="A3476" s="1" t="s">
        <v>1001</v>
      </c>
      <c r="B3476" s="1" t="s">
        <v>10697</v>
      </c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</row>
    <row r="3477" spans="1:17" x14ac:dyDescent="0.25">
      <c r="A3477" s="1" t="s">
        <v>1001</v>
      </c>
      <c r="B3477" s="1" t="s">
        <v>10697</v>
      </c>
      <c r="C3477" s="1" t="s">
        <v>10722</v>
      </c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</row>
    <row r="3478" spans="1:17" x14ac:dyDescent="0.25">
      <c r="A3478" s="1" t="s">
        <v>1001</v>
      </c>
      <c r="B3478" s="1" t="s">
        <v>10697</v>
      </c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</row>
    <row r="3479" spans="1:17" x14ac:dyDescent="0.25">
      <c r="A3479" s="1" t="s">
        <v>1001</v>
      </c>
      <c r="B3479" s="1" t="s">
        <v>10697</v>
      </c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</row>
    <row r="3480" spans="1:17" x14ac:dyDescent="0.25">
      <c r="A3480" s="1" t="s">
        <v>1001</v>
      </c>
      <c r="B3480" s="1" t="s">
        <v>10697</v>
      </c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</row>
    <row r="3481" spans="1:17" x14ac:dyDescent="0.25">
      <c r="A3481" s="1" t="s">
        <v>2927</v>
      </c>
      <c r="B3481" s="1" t="s">
        <v>998</v>
      </c>
      <c r="C3481" s="1" t="s">
        <v>981</v>
      </c>
      <c r="D3481" s="1" t="s">
        <v>933</v>
      </c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</row>
    <row r="3482" spans="1:17" x14ac:dyDescent="0.25">
      <c r="A3482" s="1" t="s">
        <v>996</v>
      </c>
      <c r="B3482" s="1" t="s">
        <v>3439</v>
      </c>
      <c r="C3482" s="1" t="s">
        <v>997</v>
      </c>
      <c r="D3482" s="1" t="s">
        <v>2541</v>
      </c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</row>
    <row r="3483" spans="1:17" x14ac:dyDescent="0.25">
      <c r="A3483" s="1" t="s">
        <v>958</v>
      </c>
      <c r="B3483" s="1" t="s">
        <v>927</v>
      </c>
      <c r="C3483" s="1" t="s">
        <v>1056</v>
      </c>
      <c r="D3483" s="1" t="s">
        <v>919</v>
      </c>
      <c r="E3483" s="1" t="s">
        <v>930</v>
      </c>
      <c r="F3483" s="1" t="s">
        <v>298</v>
      </c>
      <c r="G3483" s="1" t="s">
        <v>25</v>
      </c>
      <c r="H3483" s="1" t="s">
        <v>923</v>
      </c>
      <c r="I3483" s="1" t="s">
        <v>997</v>
      </c>
      <c r="J3483" s="1" t="s">
        <v>998</v>
      </c>
      <c r="K3483" s="1" t="s">
        <v>992</v>
      </c>
      <c r="L3483" s="1" t="s">
        <v>1086</v>
      </c>
      <c r="M3483" s="1" t="s">
        <v>920</v>
      </c>
      <c r="N3483" s="1" t="s">
        <v>933</v>
      </c>
      <c r="O3483" s="1" t="s">
        <v>994</v>
      </c>
      <c r="P3483" s="1" t="s">
        <v>1114</v>
      </c>
      <c r="Q3483" s="1"/>
    </row>
    <row r="3484" spans="1:17" x14ac:dyDescent="0.25">
      <c r="A3484" s="1" t="s">
        <v>997</v>
      </c>
      <c r="B3484" s="1" t="s">
        <v>927</v>
      </c>
      <c r="C3484" s="1" t="s">
        <v>998</v>
      </c>
      <c r="D3484" s="1" t="s">
        <v>1086</v>
      </c>
      <c r="E3484" s="1" t="s">
        <v>933</v>
      </c>
      <c r="F3484" s="1" t="s">
        <v>994</v>
      </c>
      <c r="G3484" s="1" t="s">
        <v>920</v>
      </c>
      <c r="H3484" s="1"/>
      <c r="I3484" s="1"/>
      <c r="J3484" s="1"/>
      <c r="K3484" s="1"/>
      <c r="L3484" s="1"/>
      <c r="M3484" s="1"/>
      <c r="N3484" s="1"/>
      <c r="O3484" s="1"/>
      <c r="P3484" s="1"/>
      <c r="Q3484" s="1"/>
    </row>
    <row r="3485" spans="1:17" x14ac:dyDescent="0.25">
      <c r="A3485" s="1" t="s">
        <v>25</v>
      </c>
      <c r="B3485" s="1" t="s">
        <v>923</v>
      </c>
      <c r="C3485" s="1" t="s">
        <v>997</v>
      </c>
      <c r="D3485" s="1" t="s">
        <v>927</v>
      </c>
      <c r="E3485" s="1" t="s">
        <v>998</v>
      </c>
      <c r="F3485" s="1" t="s">
        <v>1086</v>
      </c>
      <c r="G3485" s="1" t="s">
        <v>933</v>
      </c>
      <c r="H3485" s="1" t="s">
        <v>994</v>
      </c>
      <c r="I3485" s="1"/>
      <c r="J3485" s="1"/>
      <c r="K3485" s="1"/>
      <c r="L3485" s="1"/>
      <c r="M3485" s="1"/>
      <c r="N3485" s="1"/>
      <c r="O3485" s="1"/>
      <c r="P3485" s="1"/>
      <c r="Q3485" s="1"/>
    </row>
    <row r="3486" spans="1:17" x14ac:dyDescent="0.25">
      <c r="A3486" s="1" t="s">
        <v>25</v>
      </c>
      <c r="B3486" s="1" t="s">
        <v>927</v>
      </c>
      <c r="C3486" s="1" t="s">
        <v>998</v>
      </c>
      <c r="D3486" s="1" t="s">
        <v>981</v>
      </c>
      <c r="E3486" s="1" t="s">
        <v>920</v>
      </c>
      <c r="F3486" s="1" t="s">
        <v>933</v>
      </c>
      <c r="G3486" s="1" t="s">
        <v>921</v>
      </c>
      <c r="H3486" s="1" t="s">
        <v>994</v>
      </c>
      <c r="I3486" s="1" t="s">
        <v>1066</v>
      </c>
      <c r="J3486" s="1" t="s">
        <v>992</v>
      </c>
      <c r="K3486" s="1" t="s">
        <v>928</v>
      </c>
      <c r="L3486" s="1" t="s">
        <v>8195</v>
      </c>
      <c r="M3486" s="1" t="s">
        <v>993</v>
      </c>
      <c r="N3486" s="1"/>
      <c r="O3486" s="1"/>
      <c r="P3486" s="1"/>
      <c r="Q3486" s="1"/>
    </row>
    <row r="3487" spans="1:17" x14ac:dyDescent="0.25">
      <c r="A3487" s="1" t="s">
        <v>25</v>
      </c>
      <c r="B3487" s="1" t="s">
        <v>920</v>
      </c>
      <c r="C3487" s="1" t="s">
        <v>933</v>
      </c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</row>
    <row r="3488" spans="1:17" x14ac:dyDescent="0.25">
      <c r="A3488" s="1" t="s">
        <v>50</v>
      </c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</row>
    <row r="3489" spans="1:17" x14ac:dyDescent="0.25">
      <c r="A3489" s="1" t="s">
        <v>927</v>
      </c>
      <c r="B3489" s="1" t="s">
        <v>992</v>
      </c>
      <c r="C3489" s="1" t="s">
        <v>1066</v>
      </c>
      <c r="D3489" s="1" t="s">
        <v>993</v>
      </c>
      <c r="E3489" s="1" t="s">
        <v>994</v>
      </c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</row>
    <row r="3490" spans="1:17" x14ac:dyDescent="0.25">
      <c r="A3490" s="1" t="s">
        <v>919</v>
      </c>
      <c r="B3490" s="1" t="s">
        <v>1114</v>
      </c>
      <c r="C3490" s="1" t="s">
        <v>952</v>
      </c>
      <c r="D3490" s="1" t="s">
        <v>11051</v>
      </c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</row>
    <row r="3491" spans="1:17" x14ac:dyDescent="0.25">
      <c r="A3491" s="1" t="s">
        <v>1053</v>
      </c>
      <c r="B3491" s="1" t="s">
        <v>328</v>
      </c>
      <c r="C3491" s="1" t="s">
        <v>2927</v>
      </c>
      <c r="D3491" s="1" t="s">
        <v>933</v>
      </c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</row>
    <row r="3492" spans="1:17" x14ac:dyDescent="0.25">
      <c r="A3492" s="1" t="s">
        <v>1001</v>
      </c>
      <c r="B3492" s="1" t="s">
        <v>918</v>
      </c>
      <c r="C3492" s="1" t="s">
        <v>10731</v>
      </c>
      <c r="D3492" s="1" t="s">
        <v>919</v>
      </c>
      <c r="E3492" s="1" t="s">
        <v>936</v>
      </c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</row>
    <row r="3493" spans="1:17" x14ac:dyDescent="0.25">
      <c r="A3493" s="1" t="s">
        <v>1001</v>
      </c>
      <c r="B3493" s="1" t="s">
        <v>918</v>
      </c>
      <c r="C3493" s="1" t="s">
        <v>10731</v>
      </c>
      <c r="D3493" s="1" t="s">
        <v>919</v>
      </c>
      <c r="E3493" s="1" t="s">
        <v>936</v>
      </c>
      <c r="F3493" s="1" t="s">
        <v>25</v>
      </c>
      <c r="G3493" s="1" t="s">
        <v>923</v>
      </c>
      <c r="H3493" s="1" t="s">
        <v>927</v>
      </c>
      <c r="I3493" s="1" t="s">
        <v>920</v>
      </c>
      <c r="J3493" s="1" t="s">
        <v>921</v>
      </c>
      <c r="K3493" s="1" t="s">
        <v>933</v>
      </c>
      <c r="L3493" s="1"/>
      <c r="M3493" s="1"/>
      <c r="N3493" s="1"/>
      <c r="O3493" s="1"/>
      <c r="P3493" s="1"/>
      <c r="Q3493" s="1"/>
    </row>
    <row r="3494" spans="1:17" x14ac:dyDescent="0.25">
      <c r="A3494" s="1" t="s">
        <v>1001</v>
      </c>
      <c r="B3494" s="1" t="s">
        <v>927</v>
      </c>
      <c r="C3494" s="1" t="s">
        <v>992</v>
      </c>
      <c r="D3494" s="1" t="s">
        <v>981</v>
      </c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</row>
    <row r="3495" spans="1:17" x14ac:dyDescent="0.25">
      <c r="A3495" s="1" t="s">
        <v>918</v>
      </c>
      <c r="B3495" s="1" t="s">
        <v>927</v>
      </c>
      <c r="C3495" s="1" t="s">
        <v>1056</v>
      </c>
      <c r="D3495" s="1" t="s">
        <v>981</v>
      </c>
      <c r="E3495" s="1" t="s">
        <v>919</v>
      </c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</row>
    <row r="3496" spans="1:17" x14ac:dyDescent="0.25">
      <c r="A3496" s="1" t="s">
        <v>918</v>
      </c>
      <c r="B3496" s="1" t="s">
        <v>927</v>
      </c>
      <c r="C3496" s="1" t="s">
        <v>1056</v>
      </c>
      <c r="D3496" s="1" t="s">
        <v>981</v>
      </c>
      <c r="E3496" s="1" t="s">
        <v>919</v>
      </c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</row>
    <row r="3497" spans="1:17" x14ac:dyDescent="0.25">
      <c r="A3497" s="1" t="s">
        <v>918</v>
      </c>
      <c r="B3497" s="1" t="s">
        <v>927</v>
      </c>
      <c r="C3497" s="1" t="s">
        <v>1056</v>
      </c>
      <c r="D3497" s="1" t="s">
        <v>981</v>
      </c>
      <c r="E3497" s="1" t="s">
        <v>919</v>
      </c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</row>
    <row r="3498" spans="1:17" x14ac:dyDescent="0.25">
      <c r="A3498" s="1" t="s">
        <v>918</v>
      </c>
      <c r="B3498" s="1" t="s">
        <v>927</v>
      </c>
      <c r="C3498" s="1" t="s">
        <v>1056</v>
      </c>
      <c r="D3498" s="1" t="s">
        <v>981</v>
      </c>
      <c r="E3498" s="1" t="s">
        <v>919</v>
      </c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</row>
    <row r="3499" spans="1:17" x14ac:dyDescent="0.25">
      <c r="A3499" s="1" t="s">
        <v>918</v>
      </c>
      <c r="B3499" s="1" t="s">
        <v>927</v>
      </c>
      <c r="C3499" s="1" t="s">
        <v>1056</v>
      </c>
      <c r="D3499" s="1" t="s">
        <v>981</v>
      </c>
      <c r="E3499" s="1" t="s">
        <v>919</v>
      </c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</row>
    <row r="3500" spans="1:17" x14ac:dyDescent="0.25">
      <c r="A3500" s="1" t="s">
        <v>983</v>
      </c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</row>
    <row r="3501" spans="1:17" x14ac:dyDescent="0.25">
      <c r="A3501" s="1" t="s">
        <v>983</v>
      </c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</row>
    <row r="3502" spans="1:17" x14ac:dyDescent="0.25">
      <c r="A3502" s="1" t="s">
        <v>918</v>
      </c>
      <c r="B3502" s="1" t="s">
        <v>25</v>
      </c>
      <c r="C3502" s="1" t="s">
        <v>923</v>
      </c>
      <c r="D3502" s="1" t="s">
        <v>920</v>
      </c>
      <c r="E3502" s="1" t="s">
        <v>924</v>
      </c>
      <c r="F3502" s="1" t="s">
        <v>921</v>
      </c>
      <c r="G3502" s="1" t="s">
        <v>941</v>
      </c>
      <c r="H3502" s="1" t="s">
        <v>955</v>
      </c>
      <c r="I3502" s="1" t="s">
        <v>1034</v>
      </c>
      <c r="J3502" s="1" t="s">
        <v>1014</v>
      </c>
      <c r="K3502" s="1" t="s">
        <v>956</v>
      </c>
      <c r="L3502" s="1" t="s">
        <v>983</v>
      </c>
      <c r="M3502" s="1"/>
      <c r="N3502" s="1"/>
      <c r="O3502" s="1"/>
      <c r="P3502" s="1"/>
      <c r="Q3502" s="1"/>
    </row>
    <row r="3503" spans="1:17" x14ac:dyDescent="0.25">
      <c r="A3503" s="1" t="s">
        <v>983</v>
      </c>
      <c r="B3503" s="1" t="s">
        <v>1023</v>
      </c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</row>
    <row r="3504" spans="1:17" x14ac:dyDescent="0.25">
      <c r="A3504" s="1" t="s">
        <v>983</v>
      </c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</row>
    <row r="3505" spans="1:17" x14ac:dyDescent="0.25">
      <c r="A3505" s="1" t="s">
        <v>983</v>
      </c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</row>
    <row r="3506" spans="1:17" x14ac:dyDescent="0.25">
      <c r="A3506" s="1" t="s">
        <v>983</v>
      </c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</row>
    <row r="3507" spans="1:17" x14ac:dyDescent="0.25">
      <c r="A3507" s="1" t="s">
        <v>983</v>
      </c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</row>
    <row r="3508" spans="1:17" x14ac:dyDescent="0.25">
      <c r="A3508" s="1" t="s">
        <v>983</v>
      </c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</row>
    <row r="3509" spans="1:17" x14ac:dyDescent="0.25">
      <c r="A3509" s="1" t="s">
        <v>983</v>
      </c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</row>
    <row r="3510" spans="1:17" x14ac:dyDescent="0.25">
      <c r="A3510" s="1" t="s">
        <v>983</v>
      </c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</row>
    <row r="3511" spans="1:17" x14ac:dyDescent="0.25">
      <c r="A3511" s="1" t="s">
        <v>983</v>
      </c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</row>
    <row r="3512" spans="1:17" x14ac:dyDescent="0.25">
      <c r="A3512" s="1" t="s">
        <v>10762</v>
      </c>
      <c r="B3512" s="1" t="s">
        <v>955</v>
      </c>
      <c r="C3512" s="1" t="s">
        <v>1014</v>
      </c>
      <c r="D3512" s="1" t="s">
        <v>1107</v>
      </c>
      <c r="E3512" s="1" t="s">
        <v>918</v>
      </c>
      <c r="F3512" s="1" t="s">
        <v>919</v>
      </c>
      <c r="G3512" s="1" t="s">
        <v>945</v>
      </c>
      <c r="H3512" s="1"/>
      <c r="I3512" s="1"/>
      <c r="J3512" s="1"/>
      <c r="K3512" s="1"/>
      <c r="L3512" s="1"/>
      <c r="M3512" s="1"/>
      <c r="N3512" s="1"/>
      <c r="O3512" s="1"/>
      <c r="P3512" s="1"/>
      <c r="Q3512" s="1"/>
    </row>
    <row r="3513" spans="1:17" x14ac:dyDescent="0.25">
      <c r="A3513" s="1" t="s">
        <v>10762</v>
      </c>
      <c r="B3513" s="1" t="s">
        <v>955</v>
      </c>
      <c r="C3513" s="1" t="s">
        <v>1014</v>
      </c>
      <c r="D3513" s="1" t="s">
        <v>919</v>
      </c>
      <c r="E3513" s="1" t="s">
        <v>929</v>
      </c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</row>
    <row r="3514" spans="1:17" x14ac:dyDescent="0.25">
      <c r="A3514" s="1" t="s">
        <v>10762</v>
      </c>
      <c r="B3514" s="1" t="s">
        <v>955</v>
      </c>
      <c r="C3514" s="1" t="s">
        <v>1014</v>
      </c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</row>
    <row r="3515" spans="1:17" x14ac:dyDescent="0.25">
      <c r="A3515" s="1" t="s">
        <v>10762</v>
      </c>
      <c r="B3515" s="1" t="s">
        <v>955</v>
      </c>
      <c r="C3515" s="1" t="s">
        <v>1014</v>
      </c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</row>
    <row r="3516" spans="1:17" x14ac:dyDescent="0.25">
      <c r="A3516" s="1" t="s">
        <v>10762</v>
      </c>
      <c r="B3516" s="1" t="s">
        <v>955</v>
      </c>
      <c r="C3516" s="1" t="s">
        <v>1014</v>
      </c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</row>
    <row r="3517" spans="1:17" x14ac:dyDescent="0.25">
      <c r="A3517" s="1" t="s">
        <v>10762</v>
      </c>
      <c r="B3517" s="1" t="s">
        <v>955</v>
      </c>
      <c r="C3517" s="1" t="s">
        <v>1014</v>
      </c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</row>
    <row r="3518" spans="1:17" x14ac:dyDescent="0.25">
      <c r="A3518" s="1" t="s">
        <v>10762</v>
      </c>
      <c r="B3518" s="1" t="s">
        <v>955</v>
      </c>
      <c r="C3518" s="1" t="s">
        <v>1014</v>
      </c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</row>
    <row r="3519" spans="1:17" x14ac:dyDescent="0.25">
      <c r="A3519" s="1" t="s">
        <v>10762</v>
      </c>
      <c r="B3519" s="1" t="s">
        <v>955</v>
      </c>
      <c r="C3519" s="1" t="s">
        <v>1014</v>
      </c>
      <c r="D3519" s="1" t="s">
        <v>1107</v>
      </c>
      <c r="E3519" s="1" t="s">
        <v>918</v>
      </c>
      <c r="F3519" s="1" t="s">
        <v>919</v>
      </c>
      <c r="G3519" s="1" t="s">
        <v>945</v>
      </c>
      <c r="H3519" s="1"/>
      <c r="I3519" s="1"/>
      <c r="J3519" s="1"/>
      <c r="K3519" s="1"/>
      <c r="L3519" s="1"/>
      <c r="M3519" s="1"/>
      <c r="N3519" s="1"/>
      <c r="O3519" s="1"/>
      <c r="P3519" s="1"/>
      <c r="Q3519" s="1"/>
    </row>
    <row r="3520" spans="1:17" x14ac:dyDescent="0.25">
      <c r="A3520" s="1" t="s">
        <v>10762</v>
      </c>
      <c r="B3520" s="1" t="s">
        <v>955</v>
      </c>
      <c r="C3520" s="1" t="s">
        <v>1014</v>
      </c>
      <c r="D3520" s="1" t="s">
        <v>11052</v>
      </c>
      <c r="E3520" s="1" t="s">
        <v>924</v>
      </c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</row>
    <row r="3521" spans="1:17" x14ac:dyDescent="0.25">
      <c r="A3521" s="1" t="s">
        <v>10762</v>
      </c>
      <c r="B3521" s="1" t="s">
        <v>955</v>
      </c>
      <c r="C3521" s="1" t="s">
        <v>1014</v>
      </c>
      <c r="D3521" s="1" t="s">
        <v>10781</v>
      </c>
      <c r="E3521" s="1" t="s">
        <v>1085</v>
      </c>
      <c r="F3521" s="1" t="s">
        <v>924</v>
      </c>
      <c r="G3521" s="1" t="s">
        <v>10740</v>
      </c>
      <c r="H3521" s="1"/>
      <c r="I3521" s="1"/>
      <c r="J3521" s="1"/>
      <c r="K3521" s="1"/>
      <c r="L3521" s="1"/>
      <c r="M3521" s="1"/>
      <c r="N3521" s="1"/>
      <c r="O3521" s="1"/>
      <c r="P3521" s="1"/>
      <c r="Q3521" s="1"/>
    </row>
    <row r="3522" spans="1:17" x14ac:dyDescent="0.25">
      <c r="A3522" s="1" t="s">
        <v>8695</v>
      </c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</row>
    <row r="3523" spans="1:17" x14ac:dyDescent="0.25">
      <c r="A3523" s="1" t="s">
        <v>8695</v>
      </c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</row>
    <row r="3524" spans="1:17" x14ac:dyDescent="0.25">
      <c r="A3524" s="1" t="s">
        <v>1001</v>
      </c>
      <c r="B3524" s="1" t="s">
        <v>10722</v>
      </c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</row>
    <row r="3525" spans="1:17" x14ac:dyDescent="0.25">
      <c r="A3525" s="1" t="s">
        <v>1001</v>
      </c>
      <c r="B3525" s="1" t="s">
        <v>10722</v>
      </c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</row>
    <row r="3526" spans="1:17" x14ac:dyDescent="0.25">
      <c r="A3526" s="1" t="s">
        <v>1001</v>
      </c>
      <c r="B3526" s="1" t="s">
        <v>10722</v>
      </c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</row>
    <row r="3527" spans="1:17" x14ac:dyDescent="0.25">
      <c r="A3527" s="1" t="s">
        <v>1001</v>
      </c>
      <c r="B3527" s="1" t="s">
        <v>10722</v>
      </c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</row>
    <row r="3528" spans="1:17" x14ac:dyDescent="0.25">
      <c r="A3528" s="1" t="s">
        <v>50</v>
      </c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</row>
    <row r="3529" spans="1:17" x14ac:dyDescent="0.25">
      <c r="A3529" s="1" t="s">
        <v>298</v>
      </c>
      <c r="B3529" s="1" t="s">
        <v>25</v>
      </c>
      <c r="C3529" s="1" t="s">
        <v>927</v>
      </c>
      <c r="D3529" s="1" t="s">
        <v>998</v>
      </c>
      <c r="E3529" s="1" t="s">
        <v>1086</v>
      </c>
      <c r="F3529" s="1" t="s">
        <v>920</v>
      </c>
      <c r="G3529" s="1" t="s">
        <v>933</v>
      </c>
      <c r="H3529" s="1"/>
      <c r="I3529" s="1"/>
      <c r="J3529" s="1"/>
      <c r="K3529" s="1"/>
      <c r="L3529" s="1"/>
      <c r="M3529" s="1"/>
      <c r="N3529" s="1"/>
      <c r="O3529" s="1"/>
      <c r="P3529" s="1"/>
      <c r="Q3529" s="1"/>
    </row>
    <row r="3530" spans="1:17" x14ac:dyDescent="0.25">
      <c r="A3530" s="1" t="s">
        <v>25</v>
      </c>
      <c r="B3530" s="1" t="s">
        <v>927</v>
      </c>
      <c r="C3530" s="1" t="s">
        <v>998</v>
      </c>
      <c r="D3530" s="1" t="s">
        <v>981</v>
      </c>
      <c r="E3530" s="1" t="s">
        <v>920</v>
      </c>
      <c r="F3530" s="1" t="s">
        <v>933</v>
      </c>
      <c r="G3530" s="1" t="s">
        <v>921</v>
      </c>
      <c r="H3530" s="1" t="s">
        <v>994</v>
      </c>
      <c r="I3530" s="1" t="s">
        <v>992</v>
      </c>
      <c r="J3530" s="1" t="s">
        <v>928</v>
      </c>
      <c r="K3530" s="1" t="s">
        <v>8195</v>
      </c>
      <c r="L3530" s="1" t="s">
        <v>993</v>
      </c>
      <c r="M3530" s="1"/>
      <c r="N3530" s="1"/>
      <c r="O3530" s="1"/>
      <c r="P3530" s="1"/>
      <c r="Q3530" s="1"/>
    </row>
    <row r="3531" spans="1:17" x14ac:dyDescent="0.25">
      <c r="A3531" s="1" t="s">
        <v>1001</v>
      </c>
      <c r="B3531" s="1" t="s">
        <v>992</v>
      </c>
      <c r="C3531" s="1" t="s">
        <v>981</v>
      </c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</row>
    <row r="3532" spans="1:17" x14ac:dyDescent="0.25">
      <c r="A3532" s="1" t="s">
        <v>1001</v>
      </c>
      <c r="B3532" s="1" t="s">
        <v>992</v>
      </c>
      <c r="C3532" s="1" t="s">
        <v>981</v>
      </c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</row>
    <row r="3533" spans="1:17" x14ac:dyDescent="0.25">
      <c r="A3533" s="1" t="s">
        <v>918</v>
      </c>
      <c r="B3533" s="1" t="s">
        <v>927</v>
      </c>
      <c r="C3533" s="1" t="s">
        <v>1056</v>
      </c>
      <c r="D3533" s="1" t="s">
        <v>981</v>
      </c>
      <c r="E3533" s="1" t="s">
        <v>919</v>
      </c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</row>
    <row r="3534" spans="1:17" x14ac:dyDescent="0.25">
      <c r="A3534" s="1" t="s">
        <v>10726</v>
      </c>
      <c r="B3534" s="1" t="s">
        <v>10962</v>
      </c>
      <c r="C3534" s="1" t="s">
        <v>919</v>
      </c>
      <c r="D3534" s="1" t="s">
        <v>924</v>
      </c>
      <c r="E3534" s="1" t="s">
        <v>1014</v>
      </c>
      <c r="F3534" s="1" t="s">
        <v>918</v>
      </c>
      <c r="G3534" s="1" t="s">
        <v>927</v>
      </c>
      <c r="H3534" s="1" t="s">
        <v>1056</v>
      </c>
      <c r="I3534" s="1" t="s">
        <v>981</v>
      </c>
      <c r="J3534" s="1"/>
      <c r="K3534" s="1"/>
      <c r="L3534" s="1"/>
      <c r="M3534" s="1"/>
      <c r="N3534" s="1"/>
      <c r="O3534" s="1"/>
      <c r="P3534" s="1"/>
      <c r="Q3534" s="1"/>
    </row>
    <row r="3535" spans="1:17" x14ac:dyDescent="0.25">
      <c r="A3535" s="1" t="s">
        <v>918</v>
      </c>
      <c r="B3535" s="1" t="s">
        <v>927</v>
      </c>
      <c r="C3535" s="1" t="s">
        <v>1056</v>
      </c>
      <c r="D3535" s="1" t="s">
        <v>981</v>
      </c>
      <c r="E3535" s="1" t="s">
        <v>919</v>
      </c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</row>
    <row r="3536" spans="1:17" x14ac:dyDescent="0.25">
      <c r="A3536" s="1" t="s">
        <v>927</v>
      </c>
      <c r="B3536" s="1" t="s">
        <v>919</v>
      </c>
      <c r="C3536" s="1" t="s">
        <v>924</v>
      </c>
      <c r="D3536" s="1" t="s">
        <v>918</v>
      </c>
      <c r="E3536" s="1" t="s">
        <v>1056</v>
      </c>
      <c r="F3536" s="1" t="s">
        <v>981</v>
      </c>
      <c r="G3536" s="1" t="s">
        <v>1114</v>
      </c>
      <c r="H3536" s="1"/>
      <c r="I3536" s="1"/>
      <c r="J3536" s="1"/>
      <c r="K3536" s="1"/>
      <c r="L3536" s="1"/>
      <c r="M3536" s="1"/>
      <c r="N3536" s="1"/>
      <c r="O3536" s="1"/>
      <c r="P3536" s="1"/>
      <c r="Q3536" s="1"/>
    </row>
    <row r="3537" spans="1:17" x14ac:dyDescent="0.25">
      <c r="A3537" s="1" t="s">
        <v>918</v>
      </c>
      <c r="B3537" s="1" t="s">
        <v>927</v>
      </c>
      <c r="C3537" s="1" t="s">
        <v>1056</v>
      </c>
      <c r="D3537" s="1" t="s">
        <v>981</v>
      </c>
      <c r="E3537" s="1" t="s">
        <v>919</v>
      </c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</row>
    <row r="3538" spans="1:17" x14ac:dyDescent="0.25">
      <c r="A3538" s="1" t="s">
        <v>1030</v>
      </c>
      <c r="B3538" s="1" t="s">
        <v>1013</v>
      </c>
      <c r="C3538" s="1" t="s">
        <v>918</v>
      </c>
      <c r="D3538" s="1" t="s">
        <v>919</v>
      </c>
      <c r="E3538" s="1" t="s">
        <v>936</v>
      </c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</row>
    <row r="3539" spans="1:17" x14ac:dyDescent="0.25">
      <c r="A3539" s="1" t="s">
        <v>1030</v>
      </c>
      <c r="B3539" s="1" t="s">
        <v>1013</v>
      </c>
      <c r="C3539" s="1" t="s">
        <v>918</v>
      </c>
      <c r="D3539" s="1" t="s">
        <v>919</v>
      </c>
      <c r="E3539" s="1" t="s">
        <v>936</v>
      </c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</row>
    <row r="3540" spans="1:17" x14ac:dyDescent="0.25">
      <c r="A3540" s="1" t="s">
        <v>1030</v>
      </c>
      <c r="B3540" s="1" t="s">
        <v>1013</v>
      </c>
      <c r="C3540" s="1" t="s">
        <v>918</v>
      </c>
      <c r="D3540" s="1" t="s">
        <v>919</v>
      </c>
      <c r="E3540" s="1" t="s">
        <v>936</v>
      </c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</row>
    <row r="3541" spans="1:17" x14ac:dyDescent="0.25">
      <c r="A3541" s="1" t="s">
        <v>1069</v>
      </c>
      <c r="B3541" s="1" t="s">
        <v>918</v>
      </c>
      <c r="C3541" s="1" t="s">
        <v>25</v>
      </c>
      <c r="D3541" s="1" t="s">
        <v>923</v>
      </c>
      <c r="E3541" s="1" t="s">
        <v>927</v>
      </c>
      <c r="F3541" s="1" t="s">
        <v>10761</v>
      </c>
      <c r="G3541" s="1" t="s">
        <v>919</v>
      </c>
      <c r="H3541" s="1" t="s">
        <v>920</v>
      </c>
      <c r="I3541" s="1" t="s">
        <v>924</v>
      </c>
      <c r="J3541" s="1" t="s">
        <v>921</v>
      </c>
      <c r="K3541" s="1" t="s">
        <v>1030</v>
      </c>
      <c r="L3541" s="1" t="s">
        <v>1013</v>
      </c>
      <c r="M3541" s="1" t="s">
        <v>936</v>
      </c>
      <c r="N3541" s="1"/>
      <c r="O3541" s="1"/>
      <c r="P3541" s="1"/>
      <c r="Q3541" s="1"/>
    </row>
    <row r="3542" spans="1:17" x14ac:dyDescent="0.25">
      <c r="A3542" s="1" t="s">
        <v>918</v>
      </c>
      <c r="B3542" s="1" t="s">
        <v>25</v>
      </c>
      <c r="C3542" s="1" t="s">
        <v>927</v>
      </c>
      <c r="D3542" s="1" t="s">
        <v>919</v>
      </c>
      <c r="E3542" s="1" t="s">
        <v>920</v>
      </c>
      <c r="F3542" s="1" t="s">
        <v>921</v>
      </c>
      <c r="G3542" s="1" t="s">
        <v>1045</v>
      </c>
      <c r="H3542" s="1" t="s">
        <v>1042</v>
      </c>
      <c r="I3542" s="1"/>
      <c r="J3542" s="1"/>
      <c r="K3542" s="1"/>
      <c r="L3542" s="1"/>
      <c r="M3542" s="1"/>
      <c r="N3542" s="1"/>
      <c r="O3542" s="1"/>
      <c r="P3542" s="1"/>
      <c r="Q3542" s="1"/>
    </row>
    <row r="3543" spans="1:17" x14ac:dyDescent="0.25">
      <c r="A3543" s="1" t="s">
        <v>918</v>
      </c>
      <c r="B3543" s="1" t="s">
        <v>25</v>
      </c>
      <c r="C3543" s="1" t="s">
        <v>927</v>
      </c>
      <c r="D3543" s="1" t="s">
        <v>919</v>
      </c>
      <c r="E3543" s="1" t="s">
        <v>920</v>
      </c>
      <c r="F3543" s="1" t="s">
        <v>921</v>
      </c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</row>
    <row r="3544" spans="1:17" x14ac:dyDescent="0.25">
      <c r="A3544" s="1" t="s">
        <v>1149</v>
      </c>
      <c r="B3544" s="1" t="s">
        <v>25</v>
      </c>
      <c r="C3544" s="1" t="s">
        <v>997</v>
      </c>
      <c r="D3544" s="1" t="s">
        <v>998</v>
      </c>
      <c r="E3544" s="1" t="s">
        <v>933</v>
      </c>
      <c r="F3544" s="1" t="s">
        <v>994</v>
      </c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</row>
    <row r="3545" spans="1:17" x14ac:dyDescent="0.25">
      <c r="A3545" s="1" t="s">
        <v>964</v>
      </c>
      <c r="B3545" s="1" t="s">
        <v>10751</v>
      </c>
      <c r="C3545" s="1" t="s">
        <v>10755</v>
      </c>
      <c r="D3545" s="1" t="s">
        <v>10724</v>
      </c>
      <c r="E3545" s="1" t="s">
        <v>25</v>
      </c>
      <c r="F3545" s="1" t="s">
        <v>925</v>
      </c>
      <c r="G3545" s="1" t="s">
        <v>918</v>
      </c>
      <c r="H3545" s="1" t="s">
        <v>927</v>
      </c>
      <c r="I3545" s="1" t="s">
        <v>928</v>
      </c>
      <c r="J3545" s="1" t="s">
        <v>919</v>
      </c>
      <c r="K3545" s="1" t="s">
        <v>960</v>
      </c>
      <c r="L3545" s="1" t="s">
        <v>961</v>
      </c>
      <c r="M3545" s="1" t="s">
        <v>1147</v>
      </c>
      <c r="N3545" s="1" t="s">
        <v>1086</v>
      </c>
      <c r="O3545" s="1" t="s">
        <v>920</v>
      </c>
      <c r="P3545" s="1" t="s">
        <v>921</v>
      </c>
      <c r="Q3545" s="1"/>
    </row>
    <row r="3546" spans="1:17" x14ac:dyDescent="0.25">
      <c r="A3546" s="1" t="s">
        <v>964</v>
      </c>
      <c r="B3546" s="1" t="s">
        <v>10751</v>
      </c>
      <c r="C3546" s="1" t="s">
        <v>10755</v>
      </c>
      <c r="D3546" s="1" t="s">
        <v>10724</v>
      </c>
      <c r="E3546" s="1" t="s">
        <v>25</v>
      </c>
      <c r="F3546" s="1" t="s">
        <v>925</v>
      </c>
      <c r="G3546" s="1" t="s">
        <v>939</v>
      </c>
      <c r="H3546" s="1"/>
      <c r="I3546" s="1"/>
      <c r="J3546" s="1"/>
      <c r="K3546" s="1"/>
      <c r="L3546" s="1"/>
      <c r="M3546" s="1"/>
      <c r="N3546" s="1"/>
      <c r="O3546" s="1"/>
      <c r="P3546" s="1"/>
      <c r="Q3546" s="1"/>
    </row>
    <row r="3547" spans="1:17" x14ac:dyDescent="0.25">
      <c r="A3547" s="1" t="s">
        <v>964</v>
      </c>
      <c r="B3547" s="1" t="s">
        <v>10751</v>
      </c>
      <c r="C3547" s="1" t="s">
        <v>10755</v>
      </c>
      <c r="D3547" s="1" t="s">
        <v>10724</v>
      </c>
      <c r="E3547" s="1" t="s">
        <v>25</v>
      </c>
      <c r="F3547" s="1" t="s">
        <v>925</v>
      </c>
      <c r="G3547" s="1" t="s">
        <v>918</v>
      </c>
      <c r="H3547" s="1" t="s">
        <v>927</v>
      </c>
      <c r="I3547" s="1" t="s">
        <v>928</v>
      </c>
      <c r="J3547" s="1" t="s">
        <v>919</v>
      </c>
      <c r="K3547" s="1" t="s">
        <v>960</v>
      </c>
      <c r="L3547" s="1" t="s">
        <v>961</v>
      </c>
      <c r="M3547" s="1" t="s">
        <v>1147</v>
      </c>
      <c r="N3547" s="1"/>
      <c r="O3547" s="1"/>
      <c r="P3547" s="1"/>
      <c r="Q3547" s="1"/>
    </row>
    <row r="3548" spans="1:17" x14ac:dyDescent="0.25">
      <c r="A3548" s="1" t="s">
        <v>25</v>
      </c>
      <c r="B3548" s="1" t="s">
        <v>916</v>
      </c>
      <c r="C3548" s="1" t="s">
        <v>919</v>
      </c>
      <c r="D3548" s="1" t="s">
        <v>922</v>
      </c>
      <c r="E3548" s="1" t="s">
        <v>11053</v>
      </c>
      <c r="F3548" s="1" t="s">
        <v>964</v>
      </c>
      <c r="G3548" s="1" t="s">
        <v>10751</v>
      </c>
      <c r="H3548" s="1" t="s">
        <v>10755</v>
      </c>
      <c r="I3548" s="1" t="s">
        <v>10724</v>
      </c>
      <c r="J3548" s="1"/>
      <c r="K3548" s="1"/>
      <c r="L3548" s="1"/>
      <c r="M3548" s="1"/>
      <c r="N3548" s="1"/>
      <c r="O3548" s="1"/>
      <c r="P3548" s="1"/>
      <c r="Q3548" s="1"/>
    </row>
    <row r="3549" spans="1:17" x14ac:dyDescent="0.25">
      <c r="A3549" s="1" t="s">
        <v>964</v>
      </c>
      <c r="B3549" s="1" t="s">
        <v>10751</v>
      </c>
      <c r="C3549" s="1" t="s">
        <v>10755</v>
      </c>
      <c r="D3549" s="1" t="s">
        <v>10724</v>
      </c>
      <c r="E3549" s="1" t="s">
        <v>25</v>
      </c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</row>
    <row r="3550" spans="1:17" x14ac:dyDescent="0.25">
      <c r="A3550" s="1" t="s">
        <v>1001</v>
      </c>
      <c r="B3550" s="1" t="s">
        <v>918</v>
      </c>
      <c r="C3550" s="1" t="s">
        <v>927</v>
      </c>
      <c r="D3550" s="1" t="s">
        <v>1000</v>
      </c>
      <c r="E3550" s="1" t="s">
        <v>919</v>
      </c>
      <c r="F3550" s="1" t="s">
        <v>936</v>
      </c>
      <c r="G3550" s="1" t="s">
        <v>921</v>
      </c>
      <c r="H3550" s="1"/>
      <c r="I3550" s="1"/>
      <c r="J3550" s="1"/>
      <c r="K3550" s="1"/>
      <c r="L3550" s="1"/>
      <c r="M3550" s="1"/>
      <c r="N3550" s="1"/>
      <c r="O3550" s="1"/>
      <c r="P3550" s="1"/>
      <c r="Q3550" s="1"/>
    </row>
    <row r="3551" spans="1:17" x14ac:dyDescent="0.25">
      <c r="A3551" s="1" t="s">
        <v>1001</v>
      </c>
      <c r="B3551" s="1" t="s">
        <v>918</v>
      </c>
      <c r="C3551" s="1" t="s">
        <v>25</v>
      </c>
      <c r="D3551" s="1" t="s">
        <v>923</v>
      </c>
      <c r="E3551" s="1" t="s">
        <v>927</v>
      </c>
      <c r="F3551" s="1" t="s">
        <v>919</v>
      </c>
      <c r="G3551" s="1" t="s">
        <v>920</v>
      </c>
      <c r="H3551" s="1" t="s">
        <v>921</v>
      </c>
      <c r="I3551" s="1" t="s">
        <v>947</v>
      </c>
      <c r="J3551" s="1" t="s">
        <v>924</v>
      </c>
      <c r="K3551" s="1" t="s">
        <v>933</v>
      </c>
      <c r="L3551" s="1" t="s">
        <v>929</v>
      </c>
      <c r="M3551" s="1"/>
      <c r="N3551" s="1"/>
      <c r="O3551" s="1"/>
      <c r="P3551" s="1"/>
      <c r="Q3551" s="1"/>
    </row>
    <row r="3552" spans="1:17" x14ac:dyDescent="0.25">
      <c r="A3552" s="1" t="s">
        <v>1000</v>
      </c>
      <c r="B3552" s="1" t="s">
        <v>1108</v>
      </c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</row>
    <row r="3553" spans="1:17" x14ac:dyDescent="0.25">
      <c r="A3553" s="1" t="s">
        <v>979</v>
      </c>
      <c r="B3553" s="1" t="s">
        <v>980</v>
      </c>
      <c r="C3553" s="1" t="s">
        <v>992</v>
      </c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</row>
    <row r="3554" spans="1:17" x14ac:dyDescent="0.25">
      <c r="A3554" s="1" t="s">
        <v>90</v>
      </c>
      <c r="B3554" s="1" t="s">
        <v>25</v>
      </c>
      <c r="C3554" s="1" t="s">
        <v>987</v>
      </c>
      <c r="D3554" s="1" t="s">
        <v>916</v>
      </c>
      <c r="E3554" s="1" t="s">
        <v>920</v>
      </c>
      <c r="F3554" s="1" t="s">
        <v>921</v>
      </c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</row>
    <row r="3555" spans="1:17" x14ac:dyDescent="0.25">
      <c r="A3555" s="1" t="s">
        <v>90</v>
      </c>
      <c r="B3555" s="1" t="s">
        <v>25</v>
      </c>
      <c r="C3555" s="1" t="s">
        <v>987</v>
      </c>
      <c r="D3555" s="1" t="s">
        <v>916</v>
      </c>
      <c r="E3555" s="1" t="s">
        <v>920</v>
      </c>
      <c r="F3555" s="1" t="s">
        <v>921</v>
      </c>
      <c r="G3555" s="1" t="s">
        <v>922</v>
      </c>
      <c r="H3555" s="1"/>
      <c r="I3555" s="1"/>
      <c r="J3555" s="1"/>
      <c r="K3555" s="1"/>
      <c r="L3555" s="1"/>
      <c r="M3555" s="1"/>
      <c r="N3555" s="1"/>
      <c r="O3555" s="1"/>
      <c r="P3555" s="1"/>
      <c r="Q3555" s="1"/>
    </row>
    <row r="3556" spans="1:17" x14ac:dyDescent="0.25">
      <c r="A3556" s="1" t="s">
        <v>25</v>
      </c>
      <c r="B3556" s="1" t="s">
        <v>997</v>
      </c>
      <c r="C3556" s="1" t="s">
        <v>927</v>
      </c>
      <c r="D3556" s="1" t="s">
        <v>998</v>
      </c>
      <c r="E3556" s="1" t="s">
        <v>920</v>
      </c>
      <c r="F3556" s="1" t="s">
        <v>933</v>
      </c>
      <c r="G3556" s="1" t="s">
        <v>994</v>
      </c>
      <c r="H3556" s="1"/>
      <c r="I3556" s="1"/>
      <c r="J3556" s="1"/>
      <c r="K3556" s="1"/>
      <c r="L3556" s="1"/>
      <c r="M3556" s="1"/>
      <c r="N3556" s="1"/>
      <c r="O3556" s="1"/>
      <c r="P3556" s="1"/>
      <c r="Q3556" s="1"/>
    </row>
    <row r="3557" spans="1:17" x14ac:dyDescent="0.25">
      <c r="A3557" s="1" t="s">
        <v>25</v>
      </c>
      <c r="B3557" s="1" t="s">
        <v>997</v>
      </c>
      <c r="C3557" s="1" t="s">
        <v>927</v>
      </c>
      <c r="D3557" s="1" t="s">
        <v>998</v>
      </c>
      <c r="E3557" s="1" t="s">
        <v>920</v>
      </c>
      <c r="F3557" s="1" t="s">
        <v>933</v>
      </c>
      <c r="G3557" s="1" t="s">
        <v>994</v>
      </c>
      <c r="H3557" s="1"/>
      <c r="I3557" s="1"/>
      <c r="J3557" s="1"/>
      <c r="K3557" s="1"/>
      <c r="L3557" s="1"/>
      <c r="M3557" s="1"/>
      <c r="N3557" s="1"/>
      <c r="O3557" s="1"/>
      <c r="P3557" s="1"/>
      <c r="Q3557" s="1"/>
    </row>
    <row r="3558" spans="1:17" x14ac:dyDescent="0.25">
      <c r="A3558" s="1" t="s">
        <v>25</v>
      </c>
      <c r="B3558" s="1" t="s">
        <v>997</v>
      </c>
      <c r="C3558" s="1" t="s">
        <v>927</v>
      </c>
      <c r="D3558" s="1" t="s">
        <v>998</v>
      </c>
      <c r="E3558" s="1" t="s">
        <v>920</v>
      </c>
      <c r="F3558" s="1" t="s">
        <v>933</v>
      </c>
      <c r="G3558" s="1" t="s">
        <v>994</v>
      </c>
      <c r="H3558" s="1"/>
      <c r="I3558" s="1"/>
      <c r="J3558" s="1"/>
      <c r="K3558" s="1"/>
      <c r="L3558" s="1"/>
      <c r="M3558" s="1"/>
      <c r="N3558" s="1"/>
      <c r="O3558" s="1"/>
      <c r="P3558" s="1"/>
      <c r="Q3558" s="1"/>
    </row>
    <row r="3559" spans="1:17" x14ac:dyDescent="0.25">
      <c r="A3559" s="1" t="s">
        <v>25</v>
      </c>
      <c r="B3559" s="1" t="s">
        <v>997</v>
      </c>
      <c r="C3559" s="1" t="s">
        <v>927</v>
      </c>
      <c r="D3559" s="1" t="s">
        <v>998</v>
      </c>
      <c r="E3559" s="1" t="s">
        <v>920</v>
      </c>
      <c r="F3559" s="1" t="s">
        <v>933</v>
      </c>
      <c r="G3559" s="1" t="s">
        <v>994</v>
      </c>
      <c r="H3559" s="1"/>
      <c r="I3559" s="1"/>
      <c r="J3559" s="1"/>
      <c r="K3559" s="1"/>
      <c r="L3559" s="1"/>
      <c r="M3559" s="1"/>
      <c r="N3559" s="1"/>
      <c r="O3559" s="1"/>
      <c r="P3559" s="1"/>
      <c r="Q3559" s="1"/>
    </row>
    <row r="3560" spans="1:17" x14ac:dyDescent="0.25">
      <c r="A3560" s="1" t="s">
        <v>996</v>
      </c>
      <c r="B3560" s="1" t="s">
        <v>25</v>
      </c>
      <c r="C3560" s="1" t="s">
        <v>997</v>
      </c>
      <c r="D3560" s="1" t="s">
        <v>927</v>
      </c>
      <c r="E3560" s="1" t="s">
        <v>998</v>
      </c>
      <c r="F3560" s="1" t="s">
        <v>933</v>
      </c>
      <c r="G3560" s="1" t="s">
        <v>993</v>
      </c>
      <c r="H3560" s="1" t="s">
        <v>994</v>
      </c>
      <c r="I3560" s="1"/>
      <c r="J3560" s="1"/>
      <c r="K3560" s="1"/>
      <c r="L3560" s="1"/>
      <c r="M3560" s="1"/>
      <c r="N3560" s="1"/>
      <c r="O3560" s="1"/>
      <c r="P3560" s="1"/>
      <c r="Q3560" s="1"/>
    </row>
    <row r="3561" spans="1:17" x14ac:dyDescent="0.25">
      <c r="A3561" s="1" t="s">
        <v>996</v>
      </c>
      <c r="B3561" s="1" t="s">
        <v>25</v>
      </c>
      <c r="C3561" s="1" t="s">
        <v>997</v>
      </c>
      <c r="D3561" s="1" t="s">
        <v>927</v>
      </c>
      <c r="E3561" s="1" t="s">
        <v>998</v>
      </c>
      <c r="F3561" s="1" t="s">
        <v>933</v>
      </c>
      <c r="G3561" s="1" t="s">
        <v>993</v>
      </c>
      <c r="H3561" s="1" t="s">
        <v>994</v>
      </c>
      <c r="I3561" s="1"/>
      <c r="J3561" s="1"/>
      <c r="K3561" s="1"/>
      <c r="L3561" s="1"/>
      <c r="M3561" s="1"/>
      <c r="N3561" s="1"/>
      <c r="O3561" s="1"/>
      <c r="P3561" s="1"/>
      <c r="Q3561" s="1"/>
    </row>
    <row r="3562" spans="1:17" x14ac:dyDescent="0.25">
      <c r="A3562" s="1" t="s">
        <v>996</v>
      </c>
      <c r="B3562" s="1" t="s">
        <v>25</v>
      </c>
      <c r="C3562" s="1" t="s">
        <v>997</v>
      </c>
      <c r="D3562" s="1" t="s">
        <v>927</v>
      </c>
      <c r="E3562" s="1" t="s">
        <v>998</v>
      </c>
      <c r="F3562" s="1" t="s">
        <v>933</v>
      </c>
      <c r="G3562" s="1" t="s">
        <v>993</v>
      </c>
      <c r="H3562" s="1" t="s">
        <v>994</v>
      </c>
      <c r="I3562" s="1"/>
      <c r="J3562" s="1"/>
      <c r="K3562" s="1"/>
      <c r="L3562" s="1"/>
      <c r="M3562" s="1"/>
      <c r="N3562" s="1"/>
      <c r="O3562" s="1"/>
      <c r="P3562" s="1"/>
      <c r="Q3562" s="1"/>
    </row>
    <row r="3563" spans="1:17" x14ac:dyDescent="0.25">
      <c r="A3563" s="1" t="s">
        <v>996</v>
      </c>
      <c r="B3563" s="1" t="s">
        <v>25</v>
      </c>
      <c r="C3563" s="1" t="s">
        <v>997</v>
      </c>
      <c r="D3563" s="1" t="s">
        <v>927</v>
      </c>
      <c r="E3563" s="1" t="s">
        <v>998</v>
      </c>
      <c r="F3563" s="1" t="s">
        <v>933</v>
      </c>
      <c r="G3563" s="1" t="s">
        <v>993</v>
      </c>
      <c r="H3563" s="1" t="s">
        <v>994</v>
      </c>
      <c r="I3563" s="1" t="s">
        <v>920</v>
      </c>
      <c r="J3563" s="1" t="s">
        <v>992</v>
      </c>
      <c r="K3563" s="1"/>
      <c r="L3563" s="1"/>
      <c r="M3563" s="1"/>
      <c r="N3563" s="1"/>
      <c r="O3563" s="1"/>
      <c r="P3563" s="1"/>
      <c r="Q3563" s="1"/>
    </row>
    <row r="3564" spans="1:17" x14ac:dyDescent="0.25">
      <c r="A3564" s="1" t="s">
        <v>996</v>
      </c>
      <c r="B3564" s="1" t="s">
        <v>25</v>
      </c>
      <c r="C3564" s="1" t="s">
        <v>997</v>
      </c>
      <c r="D3564" s="1" t="s">
        <v>927</v>
      </c>
      <c r="E3564" s="1" t="s">
        <v>998</v>
      </c>
      <c r="F3564" s="1" t="s">
        <v>933</v>
      </c>
      <c r="G3564" s="1" t="s">
        <v>993</v>
      </c>
      <c r="H3564" s="1" t="s">
        <v>994</v>
      </c>
      <c r="I3564" s="1"/>
      <c r="J3564" s="1"/>
      <c r="K3564" s="1"/>
      <c r="L3564" s="1"/>
      <c r="M3564" s="1"/>
      <c r="N3564" s="1"/>
      <c r="O3564" s="1"/>
      <c r="P3564" s="1"/>
      <c r="Q3564" s="1"/>
    </row>
    <row r="3565" spans="1:17" x14ac:dyDescent="0.25">
      <c r="A3565" s="1" t="s">
        <v>996</v>
      </c>
      <c r="B3565" s="1" t="s">
        <v>25</v>
      </c>
      <c r="C3565" s="1" t="s">
        <v>997</v>
      </c>
      <c r="D3565" s="1" t="s">
        <v>927</v>
      </c>
      <c r="E3565" s="1" t="s">
        <v>998</v>
      </c>
      <c r="F3565" s="1" t="s">
        <v>933</v>
      </c>
      <c r="G3565" s="1" t="s">
        <v>993</v>
      </c>
      <c r="H3565" s="1" t="s">
        <v>994</v>
      </c>
      <c r="I3565" s="1"/>
      <c r="J3565" s="1"/>
      <c r="K3565" s="1"/>
      <c r="L3565" s="1"/>
      <c r="M3565" s="1"/>
      <c r="N3565" s="1"/>
      <c r="O3565" s="1"/>
      <c r="P3565" s="1"/>
      <c r="Q3565" s="1"/>
    </row>
    <row r="3566" spans="1:17" x14ac:dyDescent="0.25">
      <c r="A3566" s="1" t="s">
        <v>996</v>
      </c>
      <c r="B3566" s="1" t="s">
        <v>25</v>
      </c>
      <c r="C3566" s="1" t="s">
        <v>997</v>
      </c>
      <c r="D3566" s="1" t="s">
        <v>927</v>
      </c>
      <c r="E3566" s="1" t="s">
        <v>998</v>
      </c>
      <c r="F3566" s="1" t="s">
        <v>933</v>
      </c>
      <c r="G3566" s="1" t="s">
        <v>993</v>
      </c>
      <c r="H3566" s="1" t="s">
        <v>994</v>
      </c>
      <c r="I3566" s="1"/>
      <c r="J3566" s="1"/>
      <c r="K3566" s="1"/>
      <c r="L3566" s="1"/>
      <c r="M3566" s="1"/>
      <c r="N3566" s="1"/>
      <c r="O3566" s="1"/>
      <c r="P3566" s="1"/>
      <c r="Q3566" s="1"/>
    </row>
    <row r="3567" spans="1:17" x14ac:dyDescent="0.25">
      <c r="A3567" s="1" t="s">
        <v>1001</v>
      </c>
      <c r="B3567" s="1" t="s">
        <v>10722</v>
      </c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</row>
    <row r="3568" spans="1:17" x14ac:dyDescent="0.25">
      <c r="A3568" s="1" t="s">
        <v>1019</v>
      </c>
      <c r="B3568" s="1" t="s">
        <v>983</v>
      </c>
      <c r="C3568" s="1" t="s">
        <v>984</v>
      </c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</row>
    <row r="3569" spans="1:17" x14ac:dyDescent="0.25">
      <c r="A3569" s="1" t="s">
        <v>1053</v>
      </c>
      <c r="B3569" s="1" t="s">
        <v>328</v>
      </c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</row>
    <row r="3570" spans="1:17" x14ac:dyDescent="0.25">
      <c r="A3570" s="1" t="s">
        <v>1053</v>
      </c>
      <c r="B3570" s="1" t="s">
        <v>328</v>
      </c>
      <c r="C3570" s="1" t="s">
        <v>11054</v>
      </c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</row>
    <row r="3571" spans="1:17" x14ac:dyDescent="0.25">
      <c r="A3571" s="1" t="s">
        <v>50</v>
      </c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</row>
    <row r="3572" spans="1:17" x14ac:dyDescent="0.25">
      <c r="A3572" s="1" t="s">
        <v>50</v>
      </c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</row>
    <row r="3573" spans="1:17" x14ac:dyDescent="0.25">
      <c r="A3573" s="1" t="s">
        <v>50</v>
      </c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</row>
    <row r="3574" spans="1:17" x14ac:dyDescent="0.25">
      <c r="A3574" s="1" t="s">
        <v>50</v>
      </c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</row>
    <row r="3575" spans="1:17" x14ac:dyDescent="0.25">
      <c r="A3575" s="1" t="s">
        <v>298</v>
      </c>
      <c r="B3575" s="1" t="s">
        <v>25</v>
      </c>
      <c r="C3575" s="1" t="s">
        <v>927</v>
      </c>
      <c r="D3575" s="1" t="s">
        <v>998</v>
      </c>
      <c r="E3575" s="1" t="s">
        <v>1086</v>
      </c>
      <c r="F3575" s="1" t="s">
        <v>920</v>
      </c>
      <c r="G3575" s="1" t="s">
        <v>933</v>
      </c>
      <c r="H3575" s="1"/>
      <c r="I3575" s="1"/>
      <c r="J3575" s="1"/>
      <c r="K3575" s="1"/>
      <c r="L3575" s="1"/>
      <c r="M3575" s="1"/>
      <c r="N3575" s="1"/>
      <c r="O3575" s="1"/>
      <c r="P3575" s="1"/>
      <c r="Q3575" s="1"/>
    </row>
    <row r="3576" spans="1:17" x14ac:dyDescent="0.25">
      <c r="A3576" s="1" t="s">
        <v>298</v>
      </c>
      <c r="B3576" s="1" t="s">
        <v>25</v>
      </c>
      <c r="C3576" s="1" t="s">
        <v>927</v>
      </c>
      <c r="D3576" s="1" t="s">
        <v>998</v>
      </c>
      <c r="E3576" s="1" t="s">
        <v>1086</v>
      </c>
      <c r="F3576" s="1" t="s">
        <v>920</v>
      </c>
      <c r="G3576" s="1" t="s">
        <v>933</v>
      </c>
      <c r="H3576" s="1"/>
      <c r="I3576" s="1"/>
      <c r="J3576" s="1"/>
      <c r="K3576" s="1"/>
      <c r="L3576" s="1"/>
      <c r="M3576" s="1"/>
      <c r="N3576" s="1"/>
      <c r="O3576" s="1"/>
      <c r="P3576" s="1"/>
      <c r="Q3576" s="1"/>
    </row>
    <row r="3577" spans="1:17" x14ac:dyDescent="0.25">
      <c r="A3577" s="1" t="s">
        <v>298</v>
      </c>
      <c r="B3577" s="1" t="s">
        <v>25</v>
      </c>
      <c r="C3577" s="1" t="s">
        <v>927</v>
      </c>
      <c r="D3577" s="1" t="s">
        <v>998</v>
      </c>
      <c r="E3577" s="1" t="s">
        <v>1086</v>
      </c>
      <c r="F3577" s="1" t="s">
        <v>920</v>
      </c>
      <c r="G3577" s="1" t="s">
        <v>933</v>
      </c>
      <c r="H3577" s="1" t="s">
        <v>2927</v>
      </c>
      <c r="I3577" s="1" t="s">
        <v>981</v>
      </c>
      <c r="J3577" s="1"/>
      <c r="K3577" s="1"/>
      <c r="L3577" s="1"/>
      <c r="M3577" s="1"/>
      <c r="N3577" s="1"/>
      <c r="O3577" s="1"/>
      <c r="P3577" s="1"/>
      <c r="Q3577" s="1"/>
    </row>
    <row r="3578" spans="1:17" x14ac:dyDescent="0.25">
      <c r="A3578" s="1" t="s">
        <v>298</v>
      </c>
      <c r="B3578" s="1" t="s">
        <v>25</v>
      </c>
      <c r="C3578" s="1" t="s">
        <v>927</v>
      </c>
      <c r="D3578" s="1" t="s">
        <v>998</v>
      </c>
      <c r="E3578" s="1" t="s">
        <v>1086</v>
      </c>
      <c r="F3578" s="1" t="s">
        <v>920</v>
      </c>
      <c r="G3578" s="1" t="s">
        <v>933</v>
      </c>
      <c r="H3578" s="1" t="s">
        <v>10859</v>
      </c>
      <c r="I3578" s="1"/>
      <c r="J3578" s="1"/>
      <c r="K3578" s="1"/>
      <c r="L3578" s="1"/>
      <c r="M3578" s="1"/>
      <c r="N3578" s="1"/>
      <c r="O3578" s="1"/>
      <c r="P3578" s="1"/>
      <c r="Q3578" s="1"/>
    </row>
    <row r="3579" spans="1:17" x14ac:dyDescent="0.25">
      <c r="A3579" s="1" t="s">
        <v>298</v>
      </c>
      <c r="B3579" s="1" t="s">
        <v>25</v>
      </c>
      <c r="C3579" s="1" t="s">
        <v>927</v>
      </c>
      <c r="D3579" s="1" t="s">
        <v>998</v>
      </c>
      <c r="E3579" s="1" t="s">
        <v>1086</v>
      </c>
      <c r="F3579" s="1" t="s">
        <v>920</v>
      </c>
      <c r="G3579" s="1" t="s">
        <v>933</v>
      </c>
      <c r="H3579" s="1"/>
      <c r="I3579" s="1"/>
      <c r="J3579" s="1"/>
      <c r="K3579" s="1"/>
      <c r="L3579" s="1"/>
      <c r="M3579" s="1"/>
      <c r="N3579" s="1"/>
      <c r="O3579" s="1"/>
      <c r="P3579" s="1"/>
      <c r="Q3579" s="1"/>
    </row>
    <row r="3580" spans="1:17" x14ac:dyDescent="0.25">
      <c r="A3580" s="1" t="s">
        <v>1001</v>
      </c>
      <c r="B3580" s="1" t="s">
        <v>992</v>
      </c>
      <c r="C3580" s="1" t="s">
        <v>981</v>
      </c>
      <c r="D3580" s="1" t="s">
        <v>1066</v>
      </c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</row>
    <row r="3581" spans="1:17" x14ac:dyDescent="0.25">
      <c r="A3581" s="1" t="s">
        <v>25</v>
      </c>
      <c r="B3581" s="1" t="s">
        <v>997</v>
      </c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</row>
    <row r="3582" spans="1:17" x14ac:dyDescent="0.25">
      <c r="A3582" s="1" t="s">
        <v>25</v>
      </c>
      <c r="B3582" s="1" t="s">
        <v>997</v>
      </c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</row>
    <row r="3583" spans="1:17" x14ac:dyDescent="0.25">
      <c r="A3583" s="1" t="s">
        <v>25</v>
      </c>
      <c r="B3583" s="1" t="s">
        <v>997</v>
      </c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</row>
    <row r="3584" spans="1:17" x14ac:dyDescent="0.25">
      <c r="A3584" s="1" t="s">
        <v>25</v>
      </c>
      <c r="B3584" s="1" t="s">
        <v>997</v>
      </c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</row>
    <row r="3585" spans="1:17" x14ac:dyDescent="0.25">
      <c r="A3585" s="1" t="s">
        <v>925</v>
      </c>
      <c r="B3585" s="1" t="s">
        <v>918</v>
      </c>
      <c r="C3585" s="1" t="s">
        <v>927</v>
      </c>
      <c r="D3585" s="1" t="s">
        <v>928</v>
      </c>
      <c r="E3585" s="1" t="s">
        <v>919</v>
      </c>
      <c r="F3585" s="1" t="s">
        <v>960</v>
      </c>
      <c r="G3585" s="1" t="s">
        <v>961</v>
      </c>
      <c r="H3585" s="1" t="s">
        <v>1147</v>
      </c>
      <c r="I3585" s="1" t="s">
        <v>25</v>
      </c>
      <c r="J3585" s="1" t="s">
        <v>997</v>
      </c>
      <c r="K3585" s="1"/>
      <c r="L3585" s="1"/>
      <c r="M3585" s="1"/>
      <c r="N3585" s="1"/>
      <c r="O3585" s="1"/>
      <c r="P3585" s="1"/>
      <c r="Q3585" s="1"/>
    </row>
    <row r="3586" spans="1:17" x14ac:dyDescent="0.25">
      <c r="A3586" s="1" t="s">
        <v>25</v>
      </c>
      <c r="B3586" s="1" t="s">
        <v>997</v>
      </c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</row>
    <row r="3587" spans="1:17" x14ac:dyDescent="0.25">
      <c r="A3587" s="1" t="s">
        <v>979</v>
      </c>
      <c r="B3587" s="1" t="s">
        <v>980</v>
      </c>
      <c r="C3587" s="1" t="s">
        <v>1001</v>
      </c>
      <c r="D3587" s="1" t="s">
        <v>927</v>
      </c>
      <c r="E3587" s="1" t="s">
        <v>919</v>
      </c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</row>
    <row r="3588" spans="1:17" x14ac:dyDescent="0.25">
      <c r="A3588" s="1" t="s">
        <v>979</v>
      </c>
      <c r="B3588" s="1" t="s">
        <v>980</v>
      </c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</row>
    <row r="3589" spans="1:17" x14ac:dyDescent="0.25">
      <c r="A3589" s="1" t="s">
        <v>90</v>
      </c>
      <c r="B3589" s="1" t="s">
        <v>25</v>
      </c>
      <c r="C3589" s="1" t="s">
        <v>987</v>
      </c>
      <c r="D3589" s="1" t="s">
        <v>916</v>
      </c>
      <c r="E3589" s="1" t="s">
        <v>920</v>
      </c>
      <c r="F3589" s="1" t="s">
        <v>921</v>
      </c>
      <c r="G3589" s="1" t="s">
        <v>979</v>
      </c>
      <c r="H3589" s="1" t="s">
        <v>980</v>
      </c>
      <c r="I3589" s="1"/>
      <c r="J3589" s="1"/>
      <c r="K3589" s="1"/>
      <c r="L3589" s="1"/>
      <c r="M3589" s="1"/>
      <c r="N3589" s="1"/>
      <c r="O3589" s="1"/>
      <c r="P3589" s="1"/>
      <c r="Q3589" s="1"/>
    </row>
    <row r="3590" spans="1:17" x14ac:dyDescent="0.25">
      <c r="A3590" s="1" t="s">
        <v>979</v>
      </c>
      <c r="B3590" s="1" t="s">
        <v>980</v>
      </c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</row>
    <row r="3591" spans="1:17" x14ac:dyDescent="0.25">
      <c r="A3591" s="1" t="s">
        <v>979</v>
      </c>
      <c r="B3591" s="1" t="s">
        <v>980</v>
      </c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</row>
    <row r="3592" spans="1:17" x14ac:dyDescent="0.25">
      <c r="A3592" s="1" t="s">
        <v>996</v>
      </c>
      <c r="B3592" s="1" t="s">
        <v>2541</v>
      </c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</row>
    <row r="3593" spans="1:17" x14ac:dyDescent="0.25">
      <c r="A3593" s="1" t="s">
        <v>996</v>
      </c>
      <c r="B3593" s="1" t="s">
        <v>2541</v>
      </c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</row>
    <row r="3594" spans="1:17" x14ac:dyDescent="0.25">
      <c r="A3594" s="1" t="s">
        <v>996</v>
      </c>
      <c r="B3594" s="1" t="s">
        <v>2541</v>
      </c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</row>
    <row r="3595" spans="1:17" x14ac:dyDescent="0.25">
      <c r="A3595" s="1" t="s">
        <v>1001</v>
      </c>
      <c r="B3595" s="1" t="s">
        <v>996</v>
      </c>
      <c r="C3595" s="1" t="s">
        <v>933</v>
      </c>
      <c r="D3595" s="1" t="s">
        <v>2541</v>
      </c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</row>
    <row r="3596" spans="1:17" x14ac:dyDescent="0.25">
      <c r="A3596" s="1" t="s">
        <v>1001</v>
      </c>
      <c r="B3596" s="1" t="s">
        <v>996</v>
      </c>
      <c r="C3596" s="1" t="s">
        <v>933</v>
      </c>
      <c r="D3596" s="1" t="s">
        <v>2541</v>
      </c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</row>
    <row r="3597" spans="1:17" x14ac:dyDescent="0.25">
      <c r="A3597" s="1" t="s">
        <v>1001</v>
      </c>
      <c r="B3597" s="1" t="s">
        <v>996</v>
      </c>
      <c r="C3597" s="1" t="s">
        <v>933</v>
      </c>
      <c r="D3597" s="1" t="s">
        <v>2541</v>
      </c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</row>
    <row r="3598" spans="1:17" x14ac:dyDescent="0.25">
      <c r="A3598" s="1" t="s">
        <v>1001</v>
      </c>
      <c r="B3598" s="1" t="s">
        <v>996</v>
      </c>
      <c r="C3598" s="1" t="s">
        <v>933</v>
      </c>
      <c r="D3598" s="1" t="s">
        <v>2541</v>
      </c>
      <c r="E3598" s="1" t="s">
        <v>992</v>
      </c>
      <c r="F3598" s="1" t="s">
        <v>10722</v>
      </c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</row>
    <row r="3599" spans="1:17" x14ac:dyDescent="0.25">
      <c r="A3599" s="1" t="s">
        <v>996</v>
      </c>
      <c r="B3599" s="1" t="s">
        <v>998</v>
      </c>
      <c r="C3599" s="1" t="s">
        <v>933</v>
      </c>
      <c r="D3599" s="1" t="s">
        <v>2541</v>
      </c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</row>
    <row r="3600" spans="1:17" x14ac:dyDescent="0.25">
      <c r="A3600" s="1" t="s">
        <v>996</v>
      </c>
      <c r="B3600" s="1" t="s">
        <v>998</v>
      </c>
      <c r="C3600" s="1" t="s">
        <v>933</v>
      </c>
      <c r="D3600" s="1" t="s">
        <v>2541</v>
      </c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</row>
    <row r="3601" spans="1:17" x14ac:dyDescent="0.25">
      <c r="A3601" s="1" t="s">
        <v>918</v>
      </c>
      <c r="B3601" s="1" t="s">
        <v>927</v>
      </c>
      <c r="C3601" s="1" t="s">
        <v>919</v>
      </c>
      <c r="D3601" s="1" t="s">
        <v>936</v>
      </c>
      <c r="E3601" s="1" t="s">
        <v>1037</v>
      </c>
      <c r="F3601" s="1" t="s">
        <v>996</v>
      </c>
      <c r="G3601" s="1" t="s">
        <v>998</v>
      </c>
      <c r="H3601" s="1" t="s">
        <v>933</v>
      </c>
      <c r="I3601" s="1" t="s">
        <v>2541</v>
      </c>
      <c r="J3601" s="1"/>
      <c r="K3601" s="1"/>
      <c r="L3601" s="1"/>
      <c r="M3601" s="1"/>
      <c r="N3601" s="1"/>
      <c r="O3601" s="1"/>
      <c r="P3601" s="1"/>
      <c r="Q3601" s="1"/>
    </row>
    <row r="3602" spans="1:17" x14ac:dyDescent="0.25">
      <c r="A3602" s="1" t="s">
        <v>996</v>
      </c>
      <c r="B3602" s="1" t="s">
        <v>998</v>
      </c>
      <c r="C3602" s="1" t="s">
        <v>933</v>
      </c>
      <c r="D3602" s="1" t="s">
        <v>2541</v>
      </c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</row>
    <row r="3603" spans="1:17" x14ac:dyDescent="0.25">
      <c r="A3603" s="1" t="s">
        <v>933</v>
      </c>
      <c r="B3603" s="1" t="s">
        <v>996</v>
      </c>
      <c r="C3603" s="1" t="s">
        <v>998</v>
      </c>
      <c r="D3603" s="1" t="s">
        <v>2541</v>
      </c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</row>
    <row r="3604" spans="1:17" x14ac:dyDescent="0.25">
      <c r="A3604" s="1" t="s">
        <v>996</v>
      </c>
      <c r="B3604" s="1" t="s">
        <v>998</v>
      </c>
      <c r="C3604" s="1" t="s">
        <v>933</v>
      </c>
      <c r="D3604" s="1" t="s">
        <v>2541</v>
      </c>
      <c r="E3604" s="1" t="s">
        <v>918</v>
      </c>
      <c r="F3604" s="1" t="s">
        <v>927</v>
      </c>
      <c r="G3604" s="1" t="s">
        <v>919</v>
      </c>
      <c r="H3604" s="1" t="s">
        <v>936</v>
      </c>
      <c r="I3604" s="1" t="s">
        <v>1037</v>
      </c>
      <c r="J3604" s="1"/>
      <c r="K3604" s="1"/>
      <c r="L3604" s="1"/>
      <c r="M3604" s="1"/>
      <c r="N3604" s="1"/>
      <c r="O3604" s="1"/>
      <c r="P3604" s="1"/>
      <c r="Q3604" s="1"/>
    </row>
    <row r="3605" spans="1:17" x14ac:dyDescent="0.25">
      <c r="A3605" s="1" t="s">
        <v>996</v>
      </c>
      <c r="B3605" s="1" t="s">
        <v>25</v>
      </c>
      <c r="C3605" s="1" t="s">
        <v>997</v>
      </c>
      <c r="D3605" s="1" t="s">
        <v>927</v>
      </c>
      <c r="E3605" s="1" t="s">
        <v>998</v>
      </c>
      <c r="F3605" s="1" t="s">
        <v>992</v>
      </c>
      <c r="G3605" s="1" t="s">
        <v>933</v>
      </c>
      <c r="H3605" s="1" t="s">
        <v>994</v>
      </c>
      <c r="I3605" s="1"/>
      <c r="J3605" s="1"/>
      <c r="K3605" s="1"/>
      <c r="L3605" s="1"/>
      <c r="M3605" s="1"/>
      <c r="N3605" s="1"/>
      <c r="O3605" s="1"/>
      <c r="P3605" s="1"/>
      <c r="Q3605" s="1"/>
    </row>
    <row r="3606" spans="1:17" x14ac:dyDescent="0.25">
      <c r="A3606" s="1" t="s">
        <v>996</v>
      </c>
      <c r="B3606" s="1" t="s">
        <v>25</v>
      </c>
      <c r="C3606" s="1" t="s">
        <v>997</v>
      </c>
      <c r="D3606" s="1" t="s">
        <v>927</v>
      </c>
      <c r="E3606" s="1" t="s">
        <v>998</v>
      </c>
      <c r="F3606" s="1" t="s">
        <v>992</v>
      </c>
      <c r="G3606" s="1" t="s">
        <v>933</v>
      </c>
      <c r="H3606" s="1" t="s">
        <v>994</v>
      </c>
      <c r="I3606" s="1"/>
      <c r="J3606" s="1"/>
      <c r="K3606" s="1"/>
      <c r="L3606" s="1"/>
      <c r="M3606" s="1"/>
      <c r="N3606" s="1"/>
      <c r="O3606" s="1"/>
      <c r="P3606" s="1"/>
      <c r="Q3606" s="1"/>
    </row>
    <row r="3607" spans="1:17" x14ac:dyDescent="0.25">
      <c r="A3607" s="1" t="s">
        <v>996</v>
      </c>
      <c r="B3607" s="1" t="s">
        <v>25</v>
      </c>
      <c r="C3607" s="1" t="s">
        <v>997</v>
      </c>
      <c r="D3607" s="1" t="s">
        <v>927</v>
      </c>
      <c r="E3607" s="1" t="s">
        <v>998</v>
      </c>
      <c r="F3607" s="1" t="s">
        <v>992</v>
      </c>
      <c r="G3607" s="1" t="s">
        <v>933</v>
      </c>
      <c r="H3607" s="1" t="s">
        <v>994</v>
      </c>
      <c r="I3607" s="1" t="s">
        <v>958</v>
      </c>
      <c r="J3607" s="1" t="s">
        <v>10738</v>
      </c>
      <c r="K3607" s="1" t="s">
        <v>993</v>
      </c>
      <c r="L3607" s="1"/>
      <c r="M3607" s="1"/>
      <c r="N3607" s="1"/>
      <c r="O3607" s="1"/>
      <c r="P3607" s="1"/>
      <c r="Q3607" s="1"/>
    </row>
    <row r="3608" spans="1:17" x14ac:dyDescent="0.25">
      <c r="A3608" s="1" t="s">
        <v>996</v>
      </c>
      <c r="B3608" s="1" t="s">
        <v>25</v>
      </c>
      <c r="C3608" s="1" t="s">
        <v>997</v>
      </c>
      <c r="D3608" s="1" t="s">
        <v>927</v>
      </c>
      <c r="E3608" s="1" t="s">
        <v>998</v>
      </c>
      <c r="F3608" s="1" t="s">
        <v>992</v>
      </c>
      <c r="G3608" s="1" t="s">
        <v>933</v>
      </c>
      <c r="H3608" s="1" t="s">
        <v>994</v>
      </c>
      <c r="I3608" s="1"/>
      <c r="J3608" s="1"/>
      <c r="K3608" s="1"/>
      <c r="L3608" s="1"/>
      <c r="M3608" s="1"/>
      <c r="N3608" s="1"/>
      <c r="O3608" s="1"/>
      <c r="P3608" s="1"/>
      <c r="Q3608" s="1"/>
    </row>
    <row r="3609" spans="1:17" x14ac:dyDescent="0.25">
      <c r="A3609" s="1" t="s">
        <v>996</v>
      </c>
      <c r="B3609" s="1" t="s">
        <v>25</v>
      </c>
      <c r="C3609" s="1" t="s">
        <v>997</v>
      </c>
      <c r="D3609" s="1" t="s">
        <v>927</v>
      </c>
      <c r="E3609" s="1" t="s">
        <v>998</v>
      </c>
      <c r="F3609" s="1" t="s">
        <v>992</v>
      </c>
      <c r="G3609" s="1" t="s">
        <v>933</v>
      </c>
      <c r="H3609" s="1" t="s">
        <v>994</v>
      </c>
      <c r="I3609" s="1"/>
      <c r="J3609" s="1"/>
      <c r="K3609" s="1"/>
      <c r="L3609" s="1"/>
      <c r="M3609" s="1"/>
      <c r="N3609" s="1"/>
      <c r="O3609" s="1"/>
      <c r="P3609" s="1"/>
      <c r="Q3609" s="1"/>
    </row>
    <row r="3610" spans="1:17" x14ac:dyDescent="0.25">
      <c r="A3610" s="1" t="s">
        <v>996</v>
      </c>
      <c r="B3610" s="1" t="s">
        <v>25</v>
      </c>
      <c r="C3610" s="1" t="s">
        <v>997</v>
      </c>
      <c r="D3610" s="1" t="s">
        <v>927</v>
      </c>
      <c r="E3610" s="1" t="s">
        <v>998</v>
      </c>
      <c r="F3610" s="1" t="s">
        <v>992</v>
      </c>
      <c r="G3610" s="1" t="s">
        <v>933</v>
      </c>
      <c r="H3610" s="1" t="s">
        <v>994</v>
      </c>
      <c r="I3610" s="1" t="s">
        <v>958</v>
      </c>
      <c r="J3610" s="1" t="s">
        <v>10738</v>
      </c>
      <c r="K3610" s="1" t="s">
        <v>993</v>
      </c>
      <c r="L3610" s="1"/>
      <c r="M3610" s="1"/>
      <c r="N3610" s="1"/>
      <c r="O3610" s="1"/>
      <c r="P3610" s="1"/>
      <c r="Q3610" s="1"/>
    </row>
    <row r="3611" spans="1:17" x14ac:dyDescent="0.25">
      <c r="A3611" s="1" t="s">
        <v>25</v>
      </c>
      <c r="B3611" s="1" t="s">
        <v>998</v>
      </c>
      <c r="C3611" s="1" t="s">
        <v>933</v>
      </c>
      <c r="D3611" s="1" t="s">
        <v>994</v>
      </c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</row>
    <row r="3612" spans="1:17" x14ac:dyDescent="0.25">
      <c r="A3612" s="1" t="s">
        <v>50</v>
      </c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</row>
    <row r="3613" spans="1:17" x14ac:dyDescent="0.25">
      <c r="A3613" s="1" t="s">
        <v>750</v>
      </c>
      <c r="B3613" s="1" t="s">
        <v>840</v>
      </c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85B32-DE26-4E58-90D0-972B90CBA514}">
  <sheetPr codeName="Sheet12"/>
  <dimension ref="A1:B1043"/>
  <sheetViews>
    <sheetView topLeftCell="A115" workbookViewId="0">
      <selection activeCell="A28" sqref="A28"/>
    </sheetView>
  </sheetViews>
  <sheetFormatPr defaultRowHeight="15" x14ac:dyDescent="0.25"/>
  <cols>
    <col min="1" max="1" width="30.5703125" style="4" bestFit="1" customWidth="1"/>
  </cols>
  <sheetData>
    <row r="1" spans="1:2" x14ac:dyDescent="0.25">
      <c r="A1" s="5" t="s">
        <v>1039</v>
      </c>
      <c r="B1">
        <f>COUNTIF(A:A,"afrofuturism")</f>
        <v>1</v>
      </c>
    </row>
    <row r="2" spans="1:2" x14ac:dyDescent="0.25">
      <c r="A2" s="6" t="s">
        <v>1044</v>
      </c>
    </row>
    <row r="3" spans="1:2" x14ac:dyDescent="0.25">
      <c r="A3" s="5" t="s">
        <v>1044</v>
      </c>
    </row>
    <row r="4" spans="1:2" x14ac:dyDescent="0.25">
      <c r="A4" s="6" t="s">
        <v>1001</v>
      </c>
    </row>
    <row r="5" spans="1:2" x14ac:dyDescent="0.25">
      <c r="A5" s="5" t="s">
        <v>1001</v>
      </c>
    </row>
    <row r="6" spans="1:2" x14ac:dyDescent="0.25">
      <c r="A6" s="6" t="s">
        <v>1001</v>
      </c>
    </row>
    <row r="7" spans="1:2" x14ac:dyDescent="0.25">
      <c r="A7" s="5" t="s">
        <v>1001</v>
      </c>
    </row>
    <row r="8" spans="1:2" x14ac:dyDescent="0.25">
      <c r="A8" s="6" t="s">
        <v>1080</v>
      </c>
    </row>
    <row r="9" spans="1:2" x14ac:dyDescent="0.25">
      <c r="A9" s="5" t="s">
        <v>975</v>
      </c>
    </row>
    <row r="10" spans="1:2" x14ac:dyDescent="0.25">
      <c r="A10" s="6" t="s">
        <v>975</v>
      </c>
    </row>
    <row r="11" spans="1:2" x14ac:dyDescent="0.25">
      <c r="A11" s="5" t="s">
        <v>975</v>
      </c>
    </row>
    <row r="12" spans="1:2" x14ac:dyDescent="0.25">
      <c r="A12" s="6" t="s">
        <v>975</v>
      </c>
    </row>
    <row r="13" spans="1:2" x14ac:dyDescent="0.25">
      <c r="A13" s="5" t="s">
        <v>975</v>
      </c>
    </row>
    <row r="14" spans="1:2" x14ac:dyDescent="0.25">
      <c r="A14" s="6" t="s">
        <v>975</v>
      </c>
    </row>
    <row r="15" spans="1:2" x14ac:dyDescent="0.25">
      <c r="A15" s="5" t="s">
        <v>975</v>
      </c>
    </row>
    <row r="16" spans="1:2" x14ac:dyDescent="0.25">
      <c r="A16" s="6" t="s">
        <v>1022</v>
      </c>
    </row>
    <row r="17" spans="1:1" x14ac:dyDescent="0.25">
      <c r="A17" s="5" t="s">
        <v>958</v>
      </c>
    </row>
    <row r="18" spans="1:1" x14ac:dyDescent="0.25">
      <c r="A18" s="6" t="s">
        <v>958</v>
      </c>
    </row>
    <row r="19" spans="1:1" x14ac:dyDescent="0.25">
      <c r="A19" s="5" t="s">
        <v>958</v>
      </c>
    </row>
    <row r="20" spans="1:1" x14ac:dyDescent="0.25">
      <c r="A20" s="6" t="s">
        <v>958</v>
      </c>
    </row>
    <row r="21" spans="1:1" x14ac:dyDescent="0.25">
      <c r="A21" s="5" t="s">
        <v>1023</v>
      </c>
    </row>
    <row r="22" spans="1:1" x14ac:dyDescent="0.25">
      <c r="A22" s="6" t="s">
        <v>925</v>
      </c>
    </row>
    <row r="23" spans="1:1" x14ac:dyDescent="0.25">
      <c r="A23" s="5" t="s">
        <v>925</v>
      </c>
    </row>
    <row r="24" spans="1:1" x14ac:dyDescent="0.25">
      <c r="A24" s="6" t="s">
        <v>925</v>
      </c>
    </row>
    <row r="25" spans="1:1" x14ac:dyDescent="0.25">
      <c r="A25" s="5" t="s">
        <v>925</v>
      </c>
    </row>
    <row r="26" spans="1:1" x14ac:dyDescent="0.25">
      <c r="A26" s="6" t="s">
        <v>925</v>
      </c>
    </row>
    <row r="27" spans="1:1" x14ac:dyDescent="0.25">
      <c r="A27" s="5" t="s">
        <v>941</v>
      </c>
    </row>
    <row r="28" spans="1:1" x14ac:dyDescent="0.25">
      <c r="A28" s="6" t="s">
        <v>941</v>
      </c>
    </row>
    <row r="29" spans="1:1" x14ac:dyDescent="0.25">
      <c r="A29" s="5" t="s">
        <v>941</v>
      </c>
    </row>
    <row r="30" spans="1:1" x14ac:dyDescent="0.25">
      <c r="A30" s="6" t="s">
        <v>941</v>
      </c>
    </row>
    <row r="31" spans="1:1" x14ac:dyDescent="0.25">
      <c r="A31" s="5" t="s">
        <v>1084</v>
      </c>
    </row>
    <row r="32" spans="1:1" x14ac:dyDescent="0.25">
      <c r="A32" s="6" t="s">
        <v>90</v>
      </c>
    </row>
    <row r="33" spans="1:1" x14ac:dyDescent="0.25">
      <c r="A33" s="5" t="s">
        <v>90</v>
      </c>
    </row>
    <row r="34" spans="1:1" x14ac:dyDescent="0.25">
      <c r="A34" s="6" t="s">
        <v>964</v>
      </c>
    </row>
    <row r="35" spans="1:1" x14ac:dyDescent="0.25">
      <c r="A35" s="5" t="s">
        <v>1081</v>
      </c>
    </row>
    <row r="36" spans="1:1" x14ac:dyDescent="0.25">
      <c r="A36" s="6" t="s">
        <v>1081</v>
      </c>
    </row>
    <row r="37" spans="1:1" x14ac:dyDescent="0.25">
      <c r="A37" s="5" t="s">
        <v>1109</v>
      </c>
    </row>
    <row r="38" spans="1:1" x14ac:dyDescent="0.25">
      <c r="A38" s="6" t="s">
        <v>1095</v>
      </c>
    </row>
    <row r="39" spans="1:1" x14ac:dyDescent="0.25">
      <c r="A39" s="5" t="s">
        <v>1088</v>
      </c>
    </row>
    <row r="40" spans="1:1" x14ac:dyDescent="0.25">
      <c r="A40" s="6" t="s">
        <v>1107</v>
      </c>
    </row>
    <row r="41" spans="1:1" x14ac:dyDescent="0.25">
      <c r="A41" s="5" t="s">
        <v>1038</v>
      </c>
    </row>
    <row r="42" spans="1:1" x14ac:dyDescent="0.25">
      <c r="A42" s="6" t="s">
        <v>931</v>
      </c>
    </row>
    <row r="43" spans="1:1" x14ac:dyDescent="0.25">
      <c r="A43" s="5" t="s">
        <v>931</v>
      </c>
    </row>
    <row r="44" spans="1:1" x14ac:dyDescent="0.25">
      <c r="A44" s="6" t="s">
        <v>931</v>
      </c>
    </row>
    <row r="45" spans="1:1" x14ac:dyDescent="0.25">
      <c r="A45" s="5" t="s">
        <v>996</v>
      </c>
    </row>
    <row r="46" spans="1:1" x14ac:dyDescent="0.25">
      <c r="A46" s="6" t="s">
        <v>996</v>
      </c>
    </row>
    <row r="47" spans="1:1" x14ac:dyDescent="0.25">
      <c r="A47" s="5" t="s">
        <v>996</v>
      </c>
    </row>
    <row r="48" spans="1:1" x14ac:dyDescent="0.25">
      <c r="A48" s="6" t="s">
        <v>996</v>
      </c>
    </row>
    <row r="49" spans="1:1" x14ac:dyDescent="0.25">
      <c r="A49" s="5" t="s">
        <v>996</v>
      </c>
    </row>
    <row r="50" spans="1:1" x14ac:dyDescent="0.25">
      <c r="A50" s="6" t="s">
        <v>996</v>
      </c>
    </row>
    <row r="51" spans="1:1" x14ac:dyDescent="0.25">
      <c r="A51" s="5" t="s">
        <v>963</v>
      </c>
    </row>
    <row r="52" spans="1:1" x14ac:dyDescent="0.25">
      <c r="A52" s="6" t="s">
        <v>963</v>
      </c>
    </row>
    <row r="53" spans="1:1" x14ac:dyDescent="0.25">
      <c r="A53" s="5" t="s">
        <v>951</v>
      </c>
    </row>
    <row r="54" spans="1:1" x14ac:dyDescent="0.25">
      <c r="A54" s="6" t="s">
        <v>951</v>
      </c>
    </row>
    <row r="55" spans="1:1" x14ac:dyDescent="0.25">
      <c r="A55" s="5" t="s">
        <v>951</v>
      </c>
    </row>
    <row r="56" spans="1:1" x14ac:dyDescent="0.25">
      <c r="A56" s="6" t="s">
        <v>951</v>
      </c>
    </row>
    <row r="57" spans="1:1" x14ac:dyDescent="0.25">
      <c r="A57" s="5" t="s">
        <v>1007</v>
      </c>
    </row>
    <row r="58" spans="1:1" x14ac:dyDescent="0.25">
      <c r="A58" s="6" t="s">
        <v>1007</v>
      </c>
    </row>
    <row r="59" spans="1:1" x14ac:dyDescent="0.25">
      <c r="A59" s="5" t="s">
        <v>1007</v>
      </c>
    </row>
    <row r="60" spans="1:1" x14ac:dyDescent="0.25">
      <c r="A60" s="6" t="s">
        <v>1007</v>
      </c>
    </row>
    <row r="61" spans="1:1" x14ac:dyDescent="0.25">
      <c r="A61" s="5" t="s">
        <v>1007</v>
      </c>
    </row>
    <row r="62" spans="1:1" x14ac:dyDescent="0.25">
      <c r="A62" s="6" t="s">
        <v>1002</v>
      </c>
    </row>
    <row r="63" spans="1:1" x14ac:dyDescent="0.25">
      <c r="A63" s="5" t="s">
        <v>1002</v>
      </c>
    </row>
    <row r="64" spans="1:1" x14ac:dyDescent="0.25">
      <c r="A64" s="6" t="s">
        <v>934</v>
      </c>
    </row>
    <row r="65" spans="1:1" x14ac:dyDescent="0.25">
      <c r="A65" s="5" t="s">
        <v>934</v>
      </c>
    </row>
    <row r="66" spans="1:1" x14ac:dyDescent="0.25">
      <c r="A66" s="6" t="s">
        <v>934</v>
      </c>
    </row>
    <row r="67" spans="1:1" x14ac:dyDescent="0.25">
      <c r="A67" s="5" t="s">
        <v>934</v>
      </c>
    </row>
    <row r="68" spans="1:1" x14ac:dyDescent="0.25">
      <c r="A68" s="6" t="s">
        <v>934</v>
      </c>
    </row>
    <row r="69" spans="1:1" x14ac:dyDescent="0.25">
      <c r="A69" s="5" t="s">
        <v>934</v>
      </c>
    </row>
    <row r="70" spans="1:1" x14ac:dyDescent="0.25">
      <c r="A70" s="6" t="s">
        <v>934</v>
      </c>
    </row>
    <row r="71" spans="1:1" x14ac:dyDescent="0.25">
      <c r="A71" s="5" t="s">
        <v>934</v>
      </c>
    </row>
    <row r="72" spans="1:1" x14ac:dyDescent="0.25">
      <c r="A72" s="6" t="s">
        <v>934</v>
      </c>
    </row>
    <row r="73" spans="1:1" x14ac:dyDescent="0.25">
      <c r="A73" s="5" t="s">
        <v>934</v>
      </c>
    </row>
    <row r="74" spans="1:1" x14ac:dyDescent="0.25">
      <c r="A74" s="6" t="s">
        <v>1016</v>
      </c>
    </row>
    <row r="75" spans="1:1" x14ac:dyDescent="0.25">
      <c r="A75" s="5" t="s">
        <v>84</v>
      </c>
    </row>
    <row r="76" spans="1:1" x14ac:dyDescent="0.25">
      <c r="A76" s="6" t="s">
        <v>948</v>
      </c>
    </row>
    <row r="77" spans="1:1" x14ac:dyDescent="0.25">
      <c r="A77" s="5" t="s">
        <v>948</v>
      </c>
    </row>
    <row r="78" spans="1:1" x14ac:dyDescent="0.25">
      <c r="A78" s="6" t="s">
        <v>948</v>
      </c>
    </row>
    <row r="79" spans="1:1" x14ac:dyDescent="0.25">
      <c r="A79" s="5" t="s">
        <v>948</v>
      </c>
    </row>
    <row r="80" spans="1:1" x14ac:dyDescent="0.25">
      <c r="A80" s="6" t="s">
        <v>948</v>
      </c>
    </row>
    <row r="81" spans="1:1" x14ac:dyDescent="0.25">
      <c r="A81" s="5" t="s">
        <v>1092</v>
      </c>
    </row>
    <row r="82" spans="1:1" x14ac:dyDescent="0.25">
      <c r="A82" s="6" t="s">
        <v>1030</v>
      </c>
    </row>
    <row r="83" spans="1:1" x14ac:dyDescent="0.25">
      <c r="A83" s="5" t="s">
        <v>1030</v>
      </c>
    </row>
    <row r="84" spans="1:1" x14ac:dyDescent="0.25">
      <c r="A84" s="6" t="s">
        <v>298</v>
      </c>
    </row>
    <row r="85" spans="1:1" x14ac:dyDescent="0.25">
      <c r="A85" s="5" t="s">
        <v>937</v>
      </c>
    </row>
    <row r="86" spans="1:1" x14ac:dyDescent="0.25">
      <c r="A86" s="6" t="s">
        <v>1012</v>
      </c>
    </row>
    <row r="87" spans="1:1" x14ac:dyDescent="0.25">
      <c r="A87" s="5" t="s">
        <v>1013</v>
      </c>
    </row>
    <row r="88" spans="1:1" x14ac:dyDescent="0.25">
      <c r="A88" s="6" t="s">
        <v>1013</v>
      </c>
    </row>
    <row r="89" spans="1:1" x14ac:dyDescent="0.25">
      <c r="A89" s="5" t="s">
        <v>1013</v>
      </c>
    </row>
    <row r="90" spans="1:1" x14ac:dyDescent="0.25">
      <c r="A90" s="6" t="s">
        <v>1013</v>
      </c>
    </row>
    <row r="91" spans="1:1" x14ac:dyDescent="0.25">
      <c r="A91" s="5" t="s">
        <v>926</v>
      </c>
    </row>
    <row r="92" spans="1:1" x14ac:dyDescent="0.25">
      <c r="A92" s="6" t="s">
        <v>926</v>
      </c>
    </row>
    <row r="93" spans="1:1" x14ac:dyDescent="0.25">
      <c r="A93" s="5" t="s">
        <v>1017</v>
      </c>
    </row>
    <row r="94" spans="1:1" x14ac:dyDescent="0.25">
      <c r="A94" s="6" t="s">
        <v>322</v>
      </c>
    </row>
    <row r="95" spans="1:1" x14ac:dyDescent="0.25">
      <c r="A95" s="5" t="s">
        <v>979</v>
      </c>
    </row>
    <row r="96" spans="1:1" x14ac:dyDescent="0.25">
      <c r="A96" s="6" t="s">
        <v>1101</v>
      </c>
    </row>
    <row r="97" spans="1:1" x14ac:dyDescent="0.25">
      <c r="A97" s="5" t="s">
        <v>1064</v>
      </c>
    </row>
    <row r="98" spans="1:1" x14ac:dyDescent="0.25">
      <c r="A98" s="6" t="s">
        <v>281</v>
      </c>
    </row>
    <row r="99" spans="1:1" x14ac:dyDescent="0.25">
      <c r="A99" s="5" t="s">
        <v>1069</v>
      </c>
    </row>
    <row r="100" spans="1:1" x14ac:dyDescent="0.25">
      <c r="A100" s="6" t="s">
        <v>1069</v>
      </c>
    </row>
    <row r="101" spans="1:1" x14ac:dyDescent="0.25">
      <c r="A101" s="5" t="s">
        <v>1069</v>
      </c>
    </row>
    <row r="102" spans="1:1" x14ac:dyDescent="0.25">
      <c r="A102" s="6" t="s">
        <v>918</v>
      </c>
    </row>
    <row r="103" spans="1:1" x14ac:dyDescent="0.25">
      <c r="A103" s="5" t="s">
        <v>918</v>
      </c>
    </row>
    <row r="104" spans="1:1" x14ac:dyDescent="0.25">
      <c r="A104" s="6" t="s">
        <v>918</v>
      </c>
    </row>
    <row r="105" spans="1:1" x14ac:dyDescent="0.25">
      <c r="A105" s="5" t="s">
        <v>918</v>
      </c>
    </row>
    <row r="106" spans="1:1" x14ac:dyDescent="0.25">
      <c r="A106" s="6" t="s">
        <v>918</v>
      </c>
    </row>
    <row r="107" spans="1:1" x14ac:dyDescent="0.25">
      <c r="A107" s="5" t="s">
        <v>918</v>
      </c>
    </row>
    <row r="108" spans="1:1" x14ac:dyDescent="0.25">
      <c r="A108" s="6" t="s">
        <v>918</v>
      </c>
    </row>
    <row r="109" spans="1:1" x14ac:dyDescent="0.25">
      <c r="A109" s="5" t="s">
        <v>918</v>
      </c>
    </row>
    <row r="110" spans="1:1" x14ac:dyDescent="0.25">
      <c r="A110" s="6" t="s">
        <v>918</v>
      </c>
    </row>
    <row r="111" spans="1:1" x14ac:dyDescent="0.25">
      <c r="A111" s="5" t="s">
        <v>918</v>
      </c>
    </row>
    <row r="112" spans="1:1" x14ac:dyDescent="0.25">
      <c r="A112" s="6" t="s">
        <v>918</v>
      </c>
    </row>
    <row r="113" spans="1:1" x14ac:dyDescent="0.25">
      <c r="A113" s="5" t="s">
        <v>918</v>
      </c>
    </row>
    <row r="114" spans="1:1" x14ac:dyDescent="0.25">
      <c r="A114" s="6" t="s">
        <v>918</v>
      </c>
    </row>
    <row r="115" spans="1:1" x14ac:dyDescent="0.25">
      <c r="A115" s="5" t="s">
        <v>918</v>
      </c>
    </row>
    <row r="116" spans="1:1" x14ac:dyDescent="0.25">
      <c r="A116" s="6" t="s">
        <v>918</v>
      </c>
    </row>
    <row r="117" spans="1:1" x14ac:dyDescent="0.25">
      <c r="A117" s="5" t="s">
        <v>918</v>
      </c>
    </row>
    <row r="118" spans="1:1" x14ac:dyDescent="0.25">
      <c r="A118" s="6" t="s">
        <v>918</v>
      </c>
    </row>
    <row r="119" spans="1:1" x14ac:dyDescent="0.25">
      <c r="A119" s="5" t="s">
        <v>918</v>
      </c>
    </row>
    <row r="120" spans="1:1" x14ac:dyDescent="0.25">
      <c r="A120" s="6" t="s">
        <v>918</v>
      </c>
    </row>
    <row r="121" spans="1:1" x14ac:dyDescent="0.25">
      <c r="A121" s="5" t="s">
        <v>918</v>
      </c>
    </row>
    <row r="122" spans="1:1" x14ac:dyDescent="0.25">
      <c r="A122" s="6" t="s">
        <v>918</v>
      </c>
    </row>
    <row r="123" spans="1:1" x14ac:dyDescent="0.25">
      <c r="A123" s="5" t="s">
        <v>918</v>
      </c>
    </row>
    <row r="124" spans="1:1" x14ac:dyDescent="0.25">
      <c r="A124" s="6" t="s">
        <v>918</v>
      </c>
    </row>
    <row r="125" spans="1:1" x14ac:dyDescent="0.25">
      <c r="A125" s="5" t="s">
        <v>918</v>
      </c>
    </row>
    <row r="126" spans="1:1" x14ac:dyDescent="0.25">
      <c r="A126" s="6" t="s">
        <v>918</v>
      </c>
    </row>
    <row r="127" spans="1:1" x14ac:dyDescent="0.25">
      <c r="A127" s="5" t="s">
        <v>918</v>
      </c>
    </row>
    <row r="128" spans="1:1" x14ac:dyDescent="0.25">
      <c r="A128" s="6" t="s">
        <v>918</v>
      </c>
    </row>
    <row r="129" spans="1:1" x14ac:dyDescent="0.25">
      <c r="A129" s="5" t="s">
        <v>918</v>
      </c>
    </row>
    <row r="130" spans="1:1" x14ac:dyDescent="0.25">
      <c r="A130" s="6" t="s">
        <v>918</v>
      </c>
    </row>
    <row r="131" spans="1:1" x14ac:dyDescent="0.25">
      <c r="A131" s="5" t="s">
        <v>918</v>
      </c>
    </row>
    <row r="132" spans="1:1" x14ac:dyDescent="0.25">
      <c r="A132" s="6" t="s">
        <v>918</v>
      </c>
    </row>
    <row r="133" spans="1:1" x14ac:dyDescent="0.25">
      <c r="A133" s="5" t="s">
        <v>918</v>
      </c>
    </row>
    <row r="134" spans="1:1" x14ac:dyDescent="0.25">
      <c r="A134" s="6" t="s">
        <v>918</v>
      </c>
    </row>
    <row r="135" spans="1:1" x14ac:dyDescent="0.25">
      <c r="A135" s="5" t="s">
        <v>918</v>
      </c>
    </row>
    <row r="136" spans="1:1" x14ac:dyDescent="0.25">
      <c r="A136" s="6" t="s">
        <v>918</v>
      </c>
    </row>
    <row r="137" spans="1:1" x14ac:dyDescent="0.25">
      <c r="A137" s="5" t="s">
        <v>918</v>
      </c>
    </row>
    <row r="138" spans="1:1" x14ac:dyDescent="0.25">
      <c r="A138" s="6" t="s">
        <v>918</v>
      </c>
    </row>
    <row r="139" spans="1:1" x14ac:dyDescent="0.25">
      <c r="A139" s="5" t="s">
        <v>918</v>
      </c>
    </row>
    <row r="140" spans="1:1" x14ac:dyDescent="0.25">
      <c r="A140" s="6" t="s">
        <v>918</v>
      </c>
    </row>
    <row r="141" spans="1:1" x14ac:dyDescent="0.25">
      <c r="A141" s="5" t="s">
        <v>918</v>
      </c>
    </row>
    <row r="142" spans="1:1" x14ac:dyDescent="0.25">
      <c r="A142" s="6" t="s">
        <v>918</v>
      </c>
    </row>
    <row r="143" spans="1:1" x14ac:dyDescent="0.25">
      <c r="A143" s="5" t="s">
        <v>918</v>
      </c>
    </row>
    <row r="144" spans="1:1" x14ac:dyDescent="0.25">
      <c r="A144" s="6" t="s">
        <v>918</v>
      </c>
    </row>
    <row r="145" spans="1:1" x14ac:dyDescent="0.25">
      <c r="A145" s="5" t="s">
        <v>918</v>
      </c>
    </row>
    <row r="146" spans="1:1" x14ac:dyDescent="0.25">
      <c r="A146" s="6" t="s">
        <v>918</v>
      </c>
    </row>
    <row r="147" spans="1:1" x14ac:dyDescent="0.25">
      <c r="A147" s="5" t="s">
        <v>918</v>
      </c>
    </row>
    <row r="148" spans="1:1" x14ac:dyDescent="0.25">
      <c r="A148" s="6" t="s">
        <v>918</v>
      </c>
    </row>
    <row r="149" spans="1:1" x14ac:dyDescent="0.25">
      <c r="A149" s="5" t="s">
        <v>918</v>
      </c>
    </row>
    <row r="150" spans="1:1" x14ac:dyDescent="0.25">
      <c r="A150" s="6" t="s">
        <v>918</v>
      </c>
    </row>
    <row r="151" spans="1:1" x14ac:dyDescent="0.25">
      <c r="A151" s="5" t="s">
        <v>918</v>
      </c>
    </row>
    <row r="152" spans="1:1" x14ac:dyDescent="0.25">
      <c r="A152" s="6" t="s">
        <v>918</v>
      </c>
    </row>
    <row r="153" spans="1:1" x14ac:dyDescent="0.25">
      <c r="A153" s="5" t="s">
        <v>918</v>
      </c>
    </row>
    <row r="154" spans="1:1" x14ac:dyDescent="0.25">
      <c r="A154" s="6" t="s">
        <v>918</v>
      </c>
    </row>
    <row r="155" spans="1:1" x14ac:dyDescent="0.25">
      <c r="A155" s="5" t="s">
        <v>918</v>
      </c>
    </row>
    <row r="156" spans="1:1" x14ac:dyDescent="0.25">
      <c r="A156" s="6" t="s">
        <v>918</v>
      </c>
    </row>
    <row r="157" spans="1:1" x14ac:dyDescent="0.25">
      <c r="A157" s="5" t="s">
        <v>918</v>
      </c>
    </row>
    <row r="158" spans="1:1" x14ac:dyDescent="0.25">
      <c r="A158" s="6" t="s">
        <v>918</v>
      </c>
    </row>
    <row r="159" spans="1:1" x14ac:dyDescent="0.25">
      <c r="A159" s="5" t="s">
        <v>918</v>
      </c>
    </row>
    <row r="160" spans="1:1" x14ac:dyDescent="0.25">
      <c r="A160" s="6" t="s">
        <v>918</v>
      </c>
    </row>
    <row r="161" spans="1:1" x14ac:dyDescent="0.25">
      <c r="A161" s="5" t="s">
        <v>918</v>
      </c>
    </row>
    <row r="162" spans="1:1" x14ac:dyDescent="0.25">
      <c r="A162" s="6" t="s">
        <v>918</v>
      </c>
    </row>
    <row r="163" spans="1:1" x14ac:dyDescent="0.25">
      <c r="A163" s="5" t="s">
        <v>918</v>
      </c>
    </row>
    <row r="164" spans="1:1" x14ac:dyDescent="0.25">
      <c r="A164" s="6" t="s">
        <v>918</v>
      </c>
    </row>
    <row r="165" spans="1:1" x14ac:dyDescent="0.25">
      <c r="A165" s="5" t="s">
        <v>1057</v>
      </c>
    </row>
    <row r="166" spans="1:1" x14ac:dyDescent="0.25">
      <c r="A166" s="6" t="s">
        <v>1051</v>
      </c>
    </row>
    <row r="167" spans="1:1" x14ac:dyDescent="0.25">
      <c r="A167" s="5" t="s">
        <v>1051</v>
      </c>
    </row>
    <row r="168" spans="1:1" x14ac:dyDescent="0.25">
      <c r="A168" s="6" t="s">
        <v>971</v>
      </c>
    </row>
    <row r="169" spans="1:1" x14ac:dyDescent="0.25">
      <c r="A169" s="5" t="s">
        <v>932</v>
      </c>
    </row>
    <row r="170" spans="1:1" x14ac:dyDescent="0.25">
      <c r="A170" s="6" t="s">
        <v>932</v>
      </c>
    </row>
    <row r="171" spans="1:1" x14ac:dyDescent="0.25">
      <c r="A171" s="5" t="s">
        <v>932</v>
      </c>
    </row>
    <row r="172" spans="1:1" x14ac:dyDescent="0.25">
      <c r="A172" s="6" t="s">
        <v>932</v>
      </c>
    </row>
    <row r="173" spans="1:1" x14ac:dyDescent="0.25">
      <c r="A173" s="5" t="s">
        <v>940</v>
      </c>
    </row>
    <row r="174" spans="1:1" x14ac:dyDescent="0.25">
      <c r="A174" s="6" t="s">
        <v>940</v>
      </c>
    </row>
    <row r="175" spans="1:1" x14ac:dyDescent="0.25">
      <c r="A175" s="5" t="s">
        <v>940</v>
      </c>
    </row>
    <row r="176" spans="1:1" x14ac:dyDescent="0.25">
      <c r="A176" s="6" t="s">
        <v>1011</v>
      </c>
    </row>
    <row r="177" spans="1:1" x14ac:dyDescent="0.25">
      <c r="A177" s="5" t="s">
        <v>1011</v>
      </c>
    </row>
    <row r="178" spans="1:1" x14ac:dyDescent="0.25">
      <c r="A178" s="6" t="s">
        <v>1082</v>
      </c>
    </row>
    <row r="179" spans="1:1" x14ac:dyDescent="0.25">
      <c r="A179" s="5" t="s">
        <v>1072</v>
      </c>
    </row>
    <row r="180" spans="1:1" x14ac:dyDescent="0.25">
      <c r="A180" s="6" t="s">
        <v>1035</v>
      </c>
    </row>
    <row r="181" spans="1:1" x14ac:dyDescent="0.25">
      <c r="A181" s="5" t="s">
        <v>1035</v>
      </c>
    </row>
    <row r="182" spans="1:1" x14ac:dyDescent="0.25">
      <c r="A182" s="6" t="s">
        <v>1031</v>
      </c>
    </row>
    <row r="183" spans="1:1" x14ac:dyDescent="0.25">
      <c r="A183" s="5" t="s">
        <v>1031</v>
      </c>
    </row>
    <row r="184" spans="1:1" x14ac:dyDescent="0.25">
      <c r="A184" s="6" t="s">
        <v>1031</v>
      </c>
    </row>
    <row r="185" spans="1:1" x14ac:dyDescent="0.25">
      <c r="A185" s="5" t="s">
        <v>1031</v>
      </c>
    </row>
    <row r="186" spans="1:1" x14ac:dyDescent="0.25">
      <c r="A186" s="6" t="s">
        <v>1052</v>
      </c>
    </row>
    <row r="187" spans="1:1" x14ac:dyDescent="0.25">
      <c r="A187" s="5" t="s">
        <v>1052</v>
      </c>
    </row>
    <row r="188" spans="1:1" x14ac:dyDescent="0.25">
      <c r="A188" s="6" t="s">
        <v>949</v>
      </c>
    </row>
    <row r="189" spans="1:1" x14ac:dyDescent="0.25">
      <c r="A189" s="5" t="s">
        <v>949</v>
      </c>
    </row>
    <row r="190" spans="1:1" x14ac:dyDescent="0.25">
      <c r="A190" s="6" t="s">
        <v>949</v>
      </c>
    </row>
    <row r="191" spans="1:1" x14ac:dyDescent="0.25">
      <c r="A191" s="5" t="s">
        <v>949</v>
      </c>
    </row>
    <row r="192" spans="1:1" x14ac:dyDescent="0.25">
      <c r="A192" s="6" t="s">
        <v>1110</v>
      </c>
    </row>
    <row r="193" spans="1:1" x14ac:dyDescent="0.25">
      <c r="A193" s="5" t="s">
        <v>1110</v>
      </c>
    </row>
    <row r="194" spans="1:1" x14ac:dyDescent="0.25">
      <c r="A194" s="6" t="s">
        <v>1090</v>
      </c>
    </row>
    <row r="195" spans="1:1" x14ac:dyDescent="0.25">
      <c r="A195" s="5" t="s">
        <v>1090</v>
      </c>
    </row>
    <row r="196" spans="1:1" x14ac:dyDescent="0.25">
      <c r="A196" s="6" t="s">
        <v>25</v>
      </c>
    </row>
    <row r="197" spans="1:1" x14ac:dyDescent="0.25">
      <c r="A197" s="5" t="s">
        <v>25</v>
      </c>
    </row>
    <row r="198" spans="1:1" x14ac:dyDescent="0.25">
      <c r="A198" s="6" t="s">
        <v>25</v>
      </c>
    </row>
    <row r="199" spans="1:1" x14ac:dyDescent="0.25">
      <c r="A199" s="5" t="s">
        <v>25</v>
      </c>
    </row>
    <row r="200" spans="1:1" x14ac:dyDescent="0.25">
      <c r="A200" s="6" t="s">
        <v>25</v>
      </c>
    </row>
    <row r="201" spans="1:1" x14ac:dyDescent="0.25">
      <c r="A201" s="5" t="s">
        <v>25</v>
      </c>
    </row>
    <row r="202" spans="1:1" x14ac:dyDescent="0.25">
      <c r="A202" s="6" t="s">
        <v>25</v>
      </c>
    </row>
    <row r="203" spans="1:1" x14ac:dyDescent="0.25">
      <c r="A203" s="5" t="s">
        <v>25</v>
      </c>
    </row>
    <row r="204" spans="1:1" x14ac:dyDescent="0.25">
      <c r="A204" s="6" t="s">
        <v>25</v>
      </c>
    </row>
    <row r="205" spans="1:1" x14ac:dyDescent="0.25">
      <c r="A205" s="5" t="s">
        <v>25</v>
      </c>
    </row>
    <row r="206" spans="1:1" x14ac:dyDescent="0.25">
      <c r="A206" s="6" t="s">
        <v>25</v>
      </c>
    </row>
    <row r="207" spans="1:1" x14ac:dyDescent="0.25">
      <c r="A207" s="5" t="s">
        <v>25</v>
      </c>
    </row>
    <row r="208" spans="1:1" x14ac:dyDescent="0.25">
      <c r="A208" s="6" t="s">
        <v>25</v>
      </c>
    </row>
    <row r="209" spans="1:1" x14ac:dyDescent="0.25">
      <c r="A209" s="5" t="s">
        <v>25</v>
      </c>
    </row>
    <row r="210" spans="1:1" x14ac:dyDescent="0.25">
      <c r="A210" s="6" t="s">
        <v>25</v>
      </c>
    </row>
    <row r="211" spans="1:1" x14ac:dyDescent="0.25">
      <c r="A211" s="5" t="s">
        <v>25</v>
      </c>
    </row>
    <row r="212" spans="1:1" x14ac:dyDescent="0.25">
      <c r="A212" s="6" t="s">
        <v>25</v>
      </c>
    </row>
    <row r="213" spans="1:1" x14ac:dyDescent="0.25">
      <c r="A213" s="5" t="s">
        <v>25</v>
      </c>
    </row>
    <row r="214" spans="1:1" x14ac:dyDescent="0.25">
      <c r="A214" s="6" t="s">
        <v>25</v>
      </c>
    </row>
    <row r="215" spans="1:1" x14ac:dyDescent="0.25">
      <c r="A215" s="5" t="s">
        <v>25</v>
      </c>
    </row>
    <row r="216" spans="1:1" x14ac:dyDescent="0.25">
      <c r="A216" s="6" t="s">
        <v>25</v>
      </c>
    </row>
    <row r="217" spans="1:1" x14ac:dyDescent="0.25">
      <c r="A217" s="5" t="s">
        <v>25</v>
      </c>
    </row>
    <row r="218" spans="1:1" x14ac:dyDescent="0.25">
      <c r="A218" s="6" t="s">
        <v>25</v>
      </c>
    </row>
    <row r="219" spans="1:1" x14ac:dyDescent="0.25">
      <c r="A219" s="5" t="s">
        <v>25</v>
      </c>
    </row>
    <row r="220" spans="1:1" x14ac:dyDescent="0.25">
      <c r="A220" s="6" t="s">
        <v>25</v>
      </c>
    </row>
    <row r="221" spans="1:1" x14ac:dyDescent="0.25">
      <c r="A221" s="5" t="s">
        <v>25</v>
      </c>
    </row>
    <row r="222" spans="1:1" x14ac:dyDescent="0.25">
      <c r="A222" s="6" t="s">
        <v>25</v>
      </c>
    </row>
    <row r="223" spans="1:1" x14ac:dyDescent="0.25">
      <c r="A223" s="5" t="s">
        <v>25</v>
      </c>
    </row>
    <row r="224" spans="1:1" x14ac:dyDescent="0.25">
      <c r="A224" s="6" t="s">
        <v>25</v>
      </c>
    </row>
    <row r="225" spans="1:1" x14ac:dyDescent="0.25">
      <c r="A225" s="5" t="s">
        <v>25</v>
      </c>
    </row>
    <row r="226" spans="1:1" x14ac:dyDescent="0.25">
      <c r="A226" s="6" t="s">
        <v>25</v>
      </c>
    </row>
    <row r="227" spans="1:1" x14ac:dyDescent="0.25">
      <c r="A227" s="5" t="s">
        <v>25</v>
      </c>
    </row>
    <row r="228" spans="1:1" x14ac:dyDescent="0.25">
      <c r="A228" s="6" t="s">
        <v>25</v>
      </c>
    </row>
    <row r="229" spans="1:1" x14ac:dyDescent="0.25">
      <c r="A229" s="5" t="s">
        <v>25</v>
      </c>
    </row>
    <row r="230" spans="1:1" x14ac:dyDescent="0.25">
      <c r="A230" s="6" t="s">
        <v>25</v>
      </c>
    </row>
    <row r="231" spans="1:1" x14ac:dyDescent="0.25">
      <c r="A231" s="5" t="s">
        <v>25</v>
      </c>
    </row>
    <row r="232" spans="1:1" x14ac:dyDescent="0.25">
      <c r="A232" s="6" t="s">
        <v>25</v>
      </c>
    </row>
    <row r="233" spans="1:1" x14ac:dyDescent="0.25">
      <c r="A233" s="5" t="s">
        <v>25</v>
      </c>
    </row>
    <row r="234" spans="1:1" x14ac:dyDescent="0.25">
      <c r="A234" s="6" t="s">
        <v>25</v>
      </c>
    </row>
    <row r="235" spans="1:1" x14ac:dyDescent="0.25">
      <c r="A235" s="5" t="s">
        <v>25</v>
      </c>
    </row>
    <row r="236" spans="1:1" x14ac:dyDescent="0.25">
      <c r="A236" s="6" t="s">
        <v>25</v>
      </c>
    </row>
    <row r="237" spans="1:1" x14ac:dyDescent="0.25">
      <c r="A237" s="5" t="s">
        <v>25</v>
      </c>
    </row>
    <row r="238" spans="1:1" x14ac:dyDescent="0.25">
      <c r="A238" s="6" t="s">
        <v>25</v>
      </c>
    </row>
    <row r="239" spans="1:1" x14ac:dyDescent="0.25">
      <c r="A239" s="5" t="s">
        <v>25</v>
      </c>
    </row>
    <row r="240" spans="1:1" x14ac:dyDescent="0.25">
      <c r="A240" s="6" t="s">
        <v>25</v>
      </c>
    </row>
    <row r="241" spans="1:1" x14ac:dyDescent="0.25">
      <c r="A241" s="5" t="s">
        <v>25</v>
      </c>
    </row>
    <row r="242" spans="1:1" x14ac:dyDescent="0.25">
      <c r="A242" s="6" t="s">
        <v>25</v>
      </c>
    </row>
    <row r="243" spans="1:1" x14ac:dyDescent="0.25">
      <c r="A243" s="5" t="s">
        <v>25</v>
      </c>
    </row>
    <row r="244" spans="1:1" x14ac:dyDescent="0.25">
      <c r="A244" s="6" t="s">
        <v>25</v>
      </c>
    </row>
    <row r="245" spans="1:1" x14ac:dyDescent="0.25">
      <c r="A245" s="5" t="s">
        <v>25</v>
      </c>
    </row>
    <row r="246" spans="1:1" x14ac:dyDescent="0.25">
      <c r="A246" s="6" t="s">
        <v>25</v>
      </c>
    </row>
    <row r="247" spans="1:1" x14ac:dyDescent="0.25">
      <c r="A247" s="5" t="s">
        <v>25</v>
      </c>
    </row>
    <row r="248" spans="1:1" x14ac:dyDescent="0.25">
      <c r="A248" s="6" t="s">
        <v>25</v>
      </c>
    </row>
    <row r="249" spans="1:1" x14ac:dyDescent="0.25">
      <c r="A249" s="5" t="s">
        <v>25</v>
      </c>
    </row>
    <row r="250" spans="1:1" x14ac:dyDescent="0.25">
      <c r="A250" s="6" t="s">
        <v>25</v>
      </c>
    </row>
    <row r="251" spans="1:1" x14ac:dyDescent="0.25">
      <c r="A251" s="5" t="s">
        <v>25</v>
      </c>
    </row>
    <row r="252" spans="1:1" x14ac:dyDescent="0.25">
      <c r="A252" s="6" t="s">
        <v>25</v>
      </c>
    </row>
    <row r="253" spans="1:1" x14ac:dyDescent="0.25">
      <c r="A253" s="5" t="s">
        <v>25</v>
      </c>
    </row>
    <row r="254" spans="1:1" x14ac:dyDescent="0.25">
      <c r="A254" s="6" t="s">
        <v>25</v>
      </c>
    </row>
    <row r="255" spans="1:1" x14ac:dyDescent="0.25">
      <c r="A255" s="5" t="s">
        <v>25</v>
      </c>
    </row>
    <row r="256" spans="1:1" x14ac:dyDescent="0.25">
      <c r="A256" s="6" t="s">
        <v>25</v>
      </c>
    </row>
    <row r="257" spans="1:1" x14ac:dyDescent="0.25">
      <c r="A257" s="5" t="s">
        <v>25</v>
      </c>
    </row>
    <row r="258" spans="1:1" x14ac:dyDescent="0.25">
      <c r="A258" s="6" t="s">
        <v>25</v>
      </c>
    </row>
    <row r="259" spans="1:1" x14ac:dyDescent="0.25">
      <c r="A259" s="5" t="s">
        <v>25</v>
      </c>
    </row>
    <row r="260" spans="1:1" x14ac:dyDescent="0.25">
      <c r="A260" s="6" t="s">
        <v>25</v>
      </c>
    </row>
    <row r="261" spans="1:1" x14ac:dyDescent="0.25">
      <c r="A261" s="5" t="s">
        <v>25</v>
      </c>
    </row>
    <row r="262" spans="1:1" x14ac:dyDescent="0.25">
      <c r="A262" s="6" t="s">
        <v>25</v>
      </c>
    </row>
    <row r="263" spans="1:1" x14ac:dyDescent="0.25">
      <c r="A263" s="5" t="s">
        <v>25</v>
      </c>
    </row>
    <row r="264" spans="1:1" x14ac:dyDescent="0.25">
      <c r="A264" s="6" t="s">
        <v>25</v>
      </c>
    </row>
    <row r="265" spans="1:1" x14ac:dyDescent="0.25">
      <c r="A265" s="5" t="s">
        <v>25</v>
      </c>
    </row>
    <row r="266" spans="1:1" x14ac:dyDescent="0.25">
      <c r="A266" s="6" t="s">
        <v>25</v>
      </c>
    </row>
    <row r="267" spans="1:1" x14ac:dyDescent="0.25">
      <c r="A267" s="5" t="s">
        <v>25</v>
      </c>
    </row>
    <row r="268" spans="1:1" x14ac:dyDescent="0.25">
      <c r="A268" s="6" t="s">
        <v>1070</v>
      </c>
    </row>
    <row r="269" spans="1:1" x14ac:dyDescent="0.25">
      <c r="A269" s="5" t="s">
        <v>1070</v>
      </c>
    </row>
    <row r="270" spans="1:1" x14ac:dyDescent="0.25">
      <c r="A270" s="6" t="s">
        <v>1070</v>
      </c>
    </row>
    <row r="271" spans="1:1" x14ac:dyDescent="0.25">
      <c r="A271" s="5" t="s">
        <v>923</v>
      </c>
    </row>
    <row r="272" spans="1:1" x14ac:dyDescent="0.25">
      <c r="A272" s="6" t="s">
        <v>923</v>
      </c>
    </row>
    <row r="273" spans="1:1" x14ac:dyDescent="0.25">
      <c r="A273" s="5" t="s">
        <v>923</v>
      </c>
    </row>
    <row r="274" spans="1:1" x14ac:dyDescent="0.25">
      <c r="A274" s="6" t="s">
        <v>923</v>
      </c>
    </row>
    <row r="275" spans="1:1" x14ac:dyDescent="0.25">
      <c r="A275" s="5" t="s">
        <v>923</v>
      </c>
    </row>
    <row r="276" spans="1:1" x14ac:dyDescent="0.25">
      <c r="A276" s="6" t="s">
        <v>923</v>
      </c>
    </row>
    <row r="277" spans="1:1" x14ac:dyDescent="0.25">
      <c r="A277" s="5" t="s">
        <v>923</v>
      </c>
    </row>
    <row r="278" spans="1:1" x14ac:dyDescent="0.25">
      <c r="A278" s="6" t="s">
        <v>923</v>
      </c>
    </row>
    <row r="279" spans="1:1" x14ac:dyDescent="0.25">
      <c r="A279" s="5" t="s">
        <v>923</v>
      </c>
    </row>
    <row r="280" spans="1:1" x14ac:dyDescent="0.25">
      <c r="A280" s="6" t="s">
        <v>923</v>
      </c>
    </row>
    <row r="281" spans="1:1" x14ac:dyDescent="0.25">
      <c r="A281" s="5" t="s">
        <v>923</v>
      </c>
    </row>
    <row r="282" spans="1:1" x14ac:dyDescent="0.25">
      <c r="A282" s="6" t="s">
        <v>923</v>
      </c>
    </row>
    <row r="283" spans="1:1" x14ac:dyDescent="0.25">
      <c r="A283" s="5" t="s">
        <v>923</v>
      </c>
    </row>
    <row r="284" spans="1:1" x14ac:dyDescent="0.25">
      <c r="A284" s="6" t="s">
        <v>923</v>
      </c>
    </row>
    <row r="285" spans="1:1" x14ac:dyDescent="0.25">
      <c r="A285" s="5" t="s">
        <v>923</v>
      </c>
    </row>
    <row r="286" spans="1:1" x14ac:dyDescent="0.25">
      <c r="A286" s="6" t="s">
        <v>923</v>
      </c>
    </row>
    <row r="287" spans="1:1" x14ac:dyDescent="0.25">
      <c r="A287" s="5" t="s">
        <v>923</v>
      </c>
    </row>
    <row r="288" spans="1:1" x14ac:dyDescent="0.25">
      <c r="A288" s="6" t="s">
        <v>923</v>
      </c>
    </row>
    <row r="289" spans="1:1" x14ac:dyDescent="0.25">
      <c r="A289" s="5" t="s">
        <v>923</v>
      </c>
    </row>
    <row r="290" spans="1:1" x14ac:dyDescent="0.25">
      <c r="A290" s="6" t="s">
        <v>923</v>
      </c>
    </row>
    <row r="291" spans="1:1" x14ac:dyDescent="0.25">
      <c r="A291" s="5" t="s">
        <v>923</v>
      </c>
    </row>
    <row r="292" spans="1:1" x14ac:dyDescent="0.25">
      <c r="A292" s="6" t="s">
        <v>923</v>
      </c>
    </row>
    <row r="293" spans="1:1" x14ac:dyDescent="0.25">
      <c r="A293" s="5" t="s">
        <v>923</v>
      </c>
    </row>
    <row r="294" spans="1:1" x14ac:dyDescent="0.25">
      <c r="A294" s="6" t="s">
        <v>923</v>
      </c>
    </row>
    <row r="295" spans="1:1" x14ac:dyDescent="0.25">
      <c r="A295" s="5" t="s">
        <v>923</v>
      </c>
    </row>
    <row r="296" spans="1:1" x14ac:dyDescent="0.25">
      <c r="A296" s="6" t="s">
        <v>923</v>
      </c>
    </row>
    <row r="297" spans="1:1" x14ac:dyDescent="0.25">
      <c r="A297" s="5" t="s">
        <v>923</v>
      </c>
    </row>
    <row r="298" spans="1:1" x14ac:dyDescent="0.25">
      <c r="A298" s="6" t="s">
        <v>923</v>
      </c>
    </row>
    <row r="299" spans="1:1" x14ac:dyDescent="0.25">
      <c r="A299" s="5" t="s">
        <v>923</v>
      </c>
    </row>
    <row r="300" spans="1:1" x14ac:dyDescent="0.25">
      <c r="A300" s="6" t="s">
        <v>923</v>
      </c>
    </row>
    <row r="301" spans="1:1" x14ac:dyDescent="0.25">
      <c r="A301" s="5" t="s">
        <v>923</v>
      </c>
    </row>
    <row r="302" spans="1:1" x14ac:dyDescent="0.25">
      <c r="A302" s="6" t="s">
        <v>923</v>
      </c>
    </row>
    <row r="303" spans="1:1" x14ac:dyDescent="0.25">
      <c r="A303" s="5" t="s">
        <v>923</v>
      </c>
    </row>
    <row r="304" spans="1:1" x14ac:dyDescent="0.25">
      <c r="A304" s="6" t="s">
        <v>923</v>
      </c>
    </row>
    <row r="305" spans="1:1" x14ac:dyDescent="0.25">
      <c r="A305" s="5" t="s">
        <v>923</v>
      </c>
    </row>
    <row r="306" spans="1:1" x14ac:dyDescent="0.25">
      <c r="A306" s="6" t="s">
        <v>923</v>
      </c>
    </row>
    <row r="307" spans="1:1" x14ac:dyDescent="0.25">
      <c r="A307" s="5" t="s">
        <v>923</v>
      </c>
    </row>
    <row r="308" spans="1:1" x14ac:dyDescent="0.25">
      <c r="A308" s="6" t="s">
        <v>923</v>
      </c>
    </row>
    <row r="309" spans="1:1" x14ac:dyDescent="0.25">
      <c r="A309" s="5" t="s">
        <v>923</v>
      </c>
    </row>
    <row r="310" spans="1:1" x14ac:dyDescent="0.25">
      <c r="A310" s="6" t="s">
        <v>923</v>
      </c>
    </row>
    <row r="311" spans="1:1" x14ac:dyDescent="0.25">
      <c r="A311" s="5" t="s">
        <v>923</v>
      </c>
    </row>
    <row r="312" spans="1:1" x14ac:dyDescent="0.25">
      <c r="A312" s="6" t="s">
        <v>1111</v>
      </c>
    </row>
    <row r="313" spans="1:1" x14ac:dyDescent="0.25">
      <c r="A313" s="5" t="s">
        <v>997</v>
      </c>
    </row>
    <row r="314" spans="1:1" x14ac:dyDescent="0.25">
      <c r="A314" s="6" t="s">
        <v>997</v>
      </c>
    </row>
    <row r="315" spans="1:1" x14ac:dyDescent="0.25">
      <c r="A315" s="5" t="s">
        <v>997</v>
      </c>
    </row>
    <row r="316" spans="1:1" x14ac:dyDescent="0.25">
      <c r="A316" s="6" t="s">
        <v>997</v>
      </c>
    </row>
    <row r="317" spans="1:1" x14ac:dyDescent="0.25">
      <c r="A317" s="5" t="s">
        <v>1058</v>
      </c>
    </row>
    <row r="318" spans="1:1" x14ac:dyDescent="0.25">
      <c r="A318" s="6" t="s">
        <v>927</v>
      </c>
    </row>
    <row r="319" spans="1:1" x14ac:dyDescent="0.25">
      <c r="A319" s="5" t="s">
        <v>927</v>
      </c>
    </row>
    <row r="320" spans="1:1" x14ac:dyDescent="0.25">
      <c r="A320" s="6" t="s">
        <v>927</v>
      </c>
    </row>
    <row r="321" spans="1:1" x14ac:dyDescent="0.25">
      <c r="A321" s="5" t="s">
        <v>927</v>
      </c>
    </row>
    <row r="322" spans="1:1" x14ac:dyDescent="0.25">
      <c r="A322" s="6" t="s">
        <v>927</v>
      </c>
    </row>
    <row r="323" spans="1:1" x14ac:dyDescent="0.25">
      <c r="A323" s="5" t="s">
        <v>927</v>
      </c>
    </row>
    <row r="324" spans="1:1" x14ac:dyDescent="0.25">
      <c r="A324" s="6" t="s">
        <v>927</v>
      </c>
    </row>
    <row r="325" spans="1:1" x14ac:dyDescent="0.25">
      <c r="A325" s="5" t="s">
        <v>927</v>
      </c>
    </row>
    <row r="326" spans="1:1" x14ac:dyDescent="0.25">
      <c r="A326" s="6" t="s">
        <v>927</v>
      </c>
    </row>
    <row r="327" spans="1:1" x14ac:dyDescent="0.25">
      <c r="A327" s="5" t="s">
        <v>927</v>
      </c>
    </row>
    <row r="328" spans="1:1" x14ac:dyDescent="0.25">
      <c r="A328" s="6" t="s">
        <v>927</v>
      </c>
    </row>
    <row r="329" spans="1:1" x14ac:dyDescent="0.25">
      <c r="A329" s="5" t="s">
        <v>927</v>
      </c>
    </row>
    <row r="330" spans="1:1" x14ac:dyDescent="0.25">
      <c r="A330" s="6" t="s">
        <v>927</v>
      </c>
    </row>
    <row r="331" spans="1:1" x14ac:dyDescent="0.25">
      <c r="A331" s="5" t="s">
        <v>927</v>
      </c>
    </row>
    <row r="332" spans="1:1" x14ac:dyDescent="0.25">
      <c r="A332" s="6" t="s">
        <v>927</v>
      </c>
    </row>
    <row r="333" spans="1:1" x14ac:dyDescent="0.25">
      <c r="A333" s="5" t="s">
        <v>927</v>
      </c>
    </row>
    <row r="334" spans="1:1" x14ac:dyDescent="0.25">
      <c r="A334" s="6" t="s">
        <v>927</v>
      </c>
    </row>
    <row r="335" spans="1:1" x14ac:dyDescent="0.25">
      <c r="A335" s="5" t="s">
        <v>1077</v>
      </c>
    </row>
    <row r="336" spans="1:1" x14ac:dyDescent="0.25">
      <c r="A336" s="6" t="s">
        <v>985</v>
      </c>
    </row>
    <row r="337" spans="1:1" x14ac:dyDescent="0.25">
      <c r="A337" s="5" t="s">
        <v>985</v>
      </c>
    </row>
    <row r="338" spans="1:1" x14ac:dyDescent="0.25">
      <c r="A338" s="6" t="s">
        <v>985</v>
      </c>
    </row>
    <row r="339" spans="1:1" x14ac:dyDescent="0.25">
      <c r="A339" s="5" t="s">
        <v>953</v>
      </c>
    </row>
    <row r="340" spans="1:1" x14ac:dyDescent="0.25">
      <c r="A340" s="6" t="s">
        <v>953</v>
      </c>
    </row>
    <row r="341" spans="1:1" x14ac:dyDescent="0.25">
      <c r="A341" s="5" t="s">
        <v>1056</v>
      </c>
    </row>
    <row r="342" spans="1:1" x14ac:dyDescent="0.25">
      <c r="A342" s="6" t="s">
        <v>976</v>
      </c>
    </row>
    <row r="343" spans="1:1" x14ac:dyDescent="0.25">
      <c r="A343" s="5" t="s">
        <v>976</v>
      </c>
    </row>
    <row r="344" spans="1:1" x14ac:dyDescent="0.25">
      <c r="A344" s="6" t="s">
        <v>976</v>
      </c>
    </row>
    <row r="345" spans="1:1" x14ac:dyDescent="0.25">
      <c r="A345" s="5" t="s">
        <v>976</v>
      </c>
    </row>
    <row r="346" spans="1:1" x14ac:dyDescent="0.25">
      <c r="A346" s="6" t="s">
        <v>976</v>
      </c>
    </row>
    <row r="347" spans="1:1" x14ac:dyDescent="0.25">
      <c r="A347" s="5" t="s">
        <v>976</v>
      </c>
    </row>
    <row r="348" spans="1:1" x14ac:dyDescent="0.25">
      <c r="A348" s="6" t="s">
        <v>976</v>
      </c>
    </row>
    <row r="349" spans="1:1" x14ac:dyDescent="0.25">
      <c r="A349" s="5" t="s">
        <v>976</v>
      </c>
    </row>
    <row r="350" spans="1:1" x14ac:dyDescent="0.25">
      <c r="A350" s="6" t="s">
        <v>1074</v>
      </c>
    </row>
    <row r="351" spans="1:1" x14ac:dyDescent="0.25">
      <c r="A351" s="5" t="s">
        <v>1061</v>
      </c>
    </row>
    <row r="352" spans="1:1" x14ac:dyDescent="0.25">
      <c r="A352" s="6" t="s">
        <v>1045</v>
      </c>
    </row>
    <row r="353" spans="1:1" x14ac:dyDescent="0.25">
      <c r="A353" s="5" t="s">
        <v>1004</v>
      </c>
    </row>
    <row r="354" spans="1:1" x14ac:dyDescent="0.25">
      <c r="A354" s="6" t="s">
        <v>1004</v>
      </c>
    </row>
    <row r="355" spans="1:1" x14ac:dyDescent="0.25">
      <c r="A355" s="5" t="s">
        <v>1004</v>
      </c>
    </row>
    <row r="356" spans="1:1" x14ac:dyDescent="0.25">
      <c r="A356" s="6" t="s">
        <v>1004</v>
      </c>
    </row>
    <row r="357" spans="1:1" x14ac:dyDescent="0.25">
      <c r="A357" s="5" t="s">
        <v>1004</v>
      </c>
    </row>
    <row r="358" spans="1:1" x14ac:dyDescent="0.25">
      <c r="A358" s="6" t="s">
        <v>1004</v>
      </c>
    </row>
    <row r="359" spans="1:1" x14ac:dyDescent="0.25">
      <c r="A359" s="5" t="s">
        <v>1004</v>
      </c>
    </row>
    <row r="360" spans="1:1" x14ac:dyDescent="0.25">
      <c r="A360" s="6" t="s">
        <v>1004</v>
      </c>
    </row>
    <row r="361" spans="1:1" x14ac:dyDescent="0.25">
      <c r="A361" s="5" t="s">
        <v>1004</v>
      </c>
    </row>
    <row r="362" spans="1:1" x14ac:dyDescent="0.25">
      <c r="A362" s="6" t="s">
        <v>1004</v>
      </c>
    </row>
    <row r="363" spans="1:1" x14ac:dyDescent="0.25">
      <c r="A363" s="5" t="s">
        <v>1004</v>
      </c>
    </row>
    <row r="364" spans="1:1" x14ac:dyDescent="0.25">
      <c r="A364" s="6" t="s">
        <v>1004</v>
      </c>
    </row>
    <row r="365" spans="1:1" x14ac:dyDescent="0.25">
      <c r="A365" s="5" t="s">
        <v>1004</v>
      </c>
    </row>
    <row r="366" spans="1:1" x14ac:dyDescent="0.25">
      <c r="A366" s="6" t="s">
        <v>1004</v>
      </c>
    </row>
    <row r="367" spans="1:1" x14ac:dyDescent="0.25">
      <c r="A367" s="5" t="s">
        <v>1004</v>
      </c>
    </row>
    <row r="368" spans="1:1" x14ac:dyDescent="0.25">
      <c r="A368" s="6" t="s">
        <v>1041</v>
      </c>
    </row>
    <row r="369" spans="1:1" x14ac:dyDescent="0.25">
      <c r="A369" s="5" t="s">
        <v>1041</v>
      </c>
    </row>
    <row r="370" spans="1:1" x14ac:dyDescent="0.25">
      <c r="A370" s="6" t="s">
        <v>1041</v>
      </c>
    </row>
    <row r="371" spans="1:1" x14ac:dyDescent="0.25">
      <c r="A371" s="5" t="s">
        <v>1041</v>
      </c>
    </row>
    <row r="372" spans="1:1" x14ac:dyDescent="0.25">
      <c r="A372" s="6" t="s">
        <v>1041</v>
      </c>
    </row>
    <row r="373" spans="1:1" x14ac:dyDescent="0.25">
      <c r="A373" s="5" t="s">
        <v>1041</v>
      </c>
    </row>
    <row r="374" spans="1:1" x14ac:dyDescent="0.25">
      <c r="A374" s="6" t="s">
        <v>1087</v>
      </c>
    </row>
    <row r="375" spans="1:1" x14ac:dyDescent="0.25">
      <c r="A375" s="5" t="s">
        <v>1087</v>
      </c>
    </row>
    <row r="376" spans="1:1" x14ac:dyDescent="0.25">
      <c r="A376" s="6" t="s">
        <v>1087</v>
      </c>
    </row>
    <row r="377" spans="1:1" x14ac:dyDescent="0.25">
      <c r="A377" s="5" t="s">
        <v>1042</v>
      </c>
    </row>
    <row r="378" spans="1:1" x14ac:dyDescent="0.25">
      <c r="A378" s="6" t="s">
        <v>1042</v>
      </c>
    </row>
    <row r="379" spans="1:1" x14ac:dyDescent="0.25">
      <c r="A379" s="5" t="s">
        <v>1042</v>
      </c>
    </row>
    <row r="380" spans="1:1" x14ac:dyDescent="0.25">
      <c r="A380" s="6" t="s">
        <v>176</v>
      </c>
    </row>
    <row r="381" spans="1:1" x14ac:dyDescent="0.25">
      <c r="A381" s="5" t="s">
        <v>1091</v>
      </c>
    </row>
    <row r="382" spans="1:1" x14ac:dyDescent="0.25">
      <c r="A382" s="6" t="s">
        <v>1102</v>
      </c>
    </row>
    <row r="383" spans="1:1" x14ac:dyDescent="0.25">
      <c r="A383" s="5" t="s">
        <v>1024</v>
      </c>
    </row>
    <row r="384" spans="1:1" x14ac:dyDescent="0.25">
      <c r="A384" s="6" t="s">
        <v>1025</v>
      </c>
    </row>
    <row r="385" spans="1:1" x14ac:dyDescent="0.25">
      <c r="A385" s="5" t="s">
        <v>998</v>
      </c>
    </row>
    <row r="386" spans="1:1" x14ac:dyDescent="0.25">
      <c r="A386" s="6" t="s">
        <v>998</v>
      </c>
    </row>
    <row r="387" spans="1:1" x14ac:dyDescent="0.25">
      <c r="A387" s="5" t="s">
        <v>998</v>
      </c>
    </row>
    <row r="388" spans="1:1" x14ac:dyDescent="0.25">
      <c r="A388" s="6" t="s">
        <v>998</v>
      </c>
    </row>
    <row r="389" spans="1:1" x14ac:dyDescent="0.25">
      <c r="A389" s="5" t="s">
        <v>998</v>
      </c>
    </row>
    <row r="390" spans="1:1" x14ac:dyDescent="0.25">
      <c r="A390" s="6" t="s">
        <v>998</v>
      </c>
    </row>
    <row r="391" spans="1:1" x14ac:dyDescent="0.25">
      <c r="A391" s="5" t="s">
        <v>973</v>
      </c>
    </row>
    <row r="392" spans="1:1" x14ac:dyDescent="0.25">
      <c r="A392" s="6" t="s">
        <v>973</v>
      </c>
    </row>
    <row r="393" spans="1:1" x14ac:dyDescent="0.25">
      <c r="A393" s="5" t="s">
        <v>1053</v>
      </c>
    </row>
    <row r="394" spans="1:1" x14ac:dyDescent="0.25">
      <c r="A394" s="6" t="s">
        <v>1053</v>
      </c>
    </row>
    <row r="395" spans="1:1" x14ac:dyDescent="0.25">
      <c r="A395" s="5" t="s">
        <v>1053</v>
      </c>
    </row>
    <row r="396" spans="1:1" x14ac:dyDescent="0.25">
      <c r="A396" s="6" t="s">
        <v>1085</v>
      </c>
    </row>
    <row r="397" spans="1:1" x14ac:dyDescent="0.25">
      <c r="A397" s="5" t="s">
        <v>987</v>
      </c>
    </row>
    <row r="398" spans="1:1" x14ac:dyDescent="0.25">
      <c r="A398" s="6" t="s">
        <v>4</v>
      </c>
    </row>
    <row r="399" spans="1:1" x14ac:dyDescent="0.25">
      <c r="A399" s="5" t="s">
        <v>947</v>
      </c>
    </row>
    <row r="400" spans="1:1" x14ac:dyDescent="0.25">
      <c r="A400" s="6" t="s">
        <v>947</v>
      </c>
    </row>
    <row r="401" spans="1:1" x14ac:dyDescent="0.25">
      <c r="A401" s="5" t="s">
        <v>947</v>
      </c>
    </row>
    <row r="402" spans="1:1" x14ac:dyDescent="0.25">
      <c r="A402" s="6" t="s">
        <v>1089</v>
      </c>
    </row>
    <row r="403" spans="1:1" x14ac:dyDescent="0.25">
      <c r="A403" s="5" t="s">
        <v>1003</v>
      </c>
    </row>
    <row r="404" spans="1:1" x14ac:dyDescent="0.25">
      <c r="A404" s="6" t="s">
        <v>942</v>
      </c>
    </row>
    <row r="405" spans="1:1" x14ac:dyDescent="0.25">
      <c r="A405" s="5" t="s">
        <v>938</v>
      </c>
    </row>
    <row r="406" spans="1:1" x14ac:dyDescent="0.25">
      <c r="A406" s="6" t="s">
        <v>955</v>
      </c>
    </row>
    <row r="407" spans="1:1" x14ac:dyDescent="0.25">
      <c r="A407" s="5" t="s">
        <v>955</v>
      </c>
    </row>
    <row r="408" spans="1:1" x14ac:dyDescent="0.25">
      <c r="A408" s="6" t="s">
        <v>955</v>
      </c>
    </row>
    <row r="409" spans="1:1" x14ac:dyDescent="0.25">
      <c r="A409" s="5" t="s">
        <v>955</v>
      </c>
    </row>
    <row r="410" spans="1:1" x14ac:dyDescent="0.25">
      <c r="A410" s="6" t="s">
        <v>955</v>
      </c>
    </row>
    <row r="411" spans="1:1" x14ac:dyDescent="0.25">
      <c r="A411" s="5" t="s">
        <v>955</v>
      </c>
    </row>
    <row r="412" spans="1:1" x14ac:dyDescent="0.25">
      <c r="A412" s="6" t="s">
        <v>955</v>
      </c>
    </row>
    <row r="413" spans="1:1" x14ac:dyDescent="0.25">
      <c r="A413" s="5" t="s">
        <v>955</v>
      </c>
    </row>
    <row r="414" spans="1:1" x14ac:dyDescent="0.25">
      <c r="A414" s="6" t="s">
        <v>955</v>
      </c>
    </row>
    <row r="415" spans="1:1" x14ac:dyDescent="0.25">
      <c r="A415" s="5" t="s">
        <v>1032</v>
      </c>
    </row>
    <row r="416" spans="1:1" x14ac:dyDescent="0.25">
      <c r="A416" s="6" t="s">
        <v>943</v>
      </c>
    </row>
    <row r="417" spans="1:1" x14ac:dyDescent="0.25">
      <c r="A417" s="5" t="s">
        <v>943</v>
      </c>
    </row>
    <row r="418" spans="1:1" x14ac:dyDescent="0.25">
      <c r="A418" s="6" t="s">
        <v>916</v>
      </c>
    </row>
    <row r="419" spans="1:1" x14ac:dyDescent="0.25">
      <c r="A419" s="5" t="s">
        <v>916</v>
      </c>
    </row>
    <row r="420" spans="1:1" x14ac:dyDescent="0.25">
      <c r="A420" s="6" t="s">
        <v>916</v>
      </c>
    </row>
    <row r="421" spans="1:1" x14ac:dyDescent="0.25">
      <c r="A421" s="5" t="s">
        <v>916</v>
      </c>
    </row>
    <row r="422" spans="1:1" x14ac:dyDescent="0.25">
      <c r="A422" s="6" t="s">
        <v>916</v>
      </c>
    </row>
    <row r="423" spans="1:1" x14ac:dyDescent="0.25">
      <c r="A423" s="5" t="s">
        <v>916</v>
      </c>
    </row>
    <row r="424" spans="1:1" x14ac:dyDescent="0.25">
      <c r="A424" s="6" t="s">
        <v>916</v>
      </c>
    </row>
    <row r="425" spans="1:1" x14ac:dyDescent="0.25">
      <c r="A425" s="5" t="s">
        <v>916</v>
      </c>
    </row>
    <row r="426" spans="1:1" x14ac:dyDescent="0.25">
      <c r="A426" s="6" t="s">
        <v>916</v>
      </c>
    </row>
    <row r="427" spans="1:1" x14ac:dyDescent="0.25">
      <c r="A427" s="5" t="s">
        <v>916</v>
      </c>
    </row>
    <row r="428" spans="1:1" x14ac:dyDescent="0.25">
      <c r="A428" s="6" t="s">
        <v>916</v>
      </c>
    </row>
    <row r="429" spans="1:1" x14ac:dyDescent="0.25">
      <c r="A429" s="5" t="s">
        <v>916</v>
      </c>
    </row>
    <row r="430" spans="1:1" x14ac:dyDescent="0.25">
      <c r="A430" s="6" t="s">
        <v>916</v>
      </c>
    </row>
    <row r="431" spans="1:1" x14ac:dyDescent="0.25">
      <c r="A431" s="5" t="s">
        <v>916</v>
      </c>
    </row>
    <row r="432" spans="1:1" x14ac:dyDescent="0.25">
      <c r="A432" s="6" t="s">
        <v>916</v>
      </c>
    </row>
    <row r="433" spans="1:1" x14ac:dyDescent="0.25">
      <c r="A433" s="5" t="s">
        <v>916</v>
      </c>
    </row>
    <row r="434" spans="1:1" x14ac:dyDescent="0.25">
      <c r="A434" s="6" t="s">
        <v>916</v>
      </c>
    </row>
    <row r="435" spans="1:1" x14ac:dyDescent="0.25">
      <c r="A435" s="5" t="s">
        <v>916</v>
      </c>
    </row>
    <row r="436" spans="1:1" x14ac:dyDescent="0.25">
      <c r="A436" s="6" t="s">
        <v>916</v>
      </c>
    </row>
    <row r="437" spans="1:1" x14ac:dyDescent="0.25">
      <c r="A437" s="5" t="s">
        <v>916</v>
      </c>
    </row>
    <row r="438" spans="1:1" x14ac:dyDescent="0.25">
      <c r="A438" s="6" t="s">
        <v>916</v>
      </c>
    </row>
    <row r="439" spans="1:1" x14ac:dyDescent="0.25">
      <c r="A439" s="5" t="s">
        <v>916</v>
      </c>
    </row>
    <row r="440" spans="1:1" x14ac:dyDescent="0.25">
      <c r="A440" s="6" t="s">
        <v>916</v>
      </c>
    </row>
    <row r="441" spans="1:1" x14ac:dyDescent="0.25">
      <c r="A441" s="5" t="s">
        <v>916</v>
      </c>
    </row>
    <row r="442" spans="1:1" x14ac:dyDescent="0.25">
      <c r="A442" s="6" t="s">
        <v>916</v>
      </c>
    </row>
    <row r="443" spans="1:1" x14ac:dyDescent="0.25">
      <c r="A443" s="5" t="s">
        <v>916</v>
      </c>
    </row>
    <row r="444" spans="1:1" x14ac:dyDescent="0.25">
      <c r="A444" s="6" t="s">
        <v>916</v>
      </c>
    </row>
    <row r="445" spans="1:1" x14ac:dyDescent="0.25">
      <c r="A445" s="5" t="s">
        <v>992</v>
      </c>
    </row>
    <row r="446" spans="1:1" x14ac:dyDescent="0.25">
      <c r="A446" s="6" t="s">
        <v>992</v>
      </c>
    </row>
    <row r="447" spans="1:1" x14ac:dyDescent="0.25">
      <c r="A447" s="5" t="s">
        <v>992</v>
      </c>
    </row>
    <row r="448" spans="1:1" x14ac:dyDescent="0.25">
      <c r="A448" s="6" t="s">
        <v>992</v>
      </c>
    </row>
    <row r="449" spans="1:1" x14ac:dyDescent="0.25">
      <c r="A449" s="5" t="s">
        <v>992</v>
      </c>
    </row>
    <row r="450" spans="1:1" x14ac:dyDescent="0.25">
      <c r="A450" s="6" t="s">
        <v>992</v>
      </c>
    </row>
    <row r="451" spans="1:1" x14ac:dyDescent="0.25">
      <c r="A451" s="5" t="s">
        <v>981</v>
      </c>
    </row>
    <row r="452" spans="1:1" x14ac:dyDescent="0.25">
      <c r="A452" s="6" t="s">
        <v>981</v>
      </c>
    </row>
    <row r="453" spans="1:1" x14ac:dyDescent="0.25">
      <c r="A453" s="5" t="s">
        <v>981</v>
      </c>
    </row>
    <row r="454" spans="1:1" x14ac:dyDescent="0.25">
      <c r="A454" s="6" t="s">
        <v>981</v>
      </c>
    </row>
    <row r="455" spans="1:1" x14ac:dyDescent="0.25">
      <c r="A455" s="5" t="s">
        <v>981</v>
      </c>
    </row>
    <row r="456" spans="1:1" x14ac:dyDescent="0.25">
      <c r="A456" s="6" t="s">
        <v>981</v>
      </c>
    </row>
    <row r="457" spans="1:1" x14ac:dyDescent="0.25">
      <c r="A457" s="5" t="s">
        <v>981</v>
      </c>
    </row>
    <row r="458" spans="1:1" x14ac:dyDescent="0.25">
      <c r="A458" s="6" t="s">
        <v>981</v>
      </c>
    </row>
    <row r="459" spans="1:1" x14ac:dyDescent="0.25">
      <c r="A459" s="5" t="s">
        <v>981</v>
      </c>
    </row>
    <row r="460" spans="1:1" x14ac:dyDescent="0.25">
      <c r="A460" s="6" t="s">
        <v>981</v>
      </c>
    </row>
    <row r="461" spans="1:1" x14ac:dyDescent="0.25">
      <c r="A461" s="5" t="s">
        <v>977</v>
      </c>
    </row>
    <row r="462" spans="1:1" x14ac:dyDescent="0.25">
      <c r="A462" s="6" t="s">
        <v>977</v>
      </c>
    </row>
    <row r="463" spans="1:1" x14ac:dyDescent="0.25">
      <c r="A463" s="5" t="s">
        <v>1029</v>
      </c>
    </row>
    <row r="464" spans="1:1" x14ac:dyDescent="0.25">
      <c r="A464" s="6" t="s">
        <v>1029</v>
      </c>
    </row>
    <row r="465" spans="1:1" x14ac:dyDescent="0.25">
      <c r="A465" s="5" t="s">
        <v>1029</v>
      </c>
    </row>
    <row r="466" spans="1:1" x14ac:dyDescent="0.25">
      <c r="A466" s="6" t="s">
        <v>1029</v>
      </c>
    </row>
    <row r="467" spans="1:1" x14ac:dyDescent="0.25">
      <c r="A467" s="5" t="s">
        <v>1029</v>
      </c>
    </row>
    <row r="468" spans="1:1" x14ac:dyDescent="0.25">
      <c r="A468" s="6" t="s">
        <v>939</v>
      </c>
    </row>
    <row r="469" spans="1:1" x14ac:dyDescent="0.25">
      <c r="A469" s="5" t="s">
        <v>939</v>
      </c>
    </row>
    <row r="470" spans="1:1" x14ac:dyDescent="0.25">
      <c r="A470" s="6" t="s">
        <v>939</v>
      </c>
    </row>
    <row r="471" spans="1:1" x14ac:dyDescent="0.25">
      <c r="A471" s="5" t="s">
        <v>939</v>
      </c>
    </row>
    <row r="472" spans="1:1" x14ac:dyDescent="0.25">
      <c r="A472" s="6" t="s">
        <v>939</v>
      </c>
    </row>
    <row r="473" spans="1:1" x14ac:dyDescent="0.25">
      <c r="A473" s="5" t="s">
        <v>939</v>
      </c>
    </row>
    <row r="474" spans="1:1" x14ac:dyDescent="0.25">
      <c r="A474" s="6" t="s">
        <v>939</v>
      </c>
    </row>
    <row r="475" spans="1:1" x14ac:dyDescent="0.25">
      <c r="A475" s="5" t="s">
        <v>1062</v>
      </c>
    </row>
    <row r="476" spans="1:1" x14ac:dyDescent="0.25">
      <c r="A476" s="6" t="s">
        <v>1083</v>
      </c>
    </row>
    <row r="477" spans="1:1" x14ac:dyDescent="0.25">
      <c r="A477" s="5" t="s">
        <v>1018</v>
      </c>
    </row>
    <row r="478" spans="1:1" x14ac:dyDescent="0.25">
      <c r="A478" s="6" t="s">
        <v>1018</v>
      </c>
    </row>
    <row r="479" spans="1:1" x14ac:dyDescent="0.25">
      <c r="A479" s="5" t="s">
        <v>1066</v>
      </c>
    </row>
    <row r="480" spans="1:1" x14ac:dyDescent="0.25">
      <c r="A480" s="6" t="s">
        <v>1066</v>
      </c>
    </row>
    <row r="481" spans="1:1" x14ac:dyDescent="0.25">
      <c r="A481" s="5" t="s">
        <v>1066</v>
      </c>
    </row>
    <row r="482" spans="1:1" x14ac:dyDescent="0.25">
      <c r="A482" s="6" t="s">
        <v>1066</v>
      </c>
    </row>
    <row r="483" spans="1:1" x14ac:dyDescent="0.25">
      <c r="A483" s="5" t="s">
        <v>967</v>
      </c>
    </row>
    <row r="484" spans="1:1" x14ac:dyDescent="0.25">
      <c r="A484" s="6" t="s">
        <v>967</v>
      </c>
    </row>
    <row r="485" spans="1:1" x14ac:dyDescent="0.25">
      <c r="A485" s="5" t="s">
        <v>967</v>
      </c>
    </row>
    <row r="486" spans="1:1" x14ac:dyDescent="0.25">
      <c r="A486" s="6" t="s">
        <v>967</v>
      </c>
    </row>
    <row r="487" spans="1:1" x14ac:dyDescent="0.25">
      <c r="A487" s="5" t="s">
        <v>967</v>
      </c>
    </row>
    <row r="488" spans="1:1" x14ac:dyDescent="0.25">
      <c r="A488" s="6" t="s">
        <v>968</v>
      </c>
    </row>
    <row r="489" spans="1:1" x14ac:dyDescent="0.25">
      <c r="A489" s="5" t="s">
        <v>968</v>
      </c>
    </row>
    <row r="490" spans="1:1" x14ac:dyDescent="0.25">
      <c r="A490" s="6" t="s">
        <v>1065</v>
      </c>
    </row>
    <row r="491" spans="1:1" x14ac:dyDescent="0.25">
      <c r="A491" s="5" t="s">
        <v>986</v>
      </c>
    </row>
    <row r="492" spans="1:1" x14ac:dyDescent="0.25">
      <c r="A492" s="6" t="s">
        <v>986</v>
      </c>
    </row>
    <row r="493" spans="1:1" x14ac:dyDescent="0.25">
      <c r="A493" s="5" t="s">
        <v>986</v>
      </c>
    </row>
    <row r="494" spans="1:1" x14ac:dyDescent="0.25">
      <c r="A494" s="6" t="s">
        <v>1100</v>
      </c>
    </row>
    <row r="495" spans="1:1" x14ac:dyDescent="0.25">
      <c r="A495" s="5" t="s">
        <v>335</v>
      </c>
    </row>
    <row r="496" spans="1:1" x14ac:dyDescent="0.25">
      <c r="A496" s="6" t="s">
        <v>1068</v>
      </c>
    </row>
    <row r="497" spans="1:1" x14ac:dyDescent="0.25">
      <c r="A497" s="5" t="s">
        <v>1067</v>
      </c>
    </row>
    <row r="498" spans="1:1" x14ac:dyDescent="0.25">
      <c r="A498" s="6" t="s">
        <v>1093</v>
      </c>
    </row>
    <row r="499" spans="1:1" x14ac:dyDescent="0.25">
      <c r="A499" s="5" t="s">
        <v>965</v>
      </c>
    </row>
    <row r="500" spans="1:1" x14ac:dyDescent="0.25">
      <c r="A500" s="6" t="s">
        <v>965</v>
      </c>
    </row>
    <row r="501" spans="1:1" x14ac:dyDescent="0.25">
      <c r="A501" s="5" t="s">
        <v>840</v>
      </c>
    </row>
    <row r="502" spans="1:1" x14ac:dyDescent="0.25">
      <c r="A502" s="6" t="s">
        <v>1086</v>
      </c>
    </row>
    <row r="503" spans="1:1" x14ac:dyDescent="0.25">
      <c r="A503" s="5" t="s">
        <v>1086</v>
      </c>
    </row>
    <row r="504" spans="1:1" x14ac:dyDescent="0.25">
      <c r="A504" s="6" t="s">
        <v>1086</v>
      </c>
    </row>
    <row r="505" spans="1:1" x14ac:dyDescent="0.25">
      <c r="A505" s="5" t="s">
        <v>1086</v>
      </c>
    </row>
    <row r="506" spans="1:1" x14ac:dyDescent="0.25">
      <c r="A506" s="6" t="s">
        <v>1034</v>
      </c>
    </row>
    <row r="507" spans="1:1" x14ac:dyDescent="0.25">
      <c r="A507" s="5" t="s">
        <v>1034</v>
      </c>
    </row>
    <row r="508" spans="1:1" x14ac:dyDescent="0.25">
      <c r="A508" s="6" t="s">
        <v>1034</v>
      </c>
    </row>
    <row r="509" spans="1:1" x14ac:dyDescent="0.25">
      <c r="A509" s="5" t="s">
        <v>1034</v>
      </c>
    </row>
    <row r="510" spans="1:1" x14ac:dyDescent="0.25">
      <c r="A510" s="6" t="s">
        <v>1034</v>
      </c>
    </row>
    <row r="511" spans="1:1" x14ac:dyDescent="0.25">
      <c r="A511" s="5" t="s">
        <v>1034</v>
      </c>
    </row>
    <row r="512" spans="1:1" x14ac:dyDescent="0.25">
      <c r="A512" s="6" t="s">
        <v>928</v>
      </c>
    </row>
    <row r="513" spans="1:1" x14ac:dyDescent="0.25">
      <c r="A513" s="5" t="s">
        <v>928</v>
      </c>
    </row>
    <row r="514" spans="1:1" x14ac:dyDescent="0.25">
      <c r="A514" s="6" t="s">
        <v>928</v>
      </c>
    </row>
    <row r="515" spans="1:1" x14ac:dyDescent="0.25">
      <c r="A515" s="5" t="s">
        <v>928</v>
      </c>
    </row>
    <row r="516" spans="1:1" x14ac:dyDescent="0.25">
      <c r="A516" s="6" t="s">
        <v>928</v>
      </c>
    </row>
    <row r="517" spans="1:1" x14ac:dyDescent="0.25">
      <c r="A517" s="5" t="s">
        <v>995</v>
      </c>
    </row>
    <row r="518" spans="1:1" x14ac:dyDescent="0.25">
      <c r="A518" s="6" t="s">
        <v>995</v>
      </c>
    </row>
    <row r="519" spans="1:1" x14ac:dyDescent="0.25">
      <c r="A519" s="5" t="s">
        <v>152</v>
      </c>
    </row>
    <row r="520" spans="1:1" x14ac:dyDescent="0.25">
      <c r="A520" s="6" t="s">
        <v>1019</v>
      </c>
    </row>
    <row r="521" spans="1:1" x14ac:dyDescent="0.25">
      <c r="A521" s="5" t="s">
        <v>1019</v>
      </c>
    </row>
    <row r="522" spans="1:1" x14ac:dyDescent="0.25">
      <c r="A522" s="6" t="s">
        <v>1019</v>
      </c>
    </row>
    <row r="523" spans="1:1" x14ac:dyDescent="0.25">
      <c r="A523" s="5" t="s">
        <v>983</v>
      </c>
    </row>
    <row r="524" spans="1:1" x14ac:dyDescent="0.25">
      <c r="A524" s="6" t="s">
        <v>983</v>
      </c>
    </row>
    <row r="525" spans="1:1" x14ac:dyDescent="0.25">
      <c r="A525" s="5" t="s">
        <v>983</v>
      </c>
    </row>
    <row r="526" spans="1:1" x14ac:dyDescent="0.25">
      <c r="A526" s="6" t="s">
        <v>983</v>
      </c>
    </row>
    <row r="527" spans="1:1" x14ac:dyDescent="0.25">
      <c r="A527" s="5" t="s">
        <v>983</v>
      </c>
    </row>
    <row r="528" spans="1:1" x14ac:dyDescent="0.25">
      <c r="A528" s="6" t="s">
        <v>983</v>
      </c>
    </row>
    <row r="529" spans="1:1" x14ac:dyDescent="0.25">
      <c r="A529" s="5" t="s">
        <v>983</v>
      </c>
    </row>
    <row r="530" spans="1:1" x14ac:dyDescent="0.25">
      <c r="A530" s="6" t="s">
        <v>983</v>
      </c>
    </row>
    <row r="531" spans="1:1" x14ac:dyDescent="0.25">
      <c r="A531" s="5" t="s">
        <v>983</v>
      </c>
    </row>
    <row r="532" spans="1:1" x14ac:dyDescent="0.25">
      <c r="A532" s="6" t="s">
        <v>983</v>
      </c>
    </row>
    <row r="533" spans="1:1" x14ac:dyDescent="0.25">
      <c r="A533" s="5" t="s">
        <v>983</v>
      </c>
    </row>
    <row r="534" spans="1:1" x14ac:dyDescent="0.25">
      <c r="A534" s="6" t="s">
        <v>983</v>
      </c>
    </row>
    <row r="535" spans="1:1" x14ac:dyDescent="0.25">
      <c r="A535" s="5" t="s">
        <v>983</v>
      </c>
    </row>
    <row r="536" spans="1:1" x14ac:dyDescent="0.25">
      <c r="A536" s="6" t="s">
        <v>983</v>
      </c>
    </row>
    <row r="537" spans="1:1" x14ac:dyDescent="0.25">
      <c r="A537" s="5" t="s">
        <v>983</v>
      </c>
    </row>
    <row r="538" spans="1:1" x14ac:dyDescent="0.25">
      <c r="A538" s="6" t="s">
        <v>983</v>
      </c>
    </row>
    <row r="539" spans="1:1" x14ac:dyDescent="0.25">
      <c r="A539" s="5" t="s">
        <v>1078</v>
      </c>
    </row>
    <row r="540" spans="1:1" x14ac:dyDescent="0.25">
      <c r="A540" s="6" t="s">
        <v>1103</v>
      </c>
    </row>
    <row r="541" spans="1:1" x14ac:dyDescent="0.25">
      <c r="A541" s="5" t="s">
        <v>1098</v>
      </c>
    </row>
    <row r="542" spans="1:1" x14ac:dyDescent="0.25">
      <c r="A542" s="6" t="s">
        <v>952</v>
      </c>
    </row>
    <row r="543" spans="1:1" x14ac:dyDescent="0.25">
      <c r="A543" s="5" t="s">
        <v>1040</v>
      </c>
    </row>
    <row r="544" spans="1:1" x14ac:dyDescent="0.25">
      <c r="A544" s="6" t="s">
        <v>1096</v>
      </c>
    </row>
    <row r="545" spans="1:1" x14ac:dyDescent="0.25">
      <c r="A545" s="5" t="s">
        <v>1059</v>
      </c>
    </row>
    <row r="546" spans="1:1" x14ac:dyDescent="0.25">
      <c r="A546" s="6" t="s">
        <v>999</v>
      </c>
    </row>
    <row r="547" spans="1:1" x14ac:dyDescent="0.25">
      <c r="A547" s="5" t="s">
        <v>999</v>
      </c>
    </row>
    <row r="548" spans="1:1" x14ac:dyDescent="0.25">
      <c r="A548" s="6" t="s">
        <v>999</v>
      </c>
    </row>
    <row r="549" spans="1:1" x14ac:dyDescent="0.25">
      <c r="A549" s="5" t="s">
        <v>999</v>
      </c>
    </row>
    <row r="550" spans="1:1" x14ac:dyDescent="0.25">
      <c r="A550" s="6" t="s">
        <v>999</v>
      </c>
    </row>
    <row r="551" spans="1:1" x14ac:dyDescent="0.25">
      <c r="A551" s="5" t="s">
        <v>999</v>
      </c>
    </row>
    <row r="552" spans="1:1" x14ac:dyDescent="0.25">
      <c r="A552" s="6" t="s">
        <v>999</v>
      </c>
    </row>
    <row r="553" spans="1:1" x14ac:dyDescent="0.25">
      <c r="A553" s="5" t="s">
        <v>999</v>
      </c>
    </row>
    <row r="554" spans="1:1" x14ac:dyDescent="0.25">
      <c r="A554" s="6" t="s">
        <v>999</v>
      </c>
    </row>
    <row r="555" spans="1:1" x14ac:dyDescent="0.25">
      <c r="A555" s="5" t="s">
        <v>999</v>
      </c>
    </row>
    <row r="556" spans="1:1" x14ac:dyDescent="0.25">
      <c r="A556" s="6" t="s">
        <v>999</v>
      </c>
    </row>
    <row r="557" spans="1:1" x14ac:dyDescent="0.25">
      <c r="A557" s="5" t="s">
        <v>999</v>
      </c>
    </row>
    <row r="558" spans="1:1" x14ac:dyDescent="0.25">
      <c r="A558" s="6" t="s">
        <v>999</v>
      </c>
    </row>
    <row r="559" spans="1:1" x14ac:dyDescent="0.25">
      <c r="A559" s="5" t="s">
        <v>999</v>
      </c>
    </row>
    <row r="560" spans="1:1" x14ac:dyDescent="0.25">
      <c r="A560" s="6" t="s">
        <v>999</v>
      </c>
    </row>
    <row r="561" spans="1:1" x14ac:dyDescent="0.25">
      <c r="A561" s="5" t="s">
        <v>959</v>
      </c>
    </row>
    <row r="562" spans="1:1" x14ac:dyDescent="0.25">
      <c r="A562" s="6" t="s">
        <v>1060</v>
      </c>
    </row>
    <row r="563" spans="1:1" x14ac:dyDescent="0.25">
      <c r="A563" s="5" t="s">
        <v>1073</v>
      </c>
    </row>
    <row r="564" spans="1:1" x14ac:dyDescent="0.25">
      <c r="A564" s="6" t="s">
        <v>1073</v>
      </c>
    </row>
    <row r="565" spans="1:1" x14ac:dyDescent="0.25">
      <c r="A565" s="5" t="s">
        <v>1073</v>
      </c>
    </row>
    <row r="566" spans="1:1" x14ac:dyDescent="0.25">
      <c r="A566" s="6" t="s">
        <v>980</v>
      </c>
    </row>
    <row r="567" spans="1:1" x14ac:dyDescent="0.25">
      <c r="A567" s="5" t="s">
        <v>980</v>
      </c>
    </row>
    <row r="568" spans="1:1" x14ac:dyDescent="0.25">
      <c r="A568" s="6" t="s">
        <v>935</v>
      </c>
    </row>
    <row r="569" spans="1:1" x14ac:dyDescent="0.25">
      <c r="A569" s="5" t="s">
        <v>935</v>
      </c>
    </row>
    <row r="570" spans="1:1" x14ac:dyDescent="0.25">
      <c r="A570" s="6" t="s">
        <v>1104</v>
      </c>
    </row>
    <row r="571" spans="1:1" x14ac:dyDescent="0.25">
      <c r="A571" s="5" t="s">
        <v>1063</v>
      </c>
    </row>
    <row r="572" spans="1:1" x14ac:dyDescent="0.25">
      <c r="A572" s="6" t="s">
        <v>1000</v>
      </c>
    </row>
    <row r="573" spans="1:1" x14ac:dyDescent="0.25">
      <c r="A573" s="5" t="s">
        <v>1000</v>
      </c>
    </row>
    <row r="574" spans="1:1" x14ac:dyDescent="0.25">
      <c r="A574" s="6" t="s">
        <v>982</v>
      </c>
    </row>
    <row r="575" spans="1:1" x14ac:dyDescent="0.25">
      <c r="A575" s="5" t="s">
        <v>982</v>
      </c>
    </row>
    <row r="576" spans="1:1" x14ac:dyDescent="0.25">
      <c r="A576" s="6" t="s">
        <v>1112</v>
      </c>
    </row>
    <row r="577" spans="1:1" x14ac:dyDescent="0.25">
      <c r="A577" s="5" t="s">
        <v>1026</v>
      </c>
    </row>
    <row r="578" spans="1:1" x14ac:dyDescent="0.25">
      <c r="A578" s="6" t="s">
        <v>978</v>
      </c>
    </row>
    <row r="579" spans="1:1" x14ac:dyDescent="0.25">
      <c r="A579" s="5" t="s">
        <v>978</v>
      </c>
    </row>
    <row r="580" spans="1:1" x14ac:dyDescent="0.25">
      <c r="A580" s="6" t="s">
        <v>1071</v>
      </c>
    </row>
    <row r="581" spans="1:1" x14ac:dyDescent="0.25">
      <c r="A581" s="5" t="s">
        <v>1010</v>
      </c>
    </row>
    <row r="582" spans="1:1" x14ac:dyDescent="0.25">
      <c r="A582" s="6" t="s">
        <v>1010</v>
      </c>
    </row>
    <row r="583" spans="1:1" x14ac:dyDescent="0.25">
      <c r="A583" s="5" t="s">
        <v>989</v>
      </c>
    </row>
    <row r="584" spans="1:1" x14ac:dyDescent="0.25">
      <c r="A584" s="6" t="s">
        <v>989</v>
      </c>
    </row>
    <row r="585" spans="1:1" x14ac:dyDescent="0.25">
      <c r="A585" s="5" t="s">
        <v>1036</v>
      </c>
    </row>
    <row r="586" spans="1:1" x14ac:dyDescent="0.25">
      <c r="A586" s="6" t="s">
        <v>919</v>
      </c>
    </row>
    <row r="587" spans="1:1" x14ac:dyDescent="0.25">
      <c r="A587" s="5" t="s">
        <v>919</v>
      </c>
    </row>
    <row r="588" spans="1:1" x14ac:dyDescent="0.25">
      <c r="A588" s="6" t="s">
        <v>919</v>
      </c>
    </row>
    <row r="589" spans="1:1" x14ac:dyDescent="0.25">
      <c r="A589" s="5" t="s">
        <v>919</v>
      </c>
    </row>
    <row r="590" spans="1:1" x14ac:dyDescent="0.25">
      <c r="A590" s="6" t="s">
        <v>919</v>
      </c>
    </row>
    <row r="591" spans="1:1" x14ac:dyDescent="0.25">
      <c r="A591" s="5" t="s">
        <v>919</v>
      </c>
    </row>
    <row r="592" spans="1:1" x14ac:dyDescent="0.25">
      <c r="A592" s="6" t="s">
        <v>919</v>
      </c>
    </row>
    <row r="593" spans="1:1" x14ac:dyDescent="0.25">
      <c r="A593" s="5" t="s">
        <v>919</v>
      </c>
    </row>
    <row r="594" spans="1:1" x14ac:dyDescent="0.25">
      <c r="A594" s="6" t="s">
        <v>919</v>
      </c>
    </row>
    <row r="595" spans="1:1" x14ac:dyDescent="0.25">
      <c r="A595" s="5" t="s">
        <v>919</v>
      </c>
    </row>
    <row r="596" spans="1:1" x14ac:dyDescent="0.25">
      <c r="A596" s="6" t="s">
        <v>919</v>
      </c>
    </row>
    <row r="597" spans="1:1" x14ac:dyDescent="0.25">
      <c r="A597" s="5" t="s">
        <v>919</v>
      </c>
    </row>
    <row r="598" spans="1:1" x14ac:dyDescent="0.25">
      <c r="A598" s="6" t="s">
        <v>919</v>
      </c>
    </row>
    <row r="599" spans="1:1" x14ac:dyDescent="0.25">
      <c r="A599" s="5" t="s">
        <v>919</v>
      </c>
    </row>
    <row r="600" spans="1:1" x14ac:dyDescent="0.25">
      <c r="A600" s="6" t="s">
        <v>919</v>
      </c>
    </row>
    <row r="601" spans="1:1" x14ac:dyDescent="0.25">
      <c r="A601" s="5" t="s">
        <v>919</v>
      </c>
    </row>
    <row r="602" spans="1:1" x14ac:dyDescent="0.25">
      <c r="A602" s="6" t="s">
        <v>919</v>
      </c>
    </row>
    <row r="603" spans="1:1" x14ac:dyDescent="0.25">
      <c r="A603" s="5" t="s">
        <v>919</v>
      </c>
    </row>
    <row r="604" spans="1:1" x14ac:dyDescent="0.25">
      <c r="A604" s="6" t="s">
        <v>919</v>
      </c>
    </row>
    <row r="605" spans="1:1" x14ac:dyDescent="0.25">
      <c r="A605" s="5" t="s">
        <v>919</v>
      </c>
    </row>
    <row r="606" spans="1:1" x14ac:dyDescent="0.25">
      <c r="A606" s="6" t="s">
        <v>919</v>
      </c>
    </row>
    <row r="607" spans="1:1" x14ac:dyDescent="0.25">
      <c r="A607" s="5" t="s">
        <v>919</v>
      </c>
    </row>
    <row r="608" spans="1:1" x14ac:dyDescent="0.25">
      <c r="A608" s="6" t="s">
        <v>919</v>
      </c>
    </row>
    <row r="609" spans="1:1" x14ac:dyDescent="0.25">
      <c r="A609" s="5" t="s">
        <v>919</v>
      </c>
    </row>
    <row r="610" spans="1:1" x14ac:dyDescent="0.25">
      <c r="A610" s="6" t="s">
        <v>919</v>
      </c>
    </row>
    <row r="611" spans="1:1" x14ac:dyDescent="0.25">
      <c r="A611" s="5" t="s">
        <v>919</v>
      </c>
    </row>
    <row r="612" spans="1:1" x14ac:dyDescent="0.25">
      <c r="A612" s="6" t="s">
        <v>919</v>
      </c>
    </row>
    <row r="613" spans="1:1" x14ac:dyDescent="0.25">
      <c r="A613" s="5" t="s">
        <v>919</v>
      </c>
    </row>
    <row r="614" spans="1:1" x14ac:dyDescent="0.25">
      <c r="A614" s="6" t="s">
        <v>919</v>
      </c>
    </row>
    <row r="615" spans="1:1" x14ac:dyDescent="0.25">
      <c r="A615" s="5" t="s">
        <v>919</v>
      </c>
    </row>
    <row r="616" spans="1:1" x14ac:dyDescent="0.25">
      <c r="A616" s="6" t="s">
        <v>919</v>
      </c>
    </row>
    <row r="617" spans="1:1" x14ac:dyDescent="0.25">
      <c r="A617" s="5" t="s">
        <v>919</v>
      </c>
    </row>
    <row r="618" spans="1:1" x14ac:dyDescent="0.25">
      <c r="A618" s="6" t="s">
        <v>919</v>
      </c>
    </row>
    <row r="619" spans="1:1" x14ac:dyDescent="0.25">
      <c r="A619" s="5" t="s">
        <v>919</v>
      </c>
    </row>
    <row r="620" spans="1:1" x14ac:dyDescent="0.25">
      <c r="A620" s="6" t="s">
        <v>919</v>
      </c>
    </row>
    <row r="621" spans="1:1" x14ac:dyDescent="0.25">
      <c r="A621" s="5" t="s">
        <v>919</v>
      </c>
    </row>
    <row r="622" spans="1:1" x14ac:dyDescent="0.25">
      <c r="A622" s="6" t="s">
        <v>919</v>
      </c>
    </row>
    <row r="623" spans="1:1" x14ac:dyDescent="0.25">
      <c r="A623" s="5" t="s">
        <v>919</v>
      </c>
    </row>
    <row r="624" spans="1:1" x14ac:dyDescent="0.25">
      <c r="A624" s="6" t="s">
        <v>919</v>
      </c>
    </row>
    <row r="625" spans="1:1" x14ac:dyDescent="0.25">
      <c r="A625" s="5" t="s">
        <v>919</v>
      </c>
    </row>
    <row r="626" spans="1:1" x14ac:dyDescent="0.25">
      <c r="A626" s="6" t="s">
        <v>919</v>
      </c>
    </row>
    <row r="627" spans="1:1" x14ac:dyDescent="0.25">
      <c r="A627" s="5" t="s">
        <v>919</v>
      </c>
    </row>
    <row r="628" spans="1:1" x14ac:dyDescent="0.25">
      <c r="A628" s="6" t="s">
        <v>919</v>
      </c>
    </row>
    <row r="629" spans="1:1" x14ac:dyDescent="0.25">
      <c r="A629" s="5" t="s">
        <v>919</v>
      </c>
    </row>
    <row r="630" spans="1:1" x14ac:dyDescent="0.25">
      <c r="A630" s="6" t="s">
        <v>919</v>
      </c>
    </row>
    <row r="631" spans="1:1" x14ac:dyDescent="0.25">
      <c r="A631" s="5" t="s">
        <v>919</v>
      </c>
    </row>
    <row r="632" spans="1:1" x14ac:dyDescent="0.25">
      <c r="A632" s="6" t="s">
        <v>919</v>
      </c>
    </row>
    <row r="633" spans="1:1" x14ac:dyDescent="0.25">
      <c r="A633" s="5" t="s">
        <v>919</v>
      </c>
    </row>
    <row r="634" spans="1:1" x14ac:dyDescent="0.25">
      <c r="A634" s="6" t="s">
        <v>919</v>
      </c>
    </row>
    <row r="635" spans="1:1" x14ac:dyDescent="0.25">
      <c r="A635" s="5" t="s">
        <v>919</v>
      </c>
    </row>
    <row r="636" spans="1:1" x14ac:dyDescent="0.25">
      <c r="A636" s="6" t="s">
        <v>919</v>
      </c>
    </row>
    <row r="637" spans="1:1" x14ac:dyDescent="0.25">
      <c r="A637" s="5" t="s">
        <v>919</v>
      </c>
    </row>
    <row r="638" spans="1:1" x14ac:dyDescent="0.25">
      <c r="A638" s="6" t="s">
        <v>919</v>
      </c>
    </row>
    <row r="639" spans="1:1" x14ac:dyDescent="0.25">
      <c r="A639" s="5" t="s">
        <v>919</v>
      </c>
    </row>
    <row r="640" spans="1:1" x14ac:dyDescent="0.25">
      <c r="A640" s="6" t="s">
        <v>919</v>
      </c>
    </row>
    <row r="641" spans="1:1" x14ac:dyDescent="0.25">
      <c r="A641" s="5" t="s">
        <v>919</v>
      </c>
    </row>
    <row r="642" spans="1:1" x14ac:dyDescent="0.25">
      <c r="A642" s="6" t="s">
        <v>919</v>
      </c>
    </row>
    <row r="643" spans="1:1" x14ac:dyDescent="0.25">
      <c r="A643" s="5" t="s">
        <v>919</v>
      </c>
    </row>
    <row r="644" spans="1:1" x14ac:dyDescent="0.25">
      <c r="A644" s="6" t="s">
        <v>919</v>
      </c>
    </row>
    <row r="645" spans="1:1" x14ac:dyDescent="0.25">
      <c r="A645" s="5" t="s">
        <v>919</v>
      </c>
    </row>
    <row r="646" spans="1:1" x14ac:dyDescent="0.25">
      <c r="A646" s="6" t="s">
        <v>919</v>
      </c>
    </row>
    <row r="647" spans="1:1" x14ac:dyDescent="0.25">
      <c r="A647" s="5" t="s">
        <v>919</v>
      </c>
    </row>
    <row r="648" spans="1:1" x14ac:dyDescent="0.25">
      <c r="A648" s="6" t="s">
        <v>919</v>
      </c>
    </row>
    <row r="649" spans="1:1" x14ac:dyDescent="0.25">
      <c r="A649" s="5" t="s">
        <v>919</v>
      </c>
    </row>
    <row r="650" spans="1:1" x14ac:dyDescent="0.25">
      <c r="A650" s="6" t="s">
        <v>919</v>
      </c>
    </row>
    <row r="651" spans="1:1" x14ac:dyDescent="0.25">
      <c r="A651" s="5" t="s">
        <v>919</v>
      </c>
    </row>
    <row r="652" spans="1:1" x14ac:dyDescent="0.25">
      <c r="A652" s="6" t="s">
        <v>919</v>
      </c>
    </row>
    <row r="653" spans="1:1" x14ac:dyDescent="0.25">
      <c r="A653" s="5" t="s">
        <v>919</v>
      </c>
    </row>
    <row r="654" spans="1:1" x14ac:dyDescent="0.25">
      <c r="A654" s="6" t="s">
        <v>919</v>
      </c>
    </row>
    <row r="655" spans="1:1" x14ac:dyDescent="0.25">
      <c r="A655" s="5" t="s">
        <v>919</v>
      </c>
    </row>
    <row r="656" spans="1:1" x14ac:dyDescent="0.25">
      <c r="A656" s="6" t="s">
        <v>919</v>
      </c>
    </row>
    <row r="657" spans="1:1" x14ac:dyDescent="0.25">
      <c r="A657" s="5" t="s">
        <v>919</v>
      </c>
    </row>
    <row r="658" spans="1:1" x14ac:dyDescent="0.25">
      <c r="A658" s="6" t="s">
        <v>919</v>
      </c>
    </row>
    <row r="659" spans="1:1" x14ac:dyDescent="0.25">
      <c r="A659" s="5" t="s">
        <v>919</v>
      </c>
    </row>
    <row r="660" spans="1:1" x14ac:dyDescent="0.25">
      <c r="A660" s="6" t="s">
        <v>920</v>
      </c>
    </row>
    <row r="661" spans="1:1" x14ac:dyDescent="0.25">
      <c r="A661" s="5" t="s">
        <v>920</v>
      </c>
    </row>
    <row r="662" spans="1:1" x14ac:dyDescent="0.25">
      <c r="A662" s="6" t="s">
        <v>920</v>
      </c>
    </row>
    <row r="663" spans="1:1" x14ac:dyDescent="0.25">
      <c r="A663" s="5" t="s">
        <v>920</v>
      </c>
    </row>
    <row r="664" spans="1:1" x14ac:dyDescent="0.25">
      <c r="A664" s="6" t="s">
        <v>920</v>
      </c>
    </row>
    <row r="665" spans="1:1" x14ac:dyDescent="0.25">
      <c r="A665" s="5" t="s">
        <v>920</v>
      </c>
    </row>
    <row r="666" spans="1:1" x14ac:dyDescent="0.25">
      <c r="A666" s="6" t="s">
        <v>920</v>
      </c>
    </row>
    <row r="667" spans="1:1" x14ac:dyDescent="0.25">
      <c r="A667" s="5" t="s">
        <v>920</v>
      </c>
    </row>
    <row r="668" spans="1:1" x14ac:dyDescent="0.25">
      <c r="A668" s="6" t="s">
        <v>920</v>
      </c>
    </row>
    <row r="669" spans="1:1" x14ac:dyDescent="0.25">
      <c r="A669" s="5" t="s">
        <v>920</v>
      </c>
    </row>
    <row r="670" spans="1:1" x14ac:dyDescent="0.25">
      <c r="A670" s="6" t="s">
        <v>920</v>
      </c>
    </row>
    <row r="671" spans="1:1" x14ac:dyDescent="0.25">
      <c r="A671" s="5" t="s">
        <v>920</v>
      </c>
    </row>
    <row r="672" spans="1:1" x14ac:dyDescent="0.25">
      <c r="A672" s="6" t="s">
        <v>920</v>
      </c>
    </row>
    <row r="673" spans="1:1" x14ac:dyDescent="0.25">
      <c r="A673" s="5" t="s">
        <v>920</v>
      </c>
    </row>
    <row r="674" spans="1:1" x14ac:dyDescent="0.25">
      <c r="A674" s="6" t="s">
        <v>920</v>
      </c>
    </row>
    <row r="675" spans="1:1" x14ac:dyDescent="0.25">
      <c r="A675" s="5" t="s">
        <v>920</v>
      </c>
    </row>
    <row r="676" spans="1:1" x14ac:dyDescent="0.25">
      <c r="A676" s="6" t="s">
        <v>920</v>
      </c>
    </row>
    <row r="677" spans="1:1" x14ac:dyDescent="0.25">
      <c r="A677" s="5" t="s">
        <v>920</v>
      </c>
    </row>
    <row r="678" spans="1:1" x14ac:dyDescent="0.25">
      <c r="A678" s="6" t="s">
        <v>920</v>
      </c>
    </row>
    <row r="679" spans="1:1" x14ac:dyDescent="0.25">
      <c r="A679" s="5" t="s">
        <v>920</v>
      </c>
    </row>
    <row r="680" spans="1:1" x14ac:dyDescent="0.25">
      <c r="A680" s="6" t="s">
        <v>920</v>
      </c>
    </row>
    <row r="681" spans="1:1" x14ac:dyDescent="0.25">
      <c r="A681" s="5" t="s">
        <v>920</v>
      </c>
    </row>
    <row r="682" spans="1:1" x14ac:dyDescent="0.25">
      <c r="A682" s="6" t="s">
        <v>920</v>
      </c>
    </row>
    <row r="683" spans="1:1" x14ac:dyDescent="0.25">
      <c r="A683" s="5" t="s">
        <v>920</v>
      </c>
    </row>
    <row r="684" spans="1:1" x14ac:dyDescent="0.25">
      <c r="A684" s="6" t="s">
        <v>920</v>
      </c>
    </row>
    <row r="685" spans="1:1" x14ac:dyDescent="0.25">
      <c r="A685" s="5" t="s">
        <v>920</v>
      </c>
    </row>
    <row r="686" spans="1:1" x14ac:dyDescent="0.25">
      <c r="A686" s="6" t="s">
        <v>920</v>
      </c>
    </row>
    <row r="687" spans="1:1" x14ac:dyDescent="0.25">
      <c r="A687" s="5" t="s">
        <v>920</v>
      </c>
    </row>
    <row r="688" spans="1:1" x14ac:dyDescent="0.25">
      <c r="A688" s="6" t="s">
        <v>920</v>
      </c>
    </row>
    <row r="689" spans="1:1" x14ac:dyDescent="0.25">
      <c r="A689" s="5" t="s">
        <v>920</v>
      </c>
    </row>
    <row r="690" spans="1:1" x14ac:dyDescent="0.25">
      <c r="A690" s="6" t="s">
        <v>920</v>
      </c>
    </row>
    <row r="691" spans="1:1" x14ac:dyDescent="0.25">
      <c r="A691" s="5" t="s">
        <v>920</v>
      </c>
    </row>
    <row r="692" spans="1:1" x14ac:dyDescent="0.25">
      <c r="A692" s="6" t="s">
        <v>920</v>
      </c>
    </row>
    <row r="693" spans="1:1" x14ac:dyDescent="0.25">
      <c r="A693" s="5" t="s">
        <v>920</v>
      </c>
    </row>
    <row r="694" spans="1:1" x14ac:dyDescent="0.25">
      <c r="A694" s="6" t="s">
        <v>920</v>
      </c>
    </row>
    <row r="695" spans="1:1" x14ac:dyDescent="0.25">
      <c r="A695" s="5" t="s">
        <v>920</v>
      </c>
    </row>
    <row r="696" spans="1:1" x14ac:dyDescent="0.25">
      <c r="A696" s="6" t="s">
        <v>920</v>
      </c>
    </row>
    <row r="697" spans="1:1" x14ac:dyDescent="0.25">
      <c r="A697" s="5" t="s">
        <v>920</v>
      </c>
    </row>
    <row r="698" spans="1:1" x14ac:dyDescent="0.25">
      <c r="A698" s="6" t="s">
        <v>920</v>
      </c>
    </row>
    <row r="699" spans="1:1" x14ac:dyDescent="0.25">
      <c r="A699" s="5" t="s">
        <v>920</v>
      </c>
    </row>
    <row r="700" spans="1:1" x14ac:dyDescent="0.25">
      <c r="A700" s="6" t="s">
        <v>920</v>
      </c>
    </row>
    <row r="701" spans="1:1" x14ac:dyDescent="0.25">
      <c r="A701" s="5" t="s">
        <v>920</v>
      </c>
    </row>
    <row r="702" spans="1:1" x14ac:dyDescent="0.25">
      <c r="A702" s="6" t="s">
        <v>920</v>
      </c>
    </row>
    <row r="703" spans="1:1" x14ac:dyDescent="0.25">
      <c r="A703" s="5" t="s">
        <v>920</v>
      </c>
    </row>
    <row r="704" spans="1:1" x14ac:dyDescent="0.25">
      <c r="A704" s="6" t="s">
        <v>920</v>
      </c>
    </row>
    <row r="705" spans="1:1" x14ac:dyDescent="0.25">
      <c r="A705" s="5" t="s">
        <v>920</v>
      </c>
    </row>
    <row r="706" spans="1:1" x14ac:dyDescent="0.25">
      <c r="A706" s="6" t="s">
        <v>920</v>
      </c>
    </row>
    <row r="707" spans="1:1" x14ac:dyDescent="0.25">
      <c r="A707" s="5" t="s">
        <v>920</v>
      </c>
    </row>
    <row r="708" spans="1:1" x14ac:dyDescent="0.25">
      <c r="A708" s="6" t="s">
        <v>920</v>
      </c>
    </row>
    <row r="709" spans="1:1" x14ac:dyDescent="0.25">
      <c r="A709" s="5" t="s">
        <v>920</v>
      </c>
    </row>
    <row r="710" spans="1:1" x14ac:dyDescent="0.25">
      <c r="A710" s="6" t="s">
        <v>920</v>
      </c>
    </row>
    <row r="711" spans="1:1" x14ac:dyDescent="0.25">
      <c r="A711" s="5" t="s">
        <v>920</v>
      </c>
    </row>
    <row r="712" spans="1:1" x14ac:dyDescent="0.25">
      <c r="A712" s="6" t="s">
        <v>920</v>
      </c>
    </row>
    <row r="713" spans="1:1" x14ac:dyDescent="0.25">
      <c r="A713" s="5" t="s">
        <v>920</v>
      </c>
    </row>
    <row r="714" spans="1:1" x14ac:dyDescent="0.25">
      <c r="A714" s="6" t="s">
        <v>920</v>
      </c>
    </row>
    <row r="715" spans="1:1" x14ac:dyDescent="0.25">
      <c r="A715" s="5" t="s">
        <v>920</v>
      </c>
    </row>
    <row r="716" spans="1:1" x14ac:dyDescent="0.25">
      <c r="A716" s="6" t="s">
        <v>920</v>
      </c>
    </row>
    <row r="717" spans="1:1" x14ac:dyDescent="0.25">
      <c r="A717" s="5" t="s">
        <v>920</v>
      </c>
    </row>
    <row r="718" spans="1:1" x14ac:dyDescent="0.25">
      <c r="A718" s="6" t="s">
        <v>920</v>
      </c>
    </row>
    <row r="719" spans="1:1" x14ac:dyDescent="0.25">
      <c r="A719" s="5" t="s">
        <v>920</v>
      </c>
    </row>
    <row r="720" spans="1:1" x14ac:dyDescent="0.25">
      <c r="A720" s="6" t="s">
        <v>933</v>
      </c>
    </row>
    <row r="721" spans="1:1" x14ac:dyDescent="0.25">
      <c r="A721" s="5" t="s">
        <v>933</v>
      </c>
    </row>
    <row r="722" spans="1:1" x14ac:dyDescent="0.25">
      <c r="A722" s="6" t="s">
        <v>933</v>
      </c>
    </row>
    <row r="723" spans="1:1" x14ac:dyDescent="0.25">
      <c r="A723" s="5" t="s">
        <v>933</v>
      </c>
    </row>
    <row r="724" spans="1:1" x14ac:dyDescent="0.25">
      <c r="A724" s="6" t="s">
        <v>933</v>
      </c>
    </row>
    <row r="725" spans="1:1" x14ac:dyDescent="0.25">
      <c r="A725" s="5" t="s">
        <v>933</v>
      </c>
    </row>
    <row r="726" spans="1:1" x14ac:dyDescent="0.25">
      <c r="A726" s="6" t="s">
        <v>933</v>
      </c>
    </row>
    <row r="727" spans="1:1" x14ac:dyDescent="0.25">
      <c r="A727" s="5" t="s">
        <v>933</v>
      </c>
    </row>
    <row r="728" spans="1:1" x14ac:dyDescent="0.25">
      <c r="A728" s="6" t="s">
        <v>933</v>
      </c>
    </row>
    <row r="729" spans="1:1" x14ac:dyDescent="0.25">
      <c r="A729" s="5" t="s">
        <v>946</v>
      </c>
    </row>
    <row r="730" spans="1:1" x14ac:dyDescent="0.25">
      <c r="A730" s="6" t="s">
        <v>946</v>
      </c>
    </row>
    <row r="731" spans="1:1" x14ac:dyDescent="0.25">
      <c r="A731" s="5" t="s">
        <v>946</v>
      </c>
    </row>
    <row r="732" spans="1:1" x14ac:dyDescent="0.25">
      <c r="A732" s="6" t="s">
        <v>1113</v>
      </c>
    </row>
    <row r="733" spans="1:1" x14ac:dyDescent="0.25">
      <c r="A733" s="5" t="s">
        <v>1114</v>
      </c>
    </row>
    <row r="734" spans="1:1" x14ac:dyDescent="0.25">
      <c r="A734" s="6" t="s">
        <v>924</v>
      </c>
    </row>
    <row r="735" spans="1:1" x14ac:dyDescent="0.25">
      <c r="A735" s="5" t="s">
        <v>924</v>
      </c>
    </row>
    <row r="736" spans="1:1" x14ac:dyDescent="0.25">
      <c r="A736" s="6" t="s">
        <v>924</v>
      </c>
    </row>
    <row r="737" spans="1:1" x14ac:dyDescent="0.25">
      <c r="A737" s="5" t="s">
        <v>924</v>
      </c>
    </row>
    <row r="738" spans="1:1" x14ac:dyDescent="0.25">
      <c r="A738" s="6" t="s">
        <v>924</v>
      </c>
    </row>
    <row r="739" spans="1:1" x14ac:dyDescent="0.25">
      <c r="A739" s="5" t="s">
        <v>924</v>
      </c>
    </row>
    <row r="740" spans="1:1" x14ac:dyDescent="0.25">
      <c r="A740" s="6" t="s">
        <v>924</v>
      </c>
    </row>
    <row r="741" spans="1:1" x14ac:dyDescent="0.25">
      <c r="A741" s="5" t="s">
        <v>924</v>
      </c>
    </row>
    <row r="742" spans="1:1" x14ac:dyDescent="0.25">
      <c r="A742" s="6" t="s">
        <v>924</v>
      </c>
    </row>
    <row r="743" spans="1:1" x14ac:dyDescent="0.25">
      <c r="A743" s="5" t="s">
        <v>924</v>
      </c>
    </row>
    <row r="744" spans="1:1" x14ac:dyDescent="0.25">
      <c r="A744" s="6" t="s">
        <v>924</v>
      </c>
    </row>
    <row r="745" spans="1:1" x14ac:dyDescent="0.25">
      <c r="A745" s="5" t="s">
        <v>924</v>
      </c>
    </row>
    <row r="746" spans="1:1" x14ac:dyDescent="0.25">
      <c r="A746" s="6" t="s">
        <v>924</v>
      </c>
    </row>
    <row r="747" spans="1:1" x14ac:dyDescent="0.25">
      <c r="A747" s="5" t="s">
        <v>924</v>
      </c>
    </row>
    <row r="748" spans="1:1" x14ac:dyDescent="0.25">
      <c r="A748" s="6" t="s">
        <v>924</v>
      </c>
    </row>
    <row r="749" spans="1:1" x14ac:dyDescent="0.25">
      <c r="A749" s="5" t="s">
        <v>924</v>
      </c>
    </row>
    <row r="750" spans="1:1" x14ac:dyDescent="0.25">
      <c r="A750" s="6" t="s">
        <v>924</v>
      </c>
    </row>
    <row r="751" spans="1:1" x14ac:dyDescent="0.25">
      <c r="A751" s="5" t="s">
        <v>924</v>
      </c>
    </row>
    <row r="752" spans="1:1" x14ac:dyDescent="0.25">
      <c r="A752" s="6" t="s">
        <v>924</v>
      </c>
    </row>
    <row r="753" spans="1:1" x14ac:dyDescent="0.25">
      <c r="A753" s="5" t="s">
        <v>924</v>
      </c>
    </row>
    <row r="754" spans="1:1" x14ac:dyDescent="0.25">
      <c r="A754" s="6" t="s">
        <v>924</v>
      </c>
    </row>
    <row r="755" spans="1:1" x14ac:dyDescent="0.25">
      <c r="A755" s="5" t="s">
        <v>924</v>
      </c>
    </row>
    <row r="756" spans="1:1" x14ac:dyDescent="0.25">
      <c r="A756" s="6" t="s">
        <v>924</v>
      </c>
    </row>
    <row r="757" spans="1:1" x14ac:dyDescent="0.25">
      <c r="A757" s="5" t="s">
        <v>924</v>
      </c>
    </row>
    <row r="758" spans="1:1" x14ac:dyDescent="0.25">
      <c r="A758" s="6" t="s">
        <v>924</v>
      </c>
    </row>
    <row r="759" spans="1:1" x14ac:dyDescent="0.25">
      <c r="A759" s="5" t="s">
        <v>924</v>
      </c>
    </row>
    <row r="760" spans="1:1" x14ac:dyDescent="0.25">
      <c r="A760" s="6" t="s">
        <v>924</v>
      </c>
    </row>
    <row r="761" spans="1:1" x14ac:dyDescent="0.25">
      <c r="A761" s="5" t="s">
        <v>924</v>
      </c>
    </row>
    <row r="762" spans="1:1" x14ac:dyDescent="0.25">
      <c r="A762" s="6" t="s">
        <v>924</v>
      </c>
    </row>
    <row r="763" spans="1:1" x14ac:dyDescent="0.25">
      <c r="A763" s="5" t="s">
        <v>1020</v>
      </c>
    </row>
    <row r="764" spans="1:1" x14ac:dyDescent="0.25">
      <c r="A764" s="6" t="s">
        <v>1020</v>
      </c>
    </row>
    <row r="765" spans="1:1" x14ac:dyDescent="0.25">
      <c r="A765" s="5" t="s">
        <v>1020</v>
      </c>
    </row>
    <row r="766" spans="1:1" x14ac:dyDescent="0.25">
      <c r="A766" s="6" t="s">
        <v>1020</v>
      </c>
    </row>
    <row r="767" spans="1:1" x14ac:dyDescent="0.25">
      <c r="A767" s="5" t="s">
        <v>1020</v>
      </c>
    </row>
    <row r="768" spans="1:1" x14ac:dyDescent="0.25">
      <c r="A768" s="6" t="s">
        <v>1005</v>
      </c>
    </row>
    <row r="769" spans="1:1" x14ac:dyDescent="0.25">
      <c r="A769" s="5" t="s">
        <v>1005</v>
      </c>
    </row>
    <row r="770" spans="1:1" x14ac:dyDescent="0.25">
      <c r="A770" s="6" t="s">
        <v>1005</v>
      </c>
    </row>
    <row r="771" spans="1:1" x14ac:dyDescent="0.25">
      <c r="A771" s="5" t="s">
        <v>1005</v>
      </c>
    </row>
    <row r="772" spans="1:1" x14ac:dyDescent="0.25">
      <c r="A772" s="6" t="s">
        <v>1005</v>
      </c>
    </row>
    <row r="773" spans="1:1" x14ac:dyDescent="0.25">
      <c r="A773" s="5" t="s">
        <v>1005</v>
      </c>
    </row>
    <row r="774" spans="1:1" x14ac:dyDescent="0.25">
      <c r="A774" s="6" t="s">
        <v>1005</v>
      </c>
    </row>
    <row r="775" spans="1:1" x14ac:dyDescent="0.25">
      <c r="A775" s="5" t="s">
        <v>1005</v>
      </c>
    </row>
    <row r="776" spans="1:1" x14ac:dyDescent="0.25">
      <c r="A776" s="6" t="s">
        <v>1005</v>
      </c>
    </row>
    <row r="777" spans="1:1" x14ac:dyDescent="0.25">
      <c r="A777" s="5" t="s">
        <v>1027</v>
      </c>
    </row>
    <row r="778" spans="1:1" x14ac:dyDescent="0.25">
      <c r="A778" s="6" t="s">
        <v>936</v>
      </c>
    </row>
    <row r="779" spans="1:1" x14ac:dyDescent="0.25">
      <c r="A779" s="5" t="s">
        <v>936</v>
      </c>
    </row>
    <row r="780" spans="1:1" x14ac:dyDescent="0.25">
      <c r="A780" s="6" t="s">
        <v>936</v>
      </c>
    </row>
    <row r="781" spans="1:1" x14ac:dyDescent="0.25">
      <c r="A781" s="5" t="s">
        <v>936</v>
      </c>
    </row>
    <row r="782" spans="1:1" x14ac:dyDescent="0.25">
      <c r="A782" s="6" t="s">
        <v>936</v>
      </c>
    </row>
    <row r="783" spans="1:1" x14ac:dyDescent="0.25">
      <c r="A783" s="5" t="s">
        <v>936</v>
      </c>
    </row>
    <row r="784" spans="1:1" x14ac:dyDescent="0.25">
      <c r="A784" s="6" t="s">
        <v>936</v>
      </c>
    </row>
    <row r="785" spans="1:1" x14ac:dyDescent="0.25">
      <c r="A785" s="5" t="s">
        <v>936</v>
      </c>
    </row>
    <row r="786" spans="1:1" x14ac:dyDescent="0.25">
      <c r="A786" s="6" t="s">
        <v>936</v>
      </c>
    </row>
    <row r="787" spans="1:1" x14ac:dyDescent="0.25">
      <c r="A787" s="5" t="s">
        <v>954</v>
      </c>
    </row>
    <row r="788" spans="1:1" x14ac:dyDescent="0.25">
      <c r="A788" s="6" t="s">
        <v>954</v>
      </c>
    </row>
    <row r="789" spans="1:1" x14ac:dyDescent="0.25">
      <c r="A789" s="5" t="s">
        <v>954</v>
      </c>
    </row>
    <row r="790" spans="1:1" x14ac:dyDescent="0.25">
      <c r="A790" s="6" t="s">
        <v>954</v>
      </c>
    </row>
    <row r="791" spans="1:1" x14ac:dyDescent="0.25">
      <c r="A791" s="5" t="s">
        <v>954</v>
      </c>
    </row>
    <row r="792" spans="1:1" x14ac:dyDescent="0.25">
      <c r="A792" s="6" t="s">
        <v>954</v>
      </c>
    </row>
    <row r="793" spans="1:1" x14ac:dyDescent="0.25">
      <c r="A793" s="5" t="s">
        <v>954</v>
      </c>
    </row>
    <row r="794" spans="1:1" x14ac:dyDescent="0.25">
      <c r="A794" s="6" t="s">
        <v>954</v>
      </c>
    </row>
    <row r="795" spans="1:1" x14ac:dyDescent="0.25">
      <c r="A795" s="5" t="s">
        <v>954</v>
      </c>
    </row>
    <row r="796" spans="1:1" x14ac:dyDescent="0.25">
      <c r="A796" s="6" t="s">
        <v>954</v>
      </c>
    </row>
    <row r="797" spans="1:1" x14ac:dyDescent="0.25">
      <c r="A797" s="5" t="s">
        <v>954</v>
      </c>
    </row>
    <row r="798" spans="1:1" x14ac:dyDescent="0.25">
      <c r="A798" s="6" t="s">
        <v>954</v>
      </c>
    </row>
    <row r="799" spans="1:1" x14ac:dyDescent="0.25">
      <c r="A799" s="5" t="s">
        <v>954</v>
      </c>
    </row>
    <row r="800" spans="1:1" x14ac:dyDescent="0.25">
      <c r="A800" s="6" t="s">
        <v>954</v>
      </c>
    </row>
    <row r="801" spans="1:1" x14ac:dyDescent="0.25">
      <c r="A801" s="5" t="s">
        <v>974</v>
      </c>
    </row>
    <row r="802" spans="1:1" x14ac:dyDescent="0.25">
      <c r="A802" s="6" t="s">
        <v>974</v>
      </c>
    </row>
    <row r="803" spans="1:1" x14ac:dyDescent="0.25">
      <c r="A803" s="5" t="s">
        <v>974</v>
      </c>
    </row>
    <row r="804" spans="1:1" x14ac:dyDescent="0.25">
      <c r="A804" s="6" t="s">
        <v>974</v>
      </c>
    </row>
    <row r="805" spans="1:1" x14ac:dyDescent="0.25">
      <c r="A805" s="5" t="s">
        <v>974</v>
      </c>
    </row>
    <row r="806" spans="1:1" x14ac:dyDescent="0.25">
      <c r="A806" s="6" t="s">
        <v>974</v>
      </c>
    </row>
    <row r="807" spans="1:1" x14ac:dyDescent="0.25">
      <c r="A807" s="5" t="s">
        <v>974</v>
      </c>
    </row>
    <row r="808" spans="1:1" x14ac:dyDescent="0.25">
      <c r="A808" s="6" t="s">
        <v>974</v>
      </c>
    </row>
    <row r="809" spans="1:1" x14ac:dyDescent="0.25">
      <c r="A809" s="5" t="s">
        <v>974</v>
      </c>
    </row>
    <row r="810" spans="1:1" x14ac:dyDescent="0.25">
      <c r="A810" s="6" t="s">
        <v>974</v>
      </c>
    </row>
    <row r="811" spans="1:1" x14ac:dyDescent="0.25">
      <c r="A811" s="5" t="s">
        <v>974</v>
      </c>
    </row>
    <row r="812" spans="1:1" x14ac:dyDescent="0.25">
      <c r="A812" s="6" t="s">
        <v>974</v>
      </c>
    </row>
    <row r="813" spans="1:1" x14ac:dyDescent="0.25">
      <c r="A813" s="5" t="s">
        <v>974</v>
      </c>
    </row>
    <row r="814" spans="1:1" x14ac:dyDescent="0.25">
      <c r="A814" s="6" t="s">
        <v>974</v>
      </c>
    </row>
    <row r="815" spans="1:1" x14ac:dyDescent="0.25">
      <c r="A815" s="5" t="s">
        <v>974</v>
      </c>
    </row>
    <row r="816" spans="1:1" x14ac:dyDescent="0.25">
      <c r="A816" s="6" t="s">
        <v>974</v>
      </c>
    </row>
    <row r="817" spans="1:1" x14ac:dyDescent="0.25">
      <c r="A817" s="5" t="s">
        <v>1050</v>
      </c>
    </row>
    <row r="818" spans="1:1" x14ac:dyDescent="0.25">
      <c r="A818" s="6" t="s">
        <v>1079</v>
      </c>
    </row>
    <row r="819" spans="1:1" x14ac:dyDescent="0.25">
      <c r="A819" s="5" t="s">
        <v>1105</v>
      </c>
    </row>
    <row r="820" spans="1:1" x14ac:dyDescent="0.25">
      <c r="A820" s="6" t="s">
        <v>930</v>
      </c>
    </row>
    <row r="821" spans="1:1" x14ac:dyDescent="0.25">
      <c r="A821" s="5" t="s">
        <v>930</v>
      </c>
    </row>
    <row r="822" spans="1:1" x14ac:dyDescent="0.25">
      <c r="A822" s="6" t="s">
        <v>930</v>
      </c>
    </row>
    <row r="823" spans="1:1" x14ac:dyDescent="0.25">
      <c r="A823" s="5" t="s">
        <v>930</v>
      </c>
    </row>
    <row r="824" spans="1:1" x14ac:dyDescent="0.25">
      <c r="A824" s="6" t="s">
        <v>930</v>
      </c>
    </row>
    <row r="825" spans="1:1" x14ac:dyDescent="0.25">
      <c r="A825" s="5" t="s">
        <v>930</v>
      </c>
    </row>
    <row r="826" spans="1:1" x14ac:dyDescent="0.25">
      <c r="A826" s="6" t="s">
        <v>930</v>
      </c>
    </row>
    <row r="827" spans="1:1" x14ac:dyDescent="0.25">
      <c r="A827" s="5" t="s">
        <v>1014</v>
      </c>
    </row>
    <row r="828" spans="1:1" x14ac:dyDescent="0.25">
      <c r="A828" s="6" t="s">
        <v>1014</v>
      </c>
    </row>
    <row r="829" spans="1:1" x14ac:dyDescent="0.25">
      <c r="A829" s="5" t="s">
        <v>1014</v>
      </c>
    </row>
    <row r="830" spans="1:1" x14ac:dyDescent="0.25">
      <c r="A830" s="6" t="s">
        <v>1014</v>
      </c>
    </row>
    <row r="831" spans="1:1" x14ac:dyDescent="0.25">
      <c r="A831" s="5" t="s">
        <v>1014</v>
      </c>
    </row>
    <row r="832" spans="1:1" x14ac:dyDescent="0.25">
      <c r="A832" s="6" t="s">
        <v>1014</v>
      </c>
    </row>
    <row r="833" spans="1:1" x14ac:dyDescent="0.25">
      <c r="A833" s="5" t="s">
        <v>1014</v>
      </c>
    </row>
    <row r="834" spans="1:1" x14ac:dyDescent="0.25">
      <c r="A834" s="6" t="s">
        <v>1014</v>
      </c>
    </row>
    <row r="835" spans="1:1" x14ac:dyDescent="0.25">
      <c r="A835" s="5" t="s">
        <v>1014</v>
      </c>
    </row>
    <row r="836" spans="1:1" x14ac:dyDescent="0.25">
      <c r="A836" s="6" t="s">
        <v>1014</v>
      </c>
    </row>
    <row r="837" spans="1:1" x14ac:dyDescent="0.25">
      <c r="A837" s="5" t="s">
        <v>1014</v>
      </c>
    </row>
    <row r="838" spans="1:1" x14ac:dyDescent="0.25">
      <c r="A838" s="6" t="s">
        <v>1008</v>
      </c>
    </row>
    <row r="839" spans="1:1" x14ac:dyDescent="0.25">
      <c r="A839" s="5" t="s">
        <v>1008</v>
      </c>
    </row>
    <row r="840" spans="1:1" x14ac:dyDescent="0.25">
      <c r="A840" s="6" t="s">
        <v>1008</v>
      </c>
    </row>
    <row r="841" spans="1:1" x14ac:dyDescent="0.25">
      <c r="A841" s="5" t="s">
        <v>1008</v>
      </c>
    </row>
    <row r="842" spans="1:1" x14ac:dyDescent="0.25">
      <c r="A842" s="6" t="s">
        <v>1043</v>
      </c>
    </row>
    <row r="843" spans="1:1" x14ac:dyDescent="0.25">
      <c r="A843" s="5" t="s">
        <v>1043</v>
      </c>
    </row>
    <row r="844" spans="1:1" x14ac:dyDescent="0.25">
      <c r="A844" s="6" t="s">
        <v>1043</v>
      </c>
    </row>
    <row r="845" spans="1:1" x14ac:dyDescent="0.25">
      <c r="A845" s="5" t="s">
        <v>1006</v>
      </c>
    </row>
    <row r="846" spans="1:1" x14ac:dyDescent="0.25">
      <c r="A846" s="6" t="s">
        <v>1006</v>
      </c>
    </row>
    <row r="847" spans="1:1" x14ac:dyDescent="0.25">
      <c r="A847" s="5" t="s">
        <v>1006</v>
      </c>
    </row>
    <row r="848" spans="1:1" x14ac:dyDescent="0.25">
      <c r="A848" s="6" t="s">
        <v>1006</v>
      </c>
    </row>
    <row r="849" spans="1:1" x14ac:dyDescent="0.25">
      <c r="A849" s="5" t="s">
        <v>1006</v>
      </c>
    </row>
    <row r="850" spans="1:1" x14ac:dyDescent="0.25">
      <c r="A850" s="6" t="s">
        <v>1006</v>
      </c>
    </row>
    <row r="851" spans="1:1" x14ac:dyDescent="0.25">
      <c r="A851" s="5" t="s">
        <v>1006</v>
      </c>
    </row>
    <row r="852" spans="1:1" x14ac:dyDescent="0.25">
      <c r="A852" s="6" t="s">
        <v>1006</v>
      </c>
    </row>
    <row r="853" spans="1:1" x14ac:dyDescent="0.25">
      <c r="A853" s="5" t="s">
        <v>1006</v>
      </c>
    </row>
    <row r="854" spans="1:1" x14ac:dyDescent="0.25">
      <c r="A854" s="6" t="s">
        <v>1006</v>
      </c>
    </row>
    <row r="855" spans="1:1" x14ac:dyDescent="0.25">
      <c r="A855" s="5" t="s">
        <v>1006</v>
      </c>
    </row>
    <row r="856" spans="1:1" x14ac:dyDescent="0.25">
      <c r="A856" s="6" t="s">
        <v>1009</v>
      </c>
    </row>
    <row r="857" spans="1:1" x14ac:dyDescent="0.25">
      <c r="A857" s="5" t="s">
        <v>1047</v>
      </c>
    </row>
    <row r="858" spans="1:1" x14ac:dyDescent="0.25">
      <c r="A858" s="6" t="s">
        <v>1028</v>
      </c>
    </row>
    <row r="859" spans="1:1" x14ac:dyDescent="0.25">
      <c r="A859" s="5" t="s">
        <v>969</v>
      </c>
    </row>
    <row r="860" spans="1:1" x14ac:dyDescent="0.25">
      <c r="A860" s="6" t="s">
        <v>969</v>
      </c>
    </row>
    <row r="861" spans="1:1" x14ac:dyDescent="0.25">
      <c r="A861" s="5" t="s">
        <v>969</v>
      </c>
    </row>
    <row r="862" spans="1:1" x14ac:dyDescent="0.25">
      <c r="A862" s="6" t="s">
        <v>969</v>
      </c>
    </row>
    <row r="863" spans="1:1" x14ac:dyDescent="0.25">
      <c r="A863" s="5" t="s">
        <v>984</v>
      </c>
    </row>
    <row r="864" spans="1:1" x14ac:dyDescent="0.25">
      <c r="A864" s="6" t="s">
        <v>984</v>
      </c>
    </row>
    <row r="865" spans="1:1" x14ac:dyDescent="0.25">
      <c r="A865" s="5" t="s">
        <v>984</v>
      </c>
    </row>
    <row r="866" spans="1:1" x14ac:dyDescent="0.25">
      <c r="A866" s="6" t="s">
        <v>984</v>
      </c>
    </row>
    <row r="867" spans="1:1" x14ac:dyDescent="0.25">
      <c r="A867" s="5" t="s">
        <v>984</v>
      </c>
    </row>
    <row r="868" spans="1:1" x14ac:dyDescent="0.25">
      <c r="A868" s="6" t="s">
        <v>984</v>
      </c>
    </row>
    <row r="869" spans="1:1" x14ac:dyDescent="0.25">
      <c r="A869" s="5" t="s">
        <v>984</v>
      </c>
    </row>
    <row r="870" spans="1:1" x14ac:dyDescent="0.25">
      <c r="A870" s="6" t="s">
        <v>984</v>
      </c>
    </row>
    <row r="871" spans="1:1" x14ac:dyDescent="0.25">
      <c r="A871" s="5" t="s">
        <v>984</v>
      </c>
    </row>
    <row r="872" spans="1:1" x14ac:dyDescent="0.25">
      <c r="A872" s="6" t="s">
        <v>984</v>
      </c>
    </row>
    <row r="873" spans="1:1" x14ac:dyDescent="0.25">
      <c r="A873" s="5" t="s">
        <v>984</v>
      </c>
    </row>
    <row r="874" spans="1:1" x14ac:dyDescent="0.25">
      <c r="A874" s="6" t="s">
        <v>966</v>
      </c>
    </row>
    <row r="875" spans="1:1" x14ac:dyDescent="0.25">
      <c r="A875" s="5" t="s">
        <v>35</v>
      </c>
    </row>
    <row r="876" spans="1:1" x14ac:dyDescent="0.25">
      <c r="A876" s="6" t="s">
        <v>35</v>
      </c>
    </row>
    <row r="877" spans="1:1" x14ac:dyDescent="0.25">
      <c r="A877" s="5" t="s">
        <v>1054</v>
      </c>
    </row>
    <row r="878" spans="1:1" x14ac:dyDescent="0.25">
      <c r="A878" s="6" t="s">
        <v>1054</v>
      </c>
    </row>
    <row r="879" spans="1:1" x14ac:dyDescent="0.25">
      <c r="A879" s="5" t="s">
        <v>1099</v>
      </c>
    </row>
    <row r="880" spans="1:1" x14ac:dyDescent="0.25">
      <c r="A880" s="6" t="s">
        <v>1108</v>
      </c>
    </row>
    <row r="881" spans="1:1" x14ac:dyDescent="0.25">
      <c r="A881" s="5" t="s">
        <v>1076</v>
      </c>
    </row>
    <row r="882" spans="1:1" x14ac:dyDescent="0.25">
      <c r="A882" s="6" t="s">
        <v>988</v>
      </c>
    </row>
    <row r="883" spans="1:1" x14ac:dyDescent="0.25">
      <c r="A883" s="5" t="s">
        <v>1055</v>
      </c>
    </row>
    <row r="884" spans="1:1" x14ac:dyDescent="0.25">
      <c r="A884" s="6" t="s">
        <v>328</v>
      </c>
    </row>
    <row r="885" spans="1:1" x14ac:dyDescent="0.25">
      <c r="A885" s="5" t="s">
        <v>328</v>
      </c>
    </row>
    <row r="886" spans="1:1" x14ac:dyDescent="0.25">
      <c r="A886" s="6" t="s">
        <v>328</v>
      </c>
    </row>
    <row r="887" spans="1:1" x14ac:dyDescent="0.25">
      <c r="A887" s="5" t="s">
        <v>328</v>
      </c>
    </row>
    <row r="888" spans="1:1" x14ac:dyDescent="0.25">
      <c r="A888" s="6" t="s">
        <v>328</v>
      </c>
    </row>
    <row r="889" spans="1:1" x14ac:dyDescent="0.25">
      <c r="A889" s="5" t="s">
        <v>328</v>
      </c>
    </row>
    <row r="890" spans="1:1" x14ac:dyDescent="0.25">
      <c r="A890" s="6" t="s">
        <v>328</v>
      </c>
    </row>
    <row r="891" spans="1:1" x14ac:dyDescent="0.25">
      <c r="A891" s="5" t="s">
        <v>328</v>
      </c>
    </row>
    <row r="892" spans="1:1" x14ac:dyDescent="0.25">
      <c r="A892" s="6" t="s">
        <v>328</v>
      </c>
    </row>
    <row r="893" spans="1:1" x14ac:dyDescent="0.25">
      <c r="A893" s="5" t="s">
        <v>328</v>
      </c>
    </row>
    <row r="894" spans="1:1" x14ac:dyDescent="0.25">
      <c r="A894" s="6" t="s">
        <v>990</v>
      </c>
    </row>
    <row r="895" spans="1:1" x14ac:dyDescent="0.25">
      <c r="A895" s="5" t="s">
        <v>991</v>
      </c>
    </row>
    <row r="896" spans="1:1" x14ac:dyDescent="0.25">
      <c r="A896" s="6" t="s">
        <v>1106</v>
      </c>
    </row>
    <row r="897" spans="1:1" x14ac:dyDescent="0.25">
      <c r="A897" s="5" t="s">
        <v>138</v>
      </c>
    </row>
    <row r="898" spans="1:1" x14ac:dyDescent="0.25">
      <c r="A898" s="6" t="s">
        <v>944</v>
      </c>
    </row>
    <row r="899" spans="1:1" x14ac:dyDescent="0.25">
      <c r="A899" s="5" t="s">
        <v>944</v>
      </c>
    </row>
    <row r="900" spans="1:1" x14ac:dyDescent="0.25">
      <c r="A900" s="6" t="s">
        <v>944</v>
      </c>
    </row>
    <row r="901" spans="1:1" x14ac:dyDescent="0.25">
      <c r="A901" s="5" t="s">
        <v>944</v>
      </c>
    </row>
    <row r="902" spans="1:1" x14ac:dyDescent="0.25">
      <c r="A902" s="6" t="s">
        <v>944</v>
      </c>
    </row>
    <row r="903" spans="1:1" x14ac:dyDescent="0.25">
      <c r="A903" s="5" t="s">
        <v>944</v>
      </c>
    </row>
    <row r="904" spans="1:1" x14ac:dyDescent="0.25">
      <c r="A904" s="6" t="s">
        <v>256</v>
      </c>
    </row>
    <row r="905" spans="1:1" x14ac:dyDescent="0.25">
      <c r="A905" s="5" t="s">
        <v>256</v>
      </c>
    </row>
    <row r="906" spans="1:1" x14ac:dyDescent="0.25">
      <c r="A906" s="6" t="s">
        <v>256</v>
      </c>
    </row>
    <row r="907" spans="1:1" x14ac:dyDescent="0.25">
      <c r="A907" s="5" t="s">
        <v>1021</v>
      </c>
    </row>
    <row r="908" spans="1:1" x14ac:dyDescent="0.25">
      <c r="A908" s="6" t="s">
        <v>1021</v>
      </c>
    </row>
    <row r="909" spans="1:1" x14ac:dyDescent="0.25">
      <c r="A909" s="5" t="s">
        <v>1021</v>
      </c>
    </row>
    <row r="910" spans="1:1" x14ac:dyDescent="0.25">
      <c r="A910" s="6" t="s">
        <v>960</v>
      </c>
    </row>
    <row r="911" spans="1:1" x14ac:dyDescent="0.25">
      <c r="A911" s="5" t="s">
        <v>961</v>
      </c>
    </row>
    <row r="912" spans="1:1" x14ac:dyDescent="0.25">
      <c r="A912" s="6" t="s">
        <v>962</v>
      </c>
    </row>
    <row r="913" spans="1:1" x14ac:dyDescent="0.25">
      <c r="A913" s="5" t="s">
        <v>962</v>
      </c>
    </row>
    <row r="914" spans="1:1" x14ac:dyDescent="0.25">
      <c r="A914" s="6" t="s">
        <v>972</v>
      </c>
    </row>
    <row r="915" spans="1:1" x14ac:dyDescent="0.25">
      <c r="A915" s="5" t="s">
        <v>1015</v>
      </c>
    </row>
    <row r="916" spans="1:1" x14ac:dyDescent="0.25">
      <c r="A916" s="6" t="s">
        <v>950</v>
      </c>
    </row>
    <row r="917" spans="1:1" x14ac:dyDescent="0.25">
      <c r="A917" s="5" t="s">
        <v>950</v>
      </c>
    </row>
    <row r="918" spans="1:1" x14ac:dyDescent="0.25">
      <c r="A918" s="6" t="s">
        <v>950</v>
      </c>
    </row>
    <row r="919" spans="1:1" x14ac:dyDescent="0.25">
      <c r="A919" s="5" t="s">
        <v>950</v>
      </c>
    </row>
    <row r="920" spans="1:1" x14ac:dyDescent="0.25">
      <c r="A920" s="6" t="s">
        <v>956</v>
      </c>
    </row>
    <row r="921" spans="1:1" x14ac:dyDescent="0.25">
      <c r="A921" s="5" t="s">
        <v>956</v>
      </c>
    </row>
    <row r="922" spans="1:1" x14ac:dyDescent="0.25">
      <c r="A922" s="6" t="s">
        <v>956</v>
      </c>
    </row>
    <row r="923" spans="1:1" x14ac:dyDescent="0.25">
      <c r="A923" s="5" t="s">
        <v>956</v>
      </c>
    </row>
    <row r="924" spans="1:1" x14ac:dyDescent="0.25">
      <c r="A924" s="6" t="s">
        <v>956</v>
      </c>
    </row>
    <row r="925" spans="1:1" x14ac:dyDescent="0.25">
      <c r="A925" s="5" t="s">
        <v>956</v>
      </c>
    </row>
    <row r="926" spans="1:1" x14ac:dyDescent="0.25">
      <c r="A926" s="6" t="s">
        <v>956</v>
      </c>
    </row>
    <row r="927" spans="1:1" x14ac:dyDescent="0.25">
      <c r="A927" s="5" t="s">
        <v>956</v>
      </c>
    </row>
    <row r="928" spans="1:1" x14ac:dyDescent="0.25">
      <c r="A928" s="6" t="s">
        <v>970</v>
      </c>
    </row>
    <row r="929" spans="1:1" x14ac:dyDescent="0.25">
      <c r="A929" s="5" t="s">
        <v>970</v>
      </c>
    </row>
    <row r="930" spans="1:1" x14ac:dyDescent="0.25">
      <c r="A930" s="6" t="s">
        <v>970</v>
      </c>
    </row>
    <row r="931" spans="1:1" x14ac:dyDescent="0.25">
      <c r="A931" s="5" t="s">
        <v>970</v>
      </c>
    </row>
    <row r="932" spans="1:1" x14ac:dyDescent="0.25">
      <c r="A932" s="6" t="s">
        <v>957</v>
      </c>
    </row>
    <row r="933" spans="1:1" x14ac:dyDescent="0.25">
      <c r="A933" s="5" t="s">
        <v>957</v>
      </c>
    </row>
    <row r="934" spans="1:1" x14ac:dyDescent="0.25">
      <c r="A934" s="6" t="s">
        <v>921</v>
      </c>
    </row>
    <row r="935" spans="1:1" x14ac:dyDescent="0.25">
      <c r="A935" s="5" t="s">
        <v>921</v>
      </c>
    </row>
    <row r="936" spans="1:1" x14ac:dyDescent="0.25">
      <c r="A936" s="6" t="s">
        <v>921</v>
      </c>
    </row>
    <row r="937" spans="1:1" x14ac:dyDescent="0.25">
      <c r="A937" s="5" t="s">
        <v>921</v>
      </c>
    </row>
    <row r="938" spans="1:1" x14ac:dyDescent="0.25">
      <c r="A938" s="6" t="s">
        <v>921</v>
      </c>
    </row>
    <row r="939" spans="1:1" x14ac:dyDescent="0.25">
      <c r="A939" s="5" t="s">
        <v>921</v>
      </c>
    </row>
    <row r="940" spans="1:1" x14ac:dyDescent="0.25">
      <c r="A940" s="6" t="s">
        <v>921</v>
      </c>
    </row>
    <row r="941" spans="1:1" x14ac:dyDescent="0.25">
      <c r="A941" s="5" t="s">
        <v>921</v>
      </c>
    </row>
    <row r="942" spans="1:1" x14ac:dyDescent="0.25">
      <c r="A942" s="6" t="s">
        <v>921</v>
      </c>
    </row>
    <row r="943" spans="1:1" x14ac:dyDescent="0.25">
      <c r="A943" s="5" t="s">
        <v>921</v>
      </c>
    </row>
    <row r="944" spans="1:1" x14ac:dyDescent="0.25">
      <c r="A944" s="6" t="s">
        <v>921</v>
      </c>
    </row>
    <row r="945" spans="1:1" x14ac:dyDescent="0.25">
      <c r="A945" s="5" t="s">
        <v>921</v>
      </c>
    </row>
    <row r="946" spans="1:1" x14ac:dyDescent="0.25">
      <c r="A946" s="6" t="s">
        <v>921</v>
      </c>
    </row>
    <row r="947" spans="1:1" x14ac:dyDescent="0.25">
      <c r="A947" s="5" t="s">
        <v>921</v>
      </c>
    </row>
    <row r="948" spans="1:1" x14ac:dyDescent="0.25">
      <c r="A948" s="6" t="s">
        <v>921</v>
      </c>
    </row>
    <row r="949" spans="1:1" x14ac:dyDescent="0.25">
      <c r="A949" s="5" t="s">
        <v>921</v>
      </c>
    </row>
    <row r="950" spans="1:1" x14ac:dyDescent="0.25">
      <c r="A950" s="6" t="s">
        <v>921</v>
      </c>
    </row>
    <row r="951" spans="1:1" x14ac:dyDescent="0.25">
      <c r="A951" s="5" t="s">
        <v>921</v>
      </c>
    </row>
    <row r="952" spans="1:1" x14ac:dyDescent="0.25">
      <c r="A952" s="6" t="s">
        <v>921</v>
      </c>
    </row>
    <row r="953" spans="1:1" x14ac:dyDescent="0.25">
      <c r="A953" s="5" t="s">
        <v>921</v>
      </c>
    </row>
    <row r="954" spans="1:1" x14ac:dyDescent="0.25">
      <c r="A954" s="6" t="s">
        <v>921</v>
      </c>
    </row>
    <row r="955" spans="1:1" x14ac:dyDescent="0.25">
      <c r="A955" s="5" t="s">
        <v>921</v>
      </c>
    </row>
    <row r="956" spans="1:1" x14ac:dyDescent="0.25">
      <c r="A956" s="6" t="s">
        <v>921</v>
      </c>
    </row>
    <row r="957" spans="1:1" x14ac:dyDescent="0.25">
      <c r="A957" s="5" t="s">
        <v>921</v>
      </c>
    </row>
    <row r="958" spans="1:1" x14ac:dyDescent="0.25">
      <c r="A958" s="6" t="s">
        <v>921</v>
      </c>
    </row>
    <row r="959" spans="1:1" x14ac:dyDescent="0.25">
      <c r="A959" s="5" t="s">
        <v>921</v>
      </c>
    </row>
    <row r="960" spans="1:1" x14ac:dyDescent="0.25">
      <c r="A960" s="6" t="s">
        <v>921</v>
      </c>
    </row>
    <row r="961" spans="1:1" x14ac:dyDescent="0.25">
      <c r="A961" s="5" t="s">
        <v>921</v>
      </c>
    </row>
    <row r="962" spans="1:1" x14ac:dyDescent="0.25">
      <c r="A962" s="6" t="s">
        <v>921</v>
      </c>
    </row>
    <row r="963" spans="1:1" x14ac:dyDescent="0.25">
      <c r="A963" s="5" t="s">
        <v>921</v>
      </c>
    </row>
    <row r="964" spans="1:1" x14ac:dyDescent="0.25">
      <c r="A964" s="6" t="s">
        <v>921</v>
      </c>
    </row>
    <row r="965" spans="1:1" x14ac:dyDescent="0.25">
      <c r="A965" s="5" t="s">
        <v>921</v>
      </c>
    </row>
    <row r="966" spans="1:1" x14ac:dyDescent="0.25">
      <c r="A966" s="6" t="s">
        <v>921</v>
      </c>
    </row>
    <row r="967" spans="1:1" x14ac:dyDescent="0.25">
      <c r="A967" s="5" t="s">
        <v>921</v>
      </c>
    </row>
    <row r="968" spans="1:1" x14ac:dyDescent="0.25">
      <c r="A968" s="6" t="s">
        <v>921</v>
      </c>
    </row>
    <row r="969" spans="1:1" x14ac:dyDescent="0.25">
      <c r="A969" s="5" t="s">
        <v>921</v>
      </c>
    </row>
    <row r="970" spans="1:1" x14ac:dyDescent="0.25">
      <c r="A970" s="6" t="s">
        <v>921</v>
      </c>
    </row>
    <row r="971" spans="1:1" x14ac:dyDescent="0.25">
      <c r="A971" s="5" t="s">
        <v>921</v>
      </c>
    </row>
    <row r="972" spans="1:1" x14ac:dyDescent="0.25">
      <c r="A972" s="6" t="s">
        <v>921</v>
      </c>
    </row>
    <row r="973" spans="1:1" x14ac:dyDescent="0.25">
      <c r="A973" s="5" t="s">
        <v>921</v>
      </c>
    </row>
    <row r="974" spans="1:1" x14ac:dyDescent="0.25">
      <c r="A974" s="6" t="s">
        <v>921</v>
      </c>
    </row>
    <row r="975" spans="1:1" x14ac:dyDescent="0.25">
      <c r="A975" s="5" t="s">
        <v>921</v>
      </c>
    </row>
    <row r="976" spans="1:1" x14ac:dyDescent="0.25">
      <c r="A976" s="6" t="s">
        <v>921</v>
      </c>
    </row>
    <row r="977" spans="1:1" x14ac:dyDescent="0.25">
      <c r="A977" s="5" t="s">
        <v>921</v>
      </c>
    </row>
    <row r="978" spans="1:1" x14ac:dyDescent="0.25">
      <c r="A978" s="6" t="s">
        <v>921</v>
      </c>
    </row>
    <row r="979" spans="1:1" x14ac:dyDescent="0.25">
      <c r="A979" s="5" t="s">
        <v>921</v>
      </c>
    </row>
    <row r="980" spans="1:1" x14ac:dyDescent="0.25">
      <c r="A980" s="6" t="s">
        <v>921</v>
      </c>
    </row>
    <row r="981" spans="1:1" x14ac:dyDescent="0.25">
      <c r="A981" s="5" t="s">
        <v>921</v>
      </c>
    </row>
    <row r="982" spans="1:1" x14ac:dyDescent="0.25">
      <c r="A982" s="6" t="s">
        <v>921</v>
      </c>
    </row>
    <row r="983" spans="1:1" x14ac:dyDescent="0.25">
      <c r="A983" s="5" t="s">
        <v>921</v>
      </c>
    </row>
    <row r="984" spans="1:1" x14ac:dyDescent="0.25">
      <c r="A984" s="6" t="s">
        <v>921</v>
      </c>
    </row>
    <row r="985" spans="1:1" x14ac:dyDescent="0.25">
      <c r="A985" s="5" t="s">
        <v>921</v>
      </c>
    </row>
    <row r="986" spans="1:1" x14ac:dyDescent="0.25">
      <c r="A986" s="6" t="s">
        <v>921</v>
      </c>
    </row>
    <row r="987" spans="1:1" x14ac:dyDescent="0.25">
      <c r="A987" s="5" t="s">
        <v>921</v>
      </c>
    </row>
    <row r="988" spans="1:1" x14ac:dyDescent="0.25">
      <c r="A988" s="6" t="s">
        <v>921</v>
      </c>
    </row>
    <row r="989" spans="1:1" x14ac:dyDescent="0.25">
      <c r="A989" s="5" t="s">
        <v>921</v>
      </c>
    </row>
    <row r="990" spans="1:1" x14ac:dyDescent="0.25">
      <c r="A990" s="6" t="s">
        <v>921</v>
      </c>
    </row>
    <row r="991" spans="1:1" x14ac:dyDescent="0.25">
      <c r="A991" s="5" t="s">
        <v>1097</v>
      </c>
    </row>
    <row r="992" spans="1:1" x14ac:dyDescent="0.25">
      <c r="A992" s="6" t="s">
        <v>922</v>
      </c>
    </row>
    <row r="993" spans="1:1" x14ac:dyDescent="0.25">
      <c r="A993" s="5" t="s">
        <v>922</v>
      </c>
    </row>
    <row r="994" spans="1:1" x14ac:dyDescent="0.25">
      <c r="A994" s="6" t="s">
        <v>922</v>
      </c>
    </row>
    <row r="995" spans="1:1" x14ac:dyDescent="0.25">
      <c r="A995" s="5" t="s">
        <v>922</v>
      </c>
    </row>
    <row r="996" spans="1:1" x14ac:dyDescent="0.25">
      <c r="A996" s="6" t="s">
        <v>922</v>
      </c>
    </row>
    <row r="997" spans="1:1" x14ac:dyDescent="0.25">
      <c r="A997" s="5" t="s">
        <v>922</v>
      </c>
    </row>
    <row r="998" spans="1:1" x14ac:dyDescent="0.25">
      <c r="A998" s="6" t="s">
        <v>922</v>
      </c>
    </row>
    <row r="999" spans="1:1" x14ac:dyDescent="0.25">
      <c r="A999" s="5" t="s">
        <v>922</v>
      </c>
    </row>
    <row r="1000" spans="1:1" x14ac:dyDescent="0.25">
      <c r="A1000" s="6" t="s">
        <v>922</v>
      </c>
    </row>
    <row r="1001" spans="1:1" x14ac:dyDescent="0.25">
      <c r="A1001" s="5" t="s">
        <v>922</v>
      </c>
    </row>
    <row r="1002" spans="1:1" x14ac:dyDescent="0.25">
      <c r="A1002" s="6" t="s">
        <v>922</v>
      </c>
    </row>
    <row r="1003" spans="1:1" x14ac:dyDescent="0.25">
      <c r="A1003" s="5" t="s">
        <v>922</v>
      </c>
    </row>
    <row r="1004" spans="1:1" x14ac:dyDescent="0.25">
      <c r="A1004" s="6" t="s">
        <v>922</v>
      </c>
    </row>
    <row r="1005" spans="1:1" x14ac:dyDescent="0.25">
      <c r="A1005" s="5" t="s">
        <v>922</v>
      </c>
    </row>
    <row r="1006" spans="1:1" x14ac:dyDescent="0.25">
      <c r="A1006" s="6" t="s">
        <v>922</v>
      </c>
    </row>
    <row r="1007" spans="1:1" x14ac:dyDescent="0.25">
      <c r="A1007" s="5" t="s">
        <v>922</v>
      </c>
    </row>
    <row r="1008" spans="1:1" x14ac:dyDescent="0.25">
      <c r="A1008" s="6" t="s">
        <v>922</v>
      </c>
    </row>
    <row r="1009" spans="1:1" x14ac:dyDescent="0.25">
      <c r="A1009" s="5" t="s">
        <v>922</v>
      </c>
    </row>
    <row r="1010" spans="1:1" x14ac:dyDescent="0.25">
      <c r="A1010" s="6" t="s">
        <v>922</v>
      </c>
    </row>
    <row r="1011" spans="1:1" x14ac:dyDescent="0.25">
      <c r="A1011" s="5" t="s">
        <v>929</v>
      </c>
    </row>
    <row r="1012" spans="1:1" x14ac:dyDescent="0.25">
      <c r="A1012" s="6" t="s">
        <v>929</v>
      </c>
    </row>
    <row r="1013" spans="1:1" x14ac:dyDescent="0.25">
      <c r="A1013" s="5" t="s">
        <v>929</v>
      </c>
    </row>
    <row r="1014" spans="1:1" x14ac:dyDescent="0.25">
      <c r="A1014" s="6" t="s">
        <v>929</v>
      </c>
    </row>
    <row r="1015" spans="1:1" x14ac:dyDescent="0.25">
      <c r="A1015" s="5" t="s">
        <v>929</v>
      </c>
    </row>
    <row r="1016" spans="1:1" x14ac:dyDescent="0.25">
      <c r="A1016" s="6" t="s">
        <v>929</v>
      </c>
    </row>
    <row r="1017" spans="1:1" x14ac:dyDescent="0.25">
      <c r="A1017" s="5" t="s">
        <v>929</v>
      </c>
    </row>
    <row r="1018" spans="1:1" x14ac:dyDescent="0.25">
      <c r="A1018" s="6" t="s">
        <v>929</v>
      </c>
    </row>
    <row r="1019" spans="1:1" x14ac:dyDescent="0.25">
      <c r="A1019" s="5" t="s">
        <v>929</v>
      </c>
    </row>
    <row r="1020" spans="1:1" x14ac:dyDescent="0.25">
      <c r="A1020" s="6" t="s">
        <v>929</v>
      </c>
    </row>
    <row r="1021" spans="1:1" x14ac:dyDescent="0.25">
      <c r="A1021" s="5" t="s">
        <v>929</v>
      </c>
    </row>
    <row r="1022" spans="1:1" x14ac:dyDescent="0.25">
      <c r="A1022" s="6" t="s">
        <v>929</v>
      </c>
    </row>
    <row r="1023" spans="1:1" x14ac:dyDescent="0.25">
      <c r="A1023" s="5" t="s">
        <v>945</v>
      </c>
    </row>
    <row r="1024" spans="1:1" x14ac:dyDescent="0.25">
      <c r="A1024" s="6" t="s">
        <v>945</v>
      </c>
    </row>
    <row r="1025" spans="1:1" x14ac:dyDescent="0.25">
      <c r="A1025" s="5" t="s">
        <v>993</v>
      </c>
    </row>
    <row r="1026" spans="1:1" x14ac:dyDescent="0.25">
      <c r="A1026" s="6" t="s">
        <v>993</v>
      </c>
    </row>
    <row r="1027" spans="1:1" x14ac:dyDescent="0.25">
      <c r="A1027" s="5" t="s">
        <v>1075</v>
      </c>
    </row>
    <row r="1028" spans="1:1" x14ac:dyDescent="0.25">
      <c r="A1028" s="6" t="s">
        <v>994</v>
      </c>
    </row>
    <row r="1029" spans="1:1" x14ac:dyDescent="0.25">
      <c r="A1029" s="5" t="s">
        <v>994</v>
      </c>
    </row>
    <row r="1030" spans="1:1" x14ac:dyDescent="0.25">
      <c r="A1030" s="6" t="s">
        <v>994</v>
      </c>
    </row>
    <row r="1031" spans="1:1" x14ac:dyDescent="0.25">
      <c r="A1031" s="5" t="s">
        <v>994</v>
      </c>
    </row>
    <row r="1032" spans="1:1" x14ac:dyDescent="0.25">
      <c r="A1032" s="6" t="s">
        <v>994</v>
      </c>
    </row>
    <row r="1033" spans="1:1" x14ac:dyDescent="0.25">
      <c r="A1033" s="5" t="s">
        <v>994</v>
      </c>
    </row>
    <row r="1034" spans="1:1" x14ac:dyDescent="0.25">
      <c r="A1034" s="6" t="s">
        <v>1048</v>
      </c>
    </row>
    <row r="1035" spans="1:1" x14ac:dyDescent="0.25">
      <c r="A1035" s="5" t="s">
        <v>1049</v>
      </c>
    </row>
    <row r="1036" spans="1:1" x14ac:dyDescent="0.25">
      <c r="A1036" s="6" t="s">
        <v>1037</v>
      </c>
    </row>
    <row r="1037" spans="1:1" x14ac:dyDescent="0.25">
      <c r="A1037" s="5" t="s">
        <v>1037</v>
      </c>
    </row>
    <row r="1038" spans="1:1" x14ac:dyDescent="0.25">
      <c r="A1038" s="6" t="s">
        <v>1033</v>
      </c>
    </row>
    <row r="1039" spans="1:1" x14ac:dyDescent="0.25">
      <c r="A1039" s="5" t="s">
        <v>1033</v>
      </c>
    </row>
    <row r="1040" spans="1:1" x14ac:dyDescent="0.25">
      <c r="A1040" s="6" t="s">
        <v>1033</v>
      </c>
    </row>
    <row r="1041" spans="1:1" x14ac:dyDescent="0.25">
      <c r="A1041" s="5" t="s">
        <v>1033</v>
      </c>
    </row>
    <row r="1042" spans="1:1" x14ac:dyDescent="0.25">
      <c r="A1042" s="6" t="s">
        <v>1094</v>
      </c>
    </row>
    <row r="1043" spans="1:1" x14ac:dyDescent="0.25">
      <c r="A1043" s="5" t="s">
        <v>1046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BDC5-5DC9-411E-92C2-14C93D796068}">
  <sheetPr codeName="Sheet13"/>
  <dimension ref="A1:A867"/>
  <sheetViews>
    <sheetView workbookViewId="0">
      <selection activeCell="F33" sqref="F33"/>
    </sheetView>
  </sheetViews>
  <sheetFormatPr defaultRowHeight="15" x14ac:dyDescent="0.25"/>
  <sheetData>
    <row r="1" spans="1:1" x14ac:dyDescent="0.25">
      <c r="A1" s="2" t="s">
        <v>1139</v>
      </c>
    </row>
    <row r="2" spans="1:1" x14ac:dyDescent="0.25">
      <c r="A2" s="2" t="s">
        <v>550</v>
      </c>
    </row>
    <row r="3" spans="1:1" x14ac:dyDescent="0.25">
      <c r="A3" s="3" t="s">
        <v>550</v>
      </c>
    </row>
    <row r="4" spans="1:1" x14ac:dyDescent="0.25">
      <c r="A4" s="2" t="s">
        <v>550</v>
      </c>
    </row>
    <row r="5" spans="1:1" x14ac:dyDescent="0.25">
      <c r="A5" s="3" t="s">
        <v>1001</v>
      </c>
    </row>
    <row r="6" spans="1:1" x14ac:dyDescent="0.25">
      <c r="A6" s="2" t="s">
        <v>925</v>
      </c>
    </row>
    <row r="7" spans="1:1" x14ac:dyDescent="0.25">
      <c r="A7" s="2" t="s">
        <v>941</v>
      </c>
    </row>
    <row r="8" spans="1:1" x14ac:dyDescent="0.25">
      <c r="A8" s="3" t="s">
        <v>941</v>
      </c>
    </row>
    <row r="9" spans="1:1" x14ac:dyDescent="0.25">
      <c r="A9" s="3" t="s">
        <v>964</v>
      </c>
    </row>
    <row r="10" spans="1:1" x14ac:dyDescent="0.25">
      <c r="A10" s="2" t="s">
        <v>964</v>
      </c>
    </row>
    <row r="11" spans="1:1" x14ac:dyDescent="0.25">
      <c r="A11" s="3" t="s">
        <v>964</v>
      </c>
    </row>
    <row r="12" spans="1:1" x14ac:dyDescent="0.25">
      <c r="A12" s="2" t="s">
        <v>964</v>
      </c>
    </row>
    <row r="13" spans="1:1" x14ac:dyDescent="0.25">
      <c r="A13" s="3" t="s">
        <v>964</v>
      </c>
    </row>
    <row r="14" spans="1:1" x14ac:dyDescent="0.25">
      <c r="A14" s="2" t="s">
        <v>996</v>
      </c>
    </row>
    <row r="15" spans="1:1" x14ac:dyDescent="0.25">
      <c r="A15" s="3" t="s">
        <v>1151</v>
      </c>
    </row>
    <row r="16" spans="1:1" x14ac:dyDescent="0.25">
      <c r="A16" s="2" t="s">
        <v>963</v>
      </c>
    </row>
    <row r="17" spans="1:1" x14ac:dyDescent="0.25">
      <c r="A17" s="3" t="s">
        <v>963</v>
      </c>
    </row>
    <row r="18" spans="1:1" x14ac:dyDescent="0.25">
      <c r="A18" s="2" t="s">
        <v>963</v>
      </c>
    </row>
    <row r="19" spans="1:1" x14ac:dyDescent="0.25">
      <c r="A19" s="2" t="s">
        <v>951</v>
      </c>
    </row>
    <row r="20" spans="1:1" x14ac:dyDescent="0.25">
      <c r="A20" s="3" t="s">
        <v>951</v>
      </c>
    </row>
    <row r="21" spans="1:1" x14ac:dyDescent="0.25">
      <c r="A21" s="2" t="s">
        <v>951</v>
      </c>
    </row>
    <row r="22" spans="1:1" x14ac:dyDescent="0.25">
      <c r="A22" s="3" t="s">
        <v>951</v>
      </c>
    </row>
    <row r="23" spans="1:1" x14ac:dyDescent="0.25">
      <c r="A23" s="2" t="s">
        <v>951</v>
      </c>
    </row>
    <row r="24" spans="1:1" x14ac:dyDescent="0.25">
      <c r="A24" s="3" t="s">
        <v>951</v>
      </c>
    </row>
    <row r="25" spans="1:1" x14ac:dyDescent="0.25">
      <c r="A25" s="2" t="s">
        <v>951</v>
      </c>
    </row>
    <row r="26" spans="1:1" x14ac:dyDescent="0.25">
      <c r="A26" s="3" t="s">
        <v>951</v>
      </c>
    </row>
    <row r="27" spans="1:1" x14ac:dyDescent="0.25">
      <c r="A27" s="2" t="s">
        <v>951</v>
      </c>
    </row>
    <row r="28" spans="1:1" x14ac:dyDescent="0.25">
      <c r="A28" s="3" t="s">
        <v>951</v>
      </c>
    </row>
    <row r="29" spans="1:1" x14ac:dyDescent="0.25">
      <c r="A29" s="2" t="s">
        <v>951</v>
      </c>
    </row>
    <row r="30" spans="1:1" x14ac:dyDescent="0.25">
      <c r="A30" s="3" t="s">
        <v>951</v>
      </c>
    </row>
    <row r="31" spans="1:1" x14ac:dyDescent="0.25">
      <c r="A31" s="2" t="s">
        <v>951</v>
      </c>
    </row>
    <row r="32" spans="1:1" x14ac:dyDescent="0.25">
      <c r="A32" s="3" t="s">
        <v>951</v>
      </c>
    </row>
    <row r="33" spans="1:1" x14ac:dyDescent="0.25">
      <c r="A33" s="2" t="s">
        <v>934</v>
      </c>
    </row>
    <row r="34" spans="1:1" x14ac:dyDescent="0.25">
      <c r="A34" s="3" t="s">
        <v>934</v>
      </c>
    </row>
    <row r="35" spans="1:1" x14ac:dyDescent="0.25">
      <c r="A35" s="2" t="s">
        <v>934</v>
      </c>
    </row>
    <row r="36" spans="1:1" x14ac:dyDescent="0.25">
      <c r="A36" s="3" t="s">
        <v>934</v>
      </c>
    </row>
    <row r="37" spans="1:1" x14ac:dyDescent="0.25">
      <c r="A37" s="2" t="s">
        <v>934</v>
      </c>
    </row>
    <row r="38" spans="1:1" x14ac:dyDescent="0.25">
      <c r="A38" s="3" t="s">
        <v>934</v>
      </c>
    </row>
    <row r="39" spans="1:1" x14ac:dyDescent="0.25">
      <c r="A39" s="2" t="s">
        <v>934</v>
      </c>
    </row>
    <row r="40" spans="1:1" x14ac:dyDescent="0.25">
      <c r="A40" s="3" t="s">
        <v>934</v>
      </c>
    </row>
    <row r="41" spans="1:1" x14ac:dyDescent="0.25">
      <c r="A41" s="2" t="s">
        <v>934</v>
      </c>
    </row>
    <row r="42" spans="1:1" x14ac:dyDescent="0.25">
      <c r="A42" s="3" t="s">
        <v>934</v>
      </c>
    </row>
    <row r="43" spans="1:1" x14ac:dyDescent="0.25">
      <c r="A43" s="2" t="s">
        <v>84</v>
      </c>
    </row>
    <row r="44" spans="1:1" x14ac:dyDescent="0.25">
      <c r="A44" s="3" t="s">
        <v>84</v>
      </c>
    </row>
    <row r="45" spans="1:1" x14ac:dyDescent="0.25">
      <c r="A45" s="2" t="s">
        <v>84</v>
      </c>
    </row>
    <row r="46" spans="1:1" x14ac:dyDescent="0.25">
      <c r="A46" s="3" t="s">
        <v>84</v>
      </c>
    </row>
    <row r="47" spans="1:1" x14ac:dyDescent="0.25">
      <c r="A47" s="2" t="s">
        <v>84</v>
      </c>
    </row>
    <row r="48" spans="1:1" x14ac:dyDescent="0.25">
      <c r="A48" s="3" t="s">
        <v>84</v>
      </c>
    </row>
    <row r="49" spans="1:1" x14ac:dyDescent="0.25">
      <c r="A49" s="3" t="s">
        <v>1154</v>
      </c>
    </row>
    <row r="50" spans="1:1" x14ac:dyDescent="0.25">
      <c r="A50" s="2" t="s">
        <v>948</v>
      </c>
    </row>
    <row r="51" spans="1:1" x14ac:dyDescent="0.25">
      <c r="A51" s="3" t="s">
        <v>948</v>
      </c>
    </row>
    <row r="52" spans="1:1" x14ac:dyDescent="0.25">
      <c r="A52" s="2" t="s">
        <v>948</v>
      </c>
    </row>
    <row r="53" spans="1:1" x14ac:dyDescent="0.25">
      <c r="A53" s="3" t="s">
        <v>1135</v>
      </c>
    </row>
    <row r="54" spans="1:1" x14ac:dyDescent="0.25">
      <c r="A54" s="2" t="s">
        <v>1159</v>
      </c>
    </row>
    <row r="55" spans="1:1" x14ac:dyDescent="0.25">
      <c r="A55" s="3" t="s">
        <v>750</v>
      </c>
    </row>
    <row r="56" spans="1:1" x14ac:dyDescent="0.25">
      <c r="A56" s="2" t="s">
        <v>750</v>
      </c>
    </row>
    <row r="57" spans="1:1" x14ac:dyDescent="0.25">
      <c r="A57" s="3" t="s">
        <v>750</v>
      </c>
    </row>
    <row r="58" spans="1:1" x14ac:dyDescent="0.25">
      <c r="A58" s="2" t="s">
        <v>750</v>
      </c>
    </row>
    <row r="59" spans="1:1" x14ac:dyDescent="0.25">
      <c r="A59" s="3" t="s">
        <v>750</v>
      </c>
    </row>
    <row r="60" spans="1:1" x14ac:dyDescent="0.25">
      <c r="A60" s="2" t="s">
        <v>750</v>
      </c>
    </row>
    <row r="61" spans="1:1" x14ac:dyDescent="0.25">
      <c r="A61" s="3" t="s">
        <v>750</v>
      </c>
    </row>
    <row r="62" spans="1:1" x14ac:dyDescent="0.25">
      <c r="A62" s="2" t="s">
        <v>750</v>
      </c>
    </row>
    <row r="63" spans="1:1" x14ac:dyDescent="0.25">
      <c r="A63" s="3" t="s">
        <v>750</v>
      </c>
    </row>
    <row r="64" spans="1:1" x14ac:dyDescent="0.25">
      <c r="A64" s="2" t="s">
        <v>750</v>
      </c>
    </row>
    <row r="65" spans="1:1" x14ac:dyDescent="0.25">
      <c r="A65" s="3" t="s">
        <v>750</v>
      </c>
    </row>
    <row r="66" spans="1:1" x14ac:dyDescent="0.25">
      <c r="A66" s="2" t="s">
        <v>750</v>
      </c>
    </row>
    <row r="67" spans="1:1" x14ac:dyDescent="0.25">
      <c r="A67" s="3" t="s">
        <v>750</v>
      </c>
    </row>
    <row r="68" spans="1:1" x14ac:dyDescent="0.25">
      <c r="A68" s="2" t="s">
        <v>750</v>
      </c>
    </row>
    <row r="69" spans="1:1" x14ac:dyDescent="0.25">
      <c r="A69" s="3" t="s">
        <v>750</v>
      </c>
    </row>
    <row r="70" spans="1:1" x14ac:dyDescent="0.25">
      <c r="A70" s="2" t="s">
        <v>750</v>
      </c>
    </row>
    <row r="71" spans="1:1" x14ac:dyDescent="0.25">
      <c r="A71" s="3" t="s">
        <v>750</v>
      </c>
    </row>
    <row r="72" spans="1:1" x14ac:dyDescent="0.25">
      <c r="A72" s="2" t="s">
        <v>750</v>
      </c>
    </row>
    <row r="73" spans="1:1" x14ac:dyDescent="0.25">
      <c r="A73" s="3" t="s">
        <v>750</v>
      </c>
    </row>
    <row r="74" spans="1:1" x14ac:dyDescent="0.25">
      <c r="A74" s="2" t="s">
        <v>750</v>
      </c>
    </row>
    <row r="75" spans="1:1" x14ac:dyDescent="0.25">
      <c r="A75" s="3" t="s">
        <v>750</v>
      </c>
    </row>
    <row r="76" spans="1:1" x14ac:dyDescent="0.25">
      <c r="A76" s="2" t="s">
        <v>750</v>
      </c>
    </row>
    <row r="77" spans="1:1" x14ac:dyDescent="0.25">
      <c r="A77" s="3" t="s">
        <v>750</v>
      </c>
    </row>
    <row r="78" spans="1:1" x14ac:dyDescent="0.25">
      <c r="A78" s="2" t="s">
        <v>750</v>
      </c>
    </row>
    <row r="79" spans="1:1" x14ac:dyDescent="0.25">
      <c r="A79" s="3" t="s">
        <v>750</v>
      </c>
    </row>
    <row r="80" spans="1:1" x14ac:dyDescent="0.25">
      <c r="A80" s="2" t="s">
        <v>750</v>
      </c>
    </row>
    <row r="81" spans="1:1" x14ac:dyDescent="0.25">
      <c r="A81" s="3" t="s">
        <v>750</v>
      </c>
    </row>
    <row r="82" spans="1:1" x14ac:dyDescent="0.25">
      <c r="A82" s="2" t="s">
        <v>750</v>
      </c>
    </row>
    <row r="83" spans="1:1" x14ac:dyDescent="0.25">
      <c r="A83" s="3" t="s">
        <v>750</v>
      </c>
    </row>
    <row r="84" spans="1:1" x14ac:dyDescent="0.25">
      <c r="A84" s="2" t="s">
        <v>750</v>
      </c>
    </row>
    <row r="85" spans="1:1" x14ac:dyDescent="0.25">
      <c r="A85" s="3" t="s">
        <v>750</v>
      </c>
    </row>
    <row r="86" spans="1:1" x14ac:dyDescent="0.25">
      <c r="A86" s="2" t="s">
        <v>750</v>
      </c>
    </row>
    <row r="87" spans="1:1" x14ac:dyDescent="0.25">
      <c r="A87" s="3" t="s">
        <v>750</v>
      </c>
    </row>
    <row r="88" spans="1:1" x14ac:dyDescent="0.25">
      <c r="A88" s="2" t="s">
        <v>750</v>
      </c>
    </row>
    <row r="89" spans="1:1" x14ac:dyDescent="0.25">
      <c r="A89" s="3" t="s">
        <v>750</v>
      </c>
    </row>
    <row r="90" spans="1:1" x14ac:dyDescent="0.25">
      <c r="A90" s="2" t="s">
        <v>750</v>
      </c>
    </row>
    <row r="91" spans="1:1" x14ac:dyDescent="0.25">
      <c r="A91" s="3" t="s">
        <v>750</v>
      </c>
    </row>
    <row r="92" spans="1:1" x14ac:dyDescent="0.25">
      <c r="A92" s="2" t="s">
        <v>750</v>
      </c>
    </row>
    <row r="93" spans="1:1" x14ac:dyDescent="0.25">
      <c r="A93" s="3" t="s">
        <v>750</v>
      </c>
    </row>
    <row r="94" spans="1:1" x14ac:dyDescent="0.25">
      <c r="A94" s="2" t="s">
        <v>750</v>
      </c>
    </row>
    <row r="95" spans="1:1" x14ac:dyDescent="0.25">
      <c r="A95" s="3" t="s">
        <v>750</v>
      </c>
    </row>
    <row r="96" spans="1:1" x14ac:dyDescent="0.25">
      <c r="A96" s="2" t="s">
        <v>750</v>
      </c>
    </row>
    <row r="97" spans="1:1" x14ac:dyDescent="0.25">
      <c r="A97" s="3" t="s">
        <v>750</v>
      </c>
    </row>
    <row r="98" spans="1:1" x14ac:dyDescent="0.25">
      <c r="A98" s="2" t="s">
        <v>750</v>
      </c>
    </row>
    <row r="99" spans="1:1" x14ac:dyDescent="0.25">
      <c r="A99" s="3" t="s">
        <v>750</v>
      </c>
    </row>
    <row r="100" spans="1:1" x14ac:dyDescent="0.25">
      <c r="A100" s="2" t="s">
        <v>750</v>
      </c>
    </row>
    <row r="101" spans="1:1" x14ac:dyDescent="0.25">
      <c r="A101" s="3" t="s">
        <v>750</v>
      </c>
    </row>
    <row r="102" spans="1:1" x14ac:dyDescent="0.25">
      <c r="A102" s="2" t="s">
        <v>750</v>
      </c>
    </row>
    <row r="103" spans="1:1" x14ac:dyDescent="0.25">
      <c r="A103" s="3" t="s">
        <v>750</v>
      </c>
    </row>
    <row r="104" spans="1:1" x14ac:dyDescent="0.25">
      <c r="A104" s="2" t="s">
        <v>750</v>
      </c>
    </row>
    <row r="105" spans="1:1" x14ac:dyDescent="0.25">
      <c r="A105" s="3" t="s">
        <v>750</v>
      </c>
    </row>
    <row r="106" spans="1:1" x14ac:dyDescent="0.25">
      <c r="A106" s="2" t="s">
        <v>750</v>
      </c>
    </row>
    <row r="107" spans="1:1" x14ac:dyDescent="0.25">
      <c r="A107" s="3" t="s">
        <v>750</v>
      </c>
    </row>
    <row r="108" spans="1:1" x14ac:dyDescent="0.25">
      <c r="A108" s="2" t="s">
        <v>750</v>
      </c>
    </row>
    <row r="109" spans="1:1" x14ac:dyDescent="0.25">
      <c r="A109" s="3" t="s">
        <v>750</v>
      </c>
    </row>
    <row r="110" spans="1:1" x14ac:dyDescent="0.25">
      <c r="A110" s="2" t="s">
        <v>750</v>
      </c>
    </row>
    <row r="111" spans="1:1" x14ac:dyDescent="0.25">
      <c r="A111" s="3" t="s">
        <v>750</v>
      </c>
    </row>
    <row r="112" spans="1:1" x14ac:dyDescent="0.25">
      <c r="A112" s="2" t="s">
        <v>1069</v>
      </c>
    </row>
    <row r="113" spans="1:1" x14ac:dyDescent="0.25">
      <c r="A113" s="3" t="s">
        <v>1069</v>
      </c>
    </row>
    <row r="114" spans="1:1" x14ac:dyDescent="0.25">
      <c r="A114" s="2" t="s">
        <v>1069</v>
      </c>
    </row>
    <row r="115" spans="1:1" x14ac:dyDescent="0.25">
      <c r="A115" s="2" t="s">
        <v>1142</v>
      </c>
    </row>
    <row r="116" spans="1:1" x14ac:dyDescent="0.25">
      <c r="A116" s="3" t="s">
        <v>1142</v>
      </c>
    </row>
    <row r="117" spans="1:1" x14ac:dyDescent="0.25">
      <c r="A117" s="2" t="s">
        <v>918</v>
      </c>
    </row>
    <row r="118" spans="1:1" x14ac:dyDescent="0.25">
      <c r="A118" s="3" t="s">
        <v>918</v>
      </c>
    </row>
    <row r="119" spans="1:1" x14ac:dyDescent="0.25">
      <c r="A119" s="2" t="s">
        <v>918</v>
      </c>
    </row>
    <row r="120" spans="1:1" x14ac:dyDescent="0.25">
      <c r="A120" s="3" t="s">
        <v>918</v>
      </c>
    </row>
    <row r="121" spans="1:1" x14ac:dyDescent="0.25">
      <c r="A121" s="2" t="s">
        <v>918</v>
      </c>
    </row>
    <row r="122" spans="1:1" x14ac:dyDescent="0.25">
      <c r="A122" s="3" t="s">
        <v>918</v>
      </c>
    </row>
    <row r="123" spans="1:1" x14ac:dyDescent="0.25">
      <c r="A123" s="2" t="s">
        <v>918</v>
      </c>
    </row>
    <row r="124" spans="1:1" x14ac:dyDescent="0.25">
      <c r="A124" s="3" t="s">
        <v>918</v>
      </c>
    </row>
    <row r="125" spans="1:1" x14ac:dyDescent="0.25">
      <c r="A125" s="2" t="s">
        <v>918</v>
      </c>
    </row>
    <row r="126" spans="1:1" x14ac:dyDescent="0.25">
      <c r="A126" s="3" t="s">
        <v>918</v>
      </c>
    </row>
    <row r="127" spans="1:1" x14ac:dyDescent="0.25">
      <c r="A127" s="2" t="s">
        <v>918</v>
      </c>
    </row>
    <row r="128" spans="1:1" x14ac:dyDescent="0.25">
      <c r="A128" s="3" t="s">
        <v>918</v>
      </c>
    </row>
    <row r="129" spans="1:1" x14ac:dyDescent="0.25">
      <c r="A129" s="2" t="s">
        <v>918</v>
      </c>
    </row>
    <row r="130" spans="1:1" x14ac:dyDescent="0.25">
      <c r="A130" s="3" t="s">
        <v>918</v>
      </c>
    </row>
    <row r="131" spans="1:1" x14ac:dyDescent="0.25">
      <c r="A131" s="2" t="s">
        <v>918</v>
      </c>
    </row>
    <row r="132" spans="1:1" x14ac:dyDescent="0.25">
      <c r="A132" s="3" t="s">
        <v>918</v>
      </c>
    </row>
    <row r="133" spans="1:1" x14ac:dyDescent="0.25">
      <c r="A133" s="2" t="s">
        <v>918</v>
      </c>
    </row>
    <row r="134" spans="1:1" x14ac:dyDescent="0.25">
      <c r="A134" s="3" t="s">
        <v>918</v>
      </c>
    </row>
    <row r="135" spans="1:1" x14ac:dyDescent="0.25">
      <c r="A135" s="3" t="s">
        <v>1051</v>
      </c>
    </row>
    <row r="136" spans="1:1" x14ac:dyDescent="0.25">
      <c r="A136" s="3" t="s">
        <v>1164</v>
      </c>
    </row>
    <row r="137" spans="1:1" x14ac:dyDescent="0.25">
      <c r="A137" s="2" t="s">
        <v>1164</v>
      </c>
    </row>
    <row r="138" spans="1:1" x14ac:dyDescent="0.25">
      <c r="A138" s="2" t="s">
        <v>1127</v>
      </c>
    </row>
    <row r="139" spans="1:1" x14ac:dyDescent="0.25">
      <c r="A139" s="3" t="s">
        <v>1166</v>
      </c>
    </row>
    <row r="140" spans="1:1" x14ac:dyDescent="0.25">
      <c r="A140" s="2" t="s">
        <v>1165</v>
      </c>
    </row>
    <row r="141" spans="1:1" x14ac:dyDescent="0.25">
      <c r="A141" s="3" t="s">
        <v>1160</v>
      </c>
    </row>
    <row r="142" spans="1:1" x14ac:dyDescent="0.25">
      <c r="A142" s="3" t="s">
        <v>1122</v>
      </c>
    </row>
    <row r="143" spans="1:1" x14ac:dyDescent="0.25">
      <c r="A143" s="2" t="s">
        <v>1122</v>
      </c>
    </row>
    <row r="144" spans="1:1" x14ac:dyDescent="0.25">
      <c r="A144" s="3" t="s">
        <v>1143</v>
      </c>
    </row>
    <row r="145" spans="1:1" x14ac:dyDescent="0.25">
      <c r="A145" s="2" t="s">
        <v>1143</v>
      </c>
    </row>
    <row r="146" spans="1:1" x14ac:dyDescent="0.25">
      <c r="A146" s="2" t="s">
        <v>1031</v>
      </c>
    </row>
    <row r="147" spans="1:1" x14ac:dyDescent="0.25">
      <c r="A147" s="3" t="s">
        <v>1158</v>
      </c>
    </row>
    <row r="148" spans="1:1" x14ac:dyDescent="0.25">
      <c r="A148" s="2" t="s">
        <v>1052</v>
      </c>
    </row>
    <row r="149" spans="1:1" x14ac:dyDescent="0.25">
      <c r="A149" s="2" t="s">
        <v>1149</v>
      </c>
    </row>
    <row r="150" spans="1:1" x14ac:dyDescent="0.25">
      <c r="A150" s="3" t="s">
        <v>1149</v>
      </c>
    </row>
    <row r="151" spans="1:1" x14ac:dyDescent="0.25">
      <c r="A151" s="3" t="s">
        <v>949</v>
      </c>
    </row>
    <row r="152" spans="1:1" x14ac:dyDescent="0.25">
      <c r="A152" s="2" t="s">
        <v>1130</v>
      </c>
    </row>
    <row r="153" spans="1:1" x14ac:dyDescent="0.25">
      <c r="A153" s="3" t="s">
        <v>1130</v>
      </c>
    </row>
    <row r="154" spans="1:1" x14ac:dyDescent="0.25">
      <c r="A154" s="2" t="s">
        <v>1130</v>
      </c>
    </row>
    <row r="155" spans="1:1" x14ac:dyDescent="0.25">
      <c r="A155" s="3" t="s">
        <v>1130</v>
      </c>
    </row>
    <row r="156" spans="1:1" x14ac:dyDescent="0.25">
      <c r="A156" s="2" t="s">
        <v>1130</v>
      </c>
    </row>
    <row r="157" spans="1:1" x14ac:dyDescent="0.25">
      <c r="A157" s="3" t="s">
        <v>1110</v>
      </c>
    </row>
    <row r="158" spans="1:1" x14ac:dyDescent="0.25">
      <c r="A158" s="2" t="s">
        <v>1110</v>
      </c>
    </row>
    <row r="159" spans="1:1" x14ac:dyDescent="0.25">
      <c r="A159" s="3" t="s">
        <v>1110</v>
      </c>
    </row>
    <row r="160" spans="1:1" x14ac:dyDescent="0.25">
      <c r="A160" s="2" t="s">
        <v>1110</v>
      </c>
    </row>
    <row r="161" spans="1:1" x14ac:dyDescent="0.25">
      <c r="A161" s="3" t="s">
        <v>1110</v>
      </c>
    </row>
    <row r="162" spans="1:1" x14ac:dyDescent="0.25">
      <c r="A162" s="2" t="s">
        <v>1110</v>
      </c>
    </row>
    <row r="163" spans="1:1" x14ac:dyDescent="0.25">
      <c r="A163" s="3" t="s">
        <v>1110</v>
      </c>
    </row>
    <row r="164" spans="1:1" x14ac:dyDescent="0.25">
      <c r="A164" s="2" t="s">
        <v>1131</v>
      </c>
    </row>
    <row r="165" spans="1:1" x14ac:dyDescent="0.25">
      <c r="A165" s="3" t="s">
        <v>1131</v>
      </c>
    </row>
    <row r="166" spans="1:1" x14ac:dyDescent="0.25">
      <c r="A166" s="2" t="s">
        <v>1131</v>
      </c>
    </row>
    <row r="167" spans="1:1" x14ac:dyDescent="0.25">
      <c r="A167" s="3" t="s">
        <v>1131</v>
      </c>
    </row>
    <row r="168" spans="1:1" x14ac:dyDescent="0.25">
      <c r="A168" s="2" t="s">
        <v>1131</v>
      </c>
    </row>
    <row r="169" spans="1:1" x14ac:dyDescent="0.25">
      <c r="A169" s="3" t="s">
        <v>1090</v>
      </c>
    </row>
    <row r="170" spans="1:1" x14ac:dyDescent="0.25">
      <c r="A170" s="2" t="s">
        <v>1090</v>
      </c>
    </row>
    <row r="171" spans="1:1" x14ac:dyDescent="0.25">
      <c r="A171" s="3" t="s">
        <v>1090</v>
      </c>
    </row>
    <row r="172" spans="1:1" x14ac:dyDescent="0.25">
      <c r="A172" s="2" t="s">
        <v>1090</v>
      </c>
    </row>
    <row r="173" spans="1:1" x14ac:dyDescent="0.25">
      <c r="A173" s="3" t="s">
        <v>1090</v>
      </c>
    </row>
    <row r="174" spans="1:1" x14ac:dyDescent="0.25">
      <c r="A174" s="2" t="s">
        <v>1090</v>
      </c>
    </row>
    <row r="175" spans="1:1" x14ac:dyDescent="0.25">
      <c r="A175" s="3" t="s">
        <v>1090</v>
      </c>
    </row>
    <row r="176" spans="1:1" x14ac:dyDescent="0.25">
      <c r="A176" s="2" t="s">
        <v>1090</v>
      </c>
    </row>
    <row r="177" spans="1:1" x14ac:dyDescent="0.25">
      <c r="A177" s="3" t="s">
        <v>1090</v>
      </c>
    </row>
    <row r="178" spans="1:1" x14ac:dyDescent="0.25">
      <c r="A178" s="3" t="s">
        <v>25</v>
      </c>
    </row>
    <row r="179" spans="1:1" x14ac:dyDescent="0.25">
      <c r="A179" s="2" t="s">
        <v>25</v>
      </c>
    </row>
    <row r="180" spans="1:1" x14ac:dyDescent="0.25">
      <c r="A180" s="3" t="s">
        <v>25</v>
      </c>
    </row>
    <row r="181" spans="1:1" x14ac:dyDescent="0.25">
      <c r="A181" s="2" t="s">
        <v>25</v>
      </c>
    </row>
    <row r="182" spans="1:1" x14ac:dyDescent="0.25">
      <c r="A182" s="3" t="s">
        <v>25</v>
      </c>
    </row>
    <row r="183" spans="1:1" x14ac:dyDescent="0.25">
      <c r="A183" s="2" t="s">
        <v>25</v>
      </c>
    </row>
    <row r="184" spans="1:1" x14ac:dyDescent="0.25">
      <c r="A184" s="3" t="s">
        <v>25</v>
      </c>
    </row>
    <row r="185" spans="1:1" x14ac:dyDescent="0.25">
      <c r="A185" s="2" t="s">
        <v>25</v>
      </c>
    </row>
    <row r="186" spans="1:1" x14ac:dyDescent="0.25">
      <c r="A186" s="3" t="s">
        <v>25</v>
      </c>
    </row>
    <row r="187" spans="1:1" x14ac:dyDescent="0.25">
      <c r="A187" s="2" t="s">
        <v>25</v>
      </c>
    </row>
    <row r="188" spans="1:1" x14ac:dyDescent="0.25">
      <c r="A188" s="3" t="s">
        <v>25</v>
      </c>
    </row>
    <row r="189" spans="1:1" x14ac:dyDescent="0.25">
      <c r="A189" s="2" t="s">
        <v>25</v>
      </c>
    </row>
    <row r="190" spans="1:1" x14ac:dyDescent="0.25">
      <c r="A190" s="3" t="s">
        <v>25</v>
      </c>
    </row>
    <row r="191" spans="1:1" x14ac:dyDescent="0.25">
      <c r="A191" s="2" t="s">
        <v>25</v>
      </c>
    </row>
    <row r="192" spans="1:1" x14ac:dyDescent="0.25">
      <c r="A192" s="3" t="s">
        <v>25</v>
      </c>
    </row>
    <row r="193" spans="1:1" x14ac:dyDescent="0.25">
      <c r="A193" s="2" t="s">
        <v>25</v>
      </c>
    </row>
    <row r="194" spans="1:1" x14ac:dyDescent="0.25">
      <c r="A194" s="3" t="s">
        <v>25</v>
      </c>
    </row>
    <row r="195" spans="1:1" x14ac:dyDescent="0.25">
      <c r="A195" s="2" t="s">
        <v>25</v>
      </c>
    </row>
    <row r="196" spans="1:1" x14ac:dyDescent="0.25">
      <c r="A196" s="3" t="s">
        <v>25</v>
      </c>
    </row>
    <row r="197" spans="1:1" x14ac:dyDescent="0.25">
      <c r="A197" s="2" t="s">
        <v>25</v>
      </c>
    </row>
    <row r="198" spans="1:1" x14ac:dyDescent="0.25">
      <c r="A198" s="3" t="s">
        <v>25</v>
      </c>
    </row>
    <row r="199" spans="1:1" x14ac:dyDescent="0.25">
      <c r="A199" s="2" t="s">
        <v>25</v>
      </c>
    </row>
    <row r="200" spans="1:1" x14ac:dyDescent="0.25">
      <c r="A200" s="3" t="s">
        <v>25</v>
      </c>
    </row>
    <row r="201" spans="1:1" x14ac:dyDescent="0.25">
      <c r="A201" s="2" t="s">
        <v>25</v>
      </c>
    </row>
    <row r="202" spans="1:1" x14ac:dyDescent="0.25">
      <c r="A202" s="3" t="s">
        <v>25</v>
      </c>
    </row>
    <row r="203" spans="1:1" x14ac:dyDescent="0.25">
      <c r="A203" s="2" t="s">
        <v>25</v>
      </c>
    </row>
    <row r="204" spans="1:1" x14ac:dyDescent="0.25">
      <c r="A204" s="3" t="s">
        <v>25</v>
      </c>
    </row>
    <row r="205" spans="1:1" x14ac:dyDescent="0.25">
      <c r="A205" s="2" t="s">
        <v>25</v>
      </c>
    </row>
    <row r="206" spans="1:1" x14ac:dyDescent="0.25">
      <c r="A206" s="3" t="s">
        <v>25</v>
      </c>
    </row>
    <row r="207" spans="1:1" x14ac:dyDescent="0.25">
      <c r="A207" s="2" t="s">
        <v>25</v>
      </c>
    </row>
    <row r="208" spans="1:1" x14ac:dyDescent="0.25">
      <c r="A208" s="3" t="s">
        <v>25</v>
      </c>
    </row>
    <row r="209" spans="1:1" x14ac:dyDescent="0.25">
      <c r="A209" s="2" t="s">
        <v>25</v>
      </c>
    </row>
    <row r="210" spans="1:1" x14ac:dyDescent="0.25">
      <c r="A210" s="3" t="s">
        <v>25</v>
      </c>
    </row>
    <row r="211" spans="1:1" x14ac:dyDescent="0.25">
      <c r="A211" s="2" t="s">
        <v>25</v>
      </c>
    </row>
    <row r="212" spans="1:1" x14ac:dyDescent="0.25">
      <c r="A212" s="3" t="s">
        <v>1148</v>
      </c>
    </row>
    <row r="213" spans="1:1" x14ac:dyDescent="0.25">
      <c r="A213" s="2" t="s">
        <v>1148</v>
      </c>
    </row>
    <row r="214" spans="1:1" x14ac:dyDescent="0.25">
      <c r="A214" s="2" t="s">
        <v>1070</v>
      </c>
    </row>
    <row r="215" spans="1:1" x14ac:dyDescent="0.25">
      <c r="A215" s="3" t="s">
        <v>1070</v>
      </c>
    </row>
    <row r="216" spans="1:1" x14ac:dyDescent="0.25">
      <c r="A216" s="2" t="s">
        <v>1070</v>
      </c>
    </row>
    <row r="217" spans="1:1" x14ac:dyDescent="0.25">
      <c r="A217" s="3" t="s">
        <v>923</v>
      </c>
    </row>
    <row r="218" spans="1:1" x14ac:dyDescent="0.25">
      <c r="A218" s="2" t="s">
        <v>923</v>
      </c>
    </row>
    <row r="219" spans="1:1" x14ac:dyDescent="0.25">
      <c r="A219" s="3" t="s">
        <v>923</v>
      </c>
    </row>
    <row r="220" spans="1:1" x14ac:dyDescent="0.25">
      <c r="A220" s="2" t="s">
        <v>923</v>
      </c>
    </row>
    <row r="221" spans="1:1" x14ac:dyDescent="0.25">
      <c r="A221" s="3" t="s">
        <v>923</v>
      </c>
    </row>
    <row r="222" spans="1:1" x14ac:dyDescent="0.25">
      <c r="A222" s="2" t="s">
        <v>923</v>
      </c>
    </row>
    <row r="223" spans="1:1" x14ac:dyDescent="0.25">
      <c r="A223" s="3" t="s">
        <v>923</v>
      </c>
    </row>
    <row r="224" spans="1:1" x14ac:dyDescent="0.25">
      <c r="A224" s="2" t="s">
        <v>923</v>
      </c>
    </row>
    <row r="225" spans="1:1" x14ac:dyDescent="0.25">
      <c r="A225" s="3" t="s">
        <v>923</v>
      </c>
    </row>
    <row r="226" spans="1:1" x14ac:dyDescent="0.25">
      <c r="A226" s="2" t="s">
        <v>923</v>
      </c>
    </row>
    <row r="227" spans="1:1" x14ac:dyDescent="0.25">
      <c r="A227" s="3" t="s">
        <v>923</v>
      </c>
    </row>
    <row r="228" spans="1:1" x14ac:dyDescent="0.25">
      <c r="A228" s="2" t="s">
        <v>923</v>
      </c>
    </row>
    <row r="229" spans="1:1" x14ac:dyDescent="0.25">
      <c r="A229" s="3" t="s">
        <v>923</v>
      </c>
    </row>
    <row r="230" spans="1:1" x14ac:dyDescent="0.25">
      <c r="A230" s="2" t="s">
        <v>923</v>
      </c>
    </row>
    <row r="231" spans="1:1" x14ac:dyDescent="0.25">
      <c r="A231" s="3" t="s">
        <v>923</v>
      </c>
    </row>
    <row r="232" spans="1:1" x14ac:dyDescent="0.25">
      <c r="A232" s="2" t="s">
        <v>923</v>
      </c>
    </row>
    <row r="233" spans="1:1" x14ac:dyDescent="0.25">
      <c r="A233" s="3" t="s">
        <v>923</v>
      </c>
    </row>
    <row r="234" spans="1:1" x14ac:dyDescent="0.25">
      <c r="A234" s="2" t="s">
        <v>923</v>
      </c>
    </row>
    <row r="235" spans="1:1" x14ac:dyDescent="0.25">
      <c r="A235" s="3" t="s">
        <v>923</v>
      </c>
    </row>
    <row r="236" spans="1:1" x14ac:dyDescent="0.25">
      <c r="A236" s="2" t="s">
        <v>923</v>
      </c>
    </row>
    <row r="237" spans="1:1" x14ac:dyDescent="0.25">
      <c r="A237" s="3" t="s">
        <v>923</v>
      </c>
    </row>
    <row r="238" spans="1:1" x14ac:dyDescent="0.25">
      <c r="A238" s="2" t="s">
        <v>923</v>
      </c>
    </row>
    <row r="239" spans="1:1" x14ac:dyDescent="0.25">
      <c r="A239" s="3" t="s">
        <v>923</v>
      </c>
    </row>
    <row r="240" spans="1:1" x14ac:dyDescent="0.25">
      <c r="A240" s="2" t="s">
        <v>923</v>
      </c>
    </row>
    <row r="241" spans="1:1" x14ac:dyDescent="0.25">
      <c r="A241" s="3" t="s">
        <v>923</v>
      </c>
    </row>
    <row r="242" spans="1:1" x14ac:dyDescent="0.25">
      <c r="A242" s="3" t="s">
        <v>997</v>
      </c>
    </row>
    <row r="243" spans="1:1" x14ac:dyDescent="0.25">
      <c r="A243" s="2" t="s">
        <v>997</v>
      </c>
    </row>
    <row r="244" spans="1:1" x14ac:dyDescent="0.25">
      <c r="A244" s="3" t="s">
        <v>997</v>
      </c>
    </row>
    <row r="245" spans="1:1" x14ac:dyDescent="0.25">
      <c r="A245" s="2" t="s">
        <v>997</v>
      </c>
    </row>
    <row r="246" spans="1:1" x14ac:dyDescent="0.25">
      <c r="A246" s="3" t="s">
        <v>927</v>
      </c>
    </row>
    <row r="247" spans="1:1" x14ac:dyDescent="0.25">
      <c r="A247" s="2" t="s">
        <v>927</v>
      </c>
    </row>
    <row r="248" spans="1:1" x14ac:dyDescent="0.25">
      <c r="A248" s="3" t="s">
        <v>927</v>
      </c>
    </row>
    <row r="249" spans="1:1" x14ac:dyDescent="0.25">
      <c r="A249" s="2" t="s">
        <v>927</v>
      </c>
    </row>
    <row r="250" spans="1:1" x14ac:dyDescent="0.25">
      <c r="A250" s="2" t="s">
        <v>1129</v>
      </c>
    </row>
    <row r="251" spans="1:1" x14ac:dyDescent="0.25">
      <c r="A251" s="3" t="s">
        <v>1129</v>
      </c>
    </row>
    <row r="252" spans="1:1" x14ac:dyDescent="0.25">
      <c r="A252" s="2" t="s">
        <v>1129</v>
      </c>
    </row>
    <row r="253" spans="1:1" x14ac:dyDescent="0.25">
      <c r="A253" s="3" t="s">
        <v>1129</v>
      </c>
    </row>
    <row r="254" spans="1:1" x14ac:dyDescent="0.25">
      <c r="A254" s="2" t="s">
        <v>1129</v>
      </c>
    </row>
    <row r="255" spans="1:1" x14ac:dyDescent="0.25">
      <c r="A255" s="3" t="s">
        <v>1129</v>
      </c>
    </row>
    <row r="256" spans="1:1" x14ac:dyDescent="0.25">
      <c r="A256" s="2" t="s">
        <v>1129</v>
      </c>
    </row>
    <row r="257" spans="1:1" x14ac:dyDescent="0.25">
      <c r="A257" s="3" t="s">
        <v>1129</v>
      </c>
    </row>
    <row r="258" spans="1:1" x14ac:dyDescent="0.25">
      <c r="A258" s="2" t="s">
        <v>1129</v>
      </c>
    </row>
    <row r="259" spans="1:1" x14ac:dyDescent="0.25">
      <c r="A259" s="3" t="s">
        <v>1129</v>
      </c>
    </row>
    <row r="260" spans="1:1" x14ac:dyDescent="0.25">
      <c r="A260" s="2" t="s">
        <v>1129</v>
      </c>
    </row>
    <row r="261" spans="1:1" x14ac:dyDescent="0.25">
      <c r="A261" s="3" t="s">
        <v>1129</v>
      </c>
    </row>
    <row r="262" spans="1:1" x14ac:dyDescent="0.25">
      <c r="A262" s="2" t="s">
        <v>1129</v>
      </c>
    </row>
    <row r="263" spans="1:1" x14ac:dyDescent="0.25">
      <c r="A263" s="3" t="s">
        <v>1129</v>
      </c>
    </row>
    <row r="264" spans="1:1" x14ac:dyDescent="0.25">
      <c r="A264" s="2" t="s">
        <v>1129</v>
      </c>
    </row>
    <row r="265" spans="1:1" x14ac:dyDescent="0.25">
      <c r="A265" s="3" t="s">
        <v>1129</v>
      </c>
    </row>
    <row r="266" spans="1:1" x14ac:dyDescent="0.25">
      <c r="A266" s="2" t="s">
        <v>1129</v>
      </c>
    </row>
    <row r="267" spans="1:1" x14ac:dyDescent="0.25">
      <c r="A267" s="3" t="s">
        <v>1129</v>
      </c>
    </row>
    <row r="268" spans="1:1" x14ac:dyDescent="0.25">
      <c r="A268" s="2" t="s">
        <v>1129</v>
      </c>
    </row>
    <row r="269" spans="1:1" x14ac:dyDescent="0.25">
      <c r="A269" s="3" t="s">
        <v>1129</v>
      </c>
    </row>
    <row r="270" spans="1:1" x14ac:dyDescent="0.25">
      <c r="A270" s="2" t="s">
        <v>1129</v>
      </c>
    </row>
    <row r="271" spans="1:1" x14ac:dyDescent="0.25">
      <c r="A271" s="3" t="s">
        <v>1129</v>
      </c>
    </row>
    <row r="272" spans="1:1" x14ac:dyDescent="0.25">
      <c r="A272" s="2" t="s">
        <v>1129</v>
      </c>
    </row>
    <row r="273" spans="1:1" x14ac:dyDescent="0.25">
      <c r="A273" s="3" t="s">
        <v>1129</v>
      </c>
    </row>
    <row r="274" spans="1:1" x14ac:dyDescent="0.25">
      <c r="A274" s="2" t="s">
        <v>1129</v>
      </c>
    </row>
    <row r="275" spans="1:1" x14ac:dyDescent="0.25">
      <c r="A275" s="3" t="s">
        <v>1129</v>
      </c>
    </row>
    <row r="276" spans="1:1" x14ac:dyDescent="0.25">
      <c r="A276" s="2" t="s">
        <v>1129</v>
      </c>
    </row>
    <row r="277" spans="1:1" x14ac:dyDescent="0.25">
      <c r="A277" s="3" t="s">
        <v>1129</v>
      </c>
    </row>
    <row r="278" spans="1:1" x14ac:dyDescent="0.25">
      <c r="A278" s="2" t="s">
        <v>1129</v>
      </c>
    </row>
    <row r="279" spans="1:1" x14ac:dyDescent="0.25">
      <c r="A279" s="3" t="s">
        <v>1129</v>
      </c>
    </row>
    <row r="280" spans="1:1" x14ac:dyDescent="0.25">
      <c r="A280" s="2" t="s">
        <v>1129</v>
      </c>
    </row>
    <row r="281" spans="1:1" x14ac:dyDescent="0.25">
      <c r="A281" s="3" t="s">
        <v>1129</v>
      </c>
    </row>
    <row r="282" spans="1:1" x14ac:dyDescent="0.25">
      <c r="A282" s="2" t="s">
        <v>1129</v>
      </c>
    </row>
    <row r="283" spans="1:1" x14ac:dyDescent="0.25">
      <c r="A283" s="3" t="s">
        <v>1129</v>
      </c>
    </row>
    <row r="284" spans="1:1" x14ac:dyDescent="0.25">
      <c r="A284" s="2" t="s">
        <v>1129</v>
      </c>
    </row>
    <row r="285" spans="1:1" x14ac:dyDescent="0.25">
      <c r="A285" s="3" t="s">
        <v>1129</v>
      </c>
    </row>
    <row r="286" spans="1:1" x14ac:dyDescent="0.25">
      <c r="A286" s="2" t="s">
        <v>1129</v>
      </c>
    </row>
    <row r="287" spans="1:1" x14ac:dyDescent="0.25">
      <c r="A287" s="3" t="s">
        <v>1129</v>
      </c>
    </row>
    <row r="288" spans="1:1" x14ac:dyDescent="0.25">
      <c r="A288" s="2" t="s">
        <v>1129</v>
      </c>
    </row>
    <row r="289" spans="1:1" x14ac:dyDescent="0.25">
      <c r="A289" s="3" t="s">
        <v>1129</v>
      </c>
    </row>
    <row r="290" spans="1:1" x14ac:dyDescent="0.25">
      <c r="A290" s="2" t="s">
        <v>1129</v>
      </c>
    </row>
    <row r="291" spans="1:1" x14ac:dyDescent="0.25">
      <c r="A291" s="3" t="s">
        <v>1129</v>
      </c>
    </row>
    <row r="292" spans="1:1" x14ac:dyDescent="0.25">
      <c r="A292" s="2" t="s">
        <v>1129</v>
      </c>
    </row>
    <row r="293" spans="1:1" x14ac:dyDescent="0.25">
      <c r="A293" s="3" t="s">
        <v>1129</v>
      </c>
    </row>
    <row r="294" spans="1:1" x14ac:dyDescent="0.25">
      <c r="A294" s="2" t="s">
        <v>1129</v>
      </c>
    </row>
    <row r="295" spans="1:1" x14ac:dyDescent="0.25">
      <c r="A295" s="3" t="s">
        <v>1129</v>
      </c>
    </row>
    <row r="296" spans="1:1" x14ac:dyDescent="0.25">
      <c r="A296" s="2" t="s">
        <v>1129</v>
      </c>
    </row>
    <row r="297" spans="1:1" x14ac:dyDescent="0.25">
      <c r="A297" s="3" t="s">
        <v>1129</v>
      </c>
    </row>
    <row r="298" spans="1:1" x14ac:dyDescent="0.25">
      <c r="A298" s="2" t="s">
        <v>1129</v>
      </c>
    </row>
    <row r="299" spans="1:1" x14ac:dyDescent="0.25">
      <c r="A299" s="3" t="s">
        <v>1136</v>
      </c>
    </row>
    <row r="300" spans="1:1" x14ac:dyDescent="0.25">
      <c r="A300" s="2" t="s">
        <v>1137</v>
      </c>
    </row>
    <row r="301" spans="1:1" x14ac:dyDescent="0.25">
      <c r="A301" s="3" t="s">
        <v>1167</v>
      </c>
    </row>
    <row r="302" spans="1:1" x14ac:dyDescent="0.25">
      <c r="A302" s="2" t="s">
        <v>1138</v>
      </c>
    </row>
    <row r="303" spans="1:1" x14ac:dyDescent="0.25">
      <c r="A303" s="3" t="s">
        <v>1155</v>
      </c>
    </row>
    <row r="304" spans="1:1" x14ac:dyDescent="0.25">
      <c r="A304" s="2" t="s">
        <v>1156</v>
      </c>
    </row>
    <row r="305" spans="1:1" x14ac:dyDescent="0.25">
      <c r="A305" s="3" t="s">
        <v>1119</v>
      </c>
    </row>
    <row r="306" spans="1:1" x14ac:dyDescent="0.25">
      <c r="A306" s="2" t="s">
        <v>1119</v>
      </c>
    </row>
    <row r="307" spans="1:1" x14ac:dyDescent="0.25">
      <c r="A307" s="3" t="s">
        <v>1119</v>
      </c>
    </row>
    <row r="308" spans="1:1" x14ac:dyDescent="0.25">
      <c r="A308" s="2" t="s">
        <v>1119</v>
      </c>
    </row>
    <row r="309" spans="1:1" x14ac:dyDescent="0.25">
      <c r="A309" s="3" t="s">
        <v>1119</v>
      </c>
    </row>
    <row r="310" spans="1:1" x14ac:dyDescent="0.25">
      <c r="A310" s="2" t="s">
        <v>1119</v>
      </c>
    </row>
    <row r="311" spans="1:1" x14ac:dyDescent="0.25">
      <c r="A311" s="3" t="s">
        <v>1119</v>
      </c>
    </row>
    <row r="312" spans="1:1" x14ac:dyDescent="0.25">
      <c r="A312" s="2" t="s">
        <v>1119</v>
      </c>
    </row>
    <row r="313" spans="1:1" x14ac:dyDescent="0.25">
      <c r="A313" s="3" t="s">
        <v>1119</v>
      </c>
    </row>
    <row r="314" spans="1:1" x14ac:dyDescent="0.25">
      <c r="A314" s="2" t="s">
        <v>1119</v>
      </c>
    </row>
    <row r="315" spans="1:1" x14ac:dyDescent="0.25">
      <c r="A315" s="3" t="s">
        <v>1119</v>
      </c>
    </row>
    <row r="316" spans="1:1" x14ac:dyDescent="0.25">
      <c r="A316" s="2" t="s">
        <v>1119</v>
      </c>
    </row>
    <row r="317" spans="1:1" x14ac:dyDescent="0.25">
      <c r="A317" s="3" t="s">
        <v>1119</v>
      </c>
    </row>
    <row r="318" spans="1:1" x14ac:dyDescent="0.25">
      <c r="A318" s="2" t="s">
        <v>1119</v>
      </c>
    </row>
    <row r="319" spans="1:1" x14ac:dyDescent="0.25">
      <c r="A319" s="3" t="s">
        <v>1119</v>
      </c>
    </row>
    <row r="320" spans="1:1" x14ac:dyDescent="0.25">
      <c r="A320" s="2" t="s">
        <v>1119</v>
      </c>
    </row>
    <row r="321" spans="1:1" x14ac:dyDescent="0.25">
      <c r="A321" s="3" t="s">
        <v>1119</v>
      </c>
    </row>
    <row r="322" spans="1:1" x14ac:dyDescent="0.25">
      <c r="A322" s="2" t="s">
        <v>1119</v>
      </c>
    </row>
    <row r="323" spans="1:1" x14ac:dyDescent="0.25">
      <c r="A323" s="3" t="s">
        <v>1119</v>
      </c>
    </row>
    <row r="324" spans="1:1" x14ac:dyDescent="0.25">
      <c r="A324" s="2" t="s">
        <v>1119</v>
      </c>
    </row>
    <row r="325" spans="1:1" x14ac:dyDescent="0.25">
      <c r="A325" s="3" t="s">
        <v>1119</v>
      </c>
    </row>
    <row r="326" spans="1:1" x14ac:dyDescent="0.25">
      <c r="A326" s="2" t="s">
        <v>1119</v>
      </c>
    </row>
    <row r="327" spans="1:1" x14ac:dyDescent="0.25">
      <c r="A327" s="3" t="s">
        <v>1119</v>
      </c>
    </row>
    <row r="328" spans="1:1" x14ac:dyDescent="0.25">
      <c r="A328" s="2" t="s">
        <v>1119</v>
      </c>
    </row>
    <row r="329" spans="1:1" x14ac:dyDescent="0.25">
      <c r="A329" s="3" t="s">
        <v>1119</v>
      </c>
    </row>
    <row r="330" spans="1:1" x14ac:dyDescent="0.25">
      <c r="A330" s="2" t="s">
        <v>1119</v>
      </c>
    </row>
    <row r="331" spans="1:1" x14ac:dyDescent="0.25">
      <c r="A331" s="3" t="s">
        <v>1119</v>
      </c>
    </row>
    <row r="332" spans="1:1" x14ac:dyDescent="0.25">
      <c r="A332" s="2" t="s">
        <v>1119</v>
      </c>
    </row>
    <row r="333" spans="1:1" x14ac:dyDescent="0.25">
      <c r="A333" s="3" t="s">
        <v>1119</v>
      </c>
    </row>
    <row r="334" spans="1:1" x14ac:dyDescent="0.25">
      <c r="A334" s="2" t="s">
        <v>1119</v>
      </c>
    </row>
    <row r="335" spans="1:1" x14ac:dyDescent="0.25">
      <c r="A335" s="3" t="s">
        <v>1119</v>
      </c>
    </row>
    <row r="336" spans="1:1" x14ac:dyDescent="0.25">
      <c r="A336" s="2" t="s">
        <v>1119</v>
      </c>
    </row>
    <row r="337" spans="1:1" x14ac:dyDescent="0.25">
      <c r="A337" s="3" t="s">
        <v>1119</v>
      </c>
    </row>
    <row r="338" spans="1:1" x14ac:dyDescent="0.25">
      <c r="A338" s="2" t="s">
        <v>1119</v>
      </c>
    </row>
    <row r="339" spans="1:1" x14ac:dyDescent="0.25">
      <c r="A339" s="3" t="s">
        <v>1119</v>
      </c>
    </row>
    <row r="340" spans="1:1" x14ac:dyDescent="0.25">
      <c r="A340" s="2" t="s">
        <v>1119</v>
      </c>
    </row>
    <row r="341" spans="1:1" x14ac:dyDescent="0.25">
      <c r="A341" s="3" t="s">
        <v>1119</v>
      </c>
    </row>
    <row r="342" spans="1:1" x14ac:dyDescent="0.25">
      <c r="A342" s="2" t="s">
        <v>1119</v>
      </c>
    </row>
    <row r="343" spans="1:1" x14ac:dyDescent="0.25">
      <c r="A343" s="3" t="s">
        <v>1119</v>
      </c>
    </row>
    <row r="344" spans="1:1" x14ac:dyDescent="0.25">
      <c r="A344" s="2" t="s">
        <v>1119</v>
      </c>
    </row>
    <row r="345" spans="1:1" x14ac:dyDescent="0.25">
      <c r="A345" s="3" t="s">
        <v>1119</v>
      </c>
    </row>
    <row r="346" spans="1:1" x14ac:dyDescent="0.25">
      <c r="A346" s="2" t="s">
        <v>1119</v>
      </c>
    </row>
    <row r="347" spans="1:1" x14ac:dyDescent="0.25">
      <c r="A347" s="3" t="s">
        <v>1119</v>
      </c>
    </row>
    <row r="348" spans="1:1" x14ac:dyDescent="0.25">
      <c r="A348" s="2" t="s">
        <v>1119</v>
      </c>
    </row>
    <row r="349" spans="1:1" x14ac:dyDescent="0.25">
      <c r="A349" s="3" t="s">
        <v>1119</v>
      </c>
    </row>
    <row r="350" spans="1:1" x14ac:dyDescent="0.25">
      <c r="A350" s="2" t="s">
        <v>1119</v>
      </c>
    </row>
    <row r="351" spans="1:1" x14ac:dyDescent="0.25">
      <c r="A351" s="3" t="s">
        <v>1119</v>
      </c>
    </row>
    <row r="352" spans="1:1" x14ac:dyDescent="0.25">
      <c r="A352" s="2" t="s">
        <v>1119</v>
      </c>
    </row>
    <row r="353" spans="1:1" x14ac:dyDescent="0.25">
      <c r="A353" s="3" t="s">
        <v>1119</v>
      </c>
    </row>
    <row r="354" spans="1:1" x14ac:dyDescent="0.25">
      <c r="A354" s="2" t="s">
        <v>1119</v>
      </c>
    </row>
    <row r="355" spans="1:1" x14ac:dyDescent="0.25">
      <c r="A355" s="3" t="s">
        <v>1119</v>
      </c>
    </row>
    <row r="356" spans="1:1" x14ac:dyDescent="0.25">
      <c r="A356" s="2" t="s">
        <v>1119</v>
      </c>
    </row>
    <row r="357" spans="1:1" x14ac:dyDescent="0.25">
      <c r="A357" s="3" t="s">
        <v>1119</v>
      </c>
    </row>
    <row r="358" spans="1:1" x14ac:dyDescent="0.25">
      <c r="A358" s="2" t="s">
        <v>1119</v>
      </c>
    </row>
    <row r="359" spans="1:1" x14ac:dyDescent="0.25">
      <c r="A359" s="3" t="s">
        <v>1119</v>
      </c>
    </row>
    <row r="360" spans="1:1" x14ac:dyDescent="0.25">
      <c r="A360" s="2" t="s">
        <v>1119</v>
      </c>
    </row>
    <row r="361" spans="1:1" x14ac:dyDescent="0.25">
      <c r="A361" s="3" t="s">
        <v>1119</v>
      </c>
    </row>
    <row r="362" spans="1:1" x14ac:dyDescent="0.25">
      <c r="A362" s="2" t="s">
        <v>1123</v>
      </c>
    </row>
    <row r="363" spans="1:1" x14ac:dyDescent="0.25">
      <c r="A363" s="2" t="s">
        <v>1125</v>
      </c>
    </row>
    <row r="364" spans="1:1" x14ac:dyDescent="0.25">
      <c r="A364" s="3" t="s">
        <v>1125</v>
      </c>
    </row>
    <row r="365" spans="1:1" x14ac:dyDescent="0.25">
      <c r="A365" s="2" t="s">
        <v>1125</v>
      </c>
    </row>
    <row r="366" spans="1:1" x14ac:dyDescent="0.25">
      <c r="A366" s="3" t="s">
        <v>1125</v>
      </c>
    </row>
    <row r="367" spans="1:1" x14ac:dyDescent="0.25">
      <c r="A367" s="2" t="s">
        <v>1125</v>
      </c>
    </row>
    <row r="368" spans="1:1" x14ac:dyDescent="0.25">
      <c r="A368" s="3" t="s">
        <v>1125</v>
      </c>
    </row>
    <row r="369" spans="1:1" x14ac:dyDescent="0.25">
      <c r="A369" s="2" t="s">
        <v>1125</v>
      </c>
    </row>
    <row r="370" spans="1:1" x14ac:dyDescent="0.25">
      <c r="A370" s="3" t="s">
        <v>1125</v>
      </c>
    </row>
    <row r="371" spans="1:1" x14ac:dyDescent="0.25">
      <c r="A371" s="2" t="s">
        <v>1125</v>
      </c>
    </row>
    <row r="372" spans="1:1" x14ac:dyDescent="0.25">
      <c r="A372" s="3" t="s">
        <v>1125</v>
      </c>
    </row>
    <row r="373" spans="1:1" x14ac:dyDescent="0.25">
      <c r="A373" s="2" t="s">
        <v>1125</v>
      </c>
    </row>
    <row r="374" spans="1:1" x14ac:dyDescent="0.25">
      <c r="A374" s="3" t="s">
        <v>1125</v>
      </c>
    </row>
    <row r="375" spans="1:1" x14ac:dyDescent="0.25">
      <c r="A375" s="2" t="s">
        <v>1125</v>
      </c>
    </row>
    <row r="376" spans="1:1" x14ac:dyDescent="0.25">
      <c r="A376" s="3" t="s">
        <v>1125</v>
      </c>
    </row>
    <row r="377" spans="1:1" x14ac:dyDescent="0.25">
      <c r="A377" s="2" t="s">
        <v>1125</v>
      </c>
    </row>
    <row r="378" spans="1:1" x14ac:dyDescent="0.25">
      <c r="A378" s="3" t="s">
        <v>1125</v>
      </c>
    </row>
    <row r="379" spans="1:1" x14ac:dyDescent="0.25">
      <c r="A379" s="2" t="s">
        <v>1150</v>
      </c>
    </row>
    <row r="380" spans="1:1" x14ac:dyDescent="0.25">
      <c r="A380" s="3" t="s">
        <v>1150</v>
      </c>
    </row>
    <row r="381" spans="1:1" x14ac:dyDescent="0.25">
      <c r="A381" s="2" t="s">
        <v>1157</v>
      </c>
    </row>
    <row r="382" spans="1:1" x14ac:dyDescent="0.25">
      <c r="A382" s="2" t="s">
        <v>1126</v>
      </c>
    </row>
    <row r="383" spans="1:1" x14ac:dyDescent="0.25">
      <c r="A383" s="3" t="s">
        <v>1126</v>
      </c>
    </row>
    <row r="384" spans="1:1" x14ac:dyDescent="0.25">
      <c r="A384" s="2" t="s">
        <v>1126</v>
      </c>
    </row>
    <row r="385" spans="1:1" x14ac:dyDescent="0.25">
      <c r="A385" s="3" t="s">
        <v>1126</v>
      </c>
    </row>
    <row r="386" spans="1:1" x14ac:dyDescent="0.25">
      <c r="A386" s="2" t="s">
        <v>1126</v>
      </c>
    </row>
    <row r="387" spans="1:1" x14ac:dyDescent="0.25">
      <c r="A387" s="3" t="s">
        <v>1126</v>
      </c>
    </row>
    <row r="388" spans="1:1" x14ac:dyDescent="0.25">
      <c r="A388" s="2" t="s">
        <v>1126</v>
      </c>
    </row>
    <row r="389" spans="1:1" x14ac:dyDescent="0.25">
      <c r="A389" s="3" t="s">
        <v>1126</v>
      </c>
    </row>
    <row r="390" spans="1:1" x14ac:dyDescent="0.25">
      <c r="A390" s="2" t="s">
        <v>1126</v>
      </c>
    </row>
    <row r="391" spans="1:1" x14ac:dyDescent="0.25">
      <c r="A391" s="3" t="s">
        <v>1126</v>
      </c>
    </row>
    <row r="392" spans="1:1" x14ac:dyDescent="0.25">
      <c r="A392" s="2" t="s">
        <v>1126</v>
      </c>
    </row>
    <row r="393" spans="1:1" x14ac:dyDescent="0.25">
      <c r="A393" s="3" t="s">
        <v>1126</v>
      </c>
    </row>
    <row r="394" spans="1:1" x14ac:dyDescent="0.25">
      <c r="A394" s="2" t="s">
        <v>1126</v>
      </c>
    </row>
    <row r="395" spans="1:1" x14ac:dyDescent="0.25">
      <c r="A395" s="3" t="s">
        <v>1126</v>
      </c>
    </row>
    <row r="396" spans="1:1" x14ac:dyDescent="0.25">
      <c r="A396" s="3" t="s">
        <v>1133</v>
      </c>
    </row>
    <row r="397" spans="1:1" x14ac:dyDescent="0.25">
      <c r="A397" s="2" t="s">
        <v>917</v>
      </c>
    </row>
    <row r="398" spans="1:1" x14ac:dyDescent="0.25">
      <c r="A398" s="3" t="s">
        <v>917</v>
      </c>
    </row>
    <row r="399" spans="1:1" x14ac:dyDescent="0.25">
      <c r="A399" s="2" t="s">
        <v>917</v>
      </c>
    </row>
    <row r="400" spans="1:1" x14ac:dyDescent="0.25">
      <c r="A400" s="3" t="s">
        <v>917</v>
      </c>
    </row>
    <row r="401" spans="1:1" x14ac:dyDescent="0.25">
      <c r="A401" s="2" t="s">
        <v>917</v>
      </c>
    </row>
    <row r="402" spans="1:1" x14ac:dyDescent="0.25">
      <c r="A402" s="3" t="s">
        <v>917</v>
      </c>
    </row>
    <row r="403" spans="1:1" x14ac:dyDescent="0.25">
      <c r="A403" s="2" t="s">
        <v>917</v>
      </c>
    </row>
    <row r="404" spans="1:1" x14ac:dyDescent="0.25">
      <c r="A404" s="3" t="s">
        <v>917</v>
      </c>
    </row>
    <row r="405" spans="1:1" x14ac:dyDescent="0.25">
      <c r="A405" s="2" t="s">
        <v>917</v>
      </c>
    </row>
    <row r="406" spans="1:1" x14ac:dyDescent="0.25">
      <c r="A406" s="3" t="s">
        <v>917</v>
      </c>
    </row>
    <row r="407" spans="1:1" x14ac:dyDescent="0.25">
      <c r="A407" s="2" t="s">
        <v>917</v>
      </c>
    </row>
    <row r="408" spans="1:1" x14ac:dyDescent="0.25">
      <c r="A408" s="3" t="s">
        <v>917</v>
      </c>
    </row>
    <row r="409" spans="1:1" x14ac:dyDescent="0.25">
      <c r="A409" s="2" t="s">
        <v>917</v>
      </c>
    </row>
    <row r="410" spans="1:1" x14ac:dyDescent="0.25">
      <c r="A410" s="3" t="s">
        <v>917</v>
      </c>
    </row>
    <row r="411" spans="1:1" x14ac:dyDescent="0.25">
      <c r="A411" s="2" t="s">
        <v>917</v>
      </c>
    </row>
    <row r="412" spans="1:1" x14ac:dyDescent="0.25">
      <c r="A412" s="2" t="s">
        <v>1140</v>
      </c>
    </row>
    <row r="413" spans="1:1" x14ac:dyDescent="0.25">
      <c r="A413" s="3" t="s">
        <v>1140</v>
      </c>
    </row>
    <row r="414" spans="1:1" x14ac:dyDescent="0.25">
      <c r="A414" s="2" t="s">
        <v>1140</v>
      </c>
    </row>
    <row r="415" spans="1:1" x14ac:dyDescent="0.25">
      <c r="A415" s="3" t="s">
        <v>1140</v>
      </c>
    </row>
    <row r="416" spans="1:1" x14ac:dyDescent="0.25">
      <c r="A416" s="2" t="s">
        <v>1140</v>
      </c>
    </row>
    <row r="417" spans="1:1" x14ac:dyDescent="0.25">
      <c r="A417" s="3" t="s">
        <v>1140</v>
      </c>
    </row>
    <row r="418" spans="1:1" x14ac:dyDescent="0.25">
      <c r="A418" s="3" t="s">
        <v>955</v>
      </c>
    </row>
    <row r="419" spans="1:1" x14ac:dyDescent="0.25">
      <c r="A419" s="2" t="s">
        <v>1128</v>
      </c>
    </row>
    <row r="420" spans="1:1" x14ac:dyDescent="0.25">
      <c r="A420" s="3" t="s">
        <v>916</v>
      </c>
    </row>
    <row r="421" spans="1:1" x14ac:dyDescent="0.25">
      <c r="A421" s="2" t="s">
        <v>1169</v>
      </c>
    </row>
    <row r="422" spans="1:1" x14ac:dyDescent="0.25">
      <c r="A422" s="3" t="s">
        <v>1163</v>
      </c>
    </row>
    <row r="423" spans="1:1" x14ac:dyDescent="0.25">
      <c r="A423" s="2" t="s">
        <v>734</v>
      </c>
    </row>
    <row r="424" spans="1:1" x14ac:dyDescent="0.25">
      <c r="A424" s="3" t="s">
        <v>734</v>
      </c>
    </row>
    <row r="425" spans="1:1" x14ac:dyDescent="0.25">
      <c r="A425" s="2" t="s">
        <v>734</v>
      </c>
    </row>
    <row r="426" spans="1:1" x14ac:dyDescent="0.25">
      <c r="A426" s="3" t="s">
        <v>734</v>
      </c>
    </row>
    <row r="427" spans="1:1" x14ac:dyDescent="0.25">
      <c r="A427" s="2" t="s">
        <v>734</v>
      </c>
    </row>
    <row r="428" spans="1:1" x14ac:dyDescent="0.25">
      <c r="A428" s="3" t="s">
        <v>734</v>
      </c>
    </row>
    <row r="429" spans="1:1" x14ac:dyDescent="0.25">
      <c r="A429" s="2" t="s">
        <v>734</v>
      </c>
    </row>
    <row r="430" spans="1:1" x14ac:dyDescent="0.25">
      <c r="A430" s="3" t="s">
        <v>734</v>
      </c>
    </row>
    <row r="431" spans="1:1" x14ac:dyDescent="0.25">
      <c r="A431" s="2" t="s">
        <v>734</v>
      </c>
    </row>
    <row r="432" spans="1:1" x14ac:dyDescent="0.25">
      <c r="A432" s="3" t="s">
        <v>734</v>
      </c>
    </row>
    <row r="433" spans="1:1" x14ac:dyDescent="0.25">
      <c r="A433" s="2" t="s">
        <v>734</v>
      </c>
    </row>
    <row r="434" spans="1:1" x14ac:dyDescent="0.25">
      <c r="A434" s="3" t="s">
        <v>734</v>
      </c>
    </row>
    <row r="435" spans="1:1" x14ac:dyDescent="0.25">
      <c r="A435" s="2" t="s">
        <v>734</v>
      </c>
    </row>
    <row r="436" spans="1:1" x14ac:dyDescent="0.25">
      <c r="A436" s="3" t="s">
        <v>734</v>
      </c>
    </row>
    <row r="437" spans="1:1" x14ac:dyDescent="0.25">
      <c r="A437" s="2" t="s">
        <v>734</v>
      </c>
    </row>
    <row r="438" spans="1:1" x14ac:dyDescent="0.25">
      <c r="A438" s="3" t="s">
        <v>1118</v>
      </c>
    </row>
    <row r="439" spans="1:1" x14ac:dyDescent="0.25">
      <c r="A439" s="2" t="s">
        <v>965</v>
      </c>
    </row>
    <row r="440" spans="1:1" x14ac:dyDescent="0.25">
      <c r="A440" s="3" t="s">
        <v>965</v>
      </c>
    </row>
    <row r="441" spans="1:1" x14ac:dyDescent="0.25">
      <c r="A441" s="2" t="s">
        <v>965</v>
      </c>
    </row>
    <row r="442" spans="1:1" x14ac:dyDescent="0.25">
      <c r="A442" s="2" t="s">
        <v>840</v>
      </c>
    </row>
    <row r="443" spans="1:1" x14ac:dyDescent="0.25">
      <c r="A443" s="3" t="s">
        <v>840</v>
      </c>
    </row>
    <row r="444" spans="1:1" x14ac:dyDescent="0.25">
      <c r="A444" s="2" t="s">
        <v>840</v>
      </c>
    </row>
    <row r="445" spans="1:1" x14ac:dyDescent="0.25">
      <c r="A445" s="3" t="s">
        <v>840</v>
      </c>
    </row>
    <row r="446" spans="1:1" x14ac:dyDescent="0.25">
      <c r="A446" s="2" t="s">
        <v>840</v>
      </c>
    </row>
    <row r="447" spans="1:1" x14ac:dyDescent="0.25">
      <c r="A447" s="3" t="s">
        <v>840</v>
      </c>
    </row>
    <row r="448" spans="1:1" x14ac:dyDescent="0.25">
      <c r="A448" s="2" t="s">
        <v>840</v>
      </c>
    </row>
    <row r="449" spans="1:1" x14ac:dyDescent="0.25">
      <c r="A449" s="3" t="s">
        <v>840</v>
      </c>
    </row>
    <row r="450" spans="1:1" x14ac:dyDescent="0.25">
      <c r="A450" s="2" t="s">
        <v>840</v>
      </c>
    </row>
    <row r="451" spans="1:1" x14ac:dyDescent="0.25">
      <c r="A451" s="3" t="s">
        <v>840</v>
      </c>
    </row>
    <row r="452" spans="1:1" x14ac:dyDescent="0.25">
      <c r="A452" s="2" t="s">
        <v>840</v>
      </c>
    </row>
    <row r="453" spans="1:1" x14ac:dyDescent="0.25">
      <c r="A453" s="3" t="s">
        <v>840</v>
      </c>
    </row>
    <row r="454" spans="1:1" x14ac:dyDescent="0.25">
      <c r="A454" s="2" t="s">
        <v>840</v>
      </c>
    </row>
    <row r="455" spans="1:1" x14ac:dyDescent="0.25">
      <c r="A455" s="3" t="s">
        <v>840</v>
      </c>
    </row>
    <row r="456" spans="1:1" x14ac:dyDescent="0.25">
      <c r="A456" s="2" t="s">
        <v>1086</v>
      </c>
    </row>
    <row r="457" spans="1:1" x14ac:dyDescent="0.25">
      <c r="A457" s="3" t="s">
        <v>1086</v>
      </c>
    </row>
    <row r="458" spans="1:1" x14ac:dyDescent="0.25">
      <c r="A458" s="3" t="s">
        <v>1034</v>
      </c>
    </row>
    <row r="459" spans="1:1" x14ac:dyDescent="0.25">
      <c r="A459" s="2" t="s">
        <v>928</v>
      </c>
    </row>
    <row r="460" spans="1:1" x14ac:dyDescent="0.25">
      <c r="A460" s="2" t="s">
        <v>1161</v>
      </c>
    </row>
    <row r="461" spans="1:1" x14ac:dyDescent="0.25">
      <c r="A461" s="3" t="s">
        <v>1161</v>
      </c>
    </row>
    <row r="462" spans="1:1" x14ac:dyDescent="0.25">
      <c r="A462" s="2" t="s">
        <v>1161</v>
      </c>
    </row>
    <row r="463" spans="1:1" x14ac:dyDescent="0.25">
      <c r="A463" s="3" t="s">
        <v>1161</v>
      </c>
    </row>
    <row r="464" spans="1:1" x14ac:dyDescent="0.25">
      <c r="A464" s="2" t="s">
        <v>1161</v>
      </c>
    </row>
    <row r="465" spans="1:1" x14ac:dyDescent="0.25">
      <c r="A465" s="3" t="s">
        <v>1161</v>
      </c>
    </row>
    <row r="466" spans="1:1" x14ac:dyDescent="0.25">
      <c r="A466" s="2" t="s">
        <v>1078</v>
      </c>
    </row>
    <row r="467" spans="1:1" x14ac:dyDescent="0.25">
      <c r="A467" s="3" t="s">
        <v>1078</v>
      </c>
    </row>
    <row r="468" spans="1:1" x14ac:dyDescent="0.25">
      <c r="A468" s="2" t="s">
        <v>1078</v>
      </c>
    </row>
    <row r="469" spans="1:1" x14ac:dyDescent="0.25">
      <c r="A469" s="3" t="s">
        <v>1078</v>
      </c>
    </row>
    <row r="470" spans="1:1" x14ac:dyDescent="0.25">
      <c r="A470" s="3" t="s">
        <v>1132</v>
      </c>
    </row>
    <row r="471" spans="1:1" x14ac:dyDescent="0.25">
      <c r="A471" s="2" t="s">
        <v>1132</v>
      </c>
    </row>
    <row r="472" spans="1:1" x14ac:dyDescent="0.25">
      <c r="A472" s="3" t="s">
        <v>1132</v>
      </c>
    </row>
    <row r="473" spans="1:1" x14ac:dyDescent="0.25">
      <c r="A473" s="2" t="s">
        <v>1132</v>
      </c>
    </row>
    <row r="474" spans="1:1" x14ac:dyDescent="0.25">
      <c r="A474" s="3" t="s">
        <v>1132</v>
      </c>
    </row>
    <row r="475" spans="1:1" x14ac:dyDescent="0.25">
      <c r="A475" s="2" t="s">
        <v>1132</v>
      </c>
    </row>
    <row r="476" spans="1:1" x14ac:dyDescent="0.25">
      <c r="A476" s="3" t="s">
        <v>1132</v>
      </c>
    </row>
    <row r="477" spans="1:1" x14ac:dyDescent="0.25">
      <c r="A477" s="2" t="s">
        <v>1132</v>
      </c>
    </row>
    <row r="478" spans="1:1" x14ac:dyDescent="0.25">
      <c r="A478" s="3" t="s">
        <v>1132</v>
      </c>
    </row>
    <row r="479" spans="1:1" x14ac:dyDescent="0.25">
      <c r="A479" s="2" t="s">
        <v>1132</v>
      </c>
    </row>
    <row r="480" spans="1:1" x14ac:dyDescent="0.25">
      <c r="A480" s="3" t="s">
        <v>1132</v>
      </c>
    </row>
    <row r="481" spans="1:1" x14ac:dyDescent="0.25">
      <c r="A481" s="2" t="s">
        <v>1132</v>
      </c>
    </row>
    <row r="482" spans="1:1" x14ac:dyDescent="0.25">
      <c r="A482" s="3" t="s">
        <v>1132</v>
      </c>
    </row>
    <row r="483" spans="1:1" x14ac:dyDescent="0.25">
      <c r="A483" s="2" t="s">
        <v>1124</v>
      </c>
    </row>
    <row r="484" spans="1:1" x14ac:dyDescent="0.25">
      <c r="A484" s="3" t="s">
        <v>1071</v>
      </c>
    </row>
    <row r="485" spans="1:1" x14ac:dyDescent="0.25">
      <c r="A485" s="3" t="s">
        <v>1144</v>
      </c>
    </row>
    <row r="486" spans="1:1" x14ac:dyDescent="0.25">
      <c r="A486" s="2" t="s">
        <v>1144</v>
      </c>
    </row>
    <row r="487" spans="1:1" x14ac:dyDescent="0.25">
      <c r="A487" s="2" t="s">
        <v>664</v>
      </c>
    </row>
    <row r="488" spans="1:1" x14ac:dyDescent="0.25">
      <c r="A488" s="3" t="s">
        <v>664</v>
      </c>
    </row>
    <row r="489" spans="1:1" x14ac:dyDescent="0.25">
      <c r="A489" s="2" t="s">
        <v>664</v>
      </c>
    </row>
    <row r="490" spans="1:1" x14ac:dyDescent="0.25">
      <c r="A490" s="3" t="s">
        <v>664</v>
      </c>
    </row>
    <row r="491" spans="1:1" x14ac:dyDescent="0.25">
      <c r="A491" s="2" t="s">
        <v>664</v>
      </c>
    </row>
    <row r="492" spans="1:1" x14ac:dyDescent="0.25">
      <c r="A492" s="2" t="s">
        <v>919</v>
      </c>
    </row>
    <row r="493" spans="1:1" x14ac:dyDescent="0.25">
      <c r="A493" s="3" t="s">
        <v>919</v>
      </c>
    </row>
    <row r="494" spans="1:1" x14ac:dyDescent="0.25">
      <c r="A494" s="2" t="s">
        <v>919</v>
      </c>
    </row>
    <row r="495" spans="1:1" x14ac:dyDescent="0.25">
      <c r="A495" s="3" t="s">
        <v>919</v>
      </c>
    </row>
    <row r="496" spans="1:1" x14ac:dyDescent="0.25">
      <c r="A496" s="2" t="s">
        <v>919</v>
      </c>
    </row>
    <row r="497" spans="1:1" x14ac:dyDescent="0.25">
      <c r="A497" s="3" t="s">
        <v>919</v>
      </c>
    </row>
    <row r="498" spans="1:1" x14ac:dyDescent="0.25">
      <c r="A498" s="2" t="s">
        <v>919</v>
      </c>
    </row>
    <row r="499" spans="1:1" x14ac:dyDescent="0.25">
      <c r="A499" s="3" t="s">
        <v>919</v>
      </c>
    </row>
    <row r="500" spans="1:1" x14ac:dyDescent="0.25">
      <c r="A500" s="2" t="s">
        <v>919</v>
      </c>
    </row>
    <row r="501" spans="1:1" x14ac:dyDescent="0.25">
      <c r="A501" s="3" t="s">
        <v>919</v>
      </c>
    </row>
    <row r="502" spans="1:1" x14ac:dyDescent="0.25">
      <c r="A502" s="2" t="s">
        <v>920</v>
      </c>
    </row>
    <row r="503" spans="1:1" x14ac:dyDescent="0.25">
      <c r="A503" s="3" t="s">
        <v>920</v>
      </c>
    </row>
    <row r="504" spans="1:1" x14ac:dyDescent="0.25">
      <c r="A504" s="2" t="s">
        <v>920</v>
      </c>
    </row>
    <row r="505" spans="1:1" x14ac:dyDescent="0.25">
      <c r="A505" s="3" t="s">
        <v>920</v>
      </c>
    </row>
    <row r="506" spans="1:1" x14ac:dyDescent="0.25">
      <c r="A506" s="2" t="s">
        <v>920</v>
      </c>
    </row>
    <row r="507" spans="1:1" x14ac:dyDescent="0.25">
      <c r="A507" s="3" t="s">
        <v>920</v>
      </c>
    </row>
    <row r="508" spans="1:1" x14ac:dyDescent="0.25">
      <c r="A508" s="2" t="s">
        <v>920</v>
      </c>
    </row>
    <row r="509" spans="1:1" x14ac:dyDescent="0.25">
      <c r="A509" s="3" t="s">
        <v>920</v>
      </c>
    </row>
    <row r="510" spans="1:1" x14ac:dyDescent="0.25">
      <c r="A510" s="2" t="s">
        <v>920</v>
      </c>
    </row>
    <row r="511" spans="1:1" x14ac:dyDescent="0.25">
      <c r="A511" s="3" t="s">
        <v>920</v>
      </c>
    </row>
    <row r="512" spans="1:1" x14ac:dyDescent="0.25">
      <c r="A512" s="2" t="s">
        <v>920</v>
      </c>
    </row>
    <row r="513" spans="1:1" x14ac:dyDescent="0.25">
      <c r="A513" s="3" t="s">
        <v>920</v>
      </c>
    </row>
    <row r="514" spans="1:1" x14ac:dyDescent="0.25">
      <c r="A514" s="2" t="s">
        <v>920</v>
      </c>
    </row>
    <row r="515" spans="1:1" x14ac:dyDescent="0.25">
      <c r="A515" s="3" t="s">
        <v>920</v>
      </c>
    </row>
    <row r="516" spans="1:1" x14ac:dyDescent="0.25">
      <c r="A516" s="2" t="s">
        <v>920</v>
      </c>
    </row>
    <row r="517" spans="1:1" x14ac:dyDescent="0.25">
      <c r="A517" s="3" t="s">
        <v>920</v>
      </c>
    </row>
    <row r="518" spans="1:1" x14ac:dyDescent="0.25">
      <c r="A518" s="2" t="s">
        <v>920</v>
      </c>
    </row>
    <row r="519" spans="1:1" x14ac:dyDescent="0.25">
      <c r="A519" s="3" t="s">
        <v>920</v>
      </c>
    </row>
    <row r="520" spans="1:1" x14ac:dyDescent="0.25">
      <c r="A520" s="2" t="s">
        <v>920</v>
      </c>
    </row>
    <row r="521" spans="1:1" x14ac:dyDescent="0.25">
      <c r="A521" s="3" t="s">
        <v>920</v>
      </c>
    </row>
    <row r="522" spans="1:1" x14ac:dyDescent="0.25">
      <c r="A522" s="2" t="s">
        <v>920</v>
      </c>
    </row>
    <row r="523" spans="1:1" x14ac:dyDescent="0.25">
      <c r="A523" s="3" t="s">
        <v>920</v>
      </c>
    </row>
    <row r="524" spans="1:1" x14ac:dyDescent="0.25">
      <c r="A524" s="2" t="s">
        <v>920</v>
      </c>
    </row>
    <row r="525" spans="1:1" x14ac:dyDescent="0.25">
      <c r="A525" s="3" t="s">
        <v>920</v>
      </c>
    </row>
    <row r="526" spans="1:1" x14ac:dyDescent="0.25">
      <c r="A526" s="2" t="s">
        <v>920</v>
      </c>
    </row>
    <row r="527" spans="1:1" x14ac:dyDescent="0.25">
      <c r="A527" s="3" t="s">
        <v>920</v>
      </c>
    </row>
    <row r="528" spans="1:1" x14ac:dyDescent="0.25">
      <c r="A528" s="2" t="s">
        <v>920</v>
      </c>
    </row>
    <row r="529" spans="1:1" x14ac:dyDescent="0.25">
      <c r="A529" s="3" t="s">
        <v>920</v>
      </c>
    </row>
    <row r="530" spans="1:1" x14ac:dyDescent="0.25">
      <c r="A530" s="2" t="s">
        <v>920</v>
      </c>
    </row>
    <row r="531" spans="1:1" x14ac:dyDescent="0.25">
      <c r="A531" s="3" t="s">
        <v>920</v>
      </c>
    </row>
    <row r="532" spans="1:1" x14ac:dyDescent="0.25">
      <c r="A532" s="3" t="s">
        <v>933</v>
      </c>
    </row>
    <row r="533" spans="1:1" x14ac:dyDescent="0.25">
      <c r="A533" s="2" t="s">
        <v>933</v>
      </c>
    </row>
    <row r="534" spans="1:1" x14ac:dyDescent="0.25">
      <c r="A534" s="3" t="s">
        <v>933</v>
      </c>
    </row>
    <row r="535" spans="1:1" x14ac:dyDescent="0.25">
      <c r="A535" s="2" t="s">
        <v>933</v>
      </c>
    </row>
    <row r="536" spans="1:1" x14ac:dyDescent="0.25">
      <c r="A536" s="3" t="s">
        <v>933</v>
      </c>
    </row>
    <row r="537" spans="1:1" x14ac:dyDescent="0.25">
      <c r="A537" s="2" t="s">
        <v>1113</v>
      </c>
    </row>
    <row r="538" spans="1:1" x14ac:dyDescent="0.25">
      <c r="A538" s="3" t="s">
        <v>924</v>
      </c>
    </row>
    <row r="539" spans="1:1" x14ac:dyDescent="0.25">
      <c r="A539" s="2" t="s">
        <v>924</v>
      </c>
    </row>
    <row r="540" spans="1:1" x14ac:dyDescent="0.25">
      <c r="A540" s="3" t="s">
        <v>924</v>
      </c>
    </row>
    <row r="541" spans="1:1" x14ac:dyDescent="0.25">
      <c r="A541" s="2" t="s">
        <v>924</v>
      </c>
    </row>
    <row r="542" spans="1:1" x14ac:dyDescent="0.25">
      <c r="A542" s="3" t="s">
        <v>924</v>
      </c>
    </row>
    <row r="543" spans="1:1" x14ac:dyDescent="0.25">
      <c r="A543" s="2" t="s">
        <v>924</v>
      </c>
    </row>
    <row r="544" spans="1:1" x14ac:dyDescent="0.25">
      <c r="A544" s="3" t="s">
        <v>924</v>
      </c>
    </row>
    <row r="545" spans="1:1" x14ac:dyDescent="0.25">
      <c r="A545" s="2" t="s">
        <v>936</v>
      </c>
    </row>
    <row r="546" spans="1:1" x14ac:dyDescent="0.25">
      <c r="A546" s="2" t="s">
        <v>954</v>
      </c>
    </row>
    <row r="547" spans="1:1" x14ac:dyDescent="0.25">
      <c r="A547" s="3" t="s">
        <v>954</v>
      </c>
    </row>
    <row r="548" spans="1:1" x14ac:dyDescent="0.25">
      <c r="A548" s="2" t="s">
        <v>954</v>
      </c>
    </row>
    <row r="549" spans="1:1" x14ac:dyDescent="0.25">
      <c r="A549" s="3" t="s">
        <v>954</v>
      </c>
    </row>
    <row r="550" spans="1:1" x14ac:dyDescent="0.25">
      <c r="A550" s="2" t="s">
        <v>954</v>
      </c>
    </row>
    <row r="551" spans="1:1" x14ac:dyDescent="0.25">
      <c r="A551" s="3" t="s">
        <v>954</v>
      </c>
    </row>
    <row r="552" spans="1:1" x14ac:dyDescent="0.25">
      <c r="A552" s="2" t="s">
        <v>954</v>
      </c>
    </row>
    <row r="553" spans="1:1" x14ac:dyDescent="0.25">
      <c r="A553" s="3" t="s">
        <v>954</v>
      </c>
    </row>
    <row r="554" spans="1:1" x14ac:dyDescent="0.25">
      <c r="A554" s="2" t="s">
        <v>954</v>
      </c>
    </row>
    <row r="555" spans="1:1" x14ac:dyDescent="0.25">
      <c r="A555" s="3" t="s">
        <v>954</v>
      </c>
    </row>
    <row r="556" spans="1:1" x14ac:dyDescent="0.25">
      <c r="A556" s="2" t="s">
        <v>954</v>
      </c>
    </row>
    <row r="557" spans="1:1" x14ac:dyDescent="0.25">
      <c r="A557" s="3" t="s">
        <v>954</v>
      </c>
    </row>
    <row r="558" spans="1:1" x14ac:dyDescent="0.25">
      <c r="A558" s="2" t="s">
        <v>954</v>
      </c>
    </row>
    <row r="559" spans="1:1" x14ac:dyDescent="0.25">
      <c r="A559" s="3" t="s">
        <v>954</v>
      </c>
    </row>
    <row r="560" spans="1:1" x14ac:dyDescent="0.25">
      <c r="A560" s="2" t="s">
        <v>954</v>
      </c>
    </row>
    <row r="561" spans="1:1" x14ac:dyDescent="0.25">
      <c r="A561" s="3" t="s">
        <v>954</v>
      </c>
    </row>
    <row r="562" spans="1:1" x14ac:dyDescent="0.25">
      <c r="A562" s="3" t="s">
        <v>974</v>
      </c>
    </row>
    <row r="563" spans="1:1" x14ac:dyDescent="0.25">
      <c r="A563" s="2" t="s">
        <v>974</v>
      </c>
    </row>
    <row r="564" spans="1:1" x14ac:dyDescent="0.25">
      <c r="A564" s="3" t="s">
        <v>974</v>
      </c>
    </row>
    <row r="565" spans="1:1" x14ac:dyDescent="0.25">
      <c r="A565" s="2" t="s">
        <v>974</v>
      </c>
    </row>
    <row r="566" spans="1:1" x14ac:dyDescent="0.25">
      <c r="A566" s="3" t="s">
        <v>974</v>
      </c>
    </row>
    <row r="567" spans="1:1" x14ac:dyDescent="0.25">
      <c r="A567" s="2" t="s">
        <v>974</v>
      </c>
    </row>
    <row r="568" spans="1:1" x14ac:dyDescent="0.25">
      <c r="A568" s="3" t="s">
        <v>974</v>
      </c>
    </row>
    <row r="569" spans="1:1" x14ac:dyDescent="0.25">
      <c r="A569" s="2" t="s">
        <v>974</v>
      </c>
    </row>
    <row r="570" spans="1:1" x14ac:dyDescent="0.25">
      <c r="A570" s="3" t="s">
        <v>974</v>
      </c>
    </row>
    <row r="571" spans="1:1" x14ac:dyDescent="0.25">
      <c r="A571" s="2" t="s">
        <v>974</v>
      </c>
    </row>
    <row r="572" spans="1:1" x14ac:dyDescent="0.25">
      <c r="A572" s="3" t="s">
        <v>974</v>
      </c>
    </row>
    <row r="573" spans="1:1" x14ac:dyDescent="0.25">
      <c r="A573" s="2" t="s">
        <v>974</v>
      </c>
    </row>
    <row r="574" spans="1:1" x14ac:dyDescent="0.25">
      <c r="A574" s="3" t="s">
        <v>974</v>
      </c>
    </row>
    <row r="575" spans="1:1" x14ac:dyDescent="0.25">
      <c r="A575" s="2" t="s">
        <v>974</v>
      </c>
    </row>
    <row r="576" spans="1:1" x14ac:dyDescent="0.25">
      <c r="A576" s="3" t="s">
        <v>974</v>
      </c>
    </row>
    <row r="577" spans="1:1" x14ac:dyDescent="0.25">
      <c r="A577" s="2" t="s">
        <v>509</v>
      </c>
    </row>
    <row r="578" spans="1:1" x14ac:dyDescent="0.25">
      <c r="A578" s="3" t="s">
        <v>509</v>
      </c>
    </row>
    <row r="579" spans="1:1" x14ac:dyDescent="0.25">
      <c r="A579" s="2" t="s">
        <v>509</v>
      </c>
    </row>
    <row r="580" spans="1:1" x14ac:dyDescent="0.25">
      <c r="A580" s="2" t="s">
        <v>512</v>
      </c>
    </row>
    <row r="581" spans="1:1" x14ac:dyDescent="0.25">
      <c r="A581" s="3" t="s">
        <v>512</v>
      </c>
    </row>
    <row r="582" spans="1:1" x14ac:dyDescent="0.25">
      <c r="A582" s="2" t="s">
        <v>512</v>
      </c>
    </row>
    <row r="583" spans="1:1" x14ac:dyDescent="0.25">
      <c r="A583" s="3" t="s">
        <v>512</v>
      </c>
    </row>
    <row r="584" spans="1:1" x14ac:dyDescent="0.25">
      <c r="A584" s="2" t="s">
        <v>732</v>
      </c>
    </row>
    <row r="585" spans="1:1" x14ac:dyDescent="0.25">
      <c r="A585" s="3" t="s">
        <v>732</v>
      </c>
    </row>
    <row r="586" spans="1:1" x14ac:dyDescent="0.25">
      <c r="A586" s="2" t="s">
        <v>732</v>
      </c>
    </row>
    <row r="587" spans="1:1" x14ac:dyDescent="0.25">
      <c r="A587" s="3" t="s">
        <v>732</v>
      </c>
    </row>
    <row r="588" spans="1:1" x14ac:dyDescent="0.25">
      <c r="A588" s="2" t="s">
        <v>732</v>
      </c>
    </row>
    <row r="589" spans="1:1" x14ac:dyDescent="0.25">
      <c r="A589" s="3" t="s">
        <v>732</v>
      </c>
    </row>
    <row r="590" spans="1:1" x14ac:dyDescent="0.25">
      <c r="A590" s="3" t="s">
        <v>1120</v>
      </c>
    </row>
    <row r="591" spans="1:1" x14ac:dyDescent="0.25">
      <c r="A591" s="2" t="s">
        <v>1120</v>
      </c>
    </row>
    <row r="592" spans="1:1" x14ac:dyDescent="0.25">
      <c r="A592" s="3" t="s">
        <v>1120</v>
      </c>
    </row>
    <row r="593" spans="1:1" x14ac:dyDescent="0.25">
      <c r="A593" s="2" t="s">
        <v>1120</v>
      </c>
    </row>
    <row r="594" spans="1:1" x14ac:dyDescent="0.25">
      <c r="A594" s="3" t="s">
        <v>1120</v>
      </c>
    </row>
    <row r="595" spans="1:1" x14ac:dyDescent="0.25">
      <c r="A595" s="2" t="s">
        <v>1120</v>
      </c>
    </row>
    <row r="596" spans="1:1" x14ac:dyDescent="0.25">
      <c r="A596" s="3" t="s">
        <v>1120</v>
      </c>
    </row>
    <row r="597" spans="1:1" x14ac:dyDescent="0.25">
      <c r="A597" s="2" t="s">
        <v>1120</v>
      </c>
    </row>
    <row r="598" spans="1:1" x14ac:dyDescent="0.25">
      <c r="A598" s="3" t="s">
        <v>1120</v>
      </c>
    </row>
    <row r="599" spans="1:1" x14ac:dyDescent="0.25">
      <c r="A599" s="2" t="s">
        <v>1120</v>
      </c>
    </row>
    <row r="600" spans="1:1" x14ac:dyDescent="0.25">
      <c r="A600" s="3" t="s">
        <v>1120</v>
      </c>
    </row>
    <row r="601" spans="1:1" x14ac:dyDescent="0.25">
      <c r="A601" s="2" t="s">
        <v>1120</v>
      </c>
    </row>
    <row r="602" spans="1:1" x14ac:dyDescent="0.25">
      <c r="A602" s="3" t="s">
        <v>1120</v>
      </c>
    </row>
    <row r="603" spans="1:1" x14ac:dyDescent="0.25">
      <c r="A603" s="2" t="s">
        <v>1120</v>
      </c>
    </row>
    <row r="604" spans="1:1" x14ac:dyDescent="0.25">
      <c r="A604" s="3" t="s">
        <v>1120</v>
      </c>
    </row>
    <row r="605" spans="1:1" x14ac:dyDescent="0.25">
      <c r="A605" s="2" t="s">
        <v>1120</v>
      </c>
    </row>
    <row r="606" spans="1:1" x14ac:dyDescent="0.25">
      <c r="A606" s="3" t="s">
        <v>1120</v>
      </c>
    </row>
    <row r="607" spans="1:1" x14ac:dyDescent="0.25">
      <c r="A607" s="2" t="s">
        <v>1120</v>
      </c>
    </row>
    <row r="608" spans="1:1" x14ac:dyDescent="0.25">
      <c r="A608" s="3" t="s">
        <v>1120</v>
      </c>
    </row>
    <row r="609" spans="1:1" x14ac:dyDescent="0.25">
      <c r="A609" s="2" t="s">
        <v>1120</v>
      </c>
    </row>
    <row r="610" spans="1:1" x14ac:dyDescent="0.25">
      <c r="A610" s="3" t="s">
        <v>1120</v>
      </c>
    </row>
    <row r="611" spans="1:1" x14ac:dyDescent="0.25">
      <c r="A611" s="2" t="s">
        <v>1120</v>
      </c>
    </row>
    <row r="612" spans="1:1" x14ac:dyDescent="0.25">
      <c r="A612" s="3" t="s">
        <v>1120</v>
      </c>
    </row>
    <row r="613" spans="1:1" x14ac:dyDescent="0.25">
      <c r="A613" s="3" t="s">
        <v>1014</v>
      </c>
    </row>
    <row r="614" spans="1:1" x14ac:dyDescent="0.25">
      <c r="A614" s="2" t="s">
        <v>1014</v>
      </c>
    </row>
    <row r="615" spans="1:1" x14ac:dyDescent="0.25">
      <c r="A615" s="2" t="s">
        <v>761</v>
      </c>
    </row>
    <row r="616" spans="1:1" x14ac:dyDescent="0.25">
      <c r="A616" s="3" t="s">
        <v>761</v>
      </c>
    </row>
    <row r="617" spans="1:1" x14ac:dyDescent="0.25">
      <c r="A617" s="2" t="s">
        <v>761</v>
      </c>
    </row>
    <row r="618" spans="1:1" x14ac:dyDescent="0.25">
      <c r="A618" s="3" t="s">
        <v>761</v>
      </c>
    </row>
    <row r="619" spans="1:1" x14ac:dyDescent="0.25">
      <c r="A619" s="2" t="s">
        <v>761</v>
      </c>
    </row>
    <row r="620" spans="1:1" x14ac:dyDescent="0.25">
      <c r="A620" s="3" t="s">
        <v>761</v>
      </c>
    </row>
    <row r="621" spans="1:1" x14ac:dyDescent="0.25">
      <c r="A621" s="2" t="s">
        <v>761</v>
      </c>
    </row>
    <row r="622" spans="1:1" x14ac:dyDescent="0.25">
      <c r="A622" s="3" t="s">
        <v>761</v>
      </c>
    </row>
    <row r="623" spans="1:1" x14ac:dyDescent="0.25">
      <c r="A623" s="2" t="s">
        <v>761</v>
      </c>
    </row>
    <row r="624" spans="1:1" x14ac:dyDescent="0.25">
      <c r="A624" s="3" t="s">
        <v>761</v>
      </c>
    </row>
    <row r="625" spans="1:1" x14ac:dyDescent="0.25">
      <c r="A625" s="2" t="s">
        <v>761</v>
      </c>
    </row>
    <row r="626" spans="1:1" x14ac:dyDescent="0.25">
      <c r="A626" s="3" t="s">
        <v>761</v>
      </c>
    </row>
    <row r="627" spans="1:1" x14ac:dyDescent="0.25">
      <c r="A627" s="2" t="s">
        <v>761</v>
      </c>
    </row>
    <row r="628" spans="1:1" x14ac:dyDescent="0.25">
      <c r="A628" s="3" t="s">
        <v>761</v>
      </c>
    </row>
    <row r="629" spans="1:1" x14ac:dyDescent="0.25">
      <c r="A629" s="2" t="s">
        <v>761</v>
      </c>
    </row>
    <row r="630" spans="1:1" x14ac:dyDescent="0.25">
      <c r="A630" s="3" t="s">
        <v>761</v>
      </c>
    </row>
    <row r="631" spans="1:1" x14ac:dyDescent="0.25">
      <c r="A631" s="2" t="s">
        <v>761</v>
      </c>
    </row>
    <row r="632" spans="1:1" x14ac:dyDescent="0.25">
      <c r="A632" s="3" t="s">
        <v>761</v>
      </c>
    </row>
    <row r="633" spans="1:1" x14ac:dyDescent="0.25">
      <c r="A633" s="2" t="s">
        <v>761</v>
      </c>
    </row>
    <row r="634" spans="1:1" x14ac:dyDescent="0.25">
      <c r="A634" s="3" t="s">
        <v>761</v>
      </c>
    </row>
    <row r="635" spans="1:1" x14ac:dyDescent="0.25">
      <c r="A635" s="2" t="s">
        <v>761</v>
      </c>
    </row>
    <row r="636" spans="1:1" x14ac:dyDescent="0.25">
      <c r="A636" s="3" t="s">
        <v>761</v>
      </c>
    </row>
    <row r="637" spans="1:1" x14ac:dyDescent="0.25">
      <c r="A637" s="2" t="s">
        <v>761</v>
      </c>
    </row>
    <row r="638" spans="1:1" x14ac:dyDescent="0.25">
      <c r="A638" s="3" t="s">
        <v>761</v>
      </c>
    </row>
    <row r="639" spans="1:1" x14ac:dyDescent="0.25">
      <c r="A639" s="2" t="s">
        <v>761</v>
      </c>
    </row>
    <row r="640" spans="1:1" x14ac:dyDescent="0.25">
      <c r="A640" s="3" t="s">
        <v>761</v>
      </c>
    </row>
    <row r="641" spans="1:1" x14ac:dyDescent="0.25">
      <c r="A641" s="2" t="s">
        <v>761</v>
      </c>
    </row>
    <row r="642" spans="1:1" x14ac:dyDescent="0.25">
      <c r="A642" s="3" t="s">
        <v>761</v>
      </c>
    </row>
    <row r="643" spans="1:1" x14ac:dyDescent="0.25">
      <c r="A643" s="2" t="s">
        <v>761</v>
      </c>
    </row>
    <row r="644" spans="1:1" x14ac:dyDescent="0.25">
      <c r="A644" s="3" t="s">
        <v>761</v>
      </c>
    </row>
    <row r="645" spans="1:1" x14ac:dyDescent="0.25">
      <c r="A645" s="2" t="s">
        <v>761</v>
      </c>
    </row>
    <row r="646" spans="1:1" x14ac:dyDescent="0.25">
      <c r="A646" s="3" t="s">
        <v>761</v>
      </c>
    </row>
    <row r="647" spans="1:1" x14ac:dyDescent="0.25">
      <c r="A647" s="2" t="s">
        <v>761</v>
      </c>
    </row>
    <row r="648" spans="1:1" x14ac:dyDescent="0.25">
      <c r="A648" s="3" t="s">
        <v>761</v>
      </c>
    </row>
    <row r="649" spans="1:1" x14ac:dyDescent="0.25">
      <c r="A649" s="2" t="s">
        <v>761</v>
      </c>
    </row>
    <row r="650" spans="1:1" x14ac:dyDescent="0.25">
      <c r="A650" s="3" t="s">
        <v>761</v>
      </c>
    </row>
    <row r="651" spans="1:1" x14ac:dyDescent="0.25">
      <c r="A651" s="2" t="s">
        <v>761</v>
      </c>
    </row>
    <row r="652" spans="1:1" x14ac:dyDescent="0.25">
      <c r="A652" s="3" t="s">
        <v>761</v>
      </c>
    </row>
    <row r="653" spans="1:1" x14ac:dyDescent="0.25">
      <c r="A653" s="2" t="s">
        <v>761</v>
      </c>
    </row>
    <row r="654" spans="1:1" x14ac:dyDescent="0.25">
      <c r="A654" s="3" t="s">
        <v>761</v>
      </c>
    </row>
    <row r="655" spans="1:1" x14ac:dyDescent="0.25">
      <c r="A655" s="2" t="s">
        <v>761</v>
      </c>
    </row>
    <row r="656" spans="1:1" x14ac:dyDescent="0.25">
      <c r="A656" s="3" t="s">
        <v>761</v>
      </c>
    </row>
    <row r="657" spans="1:1" x14ac:dyDescent="0.25">
      <c r="A657" s="2" t="s">
        <v>761</v>
      </c>
    </row>
    <row r="658" spans="1:1" x14ac:dyDescent="0.25">
      <c r="A658" s="3" t="s">
        <v>761</v>
      </c>
    </row>
    <row r="659" spans="1:1" x14ac:dyDescent="0.25">
      <c r="A659" s="2" t="s">
        <v>761</v>
      </c>
    </row>
    <row r="660" spans="1:1" x14ac:dyDescent="0.25">
      <c r="A660" s="3" t="s">
        <v>761</v>
      </c>
    </row>
    <row r="661" spans="1:1" x14ac:dyDescent="0.25">
      <c r="A661" s="2" t="s">
        <v>761</v>
      </c>
    </row>
    <row r="662" spans="1:1" x14ac:dyDescent="0.25">
      <c r="A662" s="3" t="s">
        <v>761</v>
      </c>
    </row>
    <row r="663" spans="1:1" x14ac:dyDescent="0.25">
      <c r="A663" s="2" t="s">
        <v>761</v>
      </c>
    </row>
    <row r="664" spans="1:1" x14ac:dyDescent="0.25">
      <c r="A664" s="3" t="s">
        <v>761</v>
      </c>
    </row>
    <row r="665" spans="1:1" x14ac:dyDescent="0.25">
      <c r="A665" s="2" t="s">
        <v>761</v>
      </c>
    </row>
    <row r="666" spans="1:1" x14ac:dyDescent="0.25">
      <c r="A666" s="3" t="s">
        <v>761</v>
      </c>
    </row>
    <row r="667" spans="1:1" x14ac:dyDescent="0.25">
      <c r="A667" s="2" t="s">
        <v>761</v>
      </c>
    </row>
    <row r="668" spans="1:1" x14ac:dyDescent="0.25">
      <c r="A668" s="3" t="s">
        <v>761</v>
      </c>
    </row>
    <row r="669" spans="1:1" x14ac:dyDescent="0.25">
      <c r="A669" s="2" t="s">
        <v>761</v>
      </c>
    </row>
    <row r="670" spans="1:1" x14ac:dyDescent="0.25">
      <c r="A670" s="3" t="s">
        <v>761</v>
      </c>
    </row>
    <row r="671" spans="1:1" x14ac:dyDescent="0.25">
      <c r="A671" s="2" t="s">
        <v>761</v>
      </c>
    </row>
    <row r="672" spans="1:1" x14ac:dyDescent="0.25">
      <c r="A672" s="3" t="s">
        <v>761</v>
      </c>
    </row>
    <row r="673" spans="1:1" x14ac:dyDescent="0.25">
      <c r="A673" s="2" t="s">
        <v>761</v>
      </c>
    </row>
    <row r="674" spans="1:1" x14ac:dyDescent="0.25">
      <c r="A674" s="3" t="s">
        <v>761</v>
      </c>
    </row>
    <row r="675" spans="1:1" x14ac:dyDescent="0.25">
      <c r="A675" s="2" t="s">
        <v>761</v>
      </c>
    </row>
    <row r="676" spans="1:1" x14ac:dyDescent="0.25">
      <c r="A676" s="3" t="s">
        <v>761</v>
      </c>
    </row>
    <row r="677" spans="1:1" x14ac:dyDescent="0.25">
      <c r="A677" s="2" t="s">
        <v>761</v>
      </c>
    </row>
    <row r="678" spans="1:1" x14ac:dyDescent="0.25">
      <c r="A678" s="3" t="s">
        <v>1054</v>
      </c>
    </row>
    <row r="679" spans="1:1" x14ac:dyDescent="0.25">
      <c r="A679" s="2" t="s">
        <v>1134</v>
      </c>
    </row>
    <row r="680" spans="1:1" x14ac:dyDescent="0.25">
      <c r="A680" s="2" t="s">
        <v>1141</v>
      </c>
    </row>
    <row r="681" spans="1:1" x14ac:dyDescent="0.25">
      <c r="A681" s="3" t="s">
        <v>1141</v>
      </c>
    </row>
    <row r="682" spans="1:1" x14ac:dyDescent="0.25">
      <c r="A682" s="2" t="s">
        <v>1141</v>
      </c>
    </row>
    <row r="683" spans="1:1" x14ac:dyDescent="0.25">
      <c r="A683" s="3" t="s">
        <v>1141</v>
      </c>
    </row>
    <row r="684" spans="1:1" x14ac:dyDescent="0.25">
      <c r="A684" s="2" t="s">
        <v>328</v>
      </c>
    </row>
    <row r="685" spans="1:1" x14ac:dyDescent="0.25">
      <c r="A685" s="3" t="s">
        <v>328</v>
      </c>
    </row>
    <row r="686" spans="1:1" x14ac:dyDescent="0.25">
      <c r="A686" s="2" t="s">
        <v>328</v>
      </c>
    </row>
    <row r="687" spans="1:1" x14ac:dyDescent="0.25">
      <c r="A687" s="3" t="s">
        <v>328</v>
      </c>
    </row>
    <row r="688" spans="1:1" x14ac:dyDescent="0.25">
      <c r="A688" s="2" t="s">
        <v>328</v>
      </c>
    </row>
    <row r="689" spans="1:1" x14ac:dyDescent="0.25">
      <c r="A689" s="3" t="s">
        <v>328</v>
      </c>
    </row>
    <row r="690" spans="1:1" x14ac:dyDescent="0.25">
      <c r="A690" s="2" t="s">
        <v>944</v>
      </c>
    </row>
    <row r="691" spans="1:1" x14ac:dyDescent="0.25">
      <c r="A691" s="3" t="s">
        <v>944</v>
      </c>
    </row>
    <row r="692" spans="1:1" x14ac:dyDescent="0.25">
      <c r="A692" s="3" t="s">
        <v>960</v>
      </c>
    </row>
    <row r="693" spans="1:1" x14ac:dyDescent="0.25">
      <c r="A693" s="2" t="s">
        <v>961</v>
      </c>
    </row>
    <row r="694" spans="1:1" x14ac:dyDescent="0.25">
      <c r="A694" s="3" t="s">
        <v>1147</v>
      </c>
    </row>
    <row r="695" spans="1:1" x14ac:dyDescent="0.25">
      <c r="A695" s="2" t="s">
        <v>1121</v>
      </c>
    </row>
    <row r="696" spans="1:1" x14ac:dyDescent="0.25">
      <c r="A696" s="3" t="s">
        <v>1121</v>
      </c>
    </row>
    <row r="697" spans="1:1" x14ac:dyDescent="0.25">
      <c r="A697" s="2" t="s">
        <v>1121</v>
      </c>
    </row>
    <row r="698" spans="1:1" x14ac:dyDescent="0.25">
      <c r="A698" s="3" t="s">
        <v>1121</v>
      </c>
    </row>
    <row r="699" spans="1:1" x14ac:dyDescent="0.25">
      <c r="A699" s="2" t="s">
        <v>1121</v>
      </c>
    </row>
    <row r="700" spans="1:1" x14ac:dyDescent="0.25">
      <c r="A700" s="3" t="s">
        <v>1121</v>
      </c>
    </row>
    <row r="701" spans="1:1" x14ac:dyDescent="0.25">
      <c r="A701" s="2" t="s">
        <v>1121</v>
      </c>
    </row>
    <row r="702" spans="1:1" x14ac:dyDescent="0.25">
      <c r="A702" s="3" t="s">
        <v>1121</v>
      </c>
    </row>
    <row r="703" spans="1:1" x14ac:dyDescent="0.25">
      <c r="A703" s="2" t="s">
        <v>1121</v>
      </c>
    </row>
    <row r="704" spans="1:1" x14ac:dyDescent="0.25">
      <c r="A704" s="3" t="s">
        <v>1121</v>
      </c>
    </row>
    <row r="705" spans="1:1" x14ac:dyDescent="0.25">
      <c r="A705" s="2" t="s">
        <v>1121</v>
      </c>
    </row>
    <row r="706" spans="1:1" x14ac:dyDescent="0.25">
      <c r="A706" s="3" t="s">
        <v>1121</v>
      </c>
    </row>
    <row r="707" spans="1:1" x14ac:dyDescent="0.25">
      <c r="A707" s="2" t="s">
        <v>1121</v>
      </c>
    </row>
    <row r="708" spans="1:1" x14ac:dyDescent="0.25">
      <c r="A708" s="3" t="s">
        <v>1121</v>
      </c>
    </row>
    <row r="709" spans="1:1" x14ac:dyDescent="0.25">
      <c r="A709" s="2" t="s">
        <v>1121</v>
      </c>
    </row>
    <row r="710" spans="1:1" x14ac:dyDescent="0.25">
      <c r="A710" s="3" t="s">
        <v>1121</v>
      </c>
    </row>
    <row r="711" spans="1:1" x14ac:dyDescent="0.25">
      <c r="A711" s="2" t="s">
        <v>1121</v>
      </c>
    </row>
    <row r="712" spans="1:1" x14ac:dyDescent="0.25">
      <c r="A712" s="3" t="s">
        <v>1121</v>
      </c>
    </row>
    <row r="713" spans="1:1" x14ac:dyDescent="0.25">
      <c r="A713" s="2" t="s">
        <v>1121</v>
      </c>
    </row>
    <row r="714" spans="1:1" x14ac:dyDescent="0.25">
      <c r="A714" s="3" t="s">
        <v>1121</v>
      </c>
    </row>
    <row r="715" spans="1:1" x14ac:dyDescent="0.25">
      <c r="A715" s="2" t="s">
        <v>1121</v>
      </c>
    </row>
    <row r="716" spans="1:1" x14ac:dyDescent="0.25">
      <c r="A716" s="3" t="s">
        <v>1121</v>
      </c>
    </row>
    <row r="717" spans="1:1" x14ac:dyDescent="0.25">
      <c r="A717" s="2" t="s">
        <v>1121</v>
      </c>
    </row>
    <row r="718" spans="1:1" x14ac:dyDescent="0.25">
      <c r="A718" s="3" t="s">
        <v>1121</v>
      </c>
    </row>
    <row r="719" spans="1:1" x14ac:dyDescent="0.25">
      <c r="A719" s="2" t="s">
        <v>1121</v>
      </c>
    </row>
    <row r="720" spans="1:1" x14ac:dyDescent="0.25">
      <c r="A720" s="3" t="s">
        <v>1121</v>
      </c>
    </row>
    <row r="721" spans="1:1" x14ac:dyDescent="0.25">
      <c r="A721" s="2" t="s">
        <v>1121</v>
      </c>
    </row>
    <row r="722" spans="1:1" x14ac:dyDescent="0.25">
      <c r="A722" s="3" t="s">
        <v>1121</v>
      </c>
    </row>
    <row r="723" spans="1:1" x14ac:dyDescent="0.25">
      <c r="A723" s="2" t="s">
        <v>1121</v>
      </c>
    </row>
    <row r="724" spans="1:1" x14ac:dyDescent="0.25">
      <c r="A724" s="3" t="s">
        <v>1121</v>
      </c>
    </row>
    <row r="725" spans="1:1" x14ac:dyDescent="0.25">
      <c r="A725" s="2" t="s">
        <v>1121</v>
      </c>
    </row>
    <row r="726" spans="1:1" x14ac:dyDescent="0.25">
      <c r="A726" s="3" t="s">
        <v>1121</v>
      </c>
    </row>
    <row r="727" spans="1:1" x14ac:dyDescent="0.25">
      <c r="A727" s="2" t="s">
        <v>1121</v>
      </c>
    </row>
    <row r="728" spans="1:1" x14ac:dyDescent="0.25">
      <c r="A728" s="3" t="s">
        <v>1121</v>
      </c>
    </row>
    <row r="729" spans="1:1" x14ac:dyDescent="0.25">
      <c r="A729" s="2" t="s">
        <v>1121</v>
      </c>
    </row>
    <row r="730" spans="1:1" x14ac:dyDescent="0.25">
      <c r="A730" s="3" t="s">
        <v>1121</v>
      </c>
    </row>
    <row r="731" spans="1:1" x14ac:dyDescent="0.25">
      <c r="A731" s="2" t="s">
        <v>1121</v>
      </c>
    </row>
    <row r="732" spans="1:1" x14ac:dyDescent="0.25">
      <c r="A732" s="3" t="s">
        <v>1121</v>
      </c>
    </row>
    <row r="733" spans="1:1" x14ac:dyDescent="0.25">
      <c r="A733" s="2" t="s">
        <v>1121</v>
      </c>
    </row>
    <row r="734" spans="1:1" x14ac:dyDescent="0.25">
      <c r="A734" s="3" t="s">
        <v>1121</v>
      </c>
    </row>
    <row r="735" spans="1:1" x14ac:dyDescent="0.25">
      <c r="A735" s="2" t="s">
        <v>1121</v>
      </c>
    </row>
    <row r="736" spans="1:1" x14ac:dyDescent="0.25">
      <c r="A736" s="3" t="s">
        <v>1121</v>
      </c>
    </row>
    <row r="737" spans="1:1" x14ac:dyDescent="0.25">
      <c r="A737" s="2" t="s">
        <v>1121</v>
      </c>
    </row>
    <row r="738" spans="1:1" x14ac:dyDescent="0.25">
      <c r="A738" s="3" t="s">
        <v>1121</v>
      </c>
    </row>
    <row r="739" spans="1:1" x14ac:dyDescent="0.25">
      <c r="A739" s="2" t="s">
        <v>1121</v>
      </c>
    </row>
    <row r="740" spans="1:1" x14ac:dyDescent="0.25">
      <c r="A740" s="3" t="s">
        <v>1121</v>
      </c>
    </row>
    <row r="741" spans="1:1" x14ac:dyDescent="0.25">
      <c r="A741" s="2" t="s">
        <v>1121</v>
      </c>
    </row>
    <row r="742" spans="1:1" x14ac:dyDescent="0.25">
      <c r="A742" s="3" t="s">
        <v>1121</v>
      </c>
    </row>
    <row r="743" spans="1:1" x14ac:dyDescent="0.25">
      <c r="A743" s="2" t="s">
        <v>1121</v>
      </c>
    </row>
    <row r="744" spans="1:1" x14ac:dyDescent="0.25">
      <c r="A744" s="3" t="s">
        <v>1121</v>
      </c>
    </row>
    <row r="745" spans="1:1" x14ac:dyDescent="0.25">
      <c r="A745" s="2" t="s">
        <v>1121</v>
      </c>
    </row>
    <row r="746" spans="1:1" x14ac:dyDescent="0.25">
      <c r="A746" s="3" t="s">
        <v>1121</v>
      </c>
    </row>
    <row r="747" spans="1:1" x14ac:dyDescent="0.25">
      <c r="A747" s="2" t="s">
        <v>1121</v>
      </c>
    </row>
    <row r="748" spans="1:1" x14ac:dyDescent="0.25">
      <c r="A748" s="3" t="s">
        <v>1121</v>
      </c>
    </row>
    <row r="749" spans="1:1" x14ac:dyDescent="0.25">
      <c r="A749" s="2" t="s">
        <v>1121</v>
      </c>
    </row>
    <row r="750" spans="1:1" x14ac:dyDescent="0.25">
      <c r="A750" s="3" t="s">
        <v>1121</v>
      </c>
    </row>
    <row r="751" spans="1:1" x14ac:dyDescent="0.25">
      <c r="A751" s="2" t="s">
        <v>1121</v>
      </c>
    </row>
    <row r="752" spans="1:1" x14ac:dyDescent="0.25">
      <c r="A752" s="3" t="s">
        <v>1121</v>
      </c>
    </row>
    <row r="753" spans="1:1" x14ac:dyDescent="0.25">
      <c r="A753" s="2" t="s">
        <v>1121</v>
      </c>
    </row>
    <row r="754" spans="1:1" x14ac:dyDescent="0.25">
      <c r="A754" s="3" t="s">
        <v>1121</v>
      </c>
    </row>
    <row r="755" spans="1:1" x14ac:dyDescent="0.25">
      <c r="A755" s="2" t="s">
        <v>1121</v>
      </c>
    </row>
    <row r="756" spans="1:1" x14ac:dyDescent="0.25">
      <c r="A756" s="3" t="s">
        <v>1121</v>
      </c>
    </row>
    <row r="757" spans="1:1" x14ac:dyDescent="0.25">
      <c r="A757" s="2" t="s">
        <v>1121</v>
      </c>
    </row>
    <row r="758" spans="1:1" x14ac:dyDescent="0.25">
      <c r="A758" s="2" t="s">
        <v>1117</v>
      </c>
    </row>
    <row r="759" spans="1:1" x14ac:dyDescent="0.25">
      <c r="A759" s="3" t="s">
        <v>1117</v>
      </c>
    </row>
    <row r="760" spans="1:1" x14ac:dyDescent="0.25">
      <c r="A760" s="2" t="s">
        <v>1117</v>
      </c>
    </row>
    <row r="761" spans="1:1" x14ac:dyDescent="0.25">
      <c r="A761" s="3" t="s">
        <v>1117</v>
      </c>
    </row>
    <row r="762" spans="1:1" x14ac:dyDescent="0.25">
      <c r="A762" s="2" t="s">
        <v>1117</v>
      </c>
    </row>
    <row r="763" spans="1:1" x14ac:dyDescent="0.25">
      <c r="A763" s="3" t="s">
        <v>1117</v>
      </c>
    </row>
    <row r="764" spans="1:1" x14ac:dyDescent="0.25">
      <c r="A764" s="2" t="s">
        <v>1117</v>
      </c>
    </row>
    <row r="765" spans="1:1" x14ac:dyDescent="0.25">
      <c r="A765" s="3" t="s">
        <v>1117</v>
      </c>
    </row>
    <row r="766" spans="1:1" x14ac:dyDescent="0.25">
      <c r="A766" s="2" t="s">
        <v>1117</v>
      </c>
    </row>
    <row r="767" spans="1:1" x14ac:dyDescent="0.25">
      <c r="A767" s="3" t="s">
        <v>1117</v>
      </c>
    </row>
    <row r="768" spans="1:1" x14ac:dyDescent="0.25">
      <c r="A768" s="2" t="s">
        <v>1117</v>
      </c>
    </row>
    <row r="769" spans="1:1" x14ac:dyDescent="0.25">
      <c r="A769" s="3" t="s">
        <v>1117</v>
      </c>
    </row>
    <row r="770" spans="1:1" x14ac:dyDescent="0.25">
      <c r="A770" s="2" t="s">
        <v>1117</v>
      </c>
    </row>
    <row r="771" spans="1:1" x14ac:dyDescent="0.25">
      <c r="A771" s="3" t="s">
        <v>1117</v>
      </c>
    </row>
    <row r="772" spans="1:1" x14ac:dyDescent="0.25">
      <c r="A772" s="2" t="s">
        <v>1117</v>
      </c>
    </row>
    <row r="773" spans="1:1" x14ac:dyDescent="0.25">
      <c r="A773" s="3" t="s">
        <v>1117</v>
      </c>
    </row>
    <row r="774" spans="1:1" x14ac:dyDescent="0.25">
      <c r="A774" s="2" t="s">
        <v>1117</v>
      </c>
    </row>
    <row r="775" spans="1:1" x14ac:dyDescent="0.25">
      <c r="A775" s="3" t="s">
        <v>1117</v>
      </c>
    </row>
    <row r="776" spans="1:1" x14ac:dyDescent="0.25">
      <c r="A776" s="2" t="s">
        <v>1117</v>
      </c>
    </row>
    <row r="777" spans="1:1" x14ac:dyDescent="0.25">
      <c r="A777" s="3" t="s">
        <v>1117</v>
      </c>
    </row>
    <row r="778" spans="1:1" x14ac:dyDescent="0.25">
      <c r="A778" s="2" t="s">
        <v>1117</v>
      </c>
    </row>
    <row r="779" spans="1:1" x14ac:dyDescent="0.25">
      <c r="A779" s="3" t="s">
        <v>1117</v>
      </c>
    </row>
    <row r="780" spans="1:1" x14ac:dyDescent="0.25">
      <c r="A780" s="2" t="s">
        <v>1117</v>
      </c>
    </row>
    <row r="781" spans="1:1" x14ac:dyDescent="0.25">
      <c r="A781" s="3" t="s">
        <v>1117</v>
      </c>
    </row>
    <row r="782" spans="1:1" x14ac:dyDescent="0.25">
      <c r="A782" s="2" t="s">
        <v>950</v>
      </c>
    </row>
    <row r="783" spans="1:1" x14ac:dyDescent="0.25">
      <c r="A783" s="3" t="s">
        <v>950</v>
      </c>
    </row>
    <row r="784" spans="1:1" x14ac:dyDescent="0.25">
      <c r="A784" s="2" t="s">
        <v>950</v>
      </c>
    </row>
    <row r="785" spans="1:1" x14ac:dyDescent="0.25">
      <c r="A785" s="3" t="s">
        <v>950</v>
      </c>
    </row>
    <row r="786" spans="1:1" x14ac:dyDescent="0.25">
      <c r="A786" s="2" t="s">
        <v>950</v>
      </c>
    </row>
    <row r="787" spans="1:1" x14ac:dyDescent="0.25">
      <c r="A787" s="3" t="s">
        <v>950</v>
      </c>
    </row>
    <row r="788" spans="1:1" x14ac:dyDescent="0.25">
      <c r="A788" s="2" t="s">
        <v>950</v>
      </c>
    </row>
    <row r="789" spans="1:1" x14ac:dyDescent="0.25">
      <c r="A789" s="3" t="s">
        <v>950</v>
      </c>
    </row>
    <row r="790" spans="1:1" x14ac:dyDescent="0.25">
      <c r="A790" s="3" t="s">
        <v>1168</v>
      </c>
    </row>
    <row r="791" spans="1:1" x14ac:dyDescent="0.25">
      <c r="A791" s="3" t="s">
        <v>1162</v>
      </c>
    </row>
    <row r="792" spans="1:1" x14ac:dyDescent="0.25">
      <c r="A792" s="2" t="s">
        <v>1162</v>
      </c>
    </row>
    <row r="793" spans="1:1" x14ac:dyDescent="0.25">
      <c r="A793" s="3" t="s">
        <v>1162</v>
      </c>
    </row>
    <row r="794" spans="1:1" x14ac:dyDescent="0.25">
      <c r="A794" s="2" t="s">
        <v>1162</v>
      </c>
    </row>
    <row r="795" spans="1:1" x14ac:dyDescent="0.25">
      <c r="A795" s="3" t="s">
        <v>1162</v>
      </c>
    </row>
    <row r="796" spans="1:1" x14ac:dyDescent="0.25">
      <c r="A796" s="2" t="s">
        <v>1162</v>
      </c>
    </row>
    <row r="797" spans="1:1" x14ac:dyDescent="0.25">
      <c r="A797" s="2" t="s">
        <v>956</v>
      </c>
    </row>
    <row r="798" spans="1:1" x14ac:dyDescent="0.25">
      <c r="A798" s="2" t="s">
        <v>921</v>
      </c>
    </row>
    <row r="799" spans="1:1" x14ac:dyDescent="0.25">
      <c r="A799" s="3" t="s">
        <v>921</v>
      </c>
    </row>
    <row r="800" spans="1:1" x14ac:dyDescent="0.25">
      <c r="A800" s="2" t="s">
        <v>921</v>
      </c>
    </row>
    <row r="801" spans="1:1" x14ac:dyDescent="0.25">
      <c r="A801" s="3" t="s">
        <v>921</v>
      </c>
    </row>
    <row r="802" spans="1:1" x14ac:dyDescent="0.25">
      <c r="A802" s="2" t="s">
        <v>921</v>
      </c>
    </row>
    <row r="803" spans="1:1" x14ac:dyDescent="0.25">
      <c r="A803" s="3" t="s">
        <v>921</v>
      </c>
    </row>
    <row r="804" spans="1:1" x14ac:dyDescent="0.25">
      <c r="A804" s="2" t="s">
        <v>921</v>
      </c>
    </row>
    <row r="805" spans="1:1" x14ac:dyDescent="0.25">
      <c r="A805" s="3" t="s">
        <v>921</v>
      </c>
    </row>
    <row r="806" spans="1:1" x14ac:dyDescent="0.25">
      <c r="A806" s="2" t="s">
        <v>921</v>
      </c>
    </row>
    <row r="807" spans="1:1" x14ac:dyDescent="0.25">
      <c r="A807" s="3" t="s">
        <v>921</v>
      </c>
    </row>
    <row r="808" spans="1:1" x14ac:dyDescent="0.25">
      <c r="A808" s="2" t="s">
        <v>921</v>
      </c>
    </row>
    <row r="809" spans="1:1" x14ac:dyDescent="0.25">
      <c r="A809" s="3" t="s">
        <v>921</v>
      </c>
    </row>
    <row r="810" spans="1:1" x14ac:dyDescent="0.25">
      <c r="A810" s="3" t="s">
        <v>1145</v>
      </c>
    </row>
    <row r="811" spans="1:1" x14ac:dyDescent="0.25">
      <c r="A811" s="2" t="s">
        <v>1146</v>
      </c>
    </row>
    <row r="812" spans="1:1" x14ac:dyDescent="0.25">
      <c r="A812" s="3" t="s">
        <v>1152</v>
      </c>
    </row>
    <row r="813" spans="1:1" x14ac:dyDescent="0.25">
      <c r="A813" s="2" t="s">
        <v>1153</v>
      </c>
    </row>
    <row r="814" spans="1:1" x14ac:dyDescent="0.25">
      <c r="A814" s="2" t="s">
        <v>837</v>
      </c>
    </row>
    <row r="815" spans="1:1" x14ac:dyDescent="0.25">
      <c r="A815" s="3" t="s">
        <v>837</v>
      </c>
    </row>
    <row r="816" spans="1:1" x14ac:dyDescent="0.25">
      <c r="A816" s="2" t="s">
        <v>837</v>
      </c>
    </row>
    <row r="817" spans="1:1" x14ac:dyDescent="0.25">
      <c r="A817" s="3" t="s">
        <v>837</v>
      </c>
    </row>
    <row r="818" spans="1:1" x14ac:dyDescent="0.25">
      <c r="A818" s="2" t="s">
        <v>837</v>
      </c>
    </row>
    <row r="819" spans="1:1" x14ac:dyDescent="0.25">
      <c r="A819" s="3" t="s">
        <v>837</v>
      </c>
    </row>
    <row r="820" spans="1:1" x14ac:dyDescent="0.25">
      <c r="A820" s="2" t="s">
        <v>837</v>
      </c>
    </row>
    <row r="821" spans="1:1" x14ac:dyDescent="0.25">
      <c r="A821" s="3" t="s">
        <v>837</v>
      </c>
    </row>
    <row r="822" spans="1:1" x14ac:dyDescent="0.25">
      <c r="A822" s="2" t="s">
        <v>837</v>
      </c>
    </row>
    <row r="823" spans="1:1" x14ac:dyDescent="0.25">
      <c r="A823" s="3" t="s">
        <v>837</v>
      </c>
    </row>
    <row r="824" spans="1:1" x14ac:dyDescent="0.25">
      <c r="A824" s="2" t="s">
        <v>837</v>
      </c>
    </row>
    <row r="825" spans="1:1" x14ac:dyDescent="0.25">
      <c r="A825" s="3" t="s">
        <v>837</v>
      </c>
    </row>
    <row r="826" spans="1:1" x14ac:dyDescent="0.25">
      <c r="A826" s="2" t="s">
        <v>837</v>
      </c>
    </row>
    <row r="827" spans="1:1" x14ac:dyDescent="0.25">
      <c r="A827" s="3" t="s">
        <v>837</v>
      </c>
    </row>
    <row r="828" spans="1:1" x14ac:dyDescent="0.25">
      <c r="A828" s="2" t="s">
        <v>837</v>
      </c>
    </row>
    <row r="829" spans="1:1" x14ac:dyDescent="0.25">
      <c r="A829" s="3" t="s">
        <v>837</v>
      </c>
    </row>
    <row r="830" spans="1:1" x14ac:dyDescent="0.25">
      <c r="A830" s="2" t="s">
        <v>837</v>
      </c>
    </row>
    <row r="831" spans="1:1" x14ac:dyDescent="0.25">
      <c r="A831" s="3" t="s">
        <v>837</v>
      </c>
    </row>
    <row r="832" spans="1:1" x14ac:dyDescent="0.25">
      <c r="A832" s="2" t="s">
        <v>837</v>
      </c>
    </row>
    <row r="833" spans="1:1" x14ac:dyDescent="0.25">
      <c r="A833" s="3" t="s">
        <v>837</v>
      </c>
    </row>
    <row r="834" spans="1:1" x14ac:dyDescent="0.25">
      <c r="A834" s="2" t="s">
        <v>837</v>
      </c>
    </row>
    <row r="835" spans="1:1" x14ac:dyDescent="0.25">
      <c r="A835" s="3" t="s">
        <v>837</v>
      </c>
    </row>
    <row r="836" spans="1:1" x14ac:dyDescent="0.25">
      <c r="A836" s="2" t="s">
        <v>837</v>
      </c>
    </row>
    <row r="837" spans="1:1" x14ac:dyDescent="0.25">
      <c r="A837" s="3" t="s">
        <v>837</v>
      </c>
    </row>
    <row r="838" spans="1:1" x14ac:dyDescent="0.25">
      <c r="A838" s="2" t="s">
        <v>837</v>
      </c>
    </row>
    <row r="839" spans="1:1" x14ac:dyDescent="0.25">
      <c r="A839" s="3" t="s">
        <v>837</v>
      </c>
    </row>
    <row r="840" spans="1:1" x14ac:dyDescent="0.25">
      <c r="A840" s="2" t="s">
        <v>837</v>
      </c>
    </row>
    <row r="841" spans="1:1" x14ac:dyDescent="0.25">
      <c r="A841" s="3" t="s">
        <v>837</v>
      </c>
    </row>
    <row r="842" spans="1:1" x14ac:dyDescent="0.25">
      <c r="A842" s="2" t="s">
        <v>837</v>
      </c>
    </row>
    <row r="843" spans="1:1" x14ac:dyDescent="0.25">
      <c r="A843" s="3" t="s">
        <v>837</v>
      </c>
    </row>
    <row r="844" spans="1:1" x14ac:dyDescent="0.25">
      <c r="A844" s="2" t="s">
        <v>837</v>
      </c>
    </row>
    <row r="845" spans="1:1" x14ac:dyDescent="0.25">
      <c r="A845" s="3" t="s">
        <v>837</v>
      </c>
    </row>
    <row r="846" spans="1:1" x14ac:dyDescent="0.25">
      <c r="A846" s="2" t="s">
        <v>837</v>
      </c>
    </row>
    <row r="847" spans="1:1" x14ac:dyDescent="0.25">
      <c r="A847" s="3" t="s">
        <v>837</v>
      </c>
    </row>
    <row r="848" spans="1:1" x14ac:dyDescent="0.25">
      <c r="A848" s="2" t="s">
        <v>837</v>
      </c>
    </row>
    <row r="849" spans="1:1" x14ac:dyDescent="0.25">
      <c r="A849" s="3" t="s">
        <v>837</v>
      </c>
    </row>
    <row r="850" spans="1:1" x14ac:dyDescent="0.25">
      <c r="A850" s="2" t="s">
        <v>837</v>
      </c>
    </row>
    <row r="851" spans="1:1" x14ac:dyDescent="0.25">
      <c r="A851" s="3" t="s">
        <v>837</v>
      </c>
    </row>
    <row r="852" spans="1:1" x14ac:dyDescent="0.25">
      <c r="A852" s="2" t="s">
        <v>837</v>
      </c>
    </row>
    <row r="853" spans="1:1" x14ac:dyDescent="0.25">
      <c r="A853" s="3" t="s">
        <v>837</v>
      </c>
    </row>
    <row r="854" spans="1:1" x14ac:dyDescent="0.25">
      <c r="A854" s="2" t="s">
        <v>837</v>
      </c>
    </row>
    <row r="855" spans="1:1" x14ac:dyDescent="0.25">
      <c r="A855" s="3" t="s">
        <v>837</v>
      </c>
    </row>
    <row r="856" spans="1:1" x14ac:dyDescent="0.25">
      <c r="A856" s="2" t="s">
        <v>837</v>
      </c>
    </row>
    <row r="857" spans="1:1" x14ac:dyDescent="0.25">
      <c r="A857" s="3" t="s">
        <v>837</v>
      </c>
    </row>
    <row r="858" spans="1:1" x14ac:dyDescent="0.25">
      <c r="A858" s="2" t="s">
        <v>837</v>
      </c>
    </row>
    <row r="859" spans="1:1" x14ac:dyDescent="0.25">
      <c r="A859" s="3" t="s">
        <v>837</v>
      </c>
    </row>
    <row r="860" spans="1:1" x14ac:dyDescent="0.25">
      <c r="A860" s="2" t="s">
        <v>837</v>
      </c>
    </row>
    <row r="861" spans="1:1" x14ac:dyDescent="0.25">
      <c r="A861" s="3" t="s">
        <v>837</v>
      </c>
    </row>
    <row r="862" spans="1:1" x14ac:dyDescent="0.25">
      <c r="A862" s="3" t="s">
        <v>1033</v>
      </c>
    </row>
    <row r="863" spans="1:1" x14ac:dyDescent="0.25">
      <c r="A863" s="3" t="s">
        <v>1139</v>
      </c>
    </row>
    <row r="864" spans="1:1" x14ac:dyDescent="0.25">
      <c r="A864" s="2" t="s">
        <v>1139</v>
      </c>
    </row>
    <row r="865" spans="1:1" x14ac:dyDescent="0.25">
      <c r="A865" s="3" t="s">
        <v>1139</v>
      </c>
    </row>
    <row r="866" spans="1:1" x14ac:dyDescent="0.25">
      <c r="A866" s="2" t="s">
        <v>1139</v>
      </c>
    </row>
    <row r="867" spans="1:1" x14ac:dyDescent="0.25">
      <c r="A867" s="3"/>
    </row>
  </sheetData>
  <sortState xmlns:xlrd2="http://schemas.microsoft.com/office/spreadsheetml/2017/richdata2" ref="A2:A867">
    <sortCondition ref="A472:A867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1D32C-6D6F-4E4A-A1DC-38C7562828F4}">
  <sheetPr codeName="Sheet14"/>
  <dimension ref="A1:B114"/>
  <sheetViews>
    <sheetView workbookViewId="0">
      <selection activeCell="B3" sqref="B3"/>
    </sheetView>
  </sheetViews>
  <sheetFormatPr defaultRowHeight="15" x14ac:dyDescent="0.25"/>
  <sheetData>
    <row r="1" spans="1:2" x14ac:dyDescent="0.25">
      <c r="A1" t="s">
        <v>1115</v>
      </c>
      <c r="B1" t="s">
        <v>1116</v>
      </c>
    </row>
    <row r="2" spans="1:2" x14ac:dyDescent="0.25">
      <c r="A2" s="2" t="s">
        <v>761</v>
      </c>
      <c r="B2">
        <f>COUNTIF('Raw Genre Boom'!A:A,A2)</f>
        <v>63</v>
      </c>
    </row>
    <row r="3" spans="1:2" x14ac:dyDescent="0.25">
      <c r="A3" s="2" t="s">
        <v>1121</v>
      </c>
      <c r="B3">
        <f>COUNTIF('Raw Genre Boom'!A:A,A3)</f>
        <v>63</v>
      </c>
    </row>
    <row r="4" spans="1:2" x14ac:dyDescent="0.25">
      <c r="A4" s="3" t="s">
        <v>750</v>
      </c>
      <c r="B4">
        <f>COUNTIF('Raw Genre Boom'!A:A,A4)</f>
        <v>57</v>
      </c>
    </row>
    <row r="5" spans="1:2" x14ac:dyDescent="0.25">
      <c r="A5" s="3" t="s">
        <v>1119</v>
      </c>
      <c r="B5">
        <f>COUNTIF('Raw Genre Boom'!A:A,A5)</f>
        <v>57</v>
      </c>
    </row>
    <row r="6" spans="1:2" x14ac:dyDescent="0.25">
      <c r="A6" s="2" t="s">
        <v>1129</v>
      </c>
      <c r="B6">
        <f>COUNTIF('Raw Genre Boom'!A:A,A6)</f>
        <v>49</v>
      </c>
    </row>
    <row r="7" spans="1:2" x14ac:dyDescent="0.25">
      <c r="A7" s="2" t="s">
        <v>837</v>
      </c>
      <c r="B7">
        <f>COUNTIF('Raw Genre Boom'!A:A,A7)</f>
        <v>48</v>
      </c>
    </row>
    <row r="8" spans="1:2" x14ac:dyDescent="0.25">
      <c r="A8" s="3" t="s">
        <v>25</v>
      </c>
      <c r="B8">
        <f>COUNTIF('Raw Genre Boom'!A:A,A8)</f>
        <v>34</v>
      </c>
    </row>
    <row r="9" spans="1:2" x14ac:dyDescent="0.25">
      <c r="A9" s="2" t="s">
        <v>920</v>
      </c>
      <c r="B9">
        <f>COUNTIF('Raw Genre Boom'!A:A,A9)</f>
        <v>30</v>
      </c>
    </row>
    <row r="10" spans="1:2" x14ac:dyDescent="0.25">
      <c r="A10" s="3" t="s">
        <v>923</v>
      </c>
      <c r="B10">
        <f>COUNTIF('Raw Genre Boom'!A:A,A10)</f>
        <v>25</v>
      </c>
    </row>
    <row r="11" spans="1:2" x14ac:dyDescent="0.25">
      <c r="A11" s="2" t="s">
        <v>1117</v>
      </c>
      <c r="B11">
        <f>COUNTIF('Raw Genre Boom'!A:A,A11)</f>
        <v>24</v>
      </c>
    </row>
    <row r="12" spans="1:2" x14ac:dyDescent="0.25">
      <c r="A12" s="3" t="s">
        <v>1120</v>
      </c>
      <c r="B12">
        <f>COUNTIF('Raw Genre Boom'!A:A,A12)</f>
        <v>23</v>
      </c>
    </row>
    <row r="13" spans="1:2" x14ac:dyDescent="0.25">
      <c r="A13" s="2" t="s">
        <v>918</v>
      </c>
      <c r="B13">
        <f>COUNTIF('Raw Genre Boom'!A:A,A13)</f>
        <v>18</v>
      </c>
    </row>
    <row r="14" spans="1:2" x14ac:dyDescent="0.25">
      <c r="A14" s="2" t="s">
        <v>1125</v>
      </c>
      <c r="B14">
        <f>COUNTIF('Raw Genre Boom'!A:A,A14)</f>
        <v>16</v>
      </c>
    </row>
    <row r="15" spans="1:2" x14ac:dyDescent="0.25">
      <c r="A15" s="2" t="s">
        <v>954</v>
      </c>
      <c r="B15">
        <f>COUNTIF('Raw Genre Boom'!A:A,A15)</f>
        <v>16</v>
      </c>
    </row>
    <row r="16" spans="1:2" x14ac:dyDescent="0.25">
      <c r="A16" s="2" t="s">
        <v>917</v>
      </c>
      <c r="B16">
        <f>COUNTIF('Raw Genre Boom'!A:A,A16)</f>
        <v>15</v>
      </c>
    </row>
    <row r="17" spans="1:2" x14ac:dyDescent="0.25">
      <c r="A17" s="2" t="s">
        <v>734</v>
      </c>
      <c r="B17">
        <f>COUNTIF('Raw Genre Boom'!A:A,A17)</f>
        <v>15</v>
      </c>
    </row>
    <row r="18" spans="1:2" x14ac:dyDescent="0.25">
      <c r="A18" s="3" t="s">
        <v>974</v>
      </c>
      <c r="B18">
        <f>COUNTIF('Raw Genre Boom'!A:A,A18)</f>
        <v>15</v>
      </c>
    </row>
    <row r="19" spans="1:2" x14ac:dyDescent="0.25">
      <c r="A19" s="2" t="s">
        <v>951</v>
      </c>
      <c r="B19">
        <f>COUNTIF('Raw Genre Boom'!A:A,A19)</f>
        <v>14</v>
      </c>
    </row>
    <row r="20" spans="1:2" x14ac:dyDescent="0.25">
      <c r="A20" s="2" t="s">
        <v>1126</v>
      </c>
      <c r="B20">
        <f>COUNTIF('Raw Genre Boom'!A:A,A20)</f>
        <v>14</v>
      </c>
    </row>
    <row r="21" spans="1:2" x14ac:dyDescent="0.25">
      <c r="A21" s="2" t="s">
        <v>840</v>
      </c>
      <c r="B21">
        <f>COUNTIF('Raw Genre Boom'!A:A,A21)</f>
        <v>14</v>
      </c>
    </row>
    <row r="22" spans="1:2" x14ac:dyDescent="0.25">
      <c r="A22" s="3" t="s">
        <v>1132</v>
      </c>
      <c r="B22">
        <f>COUNTIF('Raw Genre Boom'!A:A,A22)</f>
        <v>13</v>
      </c>
    </row>
    <row r="23" spans="1:2" x14ac:dyDescent="0.25">
      <c r="A23" s="2" t="s">
        <v>921</v>
      </c>
      <c r="B23">
        <f>COUNTIF('Raw Genre Boom'!A:A,A23)</f>
        <v>12</v>
      </c>
    </row>
    <row r="24" spans="1:2" x14ac:dyDescent="0.25">
      <c r="A24" s="2" t="s">
        <v>934</v>
      </c>
      <c r="B24">
        <f>COUNTIF('Raw Genre Boom'!A:A,A24)</f>
        <v>10</v>
      </c>
    </row>
    <row r="25" spans="1:2" x14ac:dyDescent="0.25">
      <c r="A25" s="2" t="s">
        <v>919</v>
      </c>
      <c r="B25">
        <f>COUNTIF('Raw Genre Boom'!A:A,A25)</f>
        <v>10</v>
      </c>
    </row>
    <row r="26" spans="1:2" x14ac:dyDescent="0.25">
      <c r="A26" s="3" t="s">
        <v>1090</v>
      </c>
      <c r="B26">
        <f>COUNTIF('Raw Genre Boom'!A:A,A26)</f>
        <v>9</v>
      </c>
    </row>
    <row r="27" spans="1:2" x14ac:dyDescent="0.25">
      <c r="A27" s="2" t="s">
        <v>950</v>
      </c>
      <c r="B27">
        <f>COUNTIF('Raw Genre Boom'!A:A,A27)</f>
        <v>8</v>
      </c>
    </row>
    <row r="28" spans="1:2" x14ac:dyDescent="0.25">
      <c r="A28" s="3" t="s">
        <v>1110</v>
      </c>
      <c r="B28">
        <f>COUNTIF('Raw Genre Boom'!A:A,A28)</f>
        <v>7</v>
      </c>
    </row>
    <row r="29" spans="1:2" x14ac:dyDescent="0.25">
      <c r="A29" s="3" t="s">
        <v>924</v>
      </c>
      <c r="B29">
        <f>COUNTIF('Raw Genre Boom'!A:A,A29)</f>
        <v>7</v>
      </c>
    </row>
    <row r="30" spans="1:2" x14ac:dyDescent="0.25">
      <c r="A30" s="2" t="s">
        <v>84</v>
      </c>
      <c r="B30">
        <f>COUNTIF('Raw Genre Boom'!A:A,A30)</f>
        <v>6</v>
      </c>
    </row>
    <row r="31" spans="1:2" x14ac:dyDescent="0.25">
      <c r="A31" s="2" t="s">
        <v>1140</v>
      </c>
      <c r="B31">
        <f>COUNTIF('Raw Genre Boom'!A:A,A31)</f>
        <v>6</v>
      </c>
    </row>
    <row r="32" spans="1:2" x14ac:dyDescent="0.25">
      <c r="A32" s="2" t="s">
        <v>1161</v>
      </c>
      <c r="B32">
        <f>COUNTIF('Raw Genre Boom'!A:A,A32)</f>
        <v>6</v>
      </c>
    </row>
    <row r="33" spans="1:2" x14ac:dyDescent="0.25">
      <c r="A33" s="2" t="s">
        <v>732</v>
      </c>
      <c r="B33">
        <f>COUNTIF('Raw Genre Boom'!A:A,A33)</f>
        <v>6</v>
      </c>
    </row>
    <row r="34" spans="1:2" x14ac:dyDescent="0.25">
      <c r="A34" s="2" t="s">
        <v>328</v>
      </c>
      <c r="B34">
        <f>COUNTIF('Raw Genre Boom'!A:A,A34)</f>
        <v>6</v>
      </c>
    </row>
    <row r="35" spans="1:2" x14ac:dyDescent="0.25">
      <c r="A35" s="3" t="s">
        <v>1162</v>
      </c>
      <c r="B35">
        <f>COUNTIF('Raw Genre Boom'!A:A,A35)</f>
        <v>6</v>
      </c>
    </row>
    <row r="36" spans="1:2" x14ac:dyDescent="0.25">
      <c r="A36" s="2" t="s">
        <v>1139</v>
      </c>
      <c r="B36">
        <f>COUNTIF('Raw Genre Boom'!A:A,A36)</f>
        <v>5</v>
      </c>
    </row>
    <row r="37" spans="1:2" x14ac:dyDescent="0.25">
      <c r="A37" s="3" t="s">
        <v>964</v>
      </c>
      <c r="B37">
        <f>COUNTIF('Raw Genre Boom'!A:A,A37)</f>
        <v>5</v>
      </c>
    </row>
    <row r="38" spans="1:2" x14ac:dyDescent="0.25">
      <c r="A38" s="2" t="s">
        <v>1130</v>
      </c>
      <c r="B38">
        <f>COUNTIF('Raw Genre Boom'!A:A,A38)</f>
        <v>5</v>
      </c>
    </row>
    <row r="39" spans="1:2" x14ac:dyDescent="0.25">
      <c r="A39" s="2" t="s">
        <v>1131</v>
      </c>
      <c r="B39">
        <f>COUNTIF('Raw Genre Boom'!A:A,A39)</f>
        <v>5</v>
      </c>
    </row>
    <row r="40" spans="1:2" x14ac:dyDescent="0.25">
      <c r="A40" s="2" t="s">
        <v>664</v>
      </c>
      <c r="B40">
        <f>COUNTIF('Raw Genre Boom'!A:A,A40)</f>
        <v>5</v>
      </c>
    </row>
    <row r="41" spans="1:2" x14ac:dyDescent="0.25">
      <c r="A41" s="3" t="s">
        <v>933</v>
      </c>
      <c r="B41">
        <f>COUNTIF('Raw Genre Boom'!A:A,A41)</f>
        <v>5</v>
      </c>
    </row>
    <row r="42" spans="1:2" x14ac:dyDescent="0.25">
      <c r="A42" s="3" t="s">
        <v>997</v>
      </c>
      <c r="B42">
        <f>COUNTIF('Raw Genre Boom'!A:A,A42)</f>
        <v>4</v>
      </c>
    </row>
    <row r="43" spans="1:2" x14ac:dyDescent="0.25">
      <c r="A43" s="3" t="s">
        <v>927</v>
      </c>
      <c r="B43">
        <f>COUNTIF('Raw Genre Boom'!A:A,A43)</f>
        <v>4</v>
      </c>
    </row>
    <row r="44" spans="1:2" x14ac:dyDescent="0.25">
      <c r="A44" s="2" t="s">
        <v>1078</v>
      </c>
      <c r="B44">
        <f>COUNTIF('Raw Genre Boom'!A:A,A44)</f>
        <v>4</v>
      </c>
    </row>
    <row r="45" spans="1:2" x14ac:dyDescent="0.25">
      <c r="A45" s="2" t="s">
        <v>512</v>
      </c>
      <c r="B45">
        <f>COUNTIF('Raw Genre Boom'!A:A,A45)</f>
        <v>4</v>
      </c>
    </row>
    <row r="46" spans="1:2" x14ac:dyDescent="0.25">
      <c r="A46" s="2" t="s">
        <v>1141</v>
      </c>
      <c r="B46">
        <f>COUNTIF('Raw Genre Boom'!A:A,A46)</f>
        <v>4</v>
      </c>
    </row>
    <row r="47" spans="1:2" x14ac:dyDescent="0.25">
      <c r="A47" s="2" t="s">
        <v>550</v>
      </c>
      <c r="B47">
        <f>COUNTIF('Raw Genre Boom'!A:A,A47)</f>
        <v>3</v>
      </c>
    </row>
    <row r="48" spans="1:2" x14ac:dyDescent="0.25">
      <c r="A48" s="2" t="s">
        <v>963</v>
      </c>
      <c r="B48">
        <f>COUNTIF('Raw Genre Boom'!A:A,A48)</f>
        <v>3</v>
      </c>
    </row>
    <row r="49" spans="1:2" x14ac:dyDescent="0.25">
      <c r="A49" s="2" t="s">
        <v>948</v>
      </c>
      <c r="B49">
        <f>COUNTIF('Raw Genre Boom'!A:A,A49)</f>
        <v>3</v>
      </c>
    </row>
    <row r="50" spans="1:2" x14ac:dyDescent="0.25">
      <c r="A50" s="2" t="s">
        <v>1069</v>
      </c>
      <c r="B50">
        <f>COUNTIF('Raw Genre Boom'!A:A,A50)</f>
        <v>3</v>
      </c>
    </row>
    <row r="51" spans="1:2" x14ac:dyDescent="0.25">
      <c r="A51" s="2" t="s">
        <v>1070</v>
      </c>
      <c r="B51">
        <f>COUNTIF('Raw Genre Boom'!A:A,A51)</f>
        <v>3</v>
      </c>
    </row>
    <row r="52" spans="1:2" x14ac:dyDescent="0.25">
      <c r="A52" s="2" t="s">
        <v>965</v>
      </c>
      <c r="B52">
        <f>COUNTIF('Raw Genre Boom'!A:A,A52)</f>
        <v>3</v>
      </c>
    </row>
    <row r="53" spans="1:2" x14ac:dyDescent="0.25">
      <c r="A53" s="2" t="s">
        <v>509</v>
      </c>
      <c r="B53">
        <f>COUNTIF('Raw Genre Boom'!A:A,A53)</f>
        <v>3</v>
      </c>
    </row>
    <row r="54" spans="1:2" x14ac:dyDescent="0.25">
      <c r="A54" s="2" t="s">
        <v>941</v>
      </c>
      <c r="B54">
        <f>COUNTIF('Raw Genre Boom'!A:A,A54)</f>
        <v>2</v>
      </c>
    </row>
    <row r="55" spans="1:2" x14ac:dyDescent="0.25">
      <c r="A55" s="2" t="s">
        <v>1142</v>
      </c>
      <c r="B55">
        <f>COUNTIF('Raw Genre Boom'!A:A,A55)</f>
        <v>2</v>
      </c>
    </row>
    <row r="56" spans="1:2" x14ac:dyDescent="0.25">
      <c r="A56" s="3" t="s">
        <v>1164</v>
      </c>
      <c r="B56">
        <f>COUNTIF('Raw Genre Boom'!A:A,A56)</f>
        <v>2</v>
      </c>
    </row>
    <row r="57" spans="1:2" x14ac:dyDescent="0.25">
      <c r="A57" s="3" t="s">
        <v>1122</v>
      </c>
      <c r="B57">
        <f>COUNTIF('Raw Genre Boom'!A:A,A57)</f>
        <v>2</v>
      </c>
    </row>
    <row r="58" spans="1:2" x14ac:dyDescent="0.25">
      <c r="A58" s="3" t="s">
        <v>1143</v>
      </c>
      <c r="B58">
        <f>COUNTIF('Raw Genre Boom'!A:A,A58)</f>
        <v>2</v>
      </c>
    </row>
    <row r="59" spans="1:2" x14ac:dyDescent="0.25">
      <c r="A59" s="2" t="s">
        <v>1149</v>
      </c>
      <c r="B59">
        <f>COUNTIF('Raw Genre Boom'!A:A,A59)</f>
        <v>2</v>
      </c>
    </row>
    <row r="60" spans="1:2" x14ac:dyDescent="0.25">
      <c r="A60" s="3" t="s">
        <v>1148</v>
      </c>
      <c r="B60">
        <f>COUNTIF('Raw Genre Boom'!A:A,A60)</f>
        <v>2</v>
      </c>
    </row>
    <row r="61" spans="1:2" x14ac:dyDescent="0.25">
      <c r="A61" s="2" t="s">
        <v>1150</v>
      </c>
      <c r="B61">
        <f>COUNTIF('Raw Genre Boom'!A:A,A61)</f>
        <v>2</v>
      </c>
    </row>
    <row r="62" spans="1:2" x14ac:dyDescent="0.25">
      <c r="A62" s="2" t="s">
        <v>1086</v>
      </c>
      <c r="B62">
        <f>COUNTIF('Raw Genre Boom'!A:A,A62)</f>
        <v>2</v>
      </c>
    </row>
    <row r="63" spans="1:2" x14ac:dyDescent="0.25">
      <c r="A63" s="3" t="s">
        <v>1144</v>
      </c>
      <c r="B63">
        <f>COUNTIF('Raw Genre Boom'!A:A,A63)</f>
        <v>2</v>
      </c>
    </row>
    <row r="64" spans="1:2" x14ac:dyDescent="0.25">
      <c r="A64" s="3" t="s">
        <v>1014</v>
      </c>
      <c r="B64">
        <f>COUNTIF('Raw Genre Boom'!A:A,A64)</f>
        <v>2</v>
      </c>
    </row>
    <row r="65" spans="1:2" x14ac:dyDescent="0.25">
      <c r="A65" s="2" t="s">
        <v>944</v>
      </c>
      <c r="B65">
        <f>COUNTIF('Raw Genre Boom'!A:A,A65)</f>
        <v>2</v>
      </c>
    </row>
    <row r="66" spans="1:2" x14ac:dyDescent="0.25">
      <c r="A66" s="3" t="s">
        <v>1001</v>
      </c>
      <c r="B66">
        <f>COUNTIF('Raw Genre Boom'!A:A,A66)</f>
        <v>1</v>
      </c>
    </row>
    <row r="67" spans="1:2" x14ac:dyDescent="0.25">
      <c r="A67" s="2" t="s">
        <v>925</v>
      </c>
      <c r="B67">
        <f>COUNTIF('Raw Genre Boom'!A:A,A67)</f>
        <v>1</v>
      </c>
    </row>
    <row r="68" spans="1:2" x14ac:dyDescent="0.25">
      <c r="A68" s="2" t="s">
        <v>996</v>
      </c>
      <c r="B68">
        <f>COUNTIF('Raw Genre Boom'!A:A,A68)</f>
        <v>1</v>
      </c>
    </row>
    <row r="69" spans="1:2" x14ac:dyDescent="0.25">
      <c r="A69" s="3" t="s">
        <v>1151</v>
      </c>
      <c r="B69">
        <f>COUNTIF('Raw Genre Boom'!A:A,A69)</f>
        <v>1</v>
      </c>
    </row>
    <row r="70" spans="1:2" x14ac:dyDescent="0.25">
      <c r="A70" s="3" t="s">
        <v>1154</v>
      </c>
      <c r="B70">
        <f>COUNTIF('Raw Genre Boom'!A:A,A70)</f>
        <v>1</v>
      </c>
    </row>
    <row r="71" spans="1:2" x14ac:dyDescent="0.25">
      <c r="A71" s="3" t="s">
        <v>1135</v>
      </c>
      <c r="B71">
        <f>COUNTIF('Raw Genre Boom'!A:A,A71)</f>
        <v>1</v>
      </c>
    </row>
    <row r="72" spans="1:2" x14ac:dyDescent="0.25">
      <c r="A72" s="2" t="s">
        <v>1159</v>
      </c>
      <c r="B72">
        <f>COUNTIF('Raw Genre Boom'!A:A,A72)</f>
        <v>1</v>
      </c>
    </row>
    <row r="73" spans="1:2" x14ac:dyDescent="0.25">
      <c r="A73" s="3" t="s">
        <v>1051</v>
      </c>
      <c r="B73">
        <f>COUNTIF('Raw Genre Boom'!A:A,A73)</f>
        <v>1</v>
      </c>
    </row>
    <row r="74" spans="1:2" x14ac:dyDescent="0.25">
      <c r="A74" s="2" t="s">
        <v>1127</v>
      </c>
      <c r="B74">
        <f>COUNTIF('Raw Genre Boom'!A:A,A74)</f>
        <v>1</v>
      </c>
    </row>
    <row r="75" spans="1:2" x14ac:dyDescent="0.25">
      <c r="A75" s="3" t="s">
        <v>1166</v>
      </c>
      <c r="B75">
        <f>COUNTIF('Raw Genre Boom'!A:A,A75)</f>
        <v>1</v>
      </c>
    </row>
    <row r="76" spans="1:2" x14ac:dyDescent="0.25">
      <c r="A76" s="2" t="s">
        <v>1165</v>
      </c>
      <c r="B76">
        <f>COUNTIF('Raw Genre Boom'!A:A,A76)</f>
        <v>1</v>
      </c>
    </row>
    <row r="77" spans="1:2" x14ac:dyDescent="0.25">
      <c r="A77" s="3" t="s">
        <v>1160</v>
      </c>
      <c r="B77">
        <f>COUNTIF('Raw Genre Boom'!A:A,A77)</f>
        <v>1</v>
      </c>
    </row>
    <row r="78" spans="1:2" x14ac:dyDescent="0.25">
      <c r="A78" s="2" t="s">
        <v>1031</v>
      </c>
      <c r="B78">
        <f>COUNTIF('Raw Genre Boom'!A:A,A78)</f>
        <v>1</v>
      </c>
    </row>
    <row r="79" spans="1:2" x14ac:dyDescent="0.25">
      <c r="A79" s="3" t="s">
        <v>1158</v>
      </c>
      <c r="B79">
        <f>COUNTIF('Raw Genre Boom'!A:A,A79)</f>
        <v>1</v>
      </c>
    </row>
    <row r="80" spans="1:2" x14ac:dyDescent="0.25">
      <c r="A80" s="2" t="s">
        <v>1052</v>
      </c>
      <c r="B80">
        <f>COUNTIF('Raw Genre Boom'!A:A,A80)</f>
        <v>1</v>
      </c>
    </row>
    <row r="81" spans="1:2" x14ac:dyDescent="0.25">
      <c r="A81" s="3" t="s">
        <v>949</v>
      </c>
      <c r="B81">
        <f>COUNTIF('Raw Genre Boom'!A:A,A81)</f>
        <v>1</v>
      </c>
    </row>
    <row r="82" spans="1:2" x14ac:dyDescent="0.25">
      <c r="A82" s="3" t="s">
        <v>1136</v>
      </c>
      <c r="B82">
        <f>COUNTIF('Raw Genre Boom'!A:A,A82)</f>
        <v>1</v>
      </c>
    </row>
    <row r="83" spans="1:2" x14ac:dyDescent="0.25">
      <c r="A83" s="2" t="s">
        <v>1137</v>
      </c>
      <c r="B83">
        <f>COUNTIF('Raw Genre Boom'!A:A,A83)</f>
        <v>1</v>
      </c>
    </row>
    <row r="84" spans="1:2" x14ac:dyDescent="0.25">
      <c r="A84" s="3" t="s">
        <v>1167</v>
      </c>
      <c r="B84">
        <f>COUNTIF('Raw Genre Boom'!A:A,A84)</f>
        <v>1</v>
      </c>
    </row>
    <row r="85" spans="1:2" x14ac:dyDescent="0.25">
      <c r="A85" s="2" t="s">
        <v>1138</v>
      </c>
      <c r="B85">
        <f>COUNTIF('Raw Genre Boom'!A:A,A85)</f>
        <v>1</v>
      </c>
    </row>
    <row r="86" spans="1:2" x14ac:dyDescent="0.25">
      <c r="A86" s="3" t="s">
        <v>1155</v>
      </c>
      <c r="B86">
        <f>COUNTIF('Raw Genre Boom'!A:A,A86)</f>
        <v>1</v>
      </c>
    </row>
    <row r="87" spans="1:2" x14ac:dyDescent="0.25">
      <c r="A87" s="2" t="s">
        <v>1156</v>
      </c>
      <c r="B87">
        <f>COUNTIF('Raw Genre Boom'!A:A,A87)</f>
        <v>1</v>
      </c>
    </row>
    <row r="88" spans="1:2" x14ac:dyDescent="0.25">
      <c r="A88" s="2" t="s">
        <v>1123</v>
      </c>
      <c r="B88">
        <f>COUNTIF('Raw Genre Boom'!A:A,A88)</f>
        <v>1</v>
      </c>
    </row>
    <row r="89" spans="1:2" x14ac:dyDescent="0.25">
      <c r="A89" s="2" t="s">
        <v>1157</v>
      </c>
      <c r="B89">
        <f>COUNTIF('Raw Genre Boom'!A:A,A89)</f>
        <v>1</v>
      </c>
    </row>
    <row r="90" spans="1:2" x14ac:dyDescent="0.25">
      <c r="A90" s="3" t="s">
        <v>1133</v>
      </c>
      <c r="B90">
        <f>COUNTIF('Raw Genre Boom'!A:A,A90)</f>
        <v>1</v>
      </c>
    </row>
    <row r="91" spans="1:2" x14ac:dyDescent="0.25">
      <c r="A91" s="3" t="s">
        <v>955</v>
      </c>
      <c r="B91">
        <f>COUNTIF('Raw Genre Boom'!A:A,A91)</f>
        <v>1</v>
      </c>
    </row>
    <row r="92" spans="1:2" x14ac:dyDescent="0.25">
      <c r="A92" s="2" t="s">
        <v>1128</v>
      </c>
      <c r="B92">
        <f>COUNTIF('Raw Genre Boom'!A:A,A92)</f>
        <v>1</v>
      </c>
    </row>
    <row r="93" spans="1:2" x14ac:dyDescent="0.25">
      <c r="A93" s="3" t="s">
        <v>916</v>
      </c>
      <c r="B93">
        <f>COUNTIF('Raw Genre Boom'!A:A,A93)</f>
        <v>1</v>
      </c>
    </row>
    <row r="94" spans="1:2" x14ac:dyDescent="0.25">
      <c r="A94" s="2" t="s">
        <v>1169</v>
      </c>
      <c r="B94">
        <f>COUNTIF('Raw Genre Boom'!A:A,A94)</f>
        <v>1</v>
      </c>
    </row>
    <row r="95" spans="1:2" x14ac:dyDescent="0.25">
      <c r="A95" s="3" t="s">
        <v>1163</v>
      </c>
      <c r="B95">
        <f>COUNTIF('Raw Genre Boom'!A:A,A95)</f>
        <v>1</v>
      </c>
    </row>
    <row r="96" spans="1:2" x14ac:dyDescent="0.25">
      <c r="A96" s="3" t="s">
        <v>1118</v>
      </c>
      <c r="B96">
        <f>COUNTIF('Raw Genre Boom'!A:A,A96)</f>
        <v>1</v>
      </c>
    </row>
    <row r="97" spans="1:2" x14ac:dyDescent="0.25">
      <c r="A97" s="3" t="s">
        <v>1034</v>
      </c>
      <c r="B97">
        <f>COUNTIF('Raw Genre Boom'!A:A,A97)</f>
        <v>1</v>
      </c>
    </row>
    <row r="98" spans="1:2" x14ac:dyDescent="0.25">
      <c r="A98" s="2" t="s">
        <v>928</v>
      </c>
      <c r="B98">
        <f>COUNTIF('Raw Genre Boom'!A:A,A98)</f>
        <v>1</v>
      </c>
    </row>
    <row r="99" spans="1:2" x14ac:dyDescent="0.25">
      <c r="A99" s="2" t="s">
        <v>1124</v>
      </c>
      <c r="B99">
        <f>COUNTIF('Raw Genre Boom'!A:A,A99)</f>
        <v>1</v>
      </c>
    </row>
    <row r="100" spans="1:2" x14ac:dyDescent="0.25">
      <c r="A100" s="3" t="s">
        <v>1071</v>
      </c>
      <c r="B100">
        <f>COUNTIF('Raw Genre Boom'!A:A,A100)</f>
        <v>1</v>
      </c>
    </row>
    <row r="101" spans="1:2" x14ac:dyDescent="0.25">
      <c r="A101" s="2" t="s">
        <v>1113</v>
      </c>
      <c r="B101">
        <f>COUNTIF('Raw Genre Boom'!A:A,A101)</f>
        <v>1</v>
      </c>
    </row>
    <row r="102" spans="1:2" x14ac:dyDescent="0.25">
      <c r="A102" s="2" t="s">
        <v>936</v>
      </c>
      <c r="B102">
        <f>COUNTIF('Raw Genre Boom'!A:A,A102)</f>
        <v>1</v>
      </c>
    </row>
    <row r="103" spans="1:2" x14ac:dyDescent="0.25">
      <c r="A103" s="3" t="s">
        <v>1054</v>
      </c>
      <c r="B103">
        <f>COUNTIF('Raw Genre Boom'!A:A,A103)</f>
        <v>1</v>
      </c>
    </row>
    <row r="104" spans="1:2" x14ac:dyDescent="0.25">
      <c r="A104" s="2" t="s">
        <v>1134</v>
      </c>
      <c r="B104">
        <f>COUNTIF('Raw Genre Boom'!A:A,A104)</f>
        <v>1</v>
      </c>
    </row>
    <row r="105" spans="1:2" x14ac:dyDescent="0.25">
      <c r="A105" s="3" t="s">
        <v>960</v>
      </c>
      <c r="B105">
        <f>COUNTIF('Raw Genre Boom'!A:A,A105)</f>
        <v>1</v>
      </c>
    </row>
    <row r="106" spans="1:2" x14ac:dyDescent="0.25">
      <c r="A106" s="2" t="s">
        <v>961</v>
      </c>
      <c r="B106">
        <f>COUNTIF('Raw Genre Boom'!A:A,A106)</f>
        <v>1</v>
      </c>
    </row>
    <row r="107" spans="1:2" x14ac:dyDescent="0.25">
      <c r="A107" s="3" t="s">
        <v>1147</v>
      </c>
      <c r="B107">
        <f>COUNTIF('Raw Genre Boom'!A:A,A107)</f>
        <v>1</v>
      </c>
    </row>
    <row r="108" spans="1:2" x14ac:dyDescent="0.25">
      <c r="A108" s="3" t="s">
        <v>1168</v>
      </c>
      <c r="B108">
        <f>COUNTIF('Raw Genre Boom'!A:A,A108)</f>
        <v>1</v>
      </c>
    </row>
    <row r="109" spans="1:2" x14ac:dyDescent="0.25">
      <c r="A109" s="2" t="s">
        <v>956</v>
      </c>
      <c r="B109">
        <f>COUNTIF('Raw Genre Boom'!A:A,A109)</f>
        <v>1</v>
      </c>
    </row>
    <row r="110" spans="1:2" x14ac:dyDescent="0.25">
      <c r="A110" s="3" t="s">
        <v>1145</v>
      </c>
      <c r="B110">
        <f>COUNTIF('Raw Genre Boom'!A:A,A110)</f>
        <v>1</v>
      </c>
    </row>
    <row r="111" spans="1:2" x14ac:dyDescent="0.25">
      <c r="A111" s="2" t="s">
        <v>1146</v>
      </c>
      <c r="B111">
        <f>COUNTIF('Raw Genre Boom'!A:A,A111)</f>
        <v>1</v>
      </c>
    </row>
    <row r="112" spans="1:2" x14ac:dyDescent="0.25">
      <c r="A112" s="3" t="s">
        <v>1152</v>
      </c>
      <c r="B112">
        <f>COUNTIF('Raw Genre Boom'!A:A,A112)</f>
        <v>1</v>
      </c>
    </row>
    <row r="113" spans="1:2" x14ac:dyDescent="0.25">
      <c r="A113" s="2" t="s">
        <v>1153</v>
      </c>
      <c r="B113">
        <f>COUNTIF('Raw Genre Boom'!A:A,A113)</f>
        <v>1</v>
      </c>
    </row>
    <row r="114" spans="1:2" x14ac:dyDescent="0.25">
      <c r="A114" s="3" t="s">
        <v>1033</v>
      </c>
      <c r="B114">
        <f>COUNTIF('Raw Genre Boom'!A:A,A114)</f>
        <v>1</v>
      </c>
    </row>
  </sheetData>
  <sortState xmlns:xlrd2="http://schemas.microsoft.com/office/spreadsheetml/2017/richdata2" ref="A2:B868">
    <sortCondition descending="1" ref="B2:B868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A03CB-395B-432F-A27E-9EACEF8781A4}">
  <sheetPr codeName="Sheet15"/>
  <dimension ref="A1:B1043"/>
  <sheetViews>
    <sheetView workbookViewId="0">
      <selection activeCell="B2" sqref="B2"/>
    </sheetView>
  </sheetViews>
  <sheetFormatPr defaultRowHeight="15" x14ac:dyDescent="0.25"/>
  <cols>
    <col min="1" max="1" width="30.5703125" style="4" bestFit="1" customWidth="1"/>
    <col min="2" max="2" width="11" bestFit="1" customWidth="1"/>
  </cols>
  <sheetData>
    <row r="1" spans="1:2" x14ac:dyDescent="0.25">
      <c r="A1" s="4" t="s">
        <v>1115</v>
      </c>
      <c r="B1" t="s">
        <v>1116</v>
      </c>
    </row>
    <row r="2" spans="1:2" x14ac:dyDescent="0.25">
      <c r="A2" s="6" t="s">
        <v>919</v>
      </c>
      <c r="B2">
        <f>COUNTIF('Raw Genre soirée'!A:A,A2)</f>
        <v>74</v>
      </c>
    </row>
    <row r="3" spans="1:2" x14ac:dyDescent="0.25">
      <c r="A3" s="6" t="s">
        <v>25</v>
      </c>
      <c r="B3">
        <f>COUNTIF('Raw Genre soirée'!A:A,A3)</f>
        <v>72</v>
      </c>
    </row>
    <row r="4" spans="1:2" x14ac:dyDescent="0.25">
      <c r="A4" s="6" t="s">
        <v>918</v>
      </c>
      <c r="B4">
        <f>COUNTIF('Raw Genre soirée'!A:A,A4)</f>
        <v>63</v>
      </c>
    </row>
    <row r="5" spans="1:2" x14ac:dyDescent="0.25">
      <c r="A5" s="6" t="s">
        <v>920</v>
      </c>
      <c r="B5">
        <f>COUNTIF('Raw Genre soirée'!A:A,A5)</f>
        <v>60</v>
      </c>
    </row>
    <row r="6" spans="1:2" x14ac:dyDescent="0.25">
      <c r="A6" s="6" t="s">
        <v>921</v>
      </c>
      <c r="B6">
        <f>COUNTIF('Raw Genre soirée'!A:A,A6)</f>
        <v>57</v>
      </c>
    </row>
    <row r="7" spans="1:2" x14ac:dyDescent="0.25">
      <c r="A7" s="5" t="s">
        <v>923</v>
      </c>
      <c r="B7">
        <f>COUNTIF('Raw Genre soirée'!A:A,A7)</f>
        <v>41</v>
      </c>
    </row>
    <row r="8" spans="1:2" x14ac:dyDescent="0.25">
      <c r="A8" s="6" t="s">
        <v>924</v>
      </c>
      <c r="B8">
        <f>COUNTIF('Raw Genre soirée'!A:A,A8)</f>
        <v>29</v>
      </c>
    </row>
    <row r="9" spans="1:2" x14ac:dyDescent="0.25">
      <c r="A9" s="6" t="s">
        <v>916</v>
      </c>
      <c r="B9">
        <f>COUNTIF('Raw Genre soirée'!A:A,A9)</f>
        <v>27</v>
      </c>
    </row>
    <row r="10" spans="1:2" x14ac:dyDescent="0.25">
      <c r="A10" s="6" t="s">
        <v>922</v>
      </c>
      <c r="B10">
        <f>COUNTIF('Raw Genre soirée'!A:A,A10)</f>
        <v>19</v>
      </c>
    </row>
    <row r="11" spans="1:2" x14ac:dyDescent="0.25">
      <c r="A11" s="6" t="s">
        <v>927</v>
      </c>
      <c r="B11">
        <f>COUNTIF('Raw Genre soirée'!A:A,A11)</f>
        <v>17</v>
      </c>
    </row>
    <row r="12" spans="1:2" x14ac:dyDescent="0.25">
      <c r="A12" s="5" t="s">
        <v>983</v>
      </c>
      <c r="B12">
        <f>COUNTIF('Raw Genre soirée'!A:A,A12)</f>
        <v>16</v>
      </c>
    </row>
    <row r="13" spans="1:2" x14ac:dyDescent="0.25">
      <c r="A13" s="5" t="s">
        <v>974</v>
      </c>
      <c r="B13">
        <f>COUNTIF('Raw Genre soirée'!A:A,A13)</f>
        <v>16</v>
      </c>
    </row>
    <row r="14" spans="1:2" x14ac:dyDescent="0.25">
      <c r="A14" s="5" t="s">
        <v>1004</v>
      </c>
      <c r="B14">
        <f>COUNTIF('Raw Genre soirée'!A:A,A14)</f>
        <v>15</v>
      </c>
    </row>
    <row r="15" spans="1:2" x14ac:dyDescent="0.25">
      <c r="A15" s="6" t="s">
        <v>999</v>
      </c>
      <c r="B15">
        <f>COUNTIF('Raw Genre soirée'!A:A,A15)</f>
        <v>15</v>
      </c>
    </row>
    <row r="16" spans="1:2" x14ac:dyDescent="0.25">
      <c r="A16" s="5" t="s">
        <v>954</v>
      </c>
      <c r="B16">
        <f>COUNTIF('Raw Genre soirée'!A:A,A16)</f>
        <v>14</v>
      </c>
    </row>
    <row r="17" spans="1:2" x14ac:dyDescent="0.25">
      <c r="A17" s="5" t="s">
        <v>929</v>
      </c>
      <c r="B17">
        <f>COUNTIF('Raw Genre soirée'!A:A,A17)</f>
        <v>12</v>
      </c>
    </row>
    <row r="18" spans="1:2" x14ac:dyDescent="0.25">
      <c r="A18" s="5" t="s">
        <v>1014</v>
      </c>
      <c r="B18">
        <f>COUNTIF('Raw Genre soirée'!A:A,A18)</f>
        <v>11</v>
      </c>
    </row>
    <row r="19" spans="1:2" x14ac:dyDescent="0.25">
      <c r="A19" s="5" t="s">
        <v>1006</v>
      </c>
      <c r="B19">
        <f>COUNTIF('Raw Genre soirée'!A:A,A19)</f>
        <v>11</v>
      </c>
    </row>
    <row r="20" spans="1:2" x14ac:dyDescent="0.25">
      <c r="A20" s="5" t="s">
        <v>984</v>
      </c>
      <c r="B20">
        <f>COUNTIF('Raw Genre soirée'!A:A,A20)</f>
        <v>11</v>
      </c>
    </row>
    <row r="21" spans="1:2" x14ac:dyDescent="0.25">
      <c r="A21" s="6" t="s">
        <v>934</v>
      </c>
      <c r="B21">
        <f>COUNTIF('Raw Genre soirée'!A:A,A21)</f>
        <v>10</v>
      </c>
    </row>
    <row r="22" spans="1:2" x14ac:dyDescent="0.25">
      <c r="A22" s="5" t="s">
        <v>981</v>
      </c>
      <c r="B22">
        <f>COUNTIF('Raw Genre soirée'!A:A,A22)</f>
        <v>10</v>
      </c>
    </row>
    <row r="23" spans="1:2" x14ac:dyDescent="0.25">
      <c r="A23" s="6" t="s">
        <v>328</v>
      </c>
      <c r="B23">
        <f>COUNTIF('Raw Genre soirée'!A:A,A23)</f>
        <v>10</v>
      </c>
    </row>
    <row r="24" spans="1:2" x14ac:dyDescent="0.25">
      <c r="A24" s="6" t="s">
        <v>955</v>
      </c>
      <c r="B24">
        <f>COUNTIF('Raw Genre soirée'!A:A,A24)</f>
        <v>9</v>
      </c>
    </row>
    <row r="25" spans="1:2" x14ac:dyDescent="0.25">
      <c r="A25" s="6" t="s">
        <v>933</v>
      </c>
      <c r="B25">
        <f>COUNTIF('Raw Genre soirée'!A:A,A25)</f>
        <v>9</v>
      </c>
    </row>
    <row r="26" spans="1:2" x14ac:dyDescent="0.25">
      <c r="A26" s="6" t="s">
        <v>1005</v>
      </c>
      <c r="B26">
        <f>COUNTIF('Raw Genre soirée'!A:A,A26)</f>
        <v>9</v>
      </c>
    </row>
    <row r="27" spans="1:2" x14ac:dyDescent="0.25">
      <c r="A27" s="6" t="s">
        <v>936</v>
      </c>
      <c r="B27">
        <f>COUNTIF('Raw Genre soirée'!A:A,A27)</f>
        <v>9</v>
      </c>
    </row>
    <row r="28" spans="1:2" x14ac:dyDescent="0.25">
      <c r="A28" s="6" t="s">
        <v>976</v>
      </c>
      <c r="B28">
        <f>COUNTIF('Raw Genre soirée'!A:A,A28)</f>
        <v>8</v>
      </c>
    </row>
    <row r="29" spans="1:2" x14ac:dyDescent="0.25">
      <c r="A29" s="6" t="s">
        <v>956</v>
      </c>
      <c r="B29">
        <f>COUNTIF('Raw Genre soirée'!A:A,A29)</f>
        <v>8</v>
      </c>
    </row>
    <row r="30" spans="1:2" x14ac:dyDescent="0.25">
      <c r="A30" s="5" t="s">
        <v>975</v>
      </c>
      <c r="B30">
        <f>COUNTIF('Raw Genre soirée'!A:A,A30)</f>
        <v>7</v>
      </c>
    </row>
    <row r="31" spans="1:2" x14ac:dyDescent="0.25">
      <c r="A31" s="6" t="s">
        <v>939</v>
      </c>
      <c r="B31">
        <f>COUNTIF('Raw Genre soirée'!A:A,A31)</f>
        <v>7</v>
      </c>
    </row>
    <row r="32" spans="1:2" x14ac:dyDescent="0.25">
      <c r="A32" s="6" t="s">
        <v>930</v>
      </c>
      <c r="B32">
        <f>COUNTIF('Raw Genre soirée'!A:A,A32)</f>
        <v>7</v>
      </c>
    </row>
    <row r="33" spans="1:2" x14ac:dyDescent="0.25">
      <c r="A33" s="5" t="s">
        <v>996</v>
      </c>
      <c r="B33">
        <f>COUNTIF('Raw Genre soirée'!A:A,A33)</f>
        <v>6</v>
      </c>
    </row>
    <row r="34" spans="1:2" x14ac:dyDescent="0.25">
      <c r="A34" s="6" t="s">
        <v>1041</v>
      </c>
      <c r="B34">
        <f>COUNTIF('Raw Genre soirée'!A:A,A34)</f>
        <v>6</v>
      </c>
    </row>
    <row r="35" spans="1:2" x14ac:dyDescent="0.25">
      <c r="A35" s="5" t="s">
        <v>998</v>
      </c>
      <c r="B35">
        <f>COUNTIF('Raw Genre soirée'!A:A,A35)</f>
        <v>6</v>
      </c>
    </row>
    <row r="36" spans="1:2" x14ac:dyDescent="0.25">
      <c r="A36" s="5" t="s">
        <v>992</v>
      </c>
      <c r="B36">
        <f>COUNTIF('Raw Genre soirée'!A:A,A36)</f>
        <v>6</v>
      </c>
    </row>
    <row r="37" spans="1:2" x14ac:dyDescent="0.25">
      <c r="A37" s="6" t="s">
        <v>1034</v>
      </c>
      <c r="B37">
        <f>COUNTIF('Raw Genre soirée'!A:A,A37)</f>
        <v>6</v>
      </c>
    </row>
    <row r="38" spans="1:2" x14ac:dyDescent="0.25">
      <c r="A38" s="6" t="s">
        <v>944</v>
      </c>
      <c r="B38">
        <f>COUNTIF('Raw Genre soirée'!A:A,A38)</f>
        <v>6</v>
      </c>
    </row>
    <row r="39" spans="1:2" x14ac:dyDescent="0.25">
      <c r="A39" s="6" t="s">
        <v>994</v>
      </c>
      <c r="B39">
        <f>COUNTIF('Raw Genre soirée'!A:A,A39)</f>
        <v>6</v>
      </c>
    </row>
    <row r="40" spans="1:2" x14ac:dyDescent="0.25">
      <c r="A40" s="6" t="s">
        <v>925</v>
      </c>
      <c r="B40">
        <f>COUNTIF('Raw Genre soirée'!A:A,A40)</f>
        <v>5</v>
      </c>
    </row>
    <row r="41" spans="1:2" x14ac:dyDescent="0.25">
      <c r="A41" s="5" t="s">
        <v>1007</v>
      </c>
      <c r="B41">
        <f>COUNTIF('Raw Genre soirée'!A:A,A41)</f>
        <v>5</v>
      </c>
    </row>
    <row r="42" spans="1:2" x14ac:dyDescent="0.25">
      <c r="A42" s="6" t="s">
        <v>948</v>
      </c>
      <c r="B42">
        <f>COUNTIF('Raw Genre soirée'!A:A,A42)</f>
        <v>5</v>
      </c>
    </row>
    <row r="43" spans="1:2" x14ac:dyDescent="0.25">
      <c r="A43" s="5" t="s">
        <v>1029</v>
      </c>
      <c r="B43">
        <f>COUNTIF('Raw Genre soirée'!A:A,A43)</f>
        <v>5</v>
      </c>
    </row>
    <row r="44" spans="1:2" x14ac:dyDescent="0.25">
      <c r="A44" s="5" t="s">
        <v>967</v>
      </c>
      <c r="B44">
        <f>COUNTIF('Raw Genre soirée'!A:A,A44)</f>
        <v>5</v>
      </c>
    </row>
    <row r="45" spans="1:2" x14ac:dyDescent="0.25">
      <c r="A45" s="6" t="s">
        <v>928</v>
      </c>
      <c r="B45">
        <f>COUNTIF('Raw Genre soirée'!A:A,A45)</f>
        <v>5</v>
      </c>
    </row>
    <row r="46" spans="1:2" x14ac:dyDescent="0.25">
      <c r="A46" s="5" t="s">
        <v>1020</v>
      </c>
      <c r="B46">
        <f>COUNTIF('Raw Genre soirée'!A:A,A46)</f>
        <v>5</v>
      </c>
    </row>
    <row r="47" spans="1:2" x14ac:dyDescent="0.25">
      <c r="A47" s="6" t="s">
        <v>1001</v>
      </c>
      <c r="B47">
        <f>COUNTIF('Raw Genre soirée'!A:A,A47)</f>
        <v>4</v>
      </c>
    </row>
    <row r="48" spans="1:2" x14ac:dyDescent="0.25">
      <c r="A48" s="5" t="s">
        <v>958</v>
      </c>
      <c r="B48">
        <f>COUNTIF('Raw Genre soirée'!A:A,A48)</f>
        <v>4</v>
      </c>
    </row>
    <row r="49" spans="1:2" x14ac:dyDescent="0.25">
      <c r="A49" s="5" t="s">
        <v>941</v>
      </c>
      <c r="B49">
        <f>COUNTIF('Raw Genre soirée'!A:A,A49)</f>
        <v>4</v>
      </c>
    </row>
    <row r="50" spans="1:2" x14ac:dyDescent="0.25">
      <c r="A50" s="5" t="s">
        <v>951</v>
      </c>
      <c r="B50">
        <f>COUNTIF('Raw Genre soirée'!A:A,A50)</f>
        <v>4</v>
      </c>
    </row>
    <row r="51" spans="1:2" x14ac:dyDescent="0.25">
      <c r="A51" s="5" t="s">
        <v>1013</v>
      </c>
      <c r="B51">
        <f>COUNTIF('Raw Genre soirée'!A:A,A51)</f>
        <v>4</v>
      </c>
    </row>
    <row r="52" spans="1:2" x14ac:dyDescent="0.25">
      <c r="A52" s="5" t="s">
        <v>932</v>
      </c>
      <c r="B52">
        <f>COUNTIF('Raw Genre soirée'!A:A,A52)</f>
        <v>4</v>
      </c>
    </row>
    <row r="53" spans="1:2" x14ac:dyDescent="0.25">
      <c r="A53" s="6" t="s">
        <v>1031</v>
      </c>
      <c r="B53">
        <f>COUNTIF('Raw Genre soirée'!A:A,A53)</f>
        <v>4</v>
      </c>
    </row>
    <row r="54" spans="1:2" x14ac:dyDescent="0.25">
      <c r="A54" s="6" t="s">
        <v>949</v>
      </c>
      <c r="B54">
        <f>COUNTIF('Raw Genre soirée'!A:A,A54)</f>
        <v>4</v>
      </c>
    </row>
    <row r="55" spans="1:2" x14ac:dyDescent="0.25">
      <c r="A55" s="5" t="s">
        <v>997</v>
      </c>
      <c r="B55">
        <f>COUNTIF('Raw Genre soirée'!A:A,A55)</f>
        <v>4</v>
      </c>
    </row>
    <row r="56" spans="1:2" x14ac:dyDescent="0.25">
      <c r="A56" s="5" t="s">
        <v>1066</v>
      </c>
      <c r="B56">
        <f>COUNTIF('Raw Genre soirée'!A:A,A56)</f>
        <v>4</v>
      </c>
    </row>
    <row r="57" spans="1:2" x14ac:dyDescent="0.25">
      <c r="A57" s="6" t="s">
        <v>1086</v>
      </c>
      <c r="B57">
        <f>COUNTIF('Raw Genre soirée'!A:A,A57)</f>
        <v>4</v>
      </c>
    </row>
    <row r="58" spans="1:2" x14ac:dyDescent="0.25">
      <c r="A58" s="6" t="s">
        <v>1008</v>
      </c>
      <c r="B58">
        <f>COUNTIF('Raw Genre soirée'!A:A,A58)</f>
        <v>4</v>
      </c>
    </row>
    <row r="59" spans="1:2" x14ac:dyDescent="0.25">
      <c r="A59" s="5" t="s">
        <v>969</v>
      </c>
      <c r="B59">
        <f>COUNTIF('Raw Genre soirée'!A:A,A59)</f>
        <v>4</v>
      </c>
    </row>
    <row r="60" spans="1:2" x14ac:dyDescent="0.25">
      <c r="A60" s="6" t="s">
        <v>950</v>
      </c>
      <c r="B60">
        <f>COUNTIF('Raw Genre soirée'!A:A,A60)</f>
        <v>4</v>
      </c>
    </row>
    <row r="61" spans="1:2" x14ac:dyDescent="0.25">
      <c r="A61" s="6" t="s">
        <v>970</v>
      </c>
      <c r="B61">
        <f>COUNTIF('Raw Genre soirée'!A:A,A61)</f>
        <v>4</v>
      </c>
    </row>
    <row r="62" spans="1:2" x14ac:dyDescent="0.25">
      <c r="A62" s="6" t="s">
        <v>1033</v>
      </c>
      <c r="B62">
        <f>COUNTIF('Raw Genre soirée'!A:A,A62)</f>
        <v>4</v>
      </c>
    </row>
    <row r="63" spans="1:2" x14ac:dyDescent="0.25">
      <c r="A63" s="6" t="s">
        <v>931</v>
      </c>
      <c r="B63">
        <f>COUNTIF('Raw Genre soirée'!A:A,A63)</f>
        <v>3</v>
      </c>
    </row>
    <row r="64" spans="1:2" x14ac:dyDescent="0.25">
      <c r="A64" s="5" t="s">
        <v>1069</v>
      </c>
      <c r="B64">
        <f>COUNTIF('Raw Genre soirée'!A:A,A64)</f>
        <v>3</v>
      </c>
    </row>
    <row r="65" spans="1:2" x14ac:dyDescent="0.25">
      <c r="A65" s="5" t="s">
        <v>940</v>
      </c>
      <c r="B65">
        <f>COUNTIF('Raw Genre soirée'!A:A,A65)</f>
        <v>3</v>
      </c>
    </row>
    <row r="66" spans="1:2" x14ac:dyDescent="0.25">
      <c r="A66" s="6" t="s">
        <v>1070</v>
      </c>
      <c r="B66">
        <f>COUNTIF('Raw Genre soirée'!A:A,A66)</f>
        <v>3</v>
      </c>
    </row>
    <row r="67" spans="1:2" x14ac:dyDescent="0.25">
      <c r="A67" s="6" t="s">
        <v>985</v>
      </c>
      <c r="B67">
        <f>COUNTIF('Raw Genre soirée'!A:A,A67)</f>
        <v>3</v>
      </c>
    </row>
    <row r="68" spans="1:2" x14ac:dyDescent="0.25">
      <c r="A68" s="6" t="s">
        <v>1087</v>
      </c>
      <c r="B68">
        <f>COUNTIF('Raw Genre soirée'!A:A,A68)</f>
        <v>3</v>
      </c>
    </row>
    <row r="69" spans="1:2" x14ac:dyDescent="0.25">
      <c r="A69" s="5" t="s">
        <v>1042</v>
      </c>
      <c r="B69">
        <f>COUNTIF('Raw Genre soirée'!A:A,A69)</f>
        <v>3</v>
      </c>
    </row>
    <row r="70" spans="1:2" x14ac:dyDescent="0.25">
      <c r="A70" s="5" t="s">
        <v>1053</v>
      </c>
      <c r="B70">
        <f>COUNTIF('Raw Genre soirée'!A:A,A70)</f>
        <v>3</v>
      </c>
    </row>
    <row r="71" spans="1:2" x14ac:dyDescent="0.25">
      <c r="A71" s="5" t="s">
        <v>947</v>
      </c>
      <c r="B71">
        <f>COUNTIF('Raw Genre soirée'!A:A,A71)</f>
        <v>3</v>
      </c>
    </row>
    <row r="72" spans="1:2" x14ac:dyDescent="0.25">
      <c r="A72" s="5" t="s">
        <v>986</v>
      </c>
      <c r="B72">
        <f>COUNTIF('Raw Genre soirée'!A:A,A72)</f>
        <v>3</v>
      </c>
    </row>
    <row r="73" spans="1:2" x14ac:dyDescent="0.25">
      <c r="A73" s="6" t="s">
        <v>1019</v>
      </c>
      <c r="B73">
        <f>COUNTIF('Raw Genre soirée'!A:A,A73)</f>
        <v>3</v>
      </c>
    </row>
    <row r="74" spans="1:2" x14ac:dyDescent="0.25">
      <c r="A74" s="5" t="s">
        <v>1073</v>
      </c>
      <c r="B74">
        <f>COUNTIF('Raw Genre soirée'!A:A,A74)</f>
        <v>3</v>
      </c>
    </row>
    <row r="75" spans="1:2" x14ac:dyDescent="0.25">
      <c r="A75" s="5" t="s">
        <v>946</v>
      </c>
      <c r="B75">
        <f>COUNTIF('Raw Genre soirée'!A:A,A75)</f>
        <v>3</v>
      </c>
    </row>
    <row r="76" spans="1:2" x14ac:dyDescent="0.25">
      <c r="A76" s="6" t="s">
        <v>1043</v>
      </c>
      <c r="B76">
        <f>COUNTIF('Raw Genre soirée'!A:A,A76)</f>
        <v>3</v>
      </c>
    </row>
    <row r="77" spans="1:2" x14ac:dyDescent="0.25">
      <c r="A77" s="6" t="s">
        <v>256</v>
      </c>
      <c r="B77">
        <f>COUNTIF('Raw Genre soirée'!A:A,A77)</f>
        <v>3</v>
      </c>
    </row>
    <row r="78" spans="1:2" x14ac:dyDescent="0.25">
      <c r="A78" s="5" t="s">
        <v>1021</v>
      </c>
      <c r="B78">
        <f>COUNTIF('Raw Genre soirée'!A:A,A78)</f>
        <v>3</v>
      </c>
    </row>
    <row r="79" spans="1:2" x14ac:dyDescent="0.25">
      <c r="A79" s="6" t="s">
        <v>1044</v>
      </c>
      <c r="B79">
        <f>COUNTIF('Raw Genre soirée'!A:A,A79)</f>
        <v>2</v>
      </c>
    </row>
    <row r="80" spans="1:2" x14ac:dyDescent="0.25">
      <c r="A80" s="6" t="s">
        <v>90</v>
      </c>
      <c r="B80">
        <f>COUNTIF('Raw Genre soirée'!A:A,A80)</f>
        <v>2</v>
      </c>
    </row>
    <row r="81" spans="1:2" x14ac:dyDescent="0.25">
      <c r="A81" s="5" t="s">
        <v>1081</v>
      </c>
      <c r="B81">
        <f>COUNTIF('Raw Genre soirée'!A:A,A81)</f>
        <v>2</v>
      </c>
    </row>
    <row r="82" spans="1:2" x14ac:dyDescent="0.25">
      <c r="A82" s="5" t="s">
        <v>963</v>
      </c>
      <c r="B82">
        <f>COUNTIF('Raw Genre soirée'!A:A,A82)</f>
        <v>2</v>
      </c>
    </row>
    <row r="83" spans="1:2" x14ac:dyDescent="0.25">
      <c r="A83" s="6" t="s">
        <v>1002</v>
      </c>
      <c r="B83">
        <f>COUNTIF('Raw Genre soirée'!A:A,A83)</f>
        <v>2</v>
      </c>
    </row>
    <row r="84" spans="1:2" x14ac:dyDescent="0.25">
      <c r="A84" s="6" t="s">
        <v>1030</v>
      </c>
      <c r="B84">
        <f>COUNTIF('Raw Genre soirée'!A:A,A84)</f>
        <v>2</v>
      </c>
    </row>
    <row r="85" spans="1:2" x14ac:dyDescent="0.25">
      <c r="A85" s="5" t="s">
        <v>926</v>
      </c>
      <c r="B85">
        <f>COUNTIF('Raw Genre soirée'!A:A,A85)</f>
        <v>2</v>
      </c>
    </row>
    <row r="86" spans="1:2" x14ac:dyDescent="0.25">
      <c r="A86" s="6" t="s">
        <v>1051</v>
      </c>
      <c r="B86">
        <f>COUNTIF('Raw Genre soirée'!A:A,A86)</f>
        <v>2</v>
      </c>
    </row>
    <row r="87" spans="1:2" x14ac:dyDescent="0.25">
      <c r="A87" s="6" t="s">
        <v>1011</v>
      </c>
      <c r="B87">
        <f>COUNTIF('Raw Genre soirée'!A:A,A87)</f>
        <v>2</v>
      </c>
    </row>
    <row r="88" spans="1:2" x14ac:dyDescent="0.25">
      <c r="A88" s="6" t="s">
        <v>1035</v>
      </c>
      <c r="B88">
        <f>COUNTIF('Raw Genre soirée'!A:A,A88)</f>
        <v>2</v>
      </c>
    </row>
    <row r="89" spans="1:2" x14ac:dyDescent="0.25">
      <c r="A89" s="6" t="s">
        <v>1052</v>
      </c>
      <c r="B89">
        <f>COUNTIF('Raw Genre soirée'!A:A,A89)</f>
        <v>2</v>
      </c>
    </row>
    <row r="90" spans="1:2" x14ac:dyDescent="0.25">
      <c r="A90" s="6" t="s">
        <v>1110</v>
      </c>
      <c r="B90">
        <f>COUNTIF('Raw Genre soirée'!A:A,A90)</f>
        <v>2</v>
      </c>
    </row>
    <row r="91" spans="1:2" x14ac:dyDescent="0.25">
      <c r="A91" s="6" t="s">
        <v>1090</v>
      </c>
      <c r="B91">
        <f>COUNTIF('Raw Genre soirée'!A:A,A91)</f>
        <v>2</v>
      </c>
    </row>
    <row r="92" spans="1:2" x14ac:dyDescent="0.25">
      <c r="A92" s="5" t="s">
        <v>953</v>
      </c>
      <c r="B92">
        <f>COUNTIF('Raw Genre soirée'!A:A,A92)</f>
        <v>2</v>
      </c>
    </row>
    <row r="93" spans="1:2" x14ac:dyDescent="0.25">
      <c r="A93" s="5" t="s">
        <v>973</v>
      </c>
      <c r="B93">
        <f>COUNTIF('Raw Genre soirée'!A:A,A93)</f>
        <v>2</v>
      </c>
    </row>
    <row r="94" spans="1:2" x14ac:dyDescent="0.25">
      <c r="A94" s="6" t="s">
        <v>943</v>
      </c>
      <c r="B94">
        <f>COUNTIF('Raw Genre soirée'!A:A,A94)</f>
        <v>2</v>
      </c>
    </row>
    <row r="95" spans="1:2" x14ac:dyDescent="0.25">
      <c r="A95" s="5" t="s">
        <v>977</v>
      </c>
      <c r="B95">
        <f>COUNTIF('Raw Genre soirée'!A:A,A95)</f>
        <v>2</v>
      </c>
    </row>
    <row r="96" spans="1:2" x14ac:dyDescent="0.25">
      <c r="A96" s="5" t="s">
        <v>1018</v>
      </c>
      <c r="B96">
        <f>COUNTIF('Raw Genre soirée'!A:A,A96)</f>
        <v>2</v>
      </c>
    </row>
    <row r="97" spans="1:2" x14ac:dyDescent="0.25">
      <c r="A97" s="6" t="s">
        <v>968</v>
      </c>
      <c r="B97">
        <f>COUNTIF('Raw Genre soirée'!A:A,A97)</f>
        <v>2</v>
      </c>
    </row>
    <row r="98" spans="1:2" x14ac:dyDescent="0.25">
      <c r="A98" s="5" t="s">
        <v>965</v>
      </c>
      <c r="B98">
        <f>COUNTIF('Raw Genre soirée'!A:A,A98)</f>
        <v>2</v>
      </c>
    </row>
    <row r="99" spans="1:2" x14ac:dyDescent="0.25">
      <c r="A99" s="5" t="s">
        <v>995</v>
      </c>
      <c r="B99">
        <f>COUNTIF('Raw Genre soirée'!A:A,A99)</f>
        <v>2</v>
      </c>
    </row>
    <row r="100" spans="1:2" x14ac:dyDescent="0.25">
      <c r="A100" s="6" t="s">
        <v>980</v>
      </c>
      <c r="B100">
        <f>COUNTIF('Raw Genre soirée'!A:A,A100)</f>
        <v>2</v>
      </c>
    </row>
    <row r="101" spans="1:2" x14ac:dyDescent="0.25">
      <c r="A101" s="6" t="s">
        <v>935</v>
      </c>
      <c r="B101">
        <f>COUNTIF('Raw Genre soirée'!A:A,A101)</f>
        <v>2</v>
      </c>
    </row>
    <row r="102" spans="1:2" x14ac:dyDescent="0.25">
      <c r="A102" s="6" t="s">
        <v>1000</v>
      </c>
      <c r="B102">
        <f>COUNTIF('Raw Genre soirée'!A:A,A102)</f>
        <v>2</v>
      </c>
    </row>
    <row r="103" spans="1:2" x14ac:dyDescent="0.25">
      <c r="A103" s="6" t="s">
        <v>982</v>
      </c>
      <c r="B103">
        <f>COUNTIF('Raw Genre soirée'!A:A,A103)</f>
        <v>2</v>
      </c>
    </row>
    <row r="104" spans="1:2" x14ac:dyDescent="0.25">
      <c r="A104" s="6" t="s">
        <v>978</v>
      </c>
      <c r="B104">
        <f>COUNTIF('Raw Genre soirée'!A:A,A104)</f>
        <v>2</v>
      </c>
    </row>
    <row r="105" spans="1:2" x14ac:dyDescent="0.25">
      <c r="A105" s="5" t="s">
        <v>1010</v>
      </c>
      <c r="B105">
        <f>COUNTIF('Raw Genre soirée'!A:A,A105)</f>
        <v>2</v>
      </c>
    </row>
    <row r="106" spans="1:2" x14ac:dyDescent="0.25">
      <c r="A106" s="5" t="s">
        <v>989</v>
      </c>
      <c r="B106">
        <f>COUNTIF('Raw Genre soirée'!A:A,A106)</f>
        <v>2</v>
      </c>
    </row>
    <row r="107" spans="1:2" x14ac:dyDescent="0.25">
      <c r="A107" s="5" t="s">
        <v>35</v>
      </c>
      <c r="B107">
        <f>COUNTIF('Raw Genre soirée'!A:A,A107)</f>
        <v>2</v>
      </c>
    </row>
    <row r="108" spans="1:2" x14ac:dyDescent="0.25">
      <c r="A108" s="5" t="s">
        <v>1054</v>
      </c>
      <c r="B108">
        <f>COUNTIF('Raw Genre soirée'!A:A,A108)</f>
        <v>2</v>
      </c>
    </row>
    <row r="109" spans="1:2" x14ac:dyDescent="0.25">
      <c r="A109" s="6" t="s">
        <v>962</v>
      </c>
      <c r="B109">
        <f>COUNTIF('Raw Genre soirée'!A:A,A109)</f>
        <v>2</v>
      </c>
    </row>
    <row r="110" spans="1:2" x14ac:dyDescent="0.25">
      <c r="A110" s="6" t="s">
        <v>957</v>
      </c>
      <c r="B110">
        <f>COUNTIF('Raw Genre soirée'!A:A,A110)</f>
        <v>2</v>
      </c>
    </row>
    <row r="111" spans="1:2" x14ac:dyDescent="0.25">
      <c r="A111" s="5" t="s">
        <v>945</v>
      </c>
      <c r="B111">
        <f>COUNTIF('Raw Genre soirée'!A:A,A111)</f>
        <v>2</v>
      </c>
    </row>
    <row r="112" spans="1:2" x14ac:dyDescent="0.25">
      <c r="A112" s="5" t="s">
        <v>993</v>
      </c>
      <c r="B112">
        <f>COUNTIF('Raw Genre soirée'!A:A,A112)</f>
        <v>2</v>
      </c>
    </row>
    <row r="113" spans="1:2" x14ac:dyDescent="0.25">
      <c r="A113" s="6" t="s">
        <v>1037</v>
      </c>
      <c r="B113">
        <f>COUNTIF('Raw Genre soirée'!A:A,A113)</f>
        <v>2</v>
      </c>
    </row>
    <row r="114" spans="1:2" x14ac:dyDescent="0.25">
      <c r="A114" s="5" t="s">
        <v>1039</v>
      </c>
      <c r="B114">
        <f>COUNTIF('Raw Genre soirée'!A:A,A114)</f>
        <v>1</v>
      </c>
    </row>
    <row r="115" spans="1:2" x14ac:dyDescent="0.25">
      <c r="A115" s="6" t="s">
        <v>1080</v>
      </c>
      <c r="B115">
        <f>COUNTIF('Raw Genre soirée'!A:A,A115)</f>
        <v>1</v>
      </c>
    </row>
    <row r="116" spans="1:2" x14ac:dyDescent="0.25">
      <c r="A116" s="6" t="s">
        <v>1022</v>
      </c>
      <c r="B116">
        <f>COUNTIF('Raw Genre soirée'!A:A,A116)</f>
        <v>1</v>
      </c>
    </row>
    <row r="117" spans="1:2" x14ac:dyDescent="0.25">
      <c r="A117" s="5" t="s">
        <v>1023</v>
      </c>
      <c r="B117">
        <f>COUNTIF('Raw Genre soirée'!A:A,A117)</f>
        <v>1</v>
      </c>
    </row>
    <row r="118" spans="1:2" x14ac:dyDescent="0.25">
      <c r="A118" s="5" t="s">
        <v>1084</v>
      </c>
      <c r="B118">
        <f>COUNTIF('Raw Genre soirée'!A:A,A118)</f>
        <v>1</v>
      </c>
    </row>
    <row r="119" spans="1:2" x14ac:dyDescent="0.25">
      <c r="A119" s="6" t="s">
        <v>964</v>
      </c>
      <c r="B119">
        <f>COUNTIF('Raw Genre soirée'!A:A,A119)</f>
        <v>1</v>
      </c>
    </row>
    <row r="120" spans="1:2" x14ac:dyDescent="0.25">
      <c r="A120" s="5" t="s">
        <v>1109</v>
      </c>
      <c r="B120">
        <f>COUNTIF('Raw Genre soirée'!A:A,A120)</f>
        <v>1</v>
      </c>
    </row>
    <row r="121" spans="1:2" x14ac:dyDescent="0.25">
      <c r="A121" s="6" t="s">
        <v>1095</v>
      </c>
      <c r="B121">
        <f>COUNTIF('Raw Genre soirée'!A:A,A121)</f>
        <v>1</v>
      </c>
    </row>
    <row r="122" spans="1:2" x14ac:dyDescent="0.25">
      <c r="A122" s="5" t="s">
        <v>1088</v>
      </c>
      <c r="B122">
        <f>COUNTIF('Raw Genre soirée'!A:A,A122)</f>
        <v>1</v>
      </c>
    </row>
    <row r="123" spans="1:2" x14ac:dyDescent="0.25">
      <c r="A123" s="6" t="s">
        <v>1107</v>
      </c>
      <c r="B123">
        <f>COUNTIF('Raw Genre soirée'!A:A,A123)</f>
        <v>1</v>
      </c>
    </row>
    <row r="124" spans="1:2" x14ac:dyDescent="0.25">
      <c r="A124" s="5" t="s">
        <v>1038</v>
      </c>
      <c r="B124">
        <f>COUNTIF('Raw Genre soirée'!A:A,A124)</f>
        <v>1</v>
      </c>
    </row>
    <row r="125" spans="1:2" x14ac:dyDescent="0.25">
      <c r="A125" s="6" t="s">
        <v>1016</v>
      </c>
      <c r="B125">
        <f>COUNTIF('Raw Genre soirée'!A:A,A125)</f>
        <v>1</v>
      </c>
    </row>
    <row r="126" spans="1:2" x14ac:dyDescent="0.25">
      <c r="A126" s="5" t="s">
        <v>84</v>
      </c>
      <c r="B126">
        <f>COUNTIF('Raw Genre soirée'!A:A,A126)</f>
        <v>1</v>
      </c>
    </row>
    <row r="127" spans="1:2" x14ac:dyDescent="0.25">
      <c r="A127" s="5" t="s">
        <v>1092</v>
      </c>
      <c r="B127">
        <f>COUNTIF('Raw Genre soirée'!A:A,A127)</f>
        <v>1</v>
      </c>
    </row>
    <row r="128" spans="1:2" x14ac:dyDescent="0.25">
      <c r="A128" s="6" t="s">
        <v>298</v>
      </c>
      <c r="B128">
        <f>COUNTIF('Raw Genre soirée'!A:A,A128)</f>
        <v>1</v>
      </c>
    </row>
    <row r="129" spans="1:2" x14ac:dyDescent="0.25">
      <c r="A129" s="5" t="s">
        <v>937</v>
      </c>
      <c r="B129">
        <f>COUNTIF('Raw Genre soirée'!A:A,A129)</f>
        <v>1</v>
      </c>
    </row>
    <row r="130" spans="1:2" x14ac:dyDescent="0.25">
      <c r="A130" s="6" t="s">
        <v>1012</v>
      </c>
      <c r="B130">
        <f>COUNTIF('Raw Genre soirée'!A:A,A130)</f>
        <v>1</v>
      </c>
    </row>
    <row r="131" spans="1:2" x14ac:dyDescent="0.25">
      <c r="A131" s="5" t="s">
        <v>1017</v>
      </c>
      <c r="B131">
        <f>COUNTIF('Raw Genre soirée'!A:A,A131)</f>
        <v>1</v>
      </c>
    </row>
    <row r="132" spans="1:2" x14ac:dyDescent="0.25">
      <c r="A132" s="6" t="s">
        <v>322</v>
      </c>
      <c r="B132">
        <f>COUNTIF('Raw Genre soirée'!A:A,A132)</f>
        <v>1</v>
      </c>
    </row>
    <row r="133" spans="1:2" x14ac:dyDescent="0.25">
      <c r="A133" s="5" t="s">
        <v>979</v>
      </c>
      <c r="B133">
        <f>COUNTIF('Raw Genre soirée'!A:A,A133)</f>
        <v>1</v>
      </c>
    </row>
    <row r="134" spans="1:2" x14ac:dyDescent="0.25">
      <c r="A134" s="6" t="s">
        <v>1101</v>
      </c>
      <c r="B134">
        <f>COUNTIF('Raw Genre soirée'!A:A,A134)</f>
        <v>1</v>
      </c>
    </row>
    <row r="135" spans="1:2" x14ac:dyDescent="0.25">
      <c r="A135" s="5" t="s">
        <v>1064</v>
      </c>
      <c r="B135">
        <f>COUNTIF('Raw Genre soirée'!A:A,A135)</f>
        <v>1</v>
      </c>
    </row>
    <row r="136" spans="1:2" x14ac:dyDescent="0.25">
      <c r="A136" s="6" t="s">
        <v>281</v>
      </c>
      <c r="B136">
        <f>COUNTIF('Raw Genre soirée'!A:A,A136)</f>
        <v>1</v>
      </c>
    </row>
    <row r="137" spans="1:2" x14ac:dyDescent="0.25">
      <c r="A137" s="5" t="s">
        <v>1057</v>
      </c>
      <c r="B137">
        <f>COUNTIF('Raw Genre soirée'!A:A,A137)</f>
        <v>1</v>
      </c>
    </row>
    <row r="138" spans="1:2" x14ac:dyDescent="0.25">
      <c r="A138" s="6" t="s">
        <v>971</v>
      </c>
      <c r="B138">
        <f>COUNTIF('Raw Genre soirée'!A:A,A138)</f>
        <v>1</v>
      </c>
    </row>
    <row r="139" spans="1:2" x14ac:dyDescent="0.25">
      <c r="A139" s="6" t="s">
        <v>1082</v>
      </c>
      <c r="B139">
        <f>COUNTIF('Raw Genre soirée'!A:A,A139)</f>
        <v>1</v>
      </c>
    </row>
    <row r="140" spans="1:2" x14ac:dyDescent="0.25">
      <c r="A140" s="5" t="s">
        <v>1072</v>
      </c>
      <c r="B140">
        <f>COUNTIF('Raw Genre soirée'!A:A,A140)</f>
        <v>1</v>
      </c>
    </row>
    <row r="141" spans="1:2" x14ac:dyDescent="0.25">
      <c r="A141" s="6" t="s">
        <v>1111</v>
      </c>
      <c r="B141">
        <f>COUNTIF('Raw Genre soirée'!A:A,A141)</f>
        <v>1</v>
      </c>
    </row>
    <row r="142" spans="1:2" x14ac:dyDescent="0.25">
      <c r="A142" s="5" t="s">
        <v>1058</v>
      </c>
      <c r="B142">
        <f>COUNTIF('Raw Genre soirée'!A:A,A142)</f>
        <v>1</v>
      </c>
    </row>
    <row r="143" spans="1:2" x14ac:dyDescent="0.25">
      <c r="A143" s="5" t="s">
        <v>1077</v>
      </c>
      <c r="B143">
        <f>COUNTIF('Raw Genre soirée'!A:A,A143)</f>
        <v>1</v>
      </c>
    </row>
    <row r="144" spans="1:2" x14ac:dyDescent="0.25">
      <c r="A144" s="5" t="s">
        <v>1056</v>
      </c>
      <c r="B144">
        <f>COUNTIF('Raw Genre soirée'!A:A,A144)</f>
        <v>1</v>
      </c>
    </row>
    <row r="145" spans="1:2" x14ac:dyDescent="0.25">
      <c r="A145" s="6" t="s">
        <v>1074</v>
      </c>
      <c r="B145">
        <f>COUNTIF('Raw Genre soirée'!A:A,A145)</f>
        <v>1</v>
      </c>
    </row>
    <row r="146" spans="1:2" x14ac:dyDescent="0.25">
      <c r="A146" s="5" t="s">
        <v>1061</v>
      </c>
      <c r="B146">
        <f>COUNTIF('Raw Genre soirée'!A:A,A146)</f>
        <v>1</v>
      </c>
    </row>
    <row r="147" spans="1:2" x14ac:dyDescent="0.25">
      <c r="A147" s="6" t="s">
        <v>1045</v>
      </c>
      <c r="B147">
        <f>COUNTIF('Raw Genre soirée'!A:A,A147)</f>
        <v>1</v>
      </c>
    </row>
    <row r="148" spans="1:2" x14ac:dyDescent="0.25">
      <c r="A148" s="6" t="s">
        <v>176</v>
      </c>
      <c r="B148">
        <f>COUNTIF('Raw Genre soirée'!A:A,A148)</f>
        <v>1</v>
      </c>
    </row>
    <row r="149" spans="1:2" x14ac:dyDescent="0.25">
      <c r="A149" s="5" t="s">
        <v>1091</v>
      </c>
      <c r="B149">
        <f>COUNTIF('Raw Genre soirée'!A:A,A149)</f>
        <v>1</v>
      </c>
    </row>
    <row r="150" spans="1:2" x14ac:dyDescent="0.25">
      <c r="A150" s="6" t="s">
        <v>1102</v>
      </c>
      <c r="B150">
        <f>COUNTIF('Raw Genre soirée'!A:A,A150)</f>
        <v>1</v>
      </c>
    </row>
    <row r="151" spans="1:2" x14ac:dyDescent="0.25">
      <c r="A151" s="5" t="s">
        <v>1024</v>
      </c>
      <c r="B151">
        <f>COUNTIF('Raw Genre soirée'!A:A,A151)</f>
        <v>1</v>
      </c>
    </row>
    <row r="152" spans="1:2" x14ac:dyDescent="0.25">
      <c r="A152" s="6" t="s">
        <v>1025</v>
      </c>
      <c r="B152">
        <f>COUNTIF('Raw Genre soirée'!A:A,A152)</f>
        <v>1</v>
      </c>
    </row>
    <row r="153" spans="1:2" x14ac:dyDescent="0.25">
      <c r="A153" s="6" t="s">
        <v>1085</v>
      </c>
      <c r="B153">
        <f>COUNTIF('Raw Genre soirée'!A:A,A153)</f>
        <v>1</v>
      </c>
    </row>
    <row r="154" spans="1:2" x14ac:dyDescent="0.25">
      <c r="A154" s="5" t="s">
        <v>987</v>
      </c>
      <c r="B154">
        <f>COUNTIF('Raw Genre soirée'!A:A,A154)</f>
        <v>1</v>
      </c>
    </row>
    <row r="155" spans="1:2" x14ac:dyDescent="0.25">
      <c r="A155" s="6" t="s">
        <v>4</v>
      </c>
      <c r="B155">
        <f>COUNTIF('Raw Genre soirée'!A:A,A155)</f>
        <v>1</v>
      </c>
    </row>
    <row r="156" spans="1:2" x14ac:dyDescent="0.25">
      <c r="A156" s="6" t="s">
        <v>1089</v>
      </c>
      <c r="B156">
        <f>COUNTIF('Raw Genre soirée'!A:A,A156)</f>
        <v>1</v>
      </c>
    </row>
    <row r="157" spans="1:2" x14ac:dyDescent="0.25">
      <c r="A157" s="5" t="s">
        <v>1003</v>
      </c>
      <c r="B157">
        <f>COUNTIF('Raw Genre soirée'!A:A,A157)</f>
        <v>1</v>
      </c>
    </row>
    <row r="158" spans="1:2" x14ac:dyDescent="0.25">
      <c r="A158" s="6" t="s">
        <v>942</v>
      </c>
      <c r="B158">
        <f>COUNTIF('Raw Genre soirée'!A:A,A158)</f>
        <v>1</v>
      </c>
    </row>
    <row r="159" spans="1:2" x14ac:dyDescent="0.25">
      <c r="A159" s="5" t="s">
        <v>938</v>
      </c>
      <c r="B159">
        <f>COUNTIF('Raw Genre soirée'!A:A,A159)</f>
        <v>1</v>
      </c>
    </row>
    <row r="160" spans="1:2" x14ac:dyDescent="0.25">
      <c r="A160" s="5" t="s">
        <v>1032</v>
      </c>
      <c r="B160">
        <f>COUNTIF('Raw Genre soirée'!A:A,A160)</f>
        <v>1</v>
      </c>
    </row>
    <row r="161" spans="1:2" x14ac:dyDescent="0.25">
      <c r="A161" s="5" t="s">
        <v>1062</v>
      </c>
      <c r="B161">
        <f>COUNTIF('Raw Genre soirée'!A:A,A161)</f>
        <v>1</v>
      </c>
    </row>
    <row r="162" spans="1:2" x14ac:dyDescent="0.25">
      <c r="A162" s="6" t="s">
        <v>1083</v>
      </c>
      <c r="B162">
        <f>COUNTIF('Raw Genre soirée'!A:A,A162)</f>
        <v>1</v>
      </c>
    </row>
    <row r="163" spans="1:2" x14ac:dyDescent="0.25">
      <c r="A163" s="6" t="s">
        <v>1065</v>
      </c>
      <c r="B163">
        <f>COUNTIF('Raw Genre soirée'!A:A,A163)</f>
        <v>1</v>
      </c>
    </row>
    <row r="164" spans="1:2" x14ac:dyDescent="0.25">
      <c r="A164" s="6" t="s">
        <v>1100</v>
      </c>
      <c r="B164">
        <f>COUNTIF('Raw Genre soirée'!A:A,A164)</f>
        <v>1</v>
      </c>
    </row>
    <row r="165" spans="1:2" x14ac:dyDescent="0.25">
      <c r="A165" s="5" t="s">
        <v>335</v>
      </c>
      <c r="B165">
        <f>COUNTIF('Raw Genre soirée'!A:A,A165)</f>
        <v>1</v>
      </c>
    </row>
    <row r="166" spans="1:2" x14ac:dyDescent="0.25">
      <c r="A166" s="6" t="s">
        <v>1068</v>
      </c>
      <c r="B166">
        <f>COUNTIF('Raw Genre soirée'!A:A,A166)</f>
        <v>1</v>
      </c>
    </row>
    <row r="167" spans="1:2" x14ac:dyDescent="0.25">
      <c r="A167" s="5" t="s">
        <v>1067</v>
      </c>
      <c r="B167">
        <f>COUNTIF('Raw Genre soirée'!A:A,A167)</f>
        <v>1</v>
      </c>
    </row>
    <row r="168" spans="1:2" x14ac:dyDescent="0.25">
      <c r="A168" s="6" t="s">
        <v>1093</v>
      </c>
      <c r="B168">
        <f>COUNTIF('Raw Genre soirée'!A:A,A168)</f>
        <v>1</v>
      </c>
    </row>
    <row r="169" spans="1:2" x14ac:dyDescent="0.25">
      <c r="A169" s="5" t="s">
        <v>840</v>
      </c>
      <c r="B169">
        <f>COUNTIF('Raw Genre soirée'!A:A,A169)</f>
        <v>1</v>
      </c>
    </row>
    <row r="170" spans="1:2" x14ac:dyDescent="0.25">
      <c r="A170" s="5" t="s">
        <v>152</v>
      </c>
      <c r="B170">
        <f>COUNTIF('Raw Genre soirée'!A:A,A170)</f>
        <v>1</v>
      </c>
    </row>
    <row r="171" spans="1:2" x14ac:dyDescent="0.25">
      <c r="A171" s="5" t="s">
        <v>1078</v>
      </c>
      <c r="B171">
        <f>COUNTIF('Raw Genre soirée'!A:A,A171)</f>
        <v>1</v>
      </c>
    </row>
    <row r="172" spans="1:2" x14ac:dyDescent="0.25">
      <c r="A172" s="6" t="s">
        <v>1103</v>
      </c>
      <c r="B172">
        <f>COUNTIF('Raw Genre soirée'!A:A,A172)</f>
        <v>1</v>
      </c>
    </row>
    <row r="173" spans="1:2" x14ac:dyDescent="0.25">
      <c r="A173" s="5" t="s">
        <v>1098</v>
      </c>
      <c r="B173">
        <f>COUNTIF('Raw Genre soirée'!A:A,A173)</f>
        <v>1</v>
      </c>
    </row>
    <row r="174" spans="1:2" x14ac:dyDescent="0.25">
      <c r="A174" s="6" t="s">
        <v>952</v>
      </c>
      <c r="B174">
        <f>COUNTIF('Raw Genre soirée'!A:A,A174)</f>
        <v>1</v>
      </c>
    </row>
    <row r="175" spans="1:2" x14ac:dyDescent="0.25">
      <c r="A175" s="5" t="s">
        <v>1040</v>
      </c>
      <c r="B175">
        <f>COUNTIF('Raw Genre soirée'!A:A,A175)</f>
        <v>1</v>
      </c>
    </row>
    <row r="176" spans="1:2" x14ac:dyDescent="0.25">
      <c r="A176" s="6" t="s">
        <v>1096</v>
      </c>
      <c r="B176">
        <f>COUNTIF('Raw Genre soirée'!A:A,A176)</f>
        <v>1</v>
      </c>
    </row>
    <row r="177" spans="1:2" x14ac:dyDescent="0.25">
      <c r="A177" s="5" t="s">
        <v>1059</v>
      </c>
      <c r="B177">
        <f>COUNTIF('Raw Genre soirée'!A:A,A177)</f>
        <v>1</v>
      </c>
    </row>
    <row r="178" spans="1:2" x14ac:dyDescent="0.25">
      <c r="A178" s="5" t="s">
        <v>959</v>
      </c>
      <c r="B178">
        <f>COUNTIF('Raw Genre soirée'!A:A,A178)</f>
        <v>1</v>
      </c>
    </row>
    <row r="179" spans="1:2" x14ac:dyDescent="0.25">
      <c r="A179" s="6" t="s">
        <v>1060</v>
      </c>
      <c r="B179">
        <f>COUNTIF('Raw Genre soirée'!A:A,A179)</f>
        <v>1</v>
      </c>
    </row>
    <row r="180" spans="1:2" x14ac:dyDescent="0.25">
      <c r="A180" s="6" t="s">
        <v>1104</v>
      </c>
      <c r="B180">
        <f>COUNTIF('Raw Genre soirée'!A:A,A180)</f>
        <v>1</v>
      </c>
    </row>
    <row r="181" spans="1:2" x14ac:dyDescent="0.25">
      <c r="A181" s="5" t="s">
        <v>1063</v>
      </c>
      <c r="B181">
        <f>COUNTIF('Raw Genre soirée'!A:A,A181)</f>
        <v>1</v>
      </c>
    </row>
    <row r="182" spans="1:2" x14ac:dyDescent="0.25">
      <c r="A182" s="6" t="s">
        <v>1112</v>
      </c>
      <c r="B182">
        <f>COUNTIF('Raw Genre soirée'!A:A,A182)</f>
        <v>1</v>
      </c>
    </row>
    <row r="183" spans="1:2" x14ac:dyDescent="0.25">
      <c r="A183" s="5" t="s">
        <v>1026</v>
      </c>
      <c r="B183">
        <f>COUNTIF('Raw Genre soirée'!A:A,A183)</f>
        <v>1</v>
      </c>
    </row>
    <row r="184" spans="1:2" x14ac:dyDescent="0.25">
      <c r="A184" s="6" t="s">
        <v>1071</v>
      </c>
      <c r="B184">
        <f>COUNTIF('Raw Genre soirée'!A:A,A184)</f>
        <v>1</v>
      </c>
    </row>
    <row r="185" spans="1:2" x14ac:dyDescent="0.25">
      <c r="A185" s="5" t="s">
        <v>1036</v>
      </c>
      <c r="B185">
        <f>COUNTIF('Raw Genre soirée'!A:A,A185)</f>
        <v>1</v>
      </c>
    </row>
    <row r="186" spans="1:2" x14ac:dyDescent="0.25">
      <c r="A186" s="6" t="s">
        <v>1113</v>
      </c>
      <c r="B186">
        <f>COUNTIF('Raw Genre soirée'!A:A,A186)</f>
        <v>1</v>
      </c>
    </row>
    <row r="187" spans="1:2" x14ac:dyDescent="0.25">
      <c r="A187" s="5" t="s">
        <v>1114</v>
      </c>
      <c r="B187">
        <f>COUNTIF('Raw Genre soirée'!A:A,A187)</f>
        <v>1</v>
      </c>
    </row>
    <row r="188" spans="1:2" x14ac:dyDescent="0.25">
      <c r="A188" s="5" t="s">
        <v>1027</v>
      </c>
      <c r="B188">
        <f>COUNTIF('Raw Genre soirée'!A:A,A188)</f>
        <v>1</v>
      </c>
    </row>
    <row r="189" spans="1:2" x14ac:dyDescent="0.25">
      <c r="A189" s="5" t="s">
        <v>1050</v>
      </c>
      <c r="B189">
        <f>COUNTIF('Raw Genre soirée'!A:A,A189)</f>
        <v>1</v>
      </c>
    </row>
    <row r="190" spans="1:2" x14ac:dyDescent="0.25">
      <c r="A190" s="6" t="s">
        <v>1079</v>
      </c>
      <c r="B190">
        <f>COUNTIF('Raw Genre soirée'!A:A,A190)</f>
        <v>1</v>
      </c>
    </row>
    <row r="191" spans="1:2" x14ac:dyDescent="0.25">
      <c r="A191" s="5" t="s">
        <v>1105</v>
      </c>
      <c r="B191">
        <f>COUNTIF('Raw Genre soirée'!A:A,A191)</f>
        <v>1</v>
      </c>
    </row>
    <row r="192" spans="1:2" x14ac:dyDescent="0.25">
      <c r="A192" s="6" t="s">
        <v>1009</v>
      </c>
      <c r="B192">
        <f>COUNTIF('Raw Genre soirée'!A:A,A192)</f>
        <v>1</v>
      </c>
    </row>
    <row r="193" spans="1:2" x14ac:dyDescent="0.25">
      <c r="A193" s="5" t="s">
        <v>1047</v>
      </c>
      <c r="B193">
        <f>COUNTIF('Raw Genre soirée'!A:A,A193)</f>
        <v>1</v>
      </c>
    </row>
    <row r="194" spans="1:2" x14ac:dyDescent="0.25">
      <c r="A194" s="6" t="s">
        <v>1028</v>
      </c>
      <c r="B194">
        <f>COUNTIF('Raw Genre soirée'!A:A,A194)</f>
        <v>1</v>
      </c>
    </row>
    <row r="195" spans="1:2" x14ac:dyDescent="0.25">
      <c r="A195" s="6" t="s">
        <v>966</v>
      </c>
      <c r="B195">
        <f>COUNTIF('Raw Genre soirée'!A:A,A195)</f>
        <v>1</v>
      </c>
    </row>
    <row r="196" spans="1:2" x14ac:dyDescent="0.25">
      <c r="A196" s="5" t="s">
        <v>1099</v>
      </c>
      <c r="B196">
        <f>COUNTIF('Raw Genre soirée'!A:A,A196)</f>
        <v>1</v>
      </c>
    </row>
    <row r="197" spans="1:2" x14ac:dyDescent="0.25">
      <c r="A197" s="6" t="s">
        <v>1108</v>
      </c>
      <c r="B197">
        <f>COUNTIF('Raw Genre soirée'!A:A,A197)</f>
        <v>1</v>
      </c>
    </row>
    <row r="198" spans="1:2" x14ac:dyDescent="0.25">
      <c r="A198" s="5" t="s">
        <v>1076</v>
      </c>
      <c r="B198">
        <f>COUNTIF('Raw Genre soirée'!A:A,A198)</f>
        <v>1</v>
      </c>
    </row>
    <row r="199" spans="1:2" x14ac:dyDescent="0.25">
      <c r="A199" s="6" t="s">
        <v>988</v>
      </c>
      <c r="B199">
        <f>COUNTIF('Raw Genre soirée'!A:A,A199)</f>
        <v>1</v>
      </c>
    </row>
    <row r="200" spans="1:2" x14ac:dyDescent="0.25">
      <c r="A200" s="5" t="s">
        <v>1055</v>
      </c>
      <c r="B200">
        <f>COUNTIF('Raw Genre soirée'!A:A,A200)</f>
        <v>1</v>
      </c>
    </row>
    <row r="201" spans="1:2" x14ac:dyDescent="0.25">
      <c r="A201" s="6" t="s">
        <v>990</v>
      </c>
      <c r="B201">
        <f>COUNTIF('Raw Genre soirée'!A:A,A201)</f>
        <v>1</v>
      </c>
    </row>
    <row r="202" spans="1:2" x14ac:dyDescent="0.25">
      <c r="A202" s="5" t="s">
        <v>991</v>
      </c>
      <c r="B202">
        <f>COUNTIF('Raw Genre soirée'!A:A,A202)</f>
        <v>1</v>
      </c>
    </row>
    <row r="203" spans="1:2" x14ac:dyDescent="0.25">
      <c r="A203" s="6" t="s">
        <v>1106</v>
      </c>
      <c r="B203">
        <f>COUNTIF('Raw Genre soirée'!A:A,A203)</f>
        <v>1</v>
      </c>
    </row>
    <row r="204" spans="1:2" x14ac:dyDescent="0.25">
      <c r="A204" s="5" t="s">
        <v>138</v>
      </c>
      <c r="B204">
        <f>COUNTIF('Raw Genre soirée'!A:A,A204)</f>
        <v>1</v>
      </c>
    </row>
    <row r="205" spans="1:2" x14ac:dyDescent="0.25">
      <c r="A205" s="6" t="s">
        <v>960</v>
      </c>
      <c r="B205">
        <f>COUNTIF('Raw Genre soirée'!A:A,A205)</f>
        <v>1</v>
      </c>
    </row>
    <row r="206" spans="1:2" x14ac:dyDescent="0.25">
      <c r="A206" s="5" t="s">
        <v>961</v>
      </c>
      <c r="B206">
        <f>COUNTIF('Raw Genre soirée'!A:A,A206)</f>
        <v>1</v>
      </c>
    </row>
    <row r="207" spans="1:2" x14ac:dyDescent="0.25">
      <c r="A207" s="6" t="s">
        <v>972</v>
      </c>
      <c r="B207">
        <f>COUNTIF('Raw Genre soirée'!A:A,A207)</f>
        <v>1</v>
      </c>
    </row>
    <row r="208" spans="1:2" x14ac:dyDescent="0.25">
      <c r="A208" s="5" t="s">
        <v>1015</v>
      </c>
      <c r="B208">
        <f>COUNTIF('Raw Genre soirée'!A:A,A208)</f>
        <v>1</v>
      </c>
    </row>
    <row r="209" spans="1:2" x14ac:dyDescent="0.25">
      <c r="A209" s="5" t="s">
        <v>1097</v>
      </c>
      <c r="B209">
        <f>COUNTIF('Raw Genre soirée'!A:A,A209)</f>
        <v>1</v>
      </c>
    </row>
    <row r="210" spans="1:2" x14ac:dyDescent="0.25">
      <c r="A210" s="5" t="s">
        <v>1075</v>
      </c>
      <c r="B210">
        <f>COUNTIF('Raw Genre soirée'!A:A,A210)</f>
        <v>1</v>
      </c>
    </row>
    <row r="211" spans="1:2" x14ac:dyDescent="0.25">
      <c r="A211" s="6" t="s">
        <v>1048</v>
      </c>
      <c r="B211">
        <f>COUNTIF('Raw Genre soirée'!A:A,A211)</f>
        <v>1</v>
      </c>
    </row>
    <row r="212" spans="1:2" x14ac:dyDescent="0.25">
      <c r="A212" s="5" t="s">
        <v>1049</v>
      </c>
      <c r="B212">
        <f>COUNTIF('Raw Genre soirée'!A:A,A212)</f>
        <v>1</v>
      </c>
    </row>
    <row r="213" spans="1:2" x14ac:dyDescent="0.25">
      <c r="A213" s="6" t="s">
        <v>1094</v>
      </c>
      <c r="B213">
        <f>COUNTIF('Raw Genre soirée'!A:A,A213)</f>
        <v>1</v>
      </c>
    </row>
    <row r="214" spans="1:2" x14ac:dyDescent="0.25">
      <c r="A214" s="5" t="s">
        <v>1046</v>
      </c>
      <c r="B214">
        <f>COUNTIF('Raw Genre soirée'!A:A,A214)</f>
        <v>1</v>
      </c>
    </row>
    <row r="215" spans="1:2" x14ac:dyDescent="0.25">
      <c r="A215"/>
    </row>
    <row r="216" spans="1:2" x14ac:dyDescent="0.25">
      <c r="A216"/>
    </row>
    <row r="217" spans="1:2" x14ac:dyDescent="0.25">
      <c r="A217"/>
    </row>
    <row r="218" spans="1:2" x14ac:dyDescent="0.25">
      <c r="A218"/>
    </row>
    <row r="219" spans="1:2" x14ac:dyDescent="0.25">
      <c r="A219"/>
    </row>
    <row r="220" spans="1:2" x14ac:dyDescent="0.25">
      <c r="A220"/>
    </row>
    <row r="221" spans="1:2" x14ac:dyDescent="0.25">
      <c r="A221"/>
    </row>
    <row r="222" spans="1:2" x14ac:dyDescent="0.25">
      <c r="A222"/>
    </row>
    <row r="223" spans="1:2" x14ac:dyDescent="0.25">
      <c r="A223"/>
    </row>
    <row r="224" spans="1:2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</sheetData>
  <sortState xmlns:xlrd2="http://schemas.microsoft.com/office/spreadsheetml/2017/richdata2" ref="A2:B1043">
    <sortCondition descending="1" ref="B2:B1043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D1EE29-3901-41A8-920E-82D89ADA09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Yes</vt:lpstr>
      <vt:lpstr>Soirée</vt:lpstr>
      <vt:lpstr>Hard</vt:lpstr>
      <vt:lpstr>Summer</vt:lpstr>
      <vt:lpstr>Hardstyle</vt:lpstr>
      <vt:lpstr>Classico</vt:lpstr>
      <vt:lpstr>Liked</vt:lpstr>
      <vt:lpstr>Comparaison</vt:lpstr>
      <vt:lpstr>bangerz</vt:lpstr>
      <vt:lpstr>Calculs</vt:lpstr>
      <vt:lpstr>Analyse Likes</vt:lpstr>
      <vt:lpstr>Raw Genre Likes</vt:lpstr>
      <vt:lpstr>Raw Genre soirée</vt:lpstr>
      <vt:lpstr>Raw Genre Boom</vt:lpstr>
      <vt:lpstr>Genre Boom</vt:lpstr>
      <vt:lpstr>Genre Soirée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2022-06-17T11:06:49Z</dcterms:created>
  <dcterms:modified xsi:type="dcterms:W3CDTF">2022-06-27T14:04:59Z</dcterms:modified>
</cp:coreProperties>
</file>